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trlProps/ctrlProp1.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1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omments15.xml" ContentType="application/vnd.openxmlformats-officedocument.spreadsheetml.comments+xml"/>
  <Override PartName="/xl/drawings/drawing26.xml" ContentType="application/vnd.openxmlformats-officedocument.drawing+xml"/>
  <Override PartName="/xl/comments16.xml" ContentType="application/vnd.openxmlformats-officedocument.spreadsheetml.comments+xml"/>
  <Override PartName="/xl/drawings/drawing27.xml" ContentType="application/vnd.openxmlformats-officedocument.drawing+xml"/>
  <Override PartName="/xl/comments17.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trlProps/ctrlProp30.xml" ContentType="application/vnd.ms-excel.controlproperties+xml"/>
  <Override PartName="/xl/ctrlProps/ctrlProp31.xml" ContentType="application/vnd.ms-excel.controlproperties+xml"/>
  <Override PartName="/xl/comments18.xml" ContentType="application/vnd.openxmlformats-officedocument.spreadsheetml.comments+xml"/>
  <Override PartName="/xl/drawings/drawing30.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31.xml" ContentType="application/vnd.openxmlformats-officedocument.drawing+xml"/>
  <Override PartName="/xl/ctrlProps/ctrlProp34.xml" ContentType="application/vnd.ms-excel.controlproperties+xml"/>
  <Override PartName="/xl/ctrlProps/ctrlProp35.xml" ContentType="application/vnd.ms-excel.controlproperties+xml"/>
  <Override PartName="/xl/drawings/drawing32.xml" ContentType="application/vnd.openxmlformats-officedocument.drawing+xml"/>
  <Override PartName="/xl/ctrlProps/ctrlProp36.xml" ContentType="application/vnd.ms-excel.controlproperties+xml"/>
  <Override PartName="/xl/ctrlProps/ctrlProp37.xml" ContentType="application/vnd.ms-excel.controlproperties+xml"/>
  <Override PartName="/xl/drawings/drawing33.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34.xml" ContentType="application/vnd.openxmlformats-officedocument.drawing+xml"/>
  <Override PartName="/xl/ctrlProps/ctrlProp40.xml" ContentType="application/vnd.ms-excel.controlproperties+xml"/>
  <Override PartName="/xl/ctrlProps/ctrlProp41.xml" ContentType="application/vnd.ms-excel.controlproperties+xml"/>
  <Override PartName="/xl/drawings/drawing35.xml" ContentType="application/vnd.openxmlformats-officedocument.drawing+xml"/>
  <Override PartName="/xl/ctrlProps/ctrlProp42.xml" ContentType="application/vnd.ms-excel.controlproperties+xml"/>
  <Override PartName="/xl/ctrlProps/ctrlProp43.xml" ContentType="application/vnd.ms-excel.controlproperties+xml"/>
  <Override PartName="/xl/drawings/drawing36.xml" ContentType="application/vnd.openxmlformats-officedocument.drawing+xml"/>
  <Override PartName="/xl/ctrlProps/ctrlProp44.xml" ContentType="application/vnd.ms-excel.controlproperties+xml"/>
  <Override PartName="/xl/ctrlProps/ctrlProp45.xml" ContentType="application/vnd.ms-excel.controlproperties+xml"/>
  <Override PartName="/xl/drawings/drawing37.xml" ContentType="application/vnd.openxmlformats-officedocument.drawing+xml"/>
  <Override PartName="/xl/ctrlProps/ctrlProp46.xml" ContentType="application/vnd.ms-excel.controlproperties+xml"/>
  <Override PartName="/xl/ctrlProps/ctrlProp47.xml" ContentType="application/vnd.ms-excel.controlproperties+xml"/>
  <Override PartName="/xl/drawings/drawing38.xml" ContentType="application/vnd.openxmlformats-officedocument.drawing+xml"/>
  <Override PartName="/xl/ctrlProps/ctrlProp48.xml" ContentType="application/vnd.ms-excel.controlproperties+xml"/>
  <Override PartName="/xl/ctrlProps/ctrlProp49.xml" ContentType="application/vnd.ms-excel.controlproperties+xml"/>
  <Override PartName="/xl/drawings/drawing39.xml" ContentType="application/vnd.openxmlformats-officedocument.drawing+xml"/>
  <Override PartName="/xl/drawings/drawing40.xml" ContentType="application/vnd.openxmlformats-officedocument.drawing+xml"/>
  <Override PartName="/xl/ctrlProps/ctrlProp50.xml" ContentType="application/vnd.ms-excel.controlproperties+xml"/>
  <Override PartName="/xl/ctrlProps/ctrlProp51.xml" ContentType="application/vnd.ms-excel.controlproperties+xml"/>
  <Override PartName="/xl/drawings/drawing41.xml" ContentType="application/vnd.openxmlformats-officedocument.drawing+xml"/>
  <Override PartName="/xl/drawings/drawing42.xml" ContentType="application/vnd.openxmlformats-officedocument.drawing+xml"/>
  <Override PartName="/xl/comments19.xml" ContentType="application/vnd.openxmlformats-officedocument.spreadsheetml.comments+xml"/>
  <Override PartName="/xl/drawings/drawing43.xml" ContentType="application/vnd.openxmlformats-officedocument.drawing+xml"/>
  <Override PartName="/xl/drawings/drawing44.xml" ContentType="application/vnd.openxmlformats-officedocument.drawing+xml"/>
  <Override PartName="/xl/comments20.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1.xml" ContentType="application/vnd.openxmlformats-officedocument.spreadsheetml.comments+xml"/>
  <Override PartName="/xl/drawings/drawing47.xml" ContentType="application/vnd.openxmlformats-officedocument.drawing+xml"/>
  <Override PartName="/xl/comments22.xml" ContentType="application/vnd.openxmlformats-officedocument.spreadsheetml.comments+xml"/>
  <Override PartName="/xl/drawings/drawing48.xml" ContentType="application/vnd.openxmlformats-officedocument.drawing+xml"/>
  <Override PartName="/xl/comments2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omments24.xml" ContentType="application/vnd.openxmlformats-officedocument.spreadsheetml.comments+xml"/>
  <Override PartName="/xl/drawings/drawing51.xml" ContentType="application/vnd.openxmlformats-officedocument.drawing+xml"/>
  <Override PartName="/xl/comments25.xml" ContentType="application/vnd.openxmlformats-officedocument.spreadsheetml.comments+xml"/>
  <Override PartName="/xl/drawings/drawing52.xml" ContentType="application/vnd.openxmlformats-officedocument.drawing+xml"/>
  <Override PartName="/xl/comments26.xml" ContentType="application/vnd.openxmlformats-officedocument.spreadsheetml.comments+xml"/>
  <Override PartName="/xl/drawings/drawing53.xml" ContentType="application/vnd.openxmlformats-officedocument.drawing+xml"/>
  <Override PartName="/xl/comments27.xml" ContentType="application/vnd.openxmlformats-officedocument.spreadsheetml.comments+xml"/>
  <Override PartName="/xl/drawings/drawing54.xml" ContentType="application/vnd.openxmlformats-officedocument.drawing+xml"/>
  <Override PartName="/xl/ctrlProps/ctrlProp52.xml" ContentType="application/vnd.ms-excel.controlproperties+xml"/>
  <Override PartName="/xl/ctrlProps/ctrlProp53.xml" ContentType="application/vnd.ms-excel.controlproperties+xml"/>
  <Override PartName="/xl/drawings/drawing55.xml" ContentType="application/vnd.openxmlformats-officedocument.drawing+xml"/>
  <Override PartName="/xl/ctrlProps/ctrlProp54.xml" ContentType="application/vnd.ms-excel.controlproperties+xml"/>
  <Override PartName="/xl/ctrlProps/ctrlProp55.xml" ContentType="application/vnd.ms-excel.controlproperties+xml"/>
  <Override PartName="/xl/drawings/drawing56.xml" ContentType="application/vnd.openxmlformats-officedocument.drawing+xml"/>
  <Override PartName="/xl/drawings/drawing57.xml" ContentType="application/vnd.openxmlformats-officedocument.drawing+xml"/>
  <Override PartName="/xl/comments28.xml" ContentType="application/vnd.openxmlformats-officedocument.spreadsheetml.comments+xml"/>
  <Override PartName="/xl/drawings/drawing58.xml" ContentType="application/vnd.openxmlformats-officedocument.drawing+xml"/>
  <Override PartName="/xl/comments29.xml" ContentType="application/vnd.openxmlformats-officedocument.spreadsheetml.comments+xml"/>
  <Override PartName="/xl/drawings/drawing59.xml" ContentType="application/vnd.openxmlformats-officedocument.drawing+xml"/>
  <Override PartName="/xl/ctrlProps/ctrlProp56.xml" ContentType="application/vnd.ms-excel.controlproperties+xml"/>
  <Override PartName="/xl/ctrlProps/ctrlProp57.xml" ContentType="application/vnd.ms-excel.controlproperties+xml"/>
  <Override PartName="/xl/drawings/drawing60.xml" ContentType="application/vnd.openxmlformats-officedocument.drawing+xml"/>
  <Override PartName="/xl/charts/chart8.xml" ContentType="application/vnd.openxmlformats-officedocument.drawingml.chart+xml"/>
  <Override PartName="/xl/drawings/drawing61.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drawings/drawing62.xml" ContentType="application/vnd.openxmlformats-officedocument.drawing+xml"/>
  <Override PartName="/xl/comments30.xml" ContentType="application/vnd.openxmlformats-officedocument.spreadsheetml.comments+xml"/>
  <Override PartName="/xl/drawings/drawing63.xml" ContentType="application/vnd.openxmlformats-officedocument.drawing+xml"/>
  <Override PartName="/xl/comments31.xml" ContentType="application/vnd.openxmlformats-officedocument.spreadsheetml.comments+xml"/>
  <Override PartName="/xl/drawings/drawing64.xml" ContentType="application/vnd.openxmlformats-officedocument.drawing+xml"/>
  <Override PartName="/xl/comments32.xml" ContentType="application/vnd.openxmlformats-officedocument.spreadsheetml.comments+xml"/>
  <Override PartName="/xl/drawings/drawing65.xml" ContentType="application/vnd.openxmlformats-officedocument.drawing+xml"/>
  <Override PartName="/xl/comments33.xml" ContentType="application/vnd.openxmlformats-officedocument.spreadsheetml.comments+xml"/>
  <Override PartName="/xl/drawings/drawing66.xml" ContentType="application/vnd.openxmlformats-officedocument.drawing+xml"/>
  <Override PartName="/xl/ctrlProps/ctrlProp58.xml" ContentType="application/vnd.ms-excel.controlproperties+xml"/>
  <Override PartName="/xl/ctrlProps/ctrlProp59.xml" ContentType="application/vnd.ms-excel.controlproperties+xml"/>
  <Override PartName="/xl/drawings/drawing67.xml" ContentType="application/vnd.openxmlformats-officedocument.drawing+xml"/>
  <Override PartName="/xl/ctrlProps/ctrlProp60.xml" ContentType="application/vnd.ms-excel.controlproperties+xml"/>
  <Override PartName="/xl/ctrlProps/ctrlProp61.xml" ContentType="application/vnd.ms-excel.controlproperties+xml"/>
  <Override PartName="/xl/drawings/drawing68.xml" ContentType="application/vnd.openxmlformats-officedocument.drawing+xml"/>
  <Override PartName="/xl/ctrlProps/ctrlProp62.xml" ContentType="application/vnd.ms-excel.controlproperties+xml"/>
  <Override PartName="/xl/ctrlProps/ctrlProp63.xml" ContentType="application/vnd.ms-excel.controlproperties+xml"/>
  <Override PartName="/xl/drawings/drawing69.xml" ContentType="application/vnd.openxmlformats-officedocument.drawing+xml"/>
  <Override PartName="/xl/ctrlProps/ctrlProp64.xml" ContentType="application/vnd.ms-excel.controlproperties+xml"/>
  <Override PartName="/xl/ctrlProps/ctrlProp65.xml" ContentType="application/vnd.ms-excel.controlproperties+xml"/>
  <Override PartName="/xl/drawings/drawing70.xml" ContentType="application/vnd.openxmlformats-officedocument.drawing+xml"/>
  <Override PartName="/xl/ctrlProps/ctrlProp66.xml" ContentType="application/vnd.ms-excel.controlproperties+xml"/>
  <Override PartName="/xl/ctrlProps/ctrlProp67.xml" ContentType="application/vnd.ms-excel.controlproperties+xml"/>
  <Override PartName="/xl/drawings/drawing71.xml" ContentType="application/vnd.openxmlformats-officedocument.drawing+xml"/>
  <Override PartName="/xl/ctrlProps/ctrlProp68.xml" ContentType="application/vnd.ms-excel.controlproperties+xml"/>
  <Override PartName="/xl/ctrlProps/ctrlProp69.xml" ContentType="application/vnd.ms-excel.controlproperties+xml"/>
  <Override PartName="/xl/drawings/drawing72.xml" ContentType="application/vnd.openxmlformats-officedocument.drawing+xml"/>
  <Override PartName="/xl/ctrlProps/ctrlProp70.xml" ContentType="application/vnd.ms-excel.controlproperties+xml"/>
  <Override PartName="/xl/ctrlProps/ctrlProp71.xml" ContentType="application/vnd.ms-excel.controlproperties+xml"/>
  <Override PartName="/xl/drawings/drawing73.xml" ContentType="application/vnd.openxmlformats-officedocument.drawing+xml"/>
  <Override PartName="/xl/ctrlProps/ctrlProp72.xml" ContentType="application/vnd.ms-excel.controlproperties+xml"/>
  <Override PartName="/xl/ctrlProps/ctrlProp73.xml" ContentType="application/vnd.ms-excel.controlproperties+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34.xml" ContentType="application/vnd.openxmlformats-officedocument.spreadsheetml.comments+xml"/>
  <Override PartName="/xl/drawings/drawing81.xml" ContentType="application/vnd.openxmlformats-officedocument.drawing+xml"/>
  <Override PartName="/xl/drawings/drawing8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omments35.xml" ContentType="application/vnd.openxmlformats-officedocument.spreadsheetml.comments+xml"/>
  <Override PartName="/xl/drawings/drawing86.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omments36.xml" ContentType="application/vnd.openxmlformats-officedocument.spreadsheetml.comments+xml"/>
  <Override PartName="/xl/drawings/drawing87.xml" ContentType="application/vnd.openxmlformats-officedocument.drawing+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omments37.xml" ContentType="application/vnd.openxmlformats-officedocument.spreadsheetml.comments+xml"/>
  <Override PartName="/xl/drawings/drawing8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omments38.xml" ContentType="application/vnd.openxmlformats-officedocument.spreadsheetml.comments+xml"/>
  <Override PartName="/xl/drawings/drawing89.xml" ContentType="application/vnd.openxmlformats-officedocument.drawing+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omments3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P:\SG 2 und SG 5\Infodienst\Dateien neu\"/>
    </mc:Choice>
  </mc:AlternateContent>
  <bookViews>
    <workbookView xWindow="0" yWindow="0" windowWidth="28800" windowHeight="12300" tabRatio="809"/>
  </bookViews>
  <sheets>
    <sheet name="Inhalt" sheetId="4" r:id="rId1"/>
    <sheet name="Hinw" sheetId="5" r:id="rId2"/>
    <sheet name="E1" sheetId="6" r:id="rId3"/>
    <sheet name="E2" sheetId="7" r:id="rId4"/>
    <sheet name="EK1" sheetId="8" r:id="rId5"/>
    <sheet name="EK2" sheetId="10" r:id="rId6"/>
    <sheet name="EÖ1" sheetId="57" r:id="rId7"/>
    <sheet name="EÖ2" sheetId="58" r:id="rId8"/>
    <sheet name="SDK1" sheetId="12" r:id="rId9"/>
    <sheet name="Erträge_2-J" sheetId="92" state="hidden" r:id="rId10"/>
    <sheet name="Erträge_3-J" sheetId="93" state="hidden" r:id="rId11"/>
    <sheet name="Erträge_4-J" sheetId="94" state="hidden" r:id="rId12"/>
    <sheet name="Erträge_5-J" sheetId="95" state="hidden" r:id="rId13"/>
    <sheet name="Preiskalkulation_Biomasse" sheetId="96" state="hidden" r:id="rId14"/>
    <sheet name="Maschinenauslastung" sheetId="97" state="hidden" r:id="rId15"/>
    <sheet name="SDÖ1" sheetId="60" r:id="rId16"/>
    <sheet name="SD2" sheetId="13" r:id="rId17"/>
    <sheet name="SDK3" sheetId="14" r:id="rId18"/>
    <sheet name="SDÖ3" sheetId="62" r:id="rId19"/>
    <sheet name="SDK4" sheetId="15" r:id="rId20"/>
    <sheet name="SDÖ4" sheetId="63" r:id="rId21"/>
    <sheet name="SDK5" sheetId="16" r:id="rId22"/>
    <sheet name="SDÖ5" sheetId="65" r:id="rId23"/>
    <sheet name="SD6" sheetId="17" r:id="rId24"/>
    <sheet name="SDÖ7" sheetId="67" r:id="rId25"/>
    <sheet name="SDK7" sheetId="18" r:id="rId26"/>
    <sheet name="SD8" sheetId="19" r:id="rId27"/>
    <sheet name="Betriebsübersicht" sheetId="99" state="hidden" r:id="rId28"/>
    <sheet name="Kostenrechnung" sheetId="20" r:id="rId29"/>
    <sheet name="Daten" sheetId="21" state="hidden" r:id="rId30"/>
    <sheet name="WW1" sheetId="22" r:id="rId31"/>
    <sheet name="WW2" sheetId="23" r:id="rId32"/>
    <sheet name="WRo" sheetId="26" r:id="rId33"/>
    <sheet name="Tr" sheetId="27" r:id="rId34"/>
    <sheet name="WG" sheetId="28" r:id="rId35"/>
    <sheet name="Di" sheetId="29" r:id="rId36"/>
    <sheet name="SW" sheetId="30" r:id="rId37"/>
    <sheet name="SG-Fu" sheetId="31" r:id="rId38"/>
    <sheet name="BG" sheetId="32" r:id="rId39"/>
    <sheet name="Ha" sheetId="33" r:id="rId40"/>
    <sheet name="KöM" sheetId="35" r:id="rId41"/>
    <sheet name="Du" sheetId="34" r:id="rId42"/>
    <sheet name="KH" sheetId="36" r:id="rId43"/>
    <sheet name="WR" sheetId="37" r:id="rId44"/>
    <sheet name="SR" sheetId="38" r:id="rId45"/>
    <sheet name="Soja" sheetId="40" r:id="rId46"/>
    <sheet name="Öl" sheetId="41" r:id="rId47"/>
    <sheet name="FE" sheetId="42" r:id="rId48"/>
    <sheet name="AB" sheetId="43" r:id="rId49"/>
    <sheet name="Lu" sheetId="44" r:id="rId50"/>
    <sheet name="ZR" sheetId="45" r:id="rId51"/>
    <sheet name="FrühKa" sheetId="46" r:id="rId52"/>
    <sheet name="FrühKaFolieBer" sheetId="47" r:id="rId53"/>
    <sheet name="SpKa" sheetId="48" r:id="rId54"/>
    <sheet name="SpKaBer" sheetId="49" r:id="rId55"/>
    <sheet name="WW3" sheetId="24" r:id="rId56"/>
    <sheet name="WW4" sheetId="25" r:id="rId57"/>
    <sheet name="SoBl" sheetId="39" r:id="rId58"/>
    <sheet name="FAKT-Brachebegrünung" sheetId="50" r:id="rId59"/>
    <sheet name="Begr" sheetId="51" r:id="rId60"/>
    <sheet name="Kultur A" sheetId="107" r:id="rId61"/>
    <sheet name="Grafik1-DB" sheetId="100" state="hidden" r:id="rId62"/>
    <sheet name="Öko-KG1" sheetId="70" r:id="rId63"/>
    <sheet name="Öko-KG2" sheetId="71" r:id="rId64"/>
    <sheet name="Öko-LU1" sheetId="72" r:id="rId65"/>
    <sheet name="Öko-LU2" sheetId="73" r:id="rId66"/>
    <sheet name="Öko-WW-Brot" sheetId="75" r:id="rId67"/>
    <sheet name="Öko-WW-Futter" sheetId="74" r:id="rId68"/>
    <sheet name="Öko-Dinkel" sheetId="76" r:id="rId69"/>
    <sheet name="Öko-Dinkel,gegerbt" sheetId="77" r:id="rId70"/>
    <sheet name="Öko-Roggen" sheetId="78" r:id="rId71"/>
    <sheet name="Öko-Hafer" sheetId="79" r:id="rId72"/>
    <sheet name="Öko-Wintergerste" sheetId="109" r:id="rId73"/>
    <sheet name="Öko-Braugerste" sheetId="80" r:id="rId74"/>
    <sheet name="Öko-Körnermais" sheetId="81" r:id="rId75"/>
    <sheet name="Öko-Ackerbohnen" sheetId="82" r:id="rId76"/>
    <sheet name="Öko-Erbsen" sheetId="83" r:id="rId77"/>
    <sheet name="Öko-Sojabohnen" sheetId="84" r:id="rId78"/>
    <sheet name="Öko-Soblu" sheetId="86" r:id="rId79"/>
    <sheet name="Öko-Kartoffel" sheetId="87" r:id="rId80"/>
    <sheet name="Linsen" sheetId="101" state="hidden" r:id="rId81"/>
    <sheet name="Öko-Raps" sheetId="85" r:id="rId82"/>
    <sheet name="TE1" sheetId="91" r:id="rId83"/>
    <sheet name="Blühm." sheetId="89" r:id="rId84"/>
    <sheet name="Begrün." sheetId="90" r:id="rId85"/>
    <sheet name="TE5" sheetId="102" state="hidden" r:id="rId86"/>
    <sheet name="TE6" sheetId="103" state="hidden" r:id="rId87"/>
    <sheet name="TE7" sheetId="104" state="hidden" r:id="rId88"/>
    <sheet name="TE8" sheetId="105" state="hidden" r:id="rId89"/>
    <sheet name="TE9" sheetId="106" state="hidden" r:id="rId90"/>
  </sheets>
  <definedNames>
    <definedName name="_xlnm._FilterDatabase" localSheetId="2" hidden="1">'E1'!$B$12:$B$64</definedName>
    <definedName name="_xlnm._FilterDatabase" localSheetId="21" hidden="1">'SDK5'!$B$4:$AC$104</definedName>
    <definedName name="_xlnm._FilterDatabase" localSheetId="22" hidden="1">SDÖ5!$B$5:$U$19</definedName>
    <definedName name="a">'Öko-Körnermais'!$O$19:$O$21</definedName>
    <definedName name="_xlnm.Print_Area" localSheetId="48">AB!$B$2:$P$75</definedName>
    <definedName name="_xlnm.Print_Area" localSheetId="59">Begr!$B$2:$P$75</definedName>
    <definedName name="_xlnm.Print_Area" localSheetId="84">Begrün.!$B$2:$P$71</definedName>
    <definedName name="_xlnm.Print_Area" localSheetId="38">BG!$B$2:$P$75</definedName>
    <definedName name="_xlnm.Print_Area" localSheetId="83">Blühm.!$B$2:$P$71</definedName>
    <definedName name="_xlnm.Print_Area" localSheetId="29">Daten!$B$2:$CR$61</definedName>
    <definedName name="_xlnm.Print_Area" localSheetId="35">Di!$B$2:$P$75</definedName>
    <definedName name="_xlnm.Print_Area" localSheetId="41">Du!$B$2:$P$75</definedName>
    <definedName name="_xlnm.Print_Area" localSheetId="2">'E1'!$C$2:$K$43</definedName>
    <definedName name="_xlnm.Print_Area" localSheetId="3">'E2'!$B$2:$L$41</definedName>
    <definedName name="_xlnm.Print_Area" localSheetId="4">'EK1'!$B$2:$J$24</definedName>
    <definedName name="_xlnm.Print_Area" localSheetId="5">'EK2'!$B$2:$J$25</definedName>
    <definedName name="_xlnm.Print_Area" localSheetId="6">EÖ1!$B$3:$S$43</definedName>
    <definedName name="_xlnm.Print_Area" localSheetId="7">EÖ2!$B$3:$L$46</definedName>
    <definedName name="_xlnm.Print_Area" localSheetId="58">'FAKT-Brachebegrünung'!$B$2:$P$75</definedName>
    <definedName name="_xlnm.Print_Area" localSheetId="47">FE!$B$2:$P$75</definedName>
    <definedName name="_xlnm.Print_Area" localSheetId="51">FrühKa!$B$2:$P$75</definedName>
    <definedName name="_xlnm.Print_Area" localSheetId="52">FrühKaFolieBer!$B$2:$P$75</definedName>
    <definedName name="_xlnm.Print_Area" localSheetId="61">'Grafik1-DB'!$B$2:$L$79</definedName>
    <definedName name="_xlnm.Print_Area" localSheetId="39">Ha!$B$2:$P$75</definedName>
    <definedName name="_xlnm.Print_Area" localSheetId="1">Hinw!$B$1:$Q$65</definedName>
    <definedName name="_xlnm.Print_Area" localSheetId="0">Inhalt!$B$2:$F$90</definedName>
    <definedName name="_xlnm.Print_Area" localSheetId="42">KH!$B$2:$P$75</definedName>
    <definedName name="_xlnm.Print_Area" localSheetId="40">KöM!$B$2:$P$75</definedName>
    <definedName name="_xlnm.Print_Area" localSheetId="28">Kostenrechnung!$B$2:$N$78,Kostenrechnung!$B$113:$N$137,Kostenrechnung!$B$139:$N$184</definedName>
    <definedName name="_xlnm.Print_Area" localSheetId="60">'Kultur A'!$B$2:$P$75</definedName>
    <definedName name="_xlnm.Print_Area" localSheetId="80">Linsen!$B$2:$P$76</definedName>
    <definedName name="_xlnm.Print_Area" localSheetId="49">Lu!$B$2:$P$75</definedName>
    <definedName name="_xlnm.Print_Area" localSheetId="75">'Öko-Ackerbohnen'!$B$2:$P$71</definedName>
    <definedName name="_xlnm.Print_Area" localSheetId="73">'Öko-Braugerste'!$B$2:$P$71</definedName>
    <definedName name="_xlnm.Print_Area" localSheetId="68">'Öko-Dinkel'!$B$2:$P$71</definedName>
    <definedName name="_xlnm.Print_Area" localSheetId="69">'Öko-Dinkel,gegerbt'!$B$2:$P$71</definedName>
    <definedName name="_xlnm.Print_Area" localSheetId="76">'Öko-Erbsen'!$B$2:$P$71</definedName>
    <definedName name="_xlnm.Print_Area" localSheetId="71">'Öko-Hafer'!$B$2:$P$71</definedName>
    <definedName name="_xlnm.Print_Area" localSheetId="79">'Öko-Kartoffel'!$B$2:$P$71</definedName>
    <definedName name="_xlnm.Print_Area" localSheetId="62">'Öko-KG1'!$B$2:$P$72</definedName>
    <definedName name="_xlnm.Print_Area" localSheetId="63">'Öko-KG2'!$B$2:$P$71</definedName>
    <definedName name="_xlnm.Print_Area" localSheetId="74">'Öko-Körnermais'!$B$2:$P$71</definedName>
    <definedName name="_xlnm.Print_Area" localSheetId="64">'Öko-LU1'!$B$2:$P$71</definedName>
    <definedName name="_xlnm.Print_Area" localSheetId="65">'Öko-LU2'!$B$2:$P$71</definedName>
    <definedName name="_xlnm.Print_Area" localSheetId="81">'Öko-Raps'!$B$2:$P$71</definedName>
    <definedName name="_xlnm.Print_Area" localSheetId="70">'Öko-Roggen'!$B$2:$P$71</definedName>
    <definedName name="_xlnm.Print_Area" localSheetId="78">'Öko-Soblu'!$B$2:$P$71</definedName>
    <definedName name="_xlnm.Print_Area" localSheetId="77">'Öko-Sojabohnen'!$B$2:$P$71</definedName>
    <definedName name="_xlnm.Print_Area" localSheetId="72">'Öko-Wintergerste'!$B$2:$P$71</definedName>
    <definedName name="_xlnm.Print_Area" localSheetId="66">'Öko-WW-Brot'!$B$2:$P$71</definedName>
    <definedName name="_xlnm.Print_Area" localSheetId="67">'Öko-WW-Futter'!$B$2:$P$72</definedName>
    <definedName name="_xlnm.Print_Area" localSheetId="46">Öl!$B$2:$P$75</definedName>
    <definedName name="_xlnm.Print_Area" localSheetId="13">Preiskalkulation_Biomasse!$A$1:$U$111</definedName>
    <definedName name="_xlnm.Print_Area" localSheetId="16">'SD2'!$A$1:$N$80</definedName>
    <definedName name="_xlnm.Print_Area" localSheetId="23">'SD6'!$B$2:$N$87</definedName>
    <definedName name="_xlnm.Print_Area" localSheetId="26">'SD8'!$B$2:$I$60</definedName>
    <definedName name="_xlnm.Print_Area" localSheetId="8">'SDK1'!$B$2:$O$65</definedName>
    <definedName name="_xlnm.Print_Area" localSheetId="17">'SDK3'!$B$5:$O$86,'SDK3'!$B$88:$O$110</definedName>
    <definedName name="_xlnm.Print_Area" localSheetId="19">'SDK4'!$B$2:$N$55</definedName>
    <definedName name="_xlnm.Print_Area" localSheetId="21">'SDK5'!$AP$2:$BC$55</definedName>
    <definedName name="_xlnm.Print_Area" localSheetId="25">'SDK7'!$C$2:$O$189</definedName>
    <definedName name="_xlnm.Print_Area" localSheetId="15">SDÖ1!$B$1:$AD$81</definedName>
    <definedName name="_xlnm.Print_Area" localSheetId="18">SDÖ3!$B$2:$N$164</definedName>
    <definedName name="_xlnm.Print_Area" localSheetId="20">SDÖ4!$B$2:$O$60</definedName>
    <definedName name="_xlnm.Print_Area" localSheetId="22">SDÖ5!$C$3:$O$43</definedName>
    <definedName name="_xlnm.Print_Area" localSheetId="24">SDÖ7!$C$2:$O$141</definedName>
    <definedName name="_xlnm.Print_Area" localSheetId="37">'SG-Fu'!$B$2:$P$75</definedName>
    <definedName name="_xlnm.Print_Area" localSheetId="57">SoBl!$B$2:$P$75</definedName>
    <definedName name="_xlnm.Print_Area" localSheetId="45">Soja!$B$2:$P$75</definedName>
    <definedName name="_xlnm.Print_Area" localSheetId="53">SpKa!$B$2:$P$75</definedName>
    <definedName name="_xlnm.Print_Area" localSheetId="54">SpKaBer!$B$2:$P$75</definedName>
    <definedName name="_xlnm.Print_Area" localSheetId="44">SR!$B$2:$P$75</definedName>
    <definedName name="_xlnm.Print_Area" localSheetId="36">SW!$B$2:$P$75</definedName>
    <definedName name="_xlnm.Print_Area" localSheetId="82">'TE1'!$B$2:$P$71</definedName>
    <definedName name="_xlnm.Print_Area" localSheetId="85">'TE5'!$B$2:$P$76</definedName>
    <definedName name="_xlnm.Print_Area" localSheetId="86">'TE6'!$B$2:$P$76</definedName>
    <definedName name="_xlnm.Print_Area" localSheetId="87">'TE7'!$B$2:$P$76</definedName>
    <definedName name="_xlnm.Print_Area" localSheetId="88">'TE8'!$B$2:$P$76</definedName>
    <definedName name="_xlnm.Print_Area" localSheetId="89">'TE9'!$B$2:$P$76</definedName>
    <definedName name="_xlnm.Print_Area" localSheetId="33">Tr!$B$2:$P$75</definedName>
    <definedName name="_xlnm.Print_Area" localSheetId="34">WG!$B$2:$P$75</definedName>
    <definedName name="_xlnm.Print_Area" localSheetId="43">WR!$B$2:$P$75</definedName>
    <definedName name="_xlnm.Print_Area" localSheetId="32">WRo!$B$2:$P$75</definedName>
    <definedName name="_xlnm.Print_Area" localSheetId="30">'WW1'!$B$2:$P$76</definedName>
    <definedName name="_xlnm.Print_Area" localSheetId="31">'WW2'!$B$2:$P$75</definedName>
    <definedName name="_xlnm.Print_Area" localSheetId="55">'WW3'!$B$2:$P$75</definedName>
    <definedName name="_xlnm.Print_Area" localSheetId="56">'WW4'!$B$2:$P$75</definedName>
    <definedName name="_xlnm.Print_Area" localSheetId="50">ZR!$B$2:$P$75</definedName>
    <definedName name="_xlnm.Print_Titles" localSheetId="29">Daten!$B:$C,Daten!$2:$4</definedName>
    <definedName name="_xlnm.Print_Titles" localSheetId="13">Preiskalkulation_Biomasse!$1:$22</definedName>
    <definedName name="_xlnm.Print_Titles" localSheetId="16">'SD2'!$2:$3</definedName>
    <definedName name="_xlnm.Print_Titles" localSheetId="23">'SD6'!$2:$7</definedName>
    <definedName name="_xlnm.Print_Titles" localSheetId="17">'SDK3'!$2:$4</definedName>
    <definedName name="_xlnm.Print_Titles" localSheetId="25">'SDK7'!$2:$2</definedName>
    <definedName name="_xlnm.Print_Titles" localSheetId="18">SDÖ3!$2:$3</definedName>
    <definedName name="_xlnm.Print_Titles" localSheetId="24">SDÖ7!$2:$2</definedName>
    <definedName name="Saatbettkombination_4_5_m">'Öko-KG1'!$C$47</definedName>
    <definedName name="Wintergetreide" localSheetId="15">'Öko-KG1'!$E$67</definedName>
    <definedName name="Winterroggen___Brot">EÖ1!$I$8</definedName>
    <definedName name="Z_166CD656_4839_4ED4_9CB3_D994CFB3310C_.wvu.Cols" localSheetId="2" hidden="1">'E1'!$F:$F,'E1'!$I:$I</definedName>
    <definedName name="Z_166CD656_4839_4ED4_9CB3_D994CFB3310C_.wvu.Cols" localSheetId="0" hidden="1">Inhalt!$H:$I</definedName>
    <definedName name="Z_166CD656_4839_4ED4_9CB3_D994CFB3310C_.wvu.Cols" localSheetId="13" hidden="1">Preiskalkulation_Biomasse!$AB:$AB</definedName>
    <definedName name="Z_166CD656_4839_4ED4_9CB3_D994CFB3310C_.wvu.Cols" localSheetId="23" hidden="1">'SD6'!#REF!</definedName>
    <definedName name="Z_166CD656_4839_4ED4_9CB3_D994CFB3310C_.wvu.Cols" localSheetId="26" hidden="1">'SD8'!$C:$C</definedName>
    <definedName name="Z_166CD656_4839_4ED4_9CB3_D994CFB3310C_.wvu.Cols" localSheetId="17" hidden="1">'SDK3'!$R:$R</definedName>
    <definedName name="Z_166CD656_4839_4ED4_9CB3_D994CFB3310C_.wvu.Cols" localSheetId="21" hidden="1">'SDK5'!$P:$P</definedName>
    <definedName name="Z_166CD656_4839_4ED4_9CB3_D994CFB3310C_.wvu.FilterData" localSheetId="2" hidden="1">'E1'!$B$12:$B$43</definedName>
    <definedName name="Z_166CD656_4839_4ED4_9CB3_D994CFB3310C_.wvu.FilterData" localSheetId="21" hidden="1">'SDK5'!$B$4:$AC$86</definedName>
    <definedName name="Z_166CD656_4839_4ED4_9CB3_D994CFB3310C_.wvu.PrintArea" localSheetId="48" hidden="1">AB!$B$2:$P$75</definedName>
    <definedName name="Z_166CD656_4839_4ED4_9CB3_D994CFB3310C_.wvu.PrintArea" localSheetId="59" hidden="1">Begr!$B$2:$P$75</definedName>
    <definedName name="Z_166CD656_4839_4ED4_9CB3_D994CFB3310C_.wvu.PrintArea" localSheetId="38" hidden="1">BG!$B$2:$P$75</definedName>
    <definedName name="Z_166CD656_4839_4ED4_9CB3_D994CFB3310C_.wvu.PrintArea" localSheetId="35" hidden="1">Di!$B$2:$P$75</definedName>
    <definedName name="Z_166CD656_4839_4ED4_9CB3_D994CFB3310C_.wvu.PrintArea" localSheetId="41" hidden="1">Du!$B$2:$P$75</definedName>
    <definedName name="Z_166CD656_4839_4ED4_9CB3_D994CFB3310C_.wvu.PrintArea" localSheetId="2" hidden="1">'E1'!$C$2:$K$43</definedName>
    <definedName name="Z_166CD656_4839_4ED4_9CB3_D994CFB3310C_.wvu.PrintArea" localSheetId="3" hidden="1">'E2'!$B$2:$L$41</definedName>
    <definedName name="Z_166CD656_4839_4ED4_9CB3_D994CFB3310C_.wvu.PrintArea" localSheetId="4" hidden="1">'EK1'!$B$2:$J$24</definedName>
    <definedName name="Z_166CD656_4839_4ED4_9CB3_D994CFB3310C_.wvu.PrintArea" localSheetId="5" hidden="1">'EK2'!$B$2:$J$25</definedName>
    <definedName name="Z_166CD656_4839_4ED4_9CB3_D994CFB3310C_.wvu.PrintArea" localSheetId="58" hidden="1">'FAKT-Brachebegrünung'!$B$2:$P$75</definedName>
    <definedName name="Z_166CD656_4839_4ED4_9CB3_D994CFB3310C_.wvu.PrintArea" localSheetId="47" hidden="1">FE!$B$2:$P$75</definedName>
    <definedName name="Z_166CD656_4839_4ED4_9CB3_D994CFB3310C_.wvu.PrintArea" localSheetId="51" hidden="1">FrühKa!$B$2:$P$75</definedName>
    <definedName name="Z_166CD656_4839_4ED4_9CB3_D994CFB3310C_.wvu.PrintArea" localSheetId="52" hidden="1">FrühKaFolieBer!$B$2:$P$75</definedName>
    <definedName name="Z_166CD656_4839_4ED4_9CB3_D994CFB3310C_.wvu.PrintArea" localSheetId="39" hidden="1">Ha!$B$2:$P$75</definedName>
    <definedName name="Z_166CD656_4839_4ED4_9CB3_D994CFB3310C_.wvu.PrintArea" localSheetId="1" hidden="1">Hinw!$B$1:$Q$65</definedName>
    <definedName name="Z_166CD656_4839_4ED4_9CB3_D994CFB3310C_.wvu.PrintArea" localSheetId="0" hidden="1">Inhalt!$B$2:$F$90</definedName>
    <definedName name="Z_166CD656_4839_4ED4_9CB3_D994CFB3310C_.wvu.PrintArea" localSheetId="42" hidden="1">KH!$B$2:$P$75</definedName>
    <definedName name="Z_166CD656_4839_4ED4_9CB3_D994CFB3310C_.wvu.PrintArea" localSheetId="40" hidden="1">KöM!$B$2:$P$75</definedName>
    <definedName name="Z_166CD656_4839_4ED4_9CB3_D994CFB3310C_.wvu.PrintArea" localSheetId="60" hidden="1">'Kultur A'!$B$2:$P$75</definedName>
    <definedName name="Z_166CD656_4839_4ED4_9CB3_D994CFB3310C_.wvu.PrintArea" localSheetId="49" hidden="1">Lu!$B$2:$P$75</definedName>
    <definedName name="Z_166CD656_4839_4ED4_9CB3_D994CFB3310C_.wvu.PrintArea" localSheetId="46" hidden="1">Öl!$B$2:$P$75</definedName>
    <definedName name="Z_166CD656_4839_4ED4_9CB3_D994CFB3310C_.wvu.PrintArea" localSheetId="13" hidden="1">Preiskalkulation_Biomasse!$A$1:$U$111</definedName>
    <definedName name="Z_166CD656_4839_4ED4_9CB3_D994CFB3310C_.wvu.PrintArea" localSheetId="16" hidden="1">'SD2'!$A$1:$N$80</definedName>
    <definedName name="Z_166CD656_4839_4ED4_9CB3_D994CFB3310C_.wvu.PrintArea" localSheetId="23" hidden="1">'SD6'!$B$2:$N$87</definedName>
    <definedName name="Z_166CD656_4839_4ED4_9CB3_D994CFB3310C_.wvu.PrintArea" localSheetId="26" hidden="1">'SD8'!$B$2:$I$60</definedName>
    <definedName name="Z_166CD656_4839_4ED4_9CB3_D994CFB3310C_.wvu.PrintArea" localSheetId="8" hidden="1">'SDK1'!$B$2:$O$65</definedName>
    <definedName name="Z_166CD656_4839_4ED4_9CB3_D994CFB3310C_.wvu.PrintArea" localSheetId="17" hidden="1">'SDK3'!$B$5:$O$86,'SDK3'!$B$88:$O$110</definedName>
    <definedName name="Z_166CD656_4839_4ED4_9CB3_D994CFB3310C_.wvu.PrintArea" localSheetId="19" hidden="1">'SDK4'!$B$2:$N$55</definedName>
    <definedName name="Z_166CD656_4839_4ED4_9CB3_D994CFB3310C_.wvu.PrintArea" localSheetId="21" hidden="1">'SDK5'!$AP$2:$BC$55</definedName>
    <definedName name="Z_166CD656_4839_4ED4_9CB3_D994CFB3310C_.wvu.PrintArea" localSheetId="25" hidden="1">'SDK7'!$C$2:$O$189</definedName>
    <definedName name="Z_166CD656_4839_4ED4_9CB3_D994CFB3310C_.wvu.PrintArea" localSheetId="37" hidden="1">'SG-Fu'!$B$2:$P$75</definedName>
    <definedName name="Z_166CD656_4839_4ED4_9CB3_D994CFB3310C_.wvu.PrintArea" localSheetId="57" hidden="1">SoBl!$B$2:$P$75</definedName>
    <definedName name="Z_166CD656_4839_4ED4_9CB3_D994CFB3310C_.wvu.PrintArea" localSheetId="45" hidden="1">Soja!$B$2:$P$75</definedName>
    <definedName name="Z_166CD656_4839_4ED4_9CB3_D994CFB3310C_.wvu.PrintArea" localSheetId="53" hidden="1">SpKa!$B$2:$P$75</definedName>
    <definedName name="Z_166CD656_4839_4ED4_9CB3_D994CFB3310C_.wvu.PrintArea" localSheetId="54" hidden="1">SpKaBer!$B$2:$P$75</definedName>
    <definedName name="Z_166CD656_4839_4ED4_9CB3_D994CFB3310C_.wvu.PrintArea" localSheetId="44" hidden="1">SR!$B$2:$P$75</definedName>
    <definedName name="Z_166CD656_4839_4ED4_9CB3_D994CFB3310C_.wvu.PrintArea" localSheetId="36" hidden="1">SW!$B$2:$P$75</definedName>
    <definedName name="Z_166CD656_4839_4ED4_9CB3_D994CFB3310C_.wvu.PrintArea" localSheetId="33" hidden="1">Tr!$B$2:$P$75</definedName>
    <definedName name="Z_166CD656_4839_4ED4_9CB3_D994CFB3310C_.wvu.PrintArea" localSheetId="34" hidden="1">WG!$B$2:$P$75</definedName>
    <definedName name="Z_166CD656_4839_4ED4_9CB3_D994CFB3310C_.wvu.PrintArea" localSheetId="43" hidden="1">WR!$B$2:$P$75</definedName>
    <definedName name="Z_166CD656_4839_4ED4_9CB3_D994CFB3310C_.wvu.PrintArea" localSheetId="32" hidden="1">WRo!$B$2:$P$75</definedName>
    <definedName name="Z_166CD656_4839_4ED4_9CB3_D994CFB3310C_.wvu.PrintArea" localSheetId="30" hidden="1">'WW1'!$B$2:$P$76</definedName>
    <definedName name="Z_166CD656_4839_4ED4_9CB3_D994CFB3310C_.wvu.PrintArea" localSheetId="31" hidden="1">'WW2'!$B$2:$P$75</definedName>
    <definedName name="Z_166CD656_4839_4ED4_9CB3_D994CFB3310C_.wvu.PrintArea" localSheetId="55" hidden="1">'WW3'!$B$2:$P$75</definedName>
    <definedName name="Z_166CD656_4839_4ED4_9CB3_D994CFB3310C_.wvu.PrintArea" localSheetId="56" hidden="1">'WW4'!$B$2:$P$75</definedName>
    <definedName name="Z_166CD656_4839_4ED4_9CB3_D994CFB3310C_.wvu.PrintArea" localSheetId="50" hidden="1">ZR!$B$2:$P$75</definedName>
    <definedName name="Z_166CD656_4839_4ED4_9CB3_D994CFB3310C_.wvu.PrintTitles" localSheetId="13" hidden="1">Preiskalkulation_Biomasse!$1:$22</definedName>
    <definedName name="Z_166CD656_4839_4ED4_9CB3_D994CFB3310C_.wvu.PrintTitles" localSheetId="16" hidden="1">'SD2'!$2:$3</definedName>
    <definedName name="Z_166CD656_4839_4ED4_9CB3_D994CFB3310C_.wvu.PrintTitles" localSheetId="23" hidden="1">'SD6'!$2:$7</definedName>
    <definedName name="Z_166CD656_4839_4ED4_9CB3_D994CFB3310C_.wvu.PrintTitles" localSheetId="17" hidden="1">'SDK3'!$2:$4</definedName>
    <definedName name="Z_166CD656_4839_4ED4_9CB3_D994CFB3310C_.wvu.PrintTitles" localSheetId="25" hidden="1">'SDK7'!$2:$2</definedName>
    <definedName name="Z_166CD656_4839_4ED4_9CB3_D994CFB3310C_.wvu.Rows" localSheetId="48" hidden="1">AB!#REF!</definedName>
    <definedName name="Z_166CD656_4839_4ED4_9CB3_D994CFB3310C_.wvu.Rows" localSheetId="59" hidden="1">Begr!$11:$12,Begr!#REF!</definedName>
    <definedName name="Z_166CD656_4839_4ED4_9CB3_D994CFB3310C_.wvu.Rows" localSheetId="38" hidden="1">BG!#REF!</definedName>
    <definedName name="Z_166CD656_4839_4ED4_9CB3_D994CFB3310C_.wvu.Rows" localSheetId="35" hidden="1">Di!#REF!</definedName>
    <definedName name="Z_166CD656_4839_4ED4_9CB3_D994CFB3310C_.wvu.Rows" localSheetId="41" hidden="1">Du!#REF!</definedName>
    <definedName name="Z_166CD656_4839_4ED4_9CB3_D994CFB3310C_.wvu.Rows" localSheetId="4" hidden="1">'EK1'!$23:$24</definedName>
    <definedName name="Z_166CD656_4839_4ED4_9CB3_D994CFB3310C_.wvu.Rows" localSheetId="5" hidden="1">'EK2'!$23:$24</definedName>
    <definedName name="Z_166CD656_4839_4ED4_9CB3_D994CFB3310C_.wvu.Rows" localSheetId="9" hidden="1">'Erträge_2-J'!$11:$12,'Erträge_2-J'!$18:$19,'Erträge_2-J'!$25:$28,'Erträge_2-J'!$33:$33,'Erträge_2-J'!$38:$40,'Erträge_2-J'!$45:$70</definedName>
    <definedName name="Z_166CD656_4839_4ED4_9CB3_D994CFB3310C_.wvu.Rows" localSheetId="10" hidden="1">'Erträge_3-J'!$11:$12,'Erträge_3-J'!$18:$19,'Erträge_3-J'!$25:$28,'Erträge_3-J'!$33:$33,'Erträge_3-J'!$38:$40,'Erträge_3-J'!$45:$70</definedName>
    <definedName name="Z_166CD656_4839_4ED4_9CB3_D994CFB3310C_.wvu.Rows" localSheetId="11" hidden="1">'Erträge_4-J'!$11:$12,'Erträge_4-J'!$18:$19,'Erträge_4-J'!$25:$28,'Erträge_4-J'!$33:$33,'Erträge_4-J'!$38:$40,'Erträge_4-J'!$45:$70</definedName>
    <definedName name="Z_166CD656_4839_4ED4_9CB3_D994CFB3310C_.wvu.Rows" localSheetId="12" hidden="1">'Erträge_5-J'!$11:$12,'Erträge_5-J'!$18:$19,'Erträge_5-J'!$33:$33,'Erträge_5-J'!$38:$40,'Erträge_5-J'!$45:$70</definedName>
    <definedName name="Z_166CD656_4839_4ED4_9CB3_D994CFB3310C_.wvu.Rows" localSheetId="58" hidden="1">'FAKT-Brachebegrünung'!$11:$12,'FAKT-Brachebegrünung'!#REF!</definedName>
    <definedName name="Z_166CD656_4839_4ED4_9CB3_D994CFB3310C_.wvu.Rows" localSheetId="47" hidden="1">FE!$11:$12,FE!#REF!</definedName>
    <definedName name="Z_166CD656_4839_4ED4_9CB3_D994CFB3310C_.wvu.Rows" localSheetId="51" hidden="1">FrühKa!$11:$12,FrühKa!#REF!</definedName>
    <definedName name="Z_166CD656_4839_4ED4_9CB3_D994CFB3310C_.wvu.Rows" localSheetId="52" hidden="1">FrühKaFolieBer!$11:$12,FrühKaFolieBer!#REF!</definedName>
    <definedName name="Z_166CD656_4839_4ED4_9CB3_D994CFB3310C_.wvu.Rows" localSheetId="39" hidden="1">Ha!#REF!</definedName>
    <definedName name="Z_166CD656_4839_4ED4_9CB3_D994CFB3310C_.wvu.Rows" localSheetId="0" hidden="1">Inhalt!$60:$60,Inhalt!$66:$67,Inhalt!$72:$83,Inhalt!$87:$87</definedName>
    <definedName name="Z_166CD656_4839_4ED4_9CB3_D994CFB3310C_.wvu.Rows" localSheetId="42" hidden="1">KH!$11:$12,KH!#REF!</definedName>
    <definedName name="Z_166CD656_4839_4ED4_9CB3_D994CFB3310C_.wvu.Rows" localSheetId="40" hidden="1">KöM!$11:$12,KöM!#REF!</definedName>
    <definedName name="Z_166CD656_4839_4ED4_9CB3_D994CFB3310C_.wvu.Rows" localSheetId="60" hidden="1">'Kultur A'!#REF!</definedName>
    <definedName name="Z_166CD656_4839_4ED4_9CB3_D994CFB3310C_.wvu.Rows" localSheetId="49" hidden="1">Lu!$11:$12,Lu!#REF!</definedName>
    <definedName name="Z_166CD656_4839_4ED4_9CB3_D994CFB3310C_.wvu.Rows" localSheetId="46" hidden="1">Öl!$11:$12,Öl!#REF!</definedName>
    <definedName name="Z_166CD656_4839_4ED4_9CB3_D994CFB3310C_.wvu.Rows" localSheetId="16" hidden="1">'SD2'!$89:$92</definedName>
    <definedName name="Z_166CD656_4839_4ED4_9CB3_D994CFB3310C_.wvu.Rows" localSheetId="26" hidden="1">'SD8'!$8:$8,'SD8'!$57:$57</definedName>
    <definedName name="Z_166CD656_4839_4ED4_9CB3_D994CFB3310C_.wvu.Rows" localSheetId="8" hidden="1">'SDK1'!#REF!,'SDK1'!#REF!,'SDK1'!#REF!,'SDK1'!$43:$44,'SDK1'!$62:$62</definedName>
    <definedName name="Z_166CD656_4839_4ED4_9CB3_D994CFB3310C_.wvu.Rows" localSheetId="17" hidden="1">'SDK3'!$91:$91,'SDK3'!$100:$102</definedName>
    <definedName name="Z_166CD656_4839_4ED4_9CB3_D994CFB3310C_.wvu.Rows" localSheetId="19" hidden="1">'SDK4'!$19:$32</definedName>
    <definedName name="Z_166CD656_4839_4ED4_9CB3_D994CFB3310C_.wvu.Rows" localSheetId="25" hidden="1">'SDK7'!$116:$174,'SDK7'!$245:$252</definedName>
    <definedName name="Z_166CD656_4839_4ED4_9CB3_D994CFB3310C_.wvu.Rows" localSheetId="37" hidden="1">'SG-Fu'!#REF!</definedName>
    <definedName name="Z_166CD656_4839_4ED4_9CB3_D994CFB3310C_.wvu.Rows" localSheetId="57" hidden="1">SoBl!$11:$12,SoBl!#REF!</definedName>
    <definedName name="Z_166CD656_4839_4ED4_9CB3_D994CFB3310C_.wvu.Rows" localSheetId="45" hidden="1">Soja!$11:$12,Soja!#REF!</definedName>
    <definedName name="Z_166CD656_4839_4ED4_9CB3_D994CFB3310C_.wvu.Rows" localSheetId="53" hidden="1">SpKa!$11:$12,SpKa!#REF!</definedName>
    <definedName name="Z_166CD656_4839_4ED4_9CB3_D994CFB3310C_.wvu.Rows" localSheetId="54" hidden="1">SpKaBer!$11:$12,SpKaBer!#REF!</definedName>
    <definedName name="Z_166CD656_4839_4ED4_9CB3_D994CFB3310C_.wvu.Rows" localSheetId="44" hidden="1">SR!$11:$12,SR!#REF!</definedName>
    <definedName name="Z_166CD656_4839_4ED4_9CB3_D994CFB3310C_.wvu.Rows" localSheetId="36" hidden="1">SW!#REF!</definedName>
    <definedName name="Z_166CD656_4839_4ED4_9CB3_D994CFB3310C_.wvu.Rows" localSheetId="33" hidden="1">Tr!#REF!</definedName>
    <definedName name="Z_166CD656_4839_4ED4_9CB3_D994CFB3310C_.wvu.Rows" localSheetId="34" hidden="1">WG!#REF!</definedName>
    <definedName name="Z_166CD656_4839_4ED4_9CB3_D994CFB3310C_.wvu.Rows" localSheetId="43" hidden="1">WR!$11:$12,WR!#REF!</definedName>
    <definedName name="Z_166CD656_4839_4ED4_9CB3_D994CFB3310C_.wvu.Rows" localSheetId="32" hidden="1">WRo!#REF!</definedName>
    <definedName name="Z_166CD656_4839_4ED4_9CB3_D994CFB3310C_.wvu.Rows" localSheetId="30" hidden="1">'WW1'!#REF!</definedName>
    <definedName name="Z_166CD656_4839_4ED4_9CB3_D994CFB3310C_.wvu.Rows" localSheetId="31" hidden="1">'WW2'!#REF!</definedName>
    <definedName name="Z_166CD656_4839_4ED4_9CB3_D994CFB3310C_.wvu.Rows" localSheetId="55" hidden="1">'WW3'!#REF!</definedName>
    <definedName name="Z_166CD656_4839_4ED4_9CB3_D994CFB3310C_.wvu.Rows" localSheetId="56" hidden="1">'WW4'!#REF!</definedName>
    <definedName name="Z_166CD656_4839_4ED4_9CB3_D994CFB3310C_.wvu.Rows" localSheetId="50" hidden="1">ZR!$11:$12,ZR!#REF!</definedName>
    <definedName name="Z_93E81051_1F05_45AD_83CD_DAFA9258812A_.wvu.Cols" localSheetId="48" hidden="1">AB!$R:$T</definedName>
    <definedName name="Z_93E81051_1F05_45AD_83CD_DAFA9258812A_.wvu.Cols" localSheetId="59" hidden="1">Begr!$R:$T</definedName>
    <definedName name="Z_93E81051_1F05_45AD_83CD_DAFA9258812A_.wvu.Cols" localSheetId="84" hidden="1">Begrün.!$R:$T</definedName>
    <definedName name="Z_93E81051_1F05_45AD_83CD_DAFA9258812A_.wvu.Cols" localSheetId="38" hidden="1">BG!$R:$T</definedName>
    <definedName name="Z_93E81051_1F05_45AD_83CD_DAFA9258812A_.wvu.Cols" localSheetId="83" hidden="1">Blühm.!$R:$T</definedName>
    <definedName name="Z_93E81051_1F05_45AD_83CD_DAFA9258812A_.wvu.Cols" localSheetId="35" hidden="1">Di!$R:$T</definedName>
    <definedName name="Z_93E81051_1F05_45AD_83CD_DAFA9258812A_.wvu.Cols" localSheetId="41" hidden="1">Du!$R:$T</definedName>
    <definedName name="Z_93E81051_1F05_45AD_83CD_DAFA9258812A_.wvu.Cols" localSheetId="3" hidden="1">'E2'!$O:$Q</definedName>
    <definedName name="Z_93E81051_1F05_45AD_83CD_DAFA9258812A_.wvu.Cols" localSheetId="58" hidden="1">'FAKT-Brachebegrünung'!$R:$T</definedName>
    <definedName name="Z_93E81051_1F05_45AD_83CD_DAFA9258812A_.wvu.Cols" localSheetId="47" hidden="1">FE!$R:$T</definedName>
    <definedName name="Z_93E81051_1F05_45AD_83CD_DAFA9258812A_.wvu.Cols" localSheetId="51" hidden="1">FrühKa!$R:$T</definedName>
    <definedName name="Z_93E81051_1F05_45AD_83CD_DAFA9258812A_.wvu.Cols" localSheetId="52" hidden="1">FrühKaFolieBer!$R:$T</definedName>
    <definedName name="Z_93E81051_1F05_45AD_83CD_DAFA9258812A_.wvu.Cols" localSheetId="61" hidden="1">'Grafik1-DB'!$M:$M</definedName>
    <definedName name="Z_93E81051_1F05_45AD_83CD_DAFA9258812A_.wvu.Cols" localSheetId="39" hidden="1">Ha!$R:$T</definedName>
    <definedName name="Z_93E81051_1F05_45AD_83CD_DAFA9258812A_.wvu.Cols" localSheetId="0" hidden="1">Inhalt!$H:$I</definedName>
    <definedName name="Z_93E81051_1F05_45AD_83CD_DAFA9258812A_.wvu.Cols" localSheetId="42" hidden="1">KH!$R:$T</definedName>
    <definedName name="Z_93E81051_1F05_45AD_83CD_DAFA9258812A_.wvu.Cols" localSheetId="40" hidden="1">KöM!$R:$T</definedName>
    <definedName name="Z_93E81051_1F05_45AD_83CD_DAFA9258812A_.wvu.Cols" localSheetId="28" hidden="1">Kostenrechnung!$Q:$Q</definedName>
    <definedName name="Z_93E81051_1F05_45AD_83CD_DAFA9258812A_.wvu.Cols" localSheetId="60" hidden="1">'Kultur A'!$R:$T</definedName>
    <definedName name="Z_93E81051_1F05_45AD_83CD_DAFA9258812A_.wvu.Cols" localSheetId="80" hidden="1">Linsen!$R:$T</definedName>
    <definedName name="Z_93E81051_1F05_45AD_83CD_DAFA9258812A_.wvu.Cols" localSheetId="49" hidden="1">Lu!$R:$T</definedName>
    <definedName name="Z_93E81051_1F05_45AD_83CD_DAFA9258812A_.wvu.Cols" localSheetId="75" hidden="1">'Öko-Ackerbohnen'!$R:$T</definedName>
    <definedName name="Z_93E81051_1F05_45AD_83CD_DAFA9258812A_.wvu.Cols" localSheetId="73" hidden="1">'Öko-Braugerste'!$R:$T</definedName>
    <definedName name="Z_93E81051_1F05_45AD_83CD_DAFA9258812A_.wvu.Cols" localSheetId="68" hidden="1">'Öko-Dinkel'!$R:$T</definedName>
    <definedName name="Z_93E81051_1F05_45AD_83CD_DAFA9258812A_.wvu.Cols" localSheetId="69" hidden="1">'Öko-Dinkel,gegerbt'!$R:$T</definedName>
    <definedName name="Z_93E81051_1F05_45AD_83CD_DAFA9258812A_.wvu.Cols" localSheetId="76" hidden="1">'Öko-Erbsen'!$R:$T</definedName>
    <definedName name="Z_93E81051_1F05_45AD_83CD_DAFA9258812A_.wvu.Cols" localSheetId="71" hidden="1">'Öko-Hafer'!$R:$T</definedName>
    <definedName name="Z_93E81051_1F05_45AD_83CD_DAFA9258812A_.wvu.Cols" localSheetId="79" hidden="1">'Öko-Kartoffel'!$R:$T</definedName>
    <definedName name="Z_93E81051_1F05_45AD_83CD_DAFA9258812A_.wvu.Cols" localSheetId="62" hidden="1">'Öko-KG1'!$R:$T</definedName>
    <definedName name="Z_93E81051_1F05_45AD_83CD_DAFA9258812A_.wvu.Cols" localSheetId="63" hidden="1">'Öko-KG2'!$R:$T</definedName>
    <definedName name="Z_93E81051_1F05_45AD_83CD_DAFA9258812A_.wvu.Cols" localSheetId="74" hidden="1">'Öko-Körnermais'!$R:$T</definedName>
    <definedName name="Z_93E81051_1F05_45AD_83CD_DAFA9258812A_.wvu.Cols" localSheetId="64" hidden="1">'Öko-LU1'!$R:$T</definedName>
    <definedName name="Z_93E81051_1F05_45AD_83CD_DAFA9258812A_.wvu.Cols" localSheetId="65" hidden="1">'Öko-LU2'!$R:$T</definedName>
    <definedName name="Z_93E81051_1F05_45AD_83CD_DAFA9258812A_.wvu.Cols" localSheetId="81" hidden="1">'Öko-Raps'!$R:$T</definedName>
    <definedName name="Z_93E81051_1F05_45AD_83CD_DAFA9258812A_.wvu.Cols" localSheetId="70" hidden="1">'Öko-Roggen'!$R:$T</definedName>
    <definedName name="Z_93E81051_1F05_45AD_83CD_DAFA9258812A_.wvu.Cols" localSheetId="78" hidden="1">'Öko-Soblu'!$R:$T</definedName>
    <definedName name="Z_93E81051_1F05_45AD_83CD_DAFA9258812A_.wvu.Cols" localSheetId="77" hidden="1">'Öko-Sojabohnen'!$R:$T</definedName>
    <definedName name="Z_93E81051_1F05_45AD_83CD_DAFA9258812A_.wvu.Cols" localSheetId="72" hidden="1">'Öko-Wintergerste'!$R:$T</definedName>
    <definedName name="Z_93E81051_1F05_45AD_83CD_DAFA9258812A_.wvu.Cols" localSheetId="66" hidden="1">'Öko-WW-Brot'!$R:$T</definedName>
    <definedName name="Z_93E81051_1F05_45AD_83CD_DAFA9258812A_.wvu.Cols" localSheetId="46" hidden="1">Öl!$R:$T</definedName>
    <definedName name="Z_93E81051_1F05_45AD_83CD_DAFA9258812A_.wvu.Cols" localSheetId="13" hidden="1">Preiskalkulation_Biomasse!$AB:$AB</definedName>
    <definedName name="Z_93E81051_1F05_45AD_83CD_DAFA9258812A_.wvu.Cols" localSheetId="37" hidden="1">'SG-Fu'!$R:$T</definedName>
    <definedName name="Z_93E81051_1F05_45AD_83CD_DAFA9258812A_.wvu.Cols" localSheetId="57" hidden="1">SoBl!$R:$T</definedName>
    <definedName name="Z_93E81051_1F05_45AD_83CD_DAFA9258812A_.wvu.Cols" localSheetId="45" hidden="1">Soja!$R:$T</definedName>
    <definedName name="Z_93E81051_1F05_45AD_83CD_DAFA9258812A_.wvu.Cols" localSheetId="53" hidden="1">SpKa!$R:$T</definedName>
    <definedName name="Z_93E81051_1F05_45AD_83CD_DAFA9258812A_.wvu.Cols" localSheetId="54" hidden="1">SpKaBer!$R:$T</definedName>
    <definedName name="Z_93E81051_1F05_45AD_83CD_DAFA9258812A_.wvu.Cols" localSheetId="44" hidden="1">SR!$R:$T</definedName>
    <definedName name="Z_93E81051_1F05_45AD_83CD_DAFA9258812A_.wvu.Cols" localSheetId="36" hidden="1">SW!$R:$T</definedName>
    <definedName name="Z_93E81051_1F05_45AD_83CD_DAFA9258812A_.wvu.Cols" localSheetId="82" hidden="1">'TE1'!$R:$T</definedName>
    <definedName name="Z_93E81051_1F05_45AD_83CD_DAFA9258812A_.wvu.Cols" localSheetId="85" hidden="1">'TE5'!$R:$T</definedName>
    <definedName name="Z_93E81051_1F05_45AD_83CD_DAFA9258812A_.wvu.Cols" localSheetId="86" hidden="1">'TE6'!$R:$T</definedName>
    <definedName name="Z_93E81051_1F05_45AD_83CD_DAFA9258812A_.wvu.Cols" localSheetId="87" hidden="1">'TE7'!$R:$T</definedName>
    <definedName name="Z_93E81051_1F05_45AD_83CD_DAFA9258812A_.wvu.Cols" localSheetId="88" hidden="1">'TE8'!$R:$T</definedName>
    <definedName name="Z_93E81051_1F05_45AD_83CD_DAFA9258812A_.wvu.Cols" localSheetId="89" hidden="1">'TE9'!$R:$T</definedName>
    <definedName name="Z_93E81051_1F05_45AD_83CD_DAFA9258812A_.wvu.Cols" localSheetId="33" hidden="1">Tr!$R:$T</definedName>
    <definedName name="Z_93E81051_1F05_45AD_83CD_DAFA9258812A_.wvu.Cols" localSheetId="34" hidden="1">WG!$R:$T</definedName>
    <definedName name="Z_93E81051_1F05_45AD_83CD_DAFA9258812A_.wvu.Cols" localSheetId="43" hidden="1">WR!$R:$T</definedName>
    <definedName name="Z_93E81051_1F05_45AD_83CD_DAFA9258812A_.wvu.Cols" localSheetId="32" hidden="1">WRo!$R:$T</definedName>
    <definedName name="Z_93E81051_1F05_45AD_83CD_DAFA9258812A_.wvu.Cols" localSheetId="31" hidden="1">'WW2'!$R:$T</definedName>
    <definedName name="Z_93E81051_1F05_45AD_83CD_DAFA9258812A_.wvu.Cols" localSheetId="55" hidden="1">'WW3'!$R:$T</definedName>
    <definedName name="Z_93E81051_1F05_45AD_83CD_DAFA9258812A_.wvu.Cols" localSheetId="56" hidden="1">'WW4'!$R:$T</definedName>
    <definedName name="Z_93E81051_1F05_45AD_83CD_DAFA9258812A_.wvu.Cols" localSheetId="50" hidden="1">ZR!$R:$T</definedName>
    <definedName name="Z_93E81051_1F05_45AD_83CD_DAFA9258812A_.wvu.FilterData" localSheetId="2" hidden="1">'E1'!$B$12:$B$43</definedName>
    <definedName name="Z_93E81051_1F05_45AD_83CD_DAFA9258812A_.wvu.FilterData" localSheetId="21" hidden="1">'SDK5'!$C$4:$AF$85</definedName>
    <definedName name="Z_93E81051_1F05_45AD_83CD_DAFA9258812A_.wvu.FilterData" localSheetId="22" hidden="1">SDÖ5!$C$5:$W$19</definedName>
    <definedName name="Z_93E81051_1F05_45AD_83CD_DAFA9258812A_.wvu.PrintArea" localSheetId="48" hidden="1">AB!$B$2:$P$75</definedName>
    <definedName name="Z_93E81051_1F05_45AD_83CD_DAFA9258812A_.wvu.PrintArea" localSheetId="59" hidden="1">Begr!$B$2:$P$75</definedName>
    <definedName name="Z_93E81051_1F05_45AD_83CD_DAFA9258812A_.wvu.PrintArea" localSheetId="84" hidden="1">Begrün.!$B$2:$P$71</definedName>
    <definedName name="Z_93E81051_1F05_45AD_83CD_DAFA9258812A_.wvu.PrintArea" localSheetId="38" hidden="1">BG!$B$2:$P$75</definedName>
    <definedName name="Z_93E81051_1F05_45AD_83CD_DAFA9258812A_.wvu.PrintArea" localSheetId="83" hidden="1">Blühm.!$B$2:$P$71</definedName>
    <definedName name="Z_93E81051_1F05_45AD_83CD_DAFA9258812A_.wvu.PrintArea" localSheetId="29" hidden="1">Daten!$B$2:$CR$61</definedName>
    <definedName name="Z_93E81051_1F05_45AD_83CD_DAFA9258812A_.wvu.PrintArea" localSheetId="35" hidden="1">Di!$B$2:$P$75</definedName>
    <definedName name="Z_93E81051_1F05_45AD_83CD_DAFA9258812A_.wvu.PrintArea" localSheetId="41" hidden="1">Du!$B$2:$P$75</definedName>
    <definedName name="Z_93E81051_1F05_45AD_83CD_DAFA9258812A_.wvu.PrintArea" localSheetId="2" hidden="1">'E1'!$C$2:$K$43</definedName>
    <definedName name="Z_93E81051_1F05_45AD_83CD_DAFA9258812A_.wvu.PrintArea" localSheetId="3" hidden="1">'E2'!$B$2:$L$41</definedName>
    <definedName name="Z_93E81051_1F05_45AD_83CD_DAFA9258812A_.wvu.PrintArea" localSheetId="4" hidden="1">'EK1'!$B$2:$J$24</definedName>
    <definedName name="Z_93E81051_1F05_45AD_83CD_DAFA9258812A_.wvu.PrintArea" localSheetId="5" hidden="1">'EK2'!$B$2:$J$24</definedName>
    <definedName name="Z_93E81051_1F05_45AD_83CD_DAFA9258812A_.wvu.PrintArea" localSheetId="6" hidden="1">EÖ1!$B$3:$S$23</definedName>
    <definedName name="Z_93E81051_1F05_45AD_83CD_DAFA9258812A_.wvu.PrintArea" localSheetId="7" hidden="1">EÖ2!$B$3:$L$23</definedName>
    <definedName name="Z_93E81051_1F05_45AD_83CD_DAFA9258812A_.wvu.PrintArea" localSheetId="58" hidden="1">'FAKT-Brachebegrünung'!$B$2:$P$75</definedName>
    <definedName name="Z_93E81051_1F05_45AD_83CD_DAFA9258812A_.wvu.PrintArea" localSheetId="47" hidden="1">FE!$B$2:$P$75</definedName>
    <definedName name="Z_93E81051_1F05_45AD_83CD_DAFA9258812A_.wvu.PrintArea" localSheetId="51" hidden="1">FrühKa!$B$2:$P$75</definedName>
    <definedName name="Z_93E81051_1F05_45AD_83CD_DAFA9258812A_.wvu.PrintArea" localSheetId="52" hidden="1">FrühKaFolieBer!$B$2:$P$75</definedName>
    <definedName name="Z_93E81051_1F05_45AD_83CD_DAFA9258812A_.wvu.PrintArea" localSheetId="61" hidden="1">'Grafik1-DB'!$B$2:$L$79</definedName>
    <definedName name="Z_93E81051_1F05_45AD_83CD_DAFA9258812A_.wvu.PrintArea" localSheetId="39" hidden="1">Ha!$B$2:$P$75</definedName>
    <definedName name="Z_93E81051_1F05_45AD_83CD_DAFA9258812A_.wvu.PrintArea" localSheetId="1" hidden="1">Hinw!$B$1:$P$65</definedName>
    <definedName name="Z_93E81051_1F05_45AD_83CD_DAFA9258812A_.wvu.PrintArea" localSheetId="0" hidden="1">Inhalt!$B$2:$F$90</definedName>
    <definedName name="Z_93E81051_1F05_45AD_83CD_DAFA9258812A_.wvu.PrintArea" localSheetId="42" hidden="1">KH!$B$2:$P$75</definedName>
    <definedName name="Z_93E81051_1F05_45AD_83CD_DAFA9258812A_.wvu.PrintArea" localSheetId="40" hidden="1">KöM!$B$2:$P$75</definedName>
    <definedName name="Z_93E81051_1F05_45AD_83CD_DAFA9258812A_.wvu.PrintArea" localSheetId="28" hidden="1">Kostenrechnung!$B$2:$N$78</definedName>
    <definedName name="Z_93E81051_1F05_45AD_83CD_DAFA9258812A_.wvu.PrintArea" localSheetId="60" hidden="1">'Kultur A'!$B$2:$P$75</definedName>
    <definedName name="Z_93E81051_1F05_45AD_83CD_DAFA9258812A_.wvu.PrintArea" localSheetId="80" hidden="1">Linsen!$B$2:$P$76</definedName>
    <definedName name="Z_93E81051_1F05_45AD_83CD_DAFA9258812A_.wvu.PrintArea" localSheetId="49" hidden="1">Lu!$B$2:$P$75</definedName>
    <definedName name="Z_93E81051_1F05_45AD_83CD_DAFA9258812A_.wvu.PrintArea" localSheetId="75" hidden="1">'Öko-Ackerbohnen'!$B$2:$P$71</definedName>
    <definedName name="Z_93E81051_1F05_45AD_83CD_DAFA9258812A_.wvu.PrintArea" localSheetId="73" hidden="1">'Öko-Braugerste'!$B$2:$P$71</definedName>
    <definedName name="Z_93E81051_1F05_45AD_83CD_DAFA9258812A_.wvu.PrintArea" localSheetId="68" hidden="1">'Öko-Dinkel'!$B$2:$P$71</definedName>
    <definedName name="Z_93E81051_1F05_45AD_83CD_DAFA9258812A_.wvu.PrintArea" localSheetId="69" hidden="1">'Öko-Dinkel,gegerbt'!$B$2:$P$71</definedName>
    <definedName name="Z_93E81051_1F05_45AD_83CD_DAFA9258812A_.wvu.PrintArea" localSheetId="76" hidden="1">'Öko-Erbsen'!$B$2:$P$71</definedName>
    <definedName name="Z_93E81051_1F05_45AD_83CD_DAFA9258812A_.wvu.PrintArea" localSheetId="71" hidden="1">'Öko-Hafer'!$B$2:$P$71</definedName>
    <definedName name="Z_93E81051_1F05_45AD_83CD_DAFA9258812A_.wvu.PrintArea" localSheetId="79" hidden="1">'Öko-Kartoffel'!$B$2:$P$71</definedName>
    <definedName name="Z_93E81051_1F05_45AD_83CD_DAFA9258812A_.wvu.PrintArea" localSheetId="62" hidden="1">'Öko-KG1'!$B$2:$P$72</definedName>
    <definedName name="Z_93E81051_1F05_45AD_83CD_DAFA9258812A_.wvu.PrintArea" localSheetId="63" hidden="1">'Öko-KG2'!$B$2:$P$71</definedName>
    <definedName name="Z_93E81051_1F05_45AD_83CD_DAFA9258812A_.wvu.PrintArea" localSheetId="74" hidden="1">'Öko-Körnermais'!$B$2:$P$71</definedName>
    <definedName name="Z_93E81051_1F05_45AD_83CD_DAFA9258812A_.wvu.PrintArea" localSheetId="64" hidden="1">'Öko-LU1'!$B$2:$P$71</definedName>
    <definedName name="Z_93E81051_1F05_45AD_83CD_DAFA9258812A_.wvu.PrintArea" localSheetId="65" hidden="1">'Öko-LU2'!$B$2:$P$71</definedName>
    <definedName name="Z_93E81051_1F05_45AD_83CD_DAFA9258812A_.wvu.PrintArea" localSheetId="81" hidden="1">'Öko-Raps'!$B$2:$P$71</definedName>
    <definedName name="Z_93E81051_1F05_45AD_83CD_DAFA9258812A_.wvu.PrintArea" localSheetId="70" hidden="1">'Öko-Roggen'!$B$2:$P$71</definedName>
    <definedName name="Z_93E81051_1F05_45AD_83CD_DAFA9258812A_.wvu.PrintArea" localSheetId="78" hidden="1">'Öko-Soblu'!$B$2:$P$71</definedName>
    <definedName name="Z_93E81051_1F05_45AD_83CD_DAFA9258812A_.wvu.PrintArea" localSheetId="77" hidden="1">'Öko-Sojabohnen'!$B$2:$P$71</definedName>
    <definedName name="Z_93E81051_1F05_45AD_83CD_DAFA9258812A_.wvu.PrintArea" localSheetId="72" hidden="1">'Öko-Wintergerste'!$B$2:$P$71</definedName>
    <definedName name="Z_93E81051_1F05_45AD_83CD_DAFA9258812A_.wvu.PrintArea" localSheetId="66" hidden="1">'Öko-WW-Brot'!$B$2:$P$71</definedName>
    <definedName name="Z_93E81051_1F05_45AD_83CD_DAFA9258812A_.wvu.PrintArea" localSheetId="67" hidden="1">'Öko-WW-Futter'!$B$2:$P$72</definedName>
    <definedName name="Z_93E81051_1F05_45AD_83CD_DAFA9258812A_.wvu.PrintArea" localSheetId="46" hidden="1">Öl!$B$2:$P$75</definedName>
    <definedName name="Z_93E81051_1F05_45AD_83CD_DAFA9258812A_.wvu.PrintArea" localSheetId="13" hidden="1">Preiskalkulation_Biomasse!$A$1:$U$111</definedName>
    <definedName name="Z_93E81051_1F05_45AD_83CD_DAFA9258812A_.wvu.PrintArea" localSheetId="16" hidden="1">'SD2'!$A$1:$N$93</definedName>
    <definedName name="Z_93E81051_1F05_45AD_83CD_DAFA9258812A_.wvu.PrintArea" localSheetId="23" hidden="1">'SD6'!$B$2:$N$87</definedName>
    <definedName name="Z_93E81051_1F05_45AD_83CD_DAFA9258812A_.wvu.PrintArea" localSheetId="26" hidden="1">'SD8'!$B$2:$I$60</definedName>
    <definedName name="Z_93E81051_1F05_45AD_83CD_DAFA9258812A_.wvu.PrintArea" localSheetId="8" hidden="1">'SDK1'!$B$2:$O$65</definedName>
    <definedName name="Z_93E81051_1F05_45AD_83CD_DAFA9258812A_.wvu.PrintArea" localSheetId="17" hidden="1">'SDK3'!$B$5:$O$86,'SDK3'!$B$88:$O$110</definedName>
    <definedName name="Z_93E81051_1F05_45AD_83CD_DAFA9258812A_.wvu.PrintArea" localSheetId="19" hidden="1">'SDK4'!$B$2:$N$54</definedName>
    <definedName name="Z_93E81051_1F05_45AD_83CD_DAFA9258812A_.wvu.PrintArea" localSheetId="21" hidden="1">'SDK5'!$B$2:$E$86</definedName>
    <definedName name="Z_93E81051_1F05_45AD_83CD_DAFA9258812A_.wvu.PrintArea" localSheetId="25" hidden="1">'SDK7'!$C$2:$O$248</definedName>
    <definedName name="Z_93E81051_1F05_45AD_83CD_DAFA9258812A_.wvu.PrintArea" localSheetId="15" hidden="1">SDÖ1!$B$2:$K$80</definedName>
    <definedName name="Z_93E81051_1F05_45AD_83CD_DAFA9258812A_.wvu.PrintArea" localSheetId="18" hidden="1">SDÖ3!$B$4:$N$94,SDÖ3!$B$136:$N$166</definedName>
    <definedName name="Z_93E81051_1F05_45AD_83CD_DAFA9258812A_.wvu.PrintArea" localSheetId="20" hidden="1">SDÖ4!$B$2:$O$58</definedName>
    <definedName name="Z_93E81051_1F05_45AD_83CD_DAFA9258812A_.wvu.PrintArea" localSheetId="22" hidden="1">SDÖ5!$B$2:$E$16</definedName>
    <definedName name="Z_93E81051_1F05_45AD_83CD_DAFA9258812A_.wvu.PrintArea" localSheetId="24" hidden="1">SDÖ7!$C$2:$O$196</definedName>
    <definedName name="Z_93E81051_1F05_45AD_83CD_DAFA9258812A_.wvu.PrintArea" localSheetId="37" hidden="1">'SG-Fu'!$B$2:$P$75</definedName>
    <definedName name="Z_93E81051_1F05_45AD_83CD_DAFA9258812A_.wvu.PrintArea" localSheetId="57" hidden="1">SoBl!$B$2:$P$75</definedName>
    <definedName name="Z_93E81051_1F05_45AD_83CD_DAFA9258812A_.wvu.PrintArea" localSheetId="45" hidden="1">Soja!$B$2:$P$75</definedName>
    <definedName name="Z_93E81051_1F05_45AD_83CD_DAFA9258812A_.wvu.PrintArea" localSheetId="53" hidden="1">SpKa!$B$2:$P$75</definedName>
    <definedName name="Z_93E81051_1F05_45AD_83CD_DAFA9258812A_.wvu.PrintArea" localSheetId="54" hidden="1">SpKaBer!$B$2:$P$75</definedName>
    <definedName name="Z_93E81051_1F05_45AD_83CD_DAFA9258812A_.wvu.PrintArea" localSheetId="44" hidden="1">SR!$B$2:$P$75</definedName>
    <definedName name="Z_93E81051_1F05_45AD_83CD_DAFA9258812A_.wvu.PrintArea" localSheetId="36" hidden="1">SW!$B$2:$P$75</definedName>
    <definedName name="Z_93E81051_1F05_45AD_83CD_DAFA9258812A_.wvu.PrintArea" localSheetId="82" hidden="1">'TE1'!$B$2:$P$71</definedName>
    <definedName name="Z_93E81051_1F05_45AD_83CD_DAFA9258812A_.wvu.PrintArea" localSheetId="85" hidden="1">'TE5'!$B$2:$P$76</definedName>
    <definedName name="Z_93E81051_1F05_45AD_83CD_DAFA9258812A_.wvu.PrintArea" localSheetId="86" hidden="1">'TE6'!$B$2:$P$76</definedName>
    <definedName name="Z_93E81051_1F05_45AD_83CD_DAFA9258812A_.wvu.PrintArea" localSheetId="87" hidden="1">'TE7'!$B$2:$P$76</definedName>
    <definedName name="Z_93E81051_1F05_45AD_83CD_DAFA9258812A_.wvu.PrintArea" localSheetId="88" hidden="1">'TE8'!$B$2:$P$76</definedName>
    <definedName name="Z_93E81051_1F05_45AD_83CD_DAFA9258812A_.wvu.PrintArea" localSheetId="89" hidden="1">'TE9'!$B$2:$P$76</definedName>
    <definedName name="Z_93E81051_1F05_45AD_83CD_DAFA9258812A_.wvu.PrintArea" localSheetId="33" hidden="1">Tr!$B$2:$P$75</definedName>
    <definedName name="Z_93E81051_1F05_45AD_83CD_DAFA9258812A_.wvu.PrintArea" localSheetId="34" hidden="1">WG!$B$2:$P$75</definedName>
    <definedName name="Z_93E81051_1F05_45AD_83CD_DAFA9258812A_.wvu.PrintArea" localSheetId="43" hidden="1">WR!$B$2:$P$75</definedName>
    <definedName name="Z_93E81051_1F05_45AD_83CD_DAFA9258812A_.wvu.PrintArea" localSheetId="32" hidden="1">WRo!$B$2:$P$75</definedName>
    <definedName name="Z_93E81051_1F05_45AD_83CD_DAFA9258812A_.wvu.PrintArea" localSheetId="30" hidden="1">'WW1'!$B$2:$P$76</definedName>
    <definedName name="Z_93E81051_1F05_45AD_83CD_DAFA9258812A_.wvu.PrintArea" localSheetId="31" hidden="1">'WW2'!$B$2:$P$75</definedName>
    <definedName name="Z_93E81051_1F05_45AD_83CD_DAFA9258812A_.wvu.PrintArea" localSheetId="55" hidden="1">'WW3'!$B$2:$P$75</definedName>
    <definedName name="Z_93E81051_1F05_45AD_83CD_DAFA9258812A_.wvu.PrintArea" localSheetId="56" hidden="1">'WW4'!$B$2:$P$75</definedName>
    <definedName name="Z_93E81051_1F05_45AD_83CD_DAFA9258812A_.wvu.PrintArea" localSheetId="50" hidden="1">ZR!$B$2:$P$75</definedName>
    <definedName name="Z_93E81051_1F05_45AD_83CD_DAFA9258812A_.wvu.PrintTitles" localSheetId="29" hidden="1">Daten!$B:$C,Daten!$2:$4</definedName>
    <definedName name="Z_93E81051_1F05_45AD_83CD_DAFA9258812A_.wvu.PrintTitles" localSheetId="28" hidden="1">Kostenrechnung!$1:$11</definedName>
    <definedName name="Z_93E81051_1F05_45AD_83CD_DAFA9258812A_.wvu.PrintTitles" localSheetId="13" hidden="1">Preiskalkulation_Biomasse!$1:$22</definedName>
    <definedName name="Z_93E81051_1F05_45AD_83CD_DAFA9258812A_.wvu.PrintTitles" localSheetId="16" hidden="1">'SD2'!$2:$3</definedName>
    <definedName name="Z_93E81051_1F05_45AD_83CD_DAFA9258812A_.wvu.PrintTitles" localSheetId="23" hidden="1">'SD6'!$2:$7</definedName>
    <definedName name="Z_93E81051_1F05_45AD_83CD_DAFA9258812A_.wvu.PrintTitles" localSheetId="17" hidden="1">'SDK3'!$2:$4</definedName>
    <definedName name="Z_93E81051_1F05_45AD_83CD_DAFA9258812A_.wvu.PrintTitles" localSheetId="25" hidden="1">'SDK7'!$2:$2</definedName>
    <definedName name="Z_93E81051_1F05_45AD_83CD_DAFA9258812A_.wvu.PrintTitles" localSheetId="18" hidden="1">SDÖ3!$2:$3</definedName>
    <definedName name="Z_93E81051_1F05_45AD_83CD_DAFA9258812A_.wvu.PrintTitles" localSheetId="24" hidden="1">SDÖ7!$2:$2</definedName>
    <definedName name="Z_93E81051_1F05_45AD_83CD_DAFA9258812A_.wvu.Rows" localSheetId="48" hidden="1">AB!#REF!,AB!$78:$161</definedName>
    <definedName name="Z_93E81051_1F05_45AD_83CD_DAFA9258812A_.wvu.Rows" localSheetId="59" hidden="1">Begr!#REF!,Begr!$78:$149</definedName>
    <definedName name="Z_93E81051_1F05_45AD_83CD_DAFA9258812A_.wvu.Rows" localSheetId="84" hidden="1">Begrün.!#REF!,Begrün.!$80:$151</definedName>
    <definedName name="Z_93E81051_1F05_45AD_83CD_DAFA9258812A_.wvu.Rows" localSheetId="38" hidden="1">BG!#REF!,BG!$78:$157</definedName>
    <definedName name="Z_93E81051_1F05_45AD_83CD_DAFA9258812A_.wvu.Rows" localSheetId="83" hidden="1">Blühm.!#REF!</definedName>
    <definedName name="Z_93E81051_1F05_45AD_83CD_DAFA9258812A_.wvu.Rows" localSheetId="35" hidden="1">Di!#REF!,Di!$78:$158</definedName>
    <definedName name="Z_93E81051_1F05_45AD_83CD_DAFA9258812A_.wvu.Rows" localSheetId="41" hidden="1">Du!#REF!,Du!$78:$158</definedName>
    <definedName name="Z_93E81051_1F05_45AD_83CD_DAFA9258812A_.wvu.Rows" localSheetId="4" hidden="1">'EK1'!$23:$24</definedName>
    <definedName name="Z_93E81051_1F05_45AD_83CD_DAFA9258812A_.wvu.Rows" localSheetId="5" hidden="1">'EK2'!$23:$24</definedName>
    <definedName name="Z_93E81051_1F05_45AD_83CD_DAFA9258812A_.wvu.Rows" localSheetId="6" hidden="1">EÖ1!#REF!</definedName>
    <definedName name="Z_93E81051_1F05_45AD_83CD_DAFA9258812A_.wvu.Rows" localSheetId="7" hidden="1">EÖ2!#REF!</definedName>
    <definedName name="Z_93E81051_1F05_45AD_83CD_DAFA9258812A_.wvu.Rows" localSheetId="58" hidden="1">'FAKT-Brachebegrünung'!#REF!,'FAKT-Brachebegrünung'!$78:$149</definedName>
    <definedName name="Z_93E81051_1F05_45AD_83CD_DAFA9258812A_.wvu.Rows" localSheetId="47" hidden="1">FE!#REF!,FE!$78:$161</definedName>
    <definedName name="Z_93E81051_1F05_45AD_83CD_DAFA9258812A_.wvu.Rows" localSheetId="51" hidden="1">FrühKa!#REF!,FrühKa!$78:$159</definedName>
    <definedName name="Z_93E81051_1F05_45AD_83CD_DAFA9258812A_.wvu.Rows" localSheetId="52" hidden="1">FrühKaFolieBer!#REF!,FrühKaFolieBer!$78:$159</definedName>
    <definedName name="Z_93E81051_1F05_45AD_83CD_DAFA9258812A_.wvu.Rows" localSheetId="39" hidden="1">Ha!#REF!,Ha!$78:$157</definedName>
    <definedName name="Z_93E81051_1F05_45AD_83CD_DAFA9258812A_.wvu.Rows" localSheetId="1" hidden="1">Hinw!#REF!,Hinw!#REF!</definedName>
    <definedName name="Z_93E81051_1F05_45AD_83CD_DAFA9258812A_.wvu.Rows" localSheetId="0" hidden="1">Inhalt!$73:$81,Inhalt!$83:$83,Inhalt!$87:$87</definedName>
    <definedName name="Z_93E81051_1F05_45AD_83CD_DAFA9258812A_.wvu.Rows" localSheetId="42" hidden="1">KH!#REF!,KH!$78:$157</definedName>
    <definedName name="Z_93E81051_1F05_45AD_83CD_DAFA9258812A_.wvu.Rows" localSheetId="40" hidden="1">KöM!#REF!,KöM!$78:$157</definedName>
    <definedName name="Z_93E81051_1F05_45AD_83CD_DAFA9258812A_.wvu.Rows" localSheetId="28" hidden="1">Kostenrechnung!$60:$60,Kostenrechnung!$103:$106</definedName>
    <definedName name="Z_93E81051_1F05_45AD_83CD_DAFA9258812A_.wvu.Rows" localSheetId="60" hidden="1">'Kultur A'!#REF!</definedName>
    <definedName name="Z_93E81051_1F05_45AD_83CD_DAFA9258812A_.wvu.Rows" localSheetId="80" hidden="1">Linsen!#REF!,Linsen!$81:$160</definedName>
    <definedName name="Z_93E81051_1F05_45AD_83CD_DAFA9258812A_.wvu.Rows" localSheetId="49" hidden="1">Lu!#REF!,Lu!$78:$156</definedName>
    <definedName name="Z_93E81051_1F05_45AD_83CD_DAFA9258812A_.wvu.Rows" localSheetId="75" hidden="1">'Öko-Ackerbohnen'!#REF!,'Öko-Ackerbohnen'!$80:$163</definedName>
    <definedName name="Z_93E81051_1F05_45AD_83CD_DAFA9258812A_.wvu.Rows" localSheetId="73" hidden="1">'Öko-Braugerste'!#REF!,'Öko-Braugerste'!$80:$159</definedName>
    <definedName name="Z_93E81051_1F05_45AD_83CD_DAFA9258812A_.wvu.Rows" localSheetId="68" hidden="1">'Öko-Dinkel'!#REF!,'Öko-Dinkel'!$80:$160</definedName>
    <definedName name="Z_93E81051_1F05_45AD_83CD_DAFA9258812A_.wvu.Rows" localSheetId="69" hidden="1">'Öko-Dinkel,gegerbt'!#REF!,'Öko-Dinkel,gegerbt'!$80:$160</definedName>
    <definedName name="Z_93E81051_1F05_45AD_83CD_DAFA9258812A_.wvu.Rows" localSheetId="76" hidden="1">'Öko-Erbsen'!#REF!,'Öko-Erbsen'!$80:$163</definedName>
    <definedName name="Z_93E81051_1F05_45AD_83CD_DAFA9258812A_.wvu.Rows" localSheetId="71" hidden="1">'Öko-Hafer'!#REF!,'Öko-Hafer'!$80:$159</definedName>
    <definedName name="Z_93E81051_1F05_45AD_83CD_DAFA9258812A_.wvu.Rows" localSheetId="79" hidden="1">'Öko-Kartoffel'!#REF!,'Öko-Kartoffel'!$80:$161</definedName>
    <definedName name="Z_93E81051_1F05_45AD_83CD_DAFA9258812A_.wvu.Rows" localSheetId="62" hidden="1">'Öko-KG1'!#REF!,'Öko-KG1'!$80:$159</definedName>
    <definedName name="Z_93E81051_1F05_45AD_83CD_DAFA9258812A_.wvu.Rows" localSheetId="63" hidden="1">'Öko-KG2'!#REF!,'Öko-KG2'!$80:$159</definedName>
    <definedName name="Z_93E81051_1F05_45AD_83CD_DAFA9258812A_.wvu.Rows" localSheetId="74" hidden="1">'Öko-Körnermais'!#REF!,'Öko-Körnermais'!$80:$159</definedName>
    <definedName name="Z_93E81051_1F05_45AD_83CD_DAFA9258812A_.wvu.Rows" localSheetId="64" hidden="1">'Öko-LU1'!#REF!,'Öko-LU1'!$80:$159</definedName>
    <definedName name="Z_93E81051_1F05_45AD_83CD_DAFA9258812A_.wvu.Rows" localSheetId="65" hidden="1">'Öko-LU2'!#REF!,'Öko-LU2'!$80:$159</definedName>
    <definedName name="Z_93E81051_1F05_45AD_83CD_DAFA9258812A_.wvu.Rows" localSheetId="81" hidden="1">'Öko-Raps'!#REF!,'Öko-Raps'!$80:$158</definedName>
    <definedName name="Z_93E81051_1F05_45AD_83CD_DAFA9258812A_.wvu.Rows" localSheetId="70" hidden="1">'Öko-Roggen'!#REF!</definedName>
    <definedName name="Z_93E81051_1F05_45AD_83CD_DAFA9258812A_.wvu.Rows" localSheetId="78" hidden="1">'Öko-Soblu'!#REF!</definedName>
    <definedName name="Z_93E81051_1F05_45AD_83CD_DAFA9258812A_.wvu.Rows" localSheetId="77" hidden="1">'Öko-Sojabohnen'!#REF!,'Öko-Sojabohnen'!$80:$161</definedName>
    <definedName name="Z_93E81051_1F05_45AD_83CD_DAFA9258812A_.wvu.Rows" localSheetId="72" hidden="1">'Öko-Wintergerste'!#REF!</definedName>
    <definedName name="Z_93E81051_1F05_45AD_83CD_DAFA9258812A_.wvu.Rows" localSheetId="66" hidden="1">'Öko-WW-Brot'!#REF!</definedName>
    <definedName name="Z_93E81051_1F05_45AD_83CD_DAFA9258812A_.wvu.Rows" localSheetId="67" hidden="1">'Öko-WW-Futter'!#REF!</definedName>
    <definedName name="Z_93E81051_1F05_45AD_83CD_DAFA9258812A_.wvu.Rows" localSheetId="46" hidden="1">Öl!#REF!,Öl!$78:$163</definedName>
    <definedName name="Z_93E81051_1F05_45AD_83CD_DAFA9258812A_.wvu.Rows" localSheetId="16" hidden="1">'SD2'!$59:$59,'SD2'!#REF!,'SD2'!#REF!</definedName>
    <definedName name="Z_93E81051_1F05_45AD_83CD_DAFA9258812A_.wvu.Rows" localSheetId="25" hidden="1">'SDK7'!$249:$252</definedName>
    <definedName name="Z_93E81051_1F05_45AD_83CD_DAFA9258812A_.wvu.Rows" localSheetId="24" hidden="1">SDÖ7!$197:$200</definedName>
    <definedName name="Z_93E81051_1F05_45AD_83CD_DAFA9258812A_.wvu.Rows" localSheetId="37" hidden="1">'SG-Fu'!#REF!,'SG-Fu'!$78:$157</definedName>
    <definedName name="Z_93E81051_1F05_45AD_83CD_DAFA9258812A_.wvu.Rows" localSheetId="57" hidden="1">SoBl!#REF!,SoBl!$78:$157</definedName>
    <definedName name="Z_93E81051_1F05_45AD_83CD_DAFA9258812A_.wvu.Rows" localSheetId="45" hidden="1">Soja!#REF!,Soja!$78:$159</definedName>
    <definedName name="Z_93E81051_1F05_45AD_83CD_DAFA9258812A_.wvu.Rows" localSheetId="53" hidden="1">SpKa!#REF!,SpKa!$78:$159</definedName>
    <definedName name="Z_93E81051_1F05_45AD_83CD_DAFA9258812A_.wvu.Rows" localSheetId="54" hidden="1">SpKaBer!#REF!,SpKaBer!$78:$159</definedName>
    <definedName name="Z_93E81051_1F05_45AD_83CD_DAFA9258812A_.wvu.Rows" localSheetId="44" hidden="1">SR!#REF!,SR!$78:$157</definedName>
    <definedName name="Z_93E81051_1F05_45AD_83CD_DAFA9258812A_.wvu.Rows" localSheetId="36" hidden="1">SW!#REF!,SW!$78:$157</definedName>
    <definedName name="Z_93E81051_1F05_45AD_83CD_DAFA9258812A_.wvu.Rows" localSheetId="82" hidden="1">'TE1'!#REF!</definedName>
    <definedName name="Z_93E81051_1F05_45AD_83CD_DAFA9258812A_.wvu.Rows" localSheetId="85" hidden="1">'TE5'!#REF!,'TE5'!$81:$162</definedName>
    <definedName name="Z_93E81051_1F05_45AD_83CD_DAFA9258812A_.wvu.Rows" localSheetId="86" hidden="1">'TE6'!#REF!,'TE6'!$81:$162</definedName>
    <definedName name="Z_93E81051_1F05_45AD_83CD_DAFA9258812A_.wvu.Rows" localSheetId="87" hidden="1">'TE7'!#REF!,'TE7'!$81:$159</definedName>
    <definedName name="Z_93E81051_1F05_45AD_83CD_DAFA9258812A_.wvu.Rows" localSheetId="88" hidden="1">'TE8'!#REF!,'TE8'!$81:$159</definedName>
    <definedName name="Z_93E81051_1F05_45AD_83CD_DAFA9258812A_.wvu.Rows" localSheetId="89" hidden="1">'TE9'!#REF!,'TE9'!$81:$162</definedName>
    <definedName name="Z_93E81051_1F05_45AD_83CD_DAFA9258812A_.wvu.Rows" localSheetId="33" hidden="1">Tr!#REF!,Tr!$78:$157</definedName>
    <definedName name="Z_93E81051_1F05_45AD_83CD_DAFA9258812A_.wvu.Rows" localSheetId="34" hidden="1">WG!#REF!,WG!$78:$155</definedName>
    <definedName name="Z_93E81051_1F05_45AD_83CD_DAFA9258812A_.wvu.Rows" localSheetId="43" hidden="1">WR!#REF!,WR!$78:$164</definedName>
    <definedName name="Z_93E81051_1F05_45AD_83CD_DAFA9258812A_.wvu.Rows" localSheetId="32" hidden="1">WRo!#REF!</definedName>
    <definedName name="Z_93E81051_1F05_45AD_83CD_DAFA9258812A_.wvu.Rows" localSheetId="30" hidden="1">'WW1'!#REF!</definedName>
    <definedName name="Z_93E81051_1F05_45AD_83CD_DAFA9258812A_.wvu.Rows" localSheetId="31" hidden="1">'WW2'!#REF!</definedName>
    <definedName name="Z_93E81051_1F05_45AD_83CD_DAFA9258812A_.wvu.Rows" localSheetId="55" hidden="1">'WW3'!#REF!</definedName>
    <definedName name="Z_93E81051_1F05_45AD_83CD_DAFA9258812A_.wvu.Rows" localSheetId="56" hidden="1">'WW4'!#REF!</definedName>
    <definedName name="Z_93E81051_1F05_45AD_83CD_DAFA9258812A_.wvu.Rows" localSheetId="50" hidden="1">ZR!#REF!,ZR!$78:$164</definedName>
    <definedName name="Z_B67A0BFB_4603_4093_A911_42348CD38486_.wvu.Cols" localSheetId="2" hidden="1">'E1'!$F:$F,'E1'!$I:$I</definedName>
    <definedName name="Z_B67A0BFB_4603_4093_A911_42348CD38486_.wvu.Cols" localSheetId="0" hidden="1">Inhalt!$H:$I</definedName>
    <definedName name="Z_B67A0BFB_4603_4093_A911_42348CD38486_.wvu.Cols" localSheetId="13" hidden="1">Preiskalkulation_Biomasse!$AB:$AB</definedName>
    <definedName name="Z_B67A0BFB_4603_4093_A911_42348CD38486_.wvu.Cols" localSheetId="23" hidden="1">'SD6'!#REF!</definedName>
    <definedName name="Z_B67A0BFB_4603_4093_A911_42348CD38486_.wvu.Cols" localSheetId="21" hidden="1">'SDK5'!$P:$P</definedName>
    <definedName name="Z_B67A0BFB_4603_4093_A911_42348CD38486_.wvu.FilterData" localSheetId="2" hidden="1">'E1'!$B$12:$B$43</definedName>
    <definedName name="Z_B67A0BFB_4603_4093_A911_42348CD38486_.wvu.FilterData" localSheetId="21" hidden="1">'SDK5'!$B$4:$AC$85</definedName>
    <definedName name="Z_B67A0BFB_4603_4093_A911_42348CD38486_.wvu.PrintArea" localSheetId="48" hidden="1">AB!$B$2:$P$75</definedName>
    <definedName name="Z_B67A0BFB_4603_4093_A911_42348CD38486_.wvu.PrintArea" localSheetId="59" hidden="1">Begr!$B$2:$P$75</definedName>
    <definedName name="Z_B67A0BFB_4603_4093_A911_42348CD38486_.wvu.PrintArea" localSheetId="38" hidden="1">BG!$B$2:$P$75</definedName>
    <definedName name="Z_B67A0BFB_4603_4093_A911_42348CD38486_.wvu.PrintArea" localSheetId="29" hidden="1">Daten!$B$2:$CR$61</definedName>
    <definedName name="Z_B67A0BFB_4603_4093_A911_42348CD38486_.wvu.PrintArea" localSheetId="35" hidden="1">Di!$B$2:$P$75</definedName>
    <definedName name="Z_B67A0BFB_4603_4093_A911_42348CD38486_.wvu.PrintArea" localSheetId="41" hidden="1">Du!$B$2:$P$75</definedName>
    <definedName name="Z_B67A0BFB_4603_4093_A911_42348CD38486_.wvu.PrintArea" localSheetId="2" hidden="1">'E1'!$C$2:$K$43</definedName>
    <definedName name="Z_B67A0BFB_4603_4093_A911_42348CD38486_.wvu.PrintArea" localSheetId="3" hidden="1">'E2'!$B$2:$L$41</definedName>
    <definedName name="Z_B67A0BFB_4603_4093_A911_42348CD38486_.wvu.PrintArea" localSheetId="4" hidden="1">'EK1'!$B$2:$J$24</definedName>
    <definedName name="Z_B67A0BFB_4603_4093_A911_42348CD38486_.wvu.PrintArea" localSheetId="5" hidden="1">'EK2'!$B$2:$J$25</definedName>
    <definedName name="Z_B67A0BFB_4603_4093_A911_42348CD38486_.wvu.PrintArea" localSheetId="58" hidden="1">'FAKT-Brachebegrünung'!$B$2:$P$75</definedName>
    <definedName name="Z_B67A0BFB_4603_4093_A911_42348CD38486_.wvu.PrintArea" localSheetId="47" hidden="1">FE!$B$2:$P$75</definedName>
    <definedName name="Z_B67A0BFB_4603_4093_A911_42348CD38486_.wvu.PrintArea" localSheetId="51" hidden="1">FrühKa!$B$2:$P$75</definedName>
    <definedName name="Z_B67A0BFB_4603_4093_A911_42348CD38486_.wvu.PrintArea" localSheetId="52" hidden="1">FrühKaFolieBer!$B$2:$P$75</definedName>
    <definedName name="Z_B67A0BFB_4603_4093_A911_42348CD38486_.wvu.PrintArea" localSheetId="39" hidden="1">Ha!$B$2:$P$75</definedName>
    <definedName name="Z_B67A0BFB_4603_4093_A911_42348CD38486_.wvu.PrintArea" localSheetId="1" hidden="1">Hinw!$B$1:$Q$65</definedName>
    <definedName name="Z_B67A0BFB_4603_4093_A911_42348CD38486_.wvu.PrintArea" localSheetId="0" hidden="1">Inhalt!$B$2:$F$90</definedName>
    <definedName name="Z_B67A0BFB_4603_4093_A911_42348CD38486_.wvu.PrintArea" localSheetId="42" hidden="1">KH!$B$2:$P$75</definedName>
    <definedName name="Z_B67A0BFB_4603_4093_A911_42348CD38486_.wvu.PrintArea" localSheetId="40" hidden="1">KöM!$B$2:$P$75</definedName>
    <definedName name="Z_B67A0BFB_4603_4093_A911_42348CD38486_.wvu.PrintArea" localSheetId="28" hidden="1">Kostenrechnung!$B$2:$N$78,Kostenrechnung!$B$113:$N$137,Kostenrechnung!$B$139:$N$184</definedName>
    <definedName name="Z_B67A0BFB_4603_4093_A911_42348CD38486_.wvu.PrintArea" localSheetId="60" hidden="1">'Kultur A'!$B$2:$P$75</definedName>
    <definedName name="Z_B67A0BFB_4603_4093_A911_42348CD38486_.wvu.PrintArea" localSheetId="49" hidden="1">Lu!$B$2:$P$75</definedName>
    <definedName name="Z_B67A0BFB_4603_4093_A911_42348CD38486_.wvu.PrintArea" localSheetId="46" hidden="1">Öl!$B$2:$P$75</definedName>
    <definedName name="Z_B67A0BFB_4603_4093_A911_42348CD38486_.wvu.PrintArea" localSheetId="13" hidden="1">Preiskalkulation_Biomasse!$A$1:$U$111</definedName>
    <definedName name="Z_B67A0BFB_4603_4093_A911_42348CD38486_.wvu.PrintArea" localSheetId="16" hidden="1">'SD2'!$A$1:$N$80</definedName>
    <definedName name="Z_B67A0BFB_4603_4093_A911_42348CD38486_.wvu.PrintArea" localSheetId="23" hidden="1">'SD6'!$B$2:$N$87</definedName>
    <definedName name="Z_B67A0BFB_4603_4093_A911_42348CD38486_.wvu.PrintArea" localSheetId="26" hidden="1">'SD8'!$B$2:$I$60</definedName>
    <definedName name="Z_B67A0BFB_4603_4093_A911_42348CD38486_.wvu.PrintArea" localSheetId="8" hidden="1">'SDK1'!$B$2:$O$65</definedName>
    <definedName name="Z_B67A0BFB_4603_4093_A911_42348CD38486_.wvu.PrintArea" localSheetId="17" hidden="1">'SDK3'!$B$5:$O$86,'SDK3'!$B$88:$O$110</definedName>
    <definedName name="Z_B67A0BFB_4603_4093_A911_42348CD38486_.wvu.PrintArea" localSheetId="19" hidden="1">'SDK4'!$B$2:$N$55</definedName>
    <definedName name="Z_B67A0BFB_4603_4093_A911_42348CD38486_.wvu.PrintArea" localSheetId="21" hidden="1">'SDK5'!$AP$2:$BC$55</definedName>
    <definedName name="Z_B67A0BFB_4603_4093_A911_42348CD38486_.wvu.PrintArea" localSheetId="25" hidden="1">'SDK7'!$C$2:$O$189</definedName>
    <definedName name="Z_B67A0BFB_4603_4093_A911_42348CD38486_.wvu.PrintArea" localSheetId="37" hidden="1">'SG-Fu'!$B$2:$P$75</definedName>
    <definedName name="Z_B67A0BFB_4603_4093_A911_42348CD38486_.wvu.PrintArea" localSheetId="57" hidden="1">SoBl!$B$2:$P$75</definedName>
    <definedName name="Z_B67A0BFB_4603_4093_A911_42348CD38486_.wvu.PrintArea" localSheetId="45" hidden="1">Soja!$B$2:$P$75</definedName>
    <definedName name="Z_B67A0BFB_4603_4093_A911_42348CD38486_.wvu.PrintArea" localSheetId="53" hidden="1">SpKa!$B$2:$P$75</definedName>
    <definedName name="Z_B67A0BFB_4603_4093_A911_42348CD38486_.wvu.PrintArea" localSheetId="54" hidden="1">SpKaBer!$B$2:$P$75</definedName>
    <definedName name="Z_B67A0BFB_4603_4093_A911_42348CD38486_.wvu.PrintArea" localSheetId="44" hidden="1">SR!$B$2:$P$75</definedName>
    <definedName name="Z_B67A0BFB_4603_4093_A911_42348CD38486_.wvu.PrintArea" localSheetId="36" hidden="1">SW!$B$2:$P$75</definedName>
    <definedName name="Z_B67A0BFB_4603_4093_A911_42348CD38486_.wvu.PrintArea" localSheetId="33" hidden="1">Tr!$B$2:$P$75</definedName>
    <definedName name="Z_B67A0BFB_4603_4093_A911_42348CD38486_.wvu.PrintArea" localSheetId="34" hidden="1">WG!$B$2:$P$75</definedName>
    <definedName name="Z_B67A0BFB_4603_4093_A911_42348CD38486_.wvu.PrintArea" localSheetId="43" hidden="1">WR!$B$2:$P$75</definedName>
    <definedName name="Z_B67A0BFB_4603_4093_A911_42348CD38486_.wvu.PrintArea" localSheetId="32" hidden="1">WRo!$B$2:$P$75</definedName>
    <definedName name="Z_B67A0BFB_4603_4093_A911_42348CD38486_.wvu.PrintArea" localSheetId="30" hidden="1">'WW1'!$B$2:$P$76</definedName>
    <definedName name="Z_B67A0BFB_4603_4093_A911_42348CD38486_.wvu.PrintArea" localSheetId="31" hidden="1">'WW2'!$B$2:$P$75</definedName>
    <definedName name="Z_B67A0BFB_4603_4093_A911_42348CD38486_.wvu.PrintArea" localSheetId="55" hidden="1">'WW3'!$B$2:$P$75</definedName>
    <definedName name="Z_B67A0BFB_4603_4093_A911_42348CD38486_.wvu.PrintArea" localSheetId="56" hidden="1">'WW4'!$B$2:$P$75</definedName>
    <definedName name="Z_B67A0BFB_4603_4093_A911_42348CD38486_.wvu.PrintArea" localSheetId="50" hidden="1">ZR!$B$2:$P$75</definedName>
    <definedName name="Z_B67A0BFB_4603_4093_A911_42348CD38486_.wvu.PrintTitles" localSheetId="29" hidden="1">Daten!$B:$C,Daten!$2:$4</definedName>
    <definedName name="Z_B67A0BFB_4603_4093_A911_42348CD38486_.wvu.PrintTitles" localSheetId="13" hidden="1">Preiskalkulation_Biomasse!$1:$22</definedName>
    <definedName name="Z_B67A0BFB_4603_4093_A911_42348CD38486_.wvu.PrintTitles" localSheetId="16" hidden="1">'SD2'!$2:$3</definedName>
    <definedName name="Z_B67A0BFB_4603_4093_A911_42348CD38486_.wvu.PrintTitles" localSheetId="23" hidden="1">'SD6'!$2:$7</definedName>
    <definedName name="Z_B67A0BFB_4603_4093_A911_42348CD38486_.wvu.PrintTitles" localSheetId="17" hidden="1">'SDK3'!$2:$4</definedName>
    <definedName name="Z_B67A0BFB_4603_4093_A911_42348CD38486_.wvu.PrintTitles" localSheetId="25" hidden="1">'SDK7'!$2:$2</definedName>
    <definedName name="Z_B67A0BFB_4603_4093_A911_42348CD38486_.wvu.Rows" localSheetId="59" hidden="1">Begr!$11:$12</definedName>
    <definedName name="Z_B67A0BFB_4603_4093_A911_42348CD38486_.wvu.Rows" localSheetId="4" hidden="1">'EK1'!$23:$24</definedName>
    <definedName name="Z_B67A0BFB_4603_4093_A911_42348CD38486_.wvu.Rows" localSheetId="5" hidden="1">'EK2'!$23:$24</definedName>
    <definedName name="Z_B67A0BFB_4603_4093_A911_42348CD38486_.wvu.Rows" localSheetId="58" hidden="1">'FAKT-Brachebegrünung'!$11:$12</definedName>
    <definedName name="Z_B67A0BFB_4603_4093_A911_42348CD38486_.wvu.Rows" localSheetId="51" hidden="1">FrühKa!$11:$12</definedName>
    <definedName name="Z_B67A0BFB_4603_4093_A911_42348CD38486_.wvu.Rows" localSheetId="52" hidden="1">FrühKaFolieBer!$11:$12</definedName>
    <definedName name="Z_B67A0BFB_4603_4093_A911_42348CD38486_.wvu.Rows" localSheetId="0" hidden="1">Inhalt!$60:$60,Inhalt!$66:$67,Inhalt!$72:$83,Inhalt!$87:$87</definedName>
    <definedName name="Z_B67A0BFB_4603_4093_A911_42348CD38486_.wvu.Rows" localSheetId="40" hidden="1">KöM!$11:$12</definedName>
    <definedName name="Z_B67A0BFB_4603_4093_A911_42348CD38486_.wvu.Rows" localSheetId="28" hidden="1">Kostenrechnung!$33:$33,Kostenrechnung!$60:$60,Kostenrechnung!$91:$110</definedName>
    <definedName name="Z_B67A0BFB_4603_4093_A911_42348CD38486_.wvu.Rows" localSheetId="16" hidden="1">'SD2'!$89:$92</definedName>
    <definedName name="Z_B67A0BFB_4603_4093_A911_42348CD38486_.wvu.Rows" localSheetId="26" hidden="1">'SD8'!$37:$38,'SD8'!$57:$57</definedName>
    <definedName name="Z_B67A0BFB_4603_4093_A911_42348CD38486_.wvu.Rows" localSheetId="8" hidden="1">'SDK1'!$43:$44,'SDK1'!$62:$62</definedName>
    <definedName name="Z_B67A0BFB_4603_4093_A911_42348CD38486_.wvu.Rows" localSheetId="17" hidden="1">'SDK3'!$78:$86,'SDK3'!$100:$102</definedName>
    <definedName name="Z_B67A0BFB_4603_4093_A911_42348CD38486_.wvu.Rows" localSheetId="19" hidden="1">'SDK4'!$19:$32</definedName>
    <definedName name="Z_B67A0BFB_4603_4093_A911_42348CD38486_.wvu.Rows" localSheetId="21" hidden="1">'SDK5'!$94:$195</definedName>
    <definedName name="Z_B67A0BFB_4603_4093_A911_42348CD38486_.wvu.Rows" localSheetId="25" hidden="1">'SDK7'!$116:$174,'SDK7'!$245:$252</definedName>
    <definedName name="Z_B67A0BFB_4603_4093_A911_42348CD38486_.wvu.Rows" localSheetId="57" hidden="1">SoBl!$11:$12</definedName>
    <definedName name="Z_B67A0BFB_4603_4093_A911_42348CD38486_.wvu.Rows" localSheetId="53" hidden="1">SpKa!$11:$12</definedName>
    <definedName name="Z_B67A0BFB_4603_4093_A911_42348CD38486_.wvu.Rows" localSheetId="54" hidden="1">SpKaBer!$11:$12</definedName>
    <definedName name="Z_B67A0BFB_4603_4093_A911_42348CD38486_.wvu.Rows" localSheetId="30" hidden="1">'WW1'!#REF!</definedName>
    <definedName name="Z_B67A0BFB_4603_4093_A911_42348CD38486_.wvu.Rows" localSheetId="50" hidden="1">ZR!$11:$12</definedName>
  </definedNames>
  <calcPr calcId="162913"/>
</workbook>
</file>

<file path=xl/calcChain.xml><?xml version="1.0" encoding="utf-8"?>
<calcChain xmlns="http://schemas.openxmlformats.org/spreadsheetml/2006/main">
  <c r="N64" i="12" l="1"/>
  <c r="N60" i="12" l="1"/>
  <c r="N61" i="12"/>
  <c r="N62" i="12"/>
  <c r="N59" i="12"/>
  <c r="N56" i="60" l="1"/>
  <c r="N57" i="60"/>
  <c r="N58" i="60"/>
  <c r="N55" i="60"/>
  <c r="N53" i="12"/>
  <c r="N54" i="12"/>
  <c r="N55" i="12"/>
  <c r="N52" i="12"/>
  <c r="N43" i="60" l="1"/>
  <c r="N29" i="60" l="1"/>
  <c r="N51" i="60"/>
  <c r="N49" i="60"/>
  <c r="N48" i="60"/>
  <c r="N44" i="60"/>
  <c r="N41" i="60"/>
  <c r="N30" i="60"/>
  <c r="N28" i="60"/>
  <c r="N27" i="60"/>
  <c r="N26" i="60"/>
  <c r="N25" i="60"/>
  <c r="N24" i="60"/>
  <c r="N23" i="60"/>
  <c r="N22" i="60"/>
  <c r="N21" i="60"/>
  <c r="N20" i="60"/>
  <c r="N19" i="60"/>
  <c r="N18" i="60"/>
  <c r="N17" i="60"/>
  <c r="N16" i="60"/>
  <c r="N16" i="12"/>
  <c r="J16" i="62" l="1"/>
  <c r="J15" i="62"/>
  <c r="J14" i="62"/>
  <c r="J13" i="62"/>
  <c r="J12" i="62"/>
  <c r="J11" i="62"/>
  <c r="D24" i="62"/>
  <c r="P45" i="15" l="1"/>
  <c r="W4" i="21"/>
  <c r="AX4" i="21"/>
  <c r="BC4" i="21"/>
  <c r="R4" i="21"/>
  <c r="P50" i="15" l="1"/>
  <c r="F46" i="22" l="1"/>
  <c r="I46" i="22" s="1"/>
  <c r="AG103" i="16" l="1"/>
  <c r="AG102" i="16"/>
  <c r="AG101" i="16"/>
  <c r="AG100" i="16"/>
  <c r="AG99" i="16"/>
  <c r="AG98" i="16"/>
  <c r="AG97" i="16"/>
  <c r="AG96" i="16"/>
  <c r="AG95" i="16"/>
  <c r="AG94" i="16"/>
  <c r="AG93" i="16"/>
  <c r="AG92" i="16"/>
  <c r="AG91" i="16"/>
  <c r="AG90" i="16"/>
  <c r="AG89" i="16"/>
  <c r="AG88" i="16"/>
  <c r="AG87" i="16"/>
  <c r="AG86" i="16"/>
  <c r="AG85" i="16"/>
  <c r="AG84" i="16"/>
  <c r="AG83" i="16"/>
  <c r="AG82" i="16"/>
  <c r="AG81" i="16"/>
  <c r="AG80" i="16"/>
  <c r="AG79" i="16"/>
  <c r="AG78" i="16"/>
  <c r="AG77" i="16"/>
  <c r="AG76" i="16"/>
  <c r="AG75" i="16"/>
  <c r="AG74" i="16"/>
  <c r="AG73" i="16"/>
  <c r="AG72" i="16"/>
  <c r="AG71" i="16"/>
  <c r="AG70" i="16"/>
  <c r="AG69" i="16"/>
  <c r="AG68" i="16"/>
  <c r="AG67" i="16"/>
  <c r="AG66" i="16"/>
  <c r="AG65" i="16"/>
  <c r="AG64" i="16"/>
  <c r="AG63" i="16"/>
  <c r="AG62" i="16"/>
  <c r="AG61" i="16"/>
  <c r="AG60" i="16"/>
  <c r="AG59" i="16"/>
  <c r="AG58" i="16"/>
  <c r="AG57" i="16"/>
  <c r="AG56" i="16"/>
  <c r="AG55" i="16"/>
  <c r="AG54" i="16"/>
  <c r="AG53" i="16"/>
  <c r="AG52" i="16"/>
  <c r="AG51" i="16"/>
  <c r="AG50" i="16"/>
  <c r="AG49" i="16"/>
  <c r="AG48" i="16"/>
  <c r="AG47" i="16"/>
  <c r="AG46" i="16"/>
  <c r="AG45" i="16"/>
  <c r="AG44" i="16"/>
  <c r="AG43" i="16"/>
  <c r="AG42" i="16"/>
  <c r="AG41" i="16"/>
  <c r="AG40" i="16"/>
  <c r="AG39" i="16"/>
  <c r="AG38" i="16"/>
  <c r="AG37" i="16"/>
  <c r="AG36" i="16"/>
  <c r="AG35" i="16"/>
  <c r="AG34" i="16"/>
  <c r="AG33" i="16"/>
  <c r="AG32" i="16"/>
  <c r="AG31" i="16"/>
  <c r="AG30" i="16"/>
  <c r="AG29" i="16"/>
  <c r="AG28" i="16"/>
  <c r="AG27" i="16"/>
  <c r="AG26" i="16"/>
  <c r="AG25" i="16"/>
  <c r="AG24" i="16"/>
  <c r="AG23" i="16"/>
  <c r="AG22" i="16"/>
  <c r="AG21" i="16"/>
  <c r="AG20" i="16"/>
  <c r="AG19" i="16"/>
  <c r="AG18" i="16"/>
  <c r="AG17" i="16"/>
  <c r="AG16" i="16"/>
  <c r="AG15" i="16"/>
  <c r="AG14" i="16"/>
  <c r="AG13" i="16"/>
  <c r="AG12" i="16"/>
  <c r="AG11" i="16"/>
  <c r="AG10" i="16"/>
  <c r="AG9" i="16"/>
  <c r="AG8" i="16"/>
  <c r="AG7" i="16"/>
  <c r="AG6" i="16"/>
  <c r="B6" i="16"/>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AG5" i="16"/>
  <c r="FM10" i="21" l="1"/>
  <c r="FL10" i="21"/>
  <c r="FJ10" i="21"/>
  <c r="FI10" i="21"/>
  <c r="FH10" i="21"/>
  <c r="FG10" i="21"/>
  <c r="FF10" i="21"/>
  <c r="FE10" i="21"/>
  <c r="FD10" i="21"/>
  <c r="FC10" i="21"/>
  <c r="FB10" i="21"/>
  <c r="FA10" i="21"/>
  <c r="EZ10" i="21"/>
  <c r="EY10" i="21"/>
  <c r="EX10" i="21"/>
  <c r="EW10" i="21"/>
  <c r="EV10" i="21"/>
  <c r="EU10" i="21"/>
  <c r="ET10" i="21"/>
  <c r="ES10" i="21"/>
  <c r="ER10" i="21"/>
  <c r="DR2" i="21" l="1"/>
  <c r="EN2" i="21"/>
  <c r="EN1" i="21"/>
  <c r="AH3" i="21" l="1"/>
  <c r="AG4" i="21"/>
  <c r="BM4" i="21"/>
  <c r="N30" i="12" l="1"/>
  <c r="D106" i="14" l="1"/>
  <c r="D105" i="14"/>
  <c r="D104" i="14"/>
  <c r="K73" i="45"/>
  <c r="D99" i="14"/>
  <c r="D96" i="14"/>
  <c r="D94" i="14"/>
  <c r="D93" i="14"/>
  <c r="D67" i="14" l="1"/>
  <c r="D77" i="14"/>
  <c r="P48" i="15" l="1"/>
  <c r="P47" i="15"/>
  <c r="P46" i="15"/>
  <c r="Q42" i="15"/>
  <c r="Q45" i="15" l="1"/>
  <c r="Q50" i="15"/>
  <c r="D46" i="14"/>
  <c r="D42" i="14"/>
  <c r="D44" i="14" l="1"/>
  <c r="N42" i="14"/>
  <c r="N44" i="14"/>
  <c r="D43" i="14"/>
  <c r="D33" i="14" l="1"/>
  <c r="D32" i="14"/>
  <c r="N17" i="12" l="1"/>
  <c r="N22" i="12"/>
  <c r="N23" i="12"/>
  <c r="N24" i="12"/>
  <c r="N26" i="12"/>
  <c r="N27" i="12"/>
  <c r="N28" i="12"/>
  <c r="N29" i="12"/>
  <c r="N31" i="12"/>
  <c r="N32" i="12"/>
  <c r="N33" i="12"/>
  <c r="N34" i="12"/>
  <c r="N35" i="12"/>
  <c r="N36" i="12"/>
  <c r="N37" i="12"/>
  <c r="N38" i="12"/>
  <c r="N39" i="12"/>
  <c r="N40" i="12"/>
  <c r="N41" i="12"/>
  <c r="N42" i="12"/>
  <c r="N43" i="12"/>
  <c r="N44" i="12"/>
  <c r="N45" i="12"/>
  <c r="N46" i="12"/>
  <c r="N47" i="12"/>
  <c r="N48" i="12"/>
  <c r="CR63" i="21" l="1"/>
  <c r="CR64" i="21"/>
  <c r="BL64" i="21"/>
  <c r="BL63" i="21"/>
  <c r="AF63" i="21"/>
  <c r="BK63" i="21"/>
  <c r="CT64" i="21"/>
  <c r="BN64" i="21"/>
  <c r="AH64" i="21"/>
  <c r="I17" i="22" l="1"/>
  <c r="L17" i="22"/>
  <c r="O17" i="22"/>
  <c r="Q17" i="22"/>
  <c r="I34" i="19" l="1"/>
  <c r="I35" i="19"/>
  <c r="I36" i="19"/>
  <c r="I37" i="19"/>
  <c r="I33" i="19"/>
  <c r="J33" i="19"/>
  <c r="K33" i="19"/>
  <c r="H34" i="19"/>
  <c r="H35" i="19"/>
  <c r="H36" i="19"/>
  <c r="H37" i="19"/>
  <c r="H33" i="19"/>
  <c r="H32" i="19" l="1"/>
  <c r="H31" i="19"/>
  <c r="H30" i="19"/>
  <c r="H28" i="19"/>
  <c r="K28" i="19"/>
  <c r="J28" i="19"/>
  <c r="I28" i="19"/>
  <c r="D32" i="19"/>
  <c r="D31" i="19"/>
  <c r="D30" i="19"/>
  <c r="J30" i="19"/>
  <c r="K30" i="19"/>
  <c r="I30" i="19"/>
  <c r="D28" i="19"/>
  <c r="I29" i="19"/>
  <c r="J29" i="19"/>
  <c r="K29" i="19"/>
  <c r="H29" i="19"/>
  <c r="J27" i="19"/>
  <c r="K27" i="19"/>
  <c r="I27" i="19"/>
  <c r="H27" i="19"/>
  <c r="H16" i="19"/>
  <c r="I16" i="19"/>
  <c r="J16" i="19"/>
  <c r="K16" i="19"/>
  <c r="H17" i="19"/>
  <c r="I17" i="19"/>
  <c r="J17" i="19"/>
  <c r="K17" i="19"/>
  <c r="H18" i="19"/>
  <c r="I18" i="19"/>
  <c r="J18" i="19"/>
  <c r="K18" i="19"/>
  <c r="H19" i="19"/>
  <c r="I19" i="19"/>
  <c r="J19" i="19"/>
  <c r="K19" i="19"/>
  <c r="H20" i="19"/>
  <c r="I20" i="19"/>
  <c r="J20" i="19"/>
  <c r="K20" i="19"/>
  <c r="H21" i="19"/>
  <c r="I21" i="19"/>
  <c r="J21" i="19"/>
  <c r="K21" i="19"/>
  <c r="H22" i="19"/>
  <c r="I22" i="19"/>
  <c r="J22" i="19"/>
  <c r="K22" i="19"/>
  <c r="H23" i="19"/>
  <c r="I23" i="19"/>
  <c r="J23" i="19"/>
  <c r="K23" i="19"/>
  <c r="H24" i="19"/>
  <c r="I24" i="19"/>
  <c r="J24" i="19"/>
  <c r="K24" i="19"/>
  <c r="H25" i="19"/>
  <c r="I25" i="19"/>
  <c r="J25" i="19"/>
  <c r="K25" i="19"/>
  <c r="H26" i="19"/>
  <c r="I26" i="19"/>
  <c r="J26" i="19"/>
  <c r="K26" i="19"/>
  <c r="S41" i="19"/>
  <c r="K15" i="19" l="1"/>
  <c r="J15" i="19"/>
  <c r="I15" i="19"/>
  <c r="H15" i="19"/>
  <c r="H13" i="19"/>
  <c r="H12" i="19"/>
  <c r="I12" i="19"/>
  <c r="J12" i="19"/>
  <c r="K12" i="19"/>
  <c r="I13" i="19"/>
  <c r="J13" i="19"/>
  <c r="K13" i="19"/>
  <c r="I14" i="19"/>
  <c r="J14" i="19"/>
  <c r="K14" i="19"/>
  <c r="H14" i="19"/>
  <c r="J11" i="19"/>
  <c r="I11" i="19"/>
  <c r="H11" i="19"/>
  <c r="K11" i="19"/>
  <c r="I10" i="19"/>
  <c r="J10" i="19"/>
  <c r="K10" i="19"/>
  <c r="H10" i="19"/>
  <c r="F30" i="22" s="1"/>
  <c r="E30" i="22"/>
  <c r="H50" i="44" l="1"/>
  <c r="F36" i="38" l="1"/>
  <c r="B215"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C208" i="16"/>
  <c r="AG208" i="16" s="1"/>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C207" i="16"/>
  <c r="AG207" i="16" s="1"/>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C206" i="16"/>
  <c r="AG206" i="16" s="1"/>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C205"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C204" i="16"/>
  <c r="AG204" i="16" s="1"/>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C203" i="16"/>
  <c r="AG203" i="16" s="1"/>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C202" i="16"/>
  <c r="AG202" i="16" s="1"/>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C201"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C200" i="16"/>
  <c r="AG200" i="16" s="1"/>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C199" i="16"/>
  <c r="AG199" i="16" s="1"/>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C198" i="16"/>
  <c r="AG198" i="16" s="1"/>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C197" i="16"/>
  <c r="AG197" i="16" s="1"/>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C196" i="16"/>
  <c r="AG196" i="16" s="1"/>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C195" i="16"/>
  <c r="AG195" i="16" s="1"/>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C194" i="16"/>
  <c r="AG194" i="16" s="1"/>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C193" i="16"/>
  <c r="AG193" i="16" s="1"/>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C192" i="16"/>
  <c r="AG192" i="16" s="1"/>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C191" i="16"/>
  <c r="AG191" i="16" s="1"/>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C190" i="16"/>
  <c r="AG190" i="16" s="1"/>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C189" i="16"/>
  <c r="AG189" i="16" s="1"/>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C188" i="16"/>
  <c r="AG188" i="16" s="1"/>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C187" i="16"/>
  <c r="AG187" i="16" s="1"/>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C186"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C185"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C184" i="16"/>
  <c r="AG184" i="16" s="1"/>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C183" i="16"/>
  <c r="AG183" i="16" s="1"/>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C182" i="16"/>
  <c r="AG182" i="16" s="1"/>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C181"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C180" i="16"/>
  <c r="AG180" i="16" s="1"/>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C179" i="16"/>
  <c r="AG179" i="16" s="1"/>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C178" i="16"/>
  <c r="AG178" i="16" s="1"/>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C177" i="16"/>
  <c r="AG177" i="16" s="1"/>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C176" i="16"/>
  <c r="AG176" i="16" s="1"/>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C175" i="16"/>
  <c r="AG175" i="16" s="1"/>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C174" i="16"/>
  <c r="AG174" i="16" s="1"/>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C173" i="16"/>
  <c r="AG173" i="16" s="1"/>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C172" i="16"/>
  <c r="AG172" i="16" s="1"/>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C171" i="16"/>
  <c r="AG171" i="16" s="1"/>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C170"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C169"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C168" i="16"/>
  <c r="AG168" i="16" s="1"/>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C167" i="16"/>
  <c r="AG167" i="16" s="1"/>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C166" i="16"/>
  <c r="AG166" i="16" s="1"/>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C165"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C164" i="16"/>
  <c r="AG164" i="16" s="1"/>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C163" i="16"/>
  <c r="AG163" i="16" s="1"/>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C162" i="16"/>
  <c r="AG162" i="16" s="1"/>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C161" i="16"/>
  <c r="AG161" i="16" s="1"/>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C160" i="16"/>
  <c r="AG160" i="16" s="1"/>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C159" i="16"/>
  <c r="AG159" i="16" s="1"/>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C158" i="16"/>
  <c r="AG158" i="16" s="1"/>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C157" i="16"/>
  <c r="AG157" i="16" s="1"/>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C156" i="16"/>
  <c r="AG156" i="16" s="1"/>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C155" i="16"/>
  <c r="AG155" i="16" s="1"/>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C154"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C153"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C152" i="16"/>
  <c r="AG152" i="16" s="1"/>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C151" i="16"/>
  <c r="AG151" i="16" s="1"/>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C150" i="16"/>
  <c r="AG150" i="16" s="1"/>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C149"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C148" i="16"/>
  <c r="AG148" i="16" s="1"/>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C147" i="16"/>
  <c r="AG147" i="16" s="1"/>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C146" i="16"/>
  <c r="AG146" i="16" s="1"/>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C145" i="16"/>
  <c r="AG145" i="16" s="1"/>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C144" i="16"/>
  <c r="AG144" i="16" s="1"/>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C143" i="16"/>
  <c r="AG143" i="16" s="1"/>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C142" i="16"/>
  <c r="AG142" i="16" s="1"/>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C141" i="16"/>
  <c r="AG141" i="16" s="1"/>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C140" i="16"/>
  <c r="AG140" i="16" s="1"/>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C139" i="16"/>
  <c r="AG139" i="16" s="1"/>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C138"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C137"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C136" i="16"/>
  <c r="AG136" i="16" s="1"/>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C135" i="16"/>
  <c r="AG135" i="16" s="1"/>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C134" i="16"/>
  <c r="AG134" i="16" s="1"/>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C133"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C132" i="16"/>
  <c r="AG132" i="16" s="1"/>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C131" i="16"/>
  <c r="AG131" i="16" s="1"/>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C130" i="16"/>
  <c r="AG130" i="16" s="1"/>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C129" i="16"/>
  <c r="AG129" i="16" s="1"/>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C128" i="16"/>
  <c r="AG128" i="16" s="1"/>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C127" i="16"/>
  <c r="AG127" i="16" s="1"/>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C126"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C125" i="16"/>
  <c r="AG125" i="16" s="1"/>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C124" i="16"/>
  <c r="AG124" i="16" s="1"/>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C123" i="16"/>
  <c r="AG123" i="16" s="1"/>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C122"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C121"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C120" i="16"/>
  <c r="AG120" i="16" s="1"/>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C119" i="16"/>
  <c r="AG119" i="16" s="1"/>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C118" i="16"/>
  <c r="AG118" i="16" s="1"/>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C117"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C116" i="16"/>
  <c r="AG116" i="16" s="1"/>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C115" i="16"/>
  <c r="AG115" i="16" s="1"/>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C114" i="16"/>
  <c r="AG114" i="16" s="1"/>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C113" i="16"/>
  <c r="AG113" i="16" s="1"/>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C112" i="16"/>
  <c r="AG112" i="16" s="1"/>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C111" i="16"/>
  <c r="AG111" i="16" s="1"/>
  <c r="B111" i="16"/>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C110"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BC64" i="16"/>
  <c r="BB64" i="16"/>
  <c r="AZ64" i="16"/>
  <c r="AW64" i="16"/>
  <c r="AV64" i="16"/>
  <c r="AQ64" i="16"/>
  <c r="BC63" i="16"/>
  <c r="BB63" i="16"/>
  <c r="AZ63" i="16"/>
  <c r="AW63" i="16"/>
  <c r="AV63" i="16"/>
  <c r="AQ63" i="16"/>
  <c r="BC62" i="16"/>
  <c r="BB62" i="16"/>
  <c r="AZ62" i="16"/>
  <c r="AW62" i="16"/>
  <c r="AV62" i="16"/>
  <c r="AQ62" i="16"/>
  <c r="BC61" i="16"/>
  <c r="BB61" i="16"/>
  <c r="AZ61" i="16"/>
  <c r="AW61" i="16"/>
  <c r="AV61" i="16"/>
  <c r="AQ61" i="16"/>
  <c r="BC60" i="16"/>
  <c r="BB60" i="16"/>
  <c r="AZ60" i="16"/>
  <c r="AW60" i="16"/>
  <c r="AV60" i="16"/>
  <c r="AQ60" i="16"/>
  <c r="BC59" i="16"/>
  <c r="BB59" i="16"/>
  <c r="AZ59" i="16"/>
  <c r="AW59" i="16"/>
  <c r="AV59" i="16"/>
  <c r="AQ59" i="16"/>
  <c r="BC58" i="16"/>
  <c r="BB58" i="16"/>
  <c r="AZ58" i="16"/>
  <c r="AW58" i="16"/>
  <c r="AV58" i="16"/>
  <c r="AQ58" i="16"/>
  <c r="BC57" i="16"/>
  <c r="BB57" i="16"/>
  <c r="AZ57" i="16"/>
  <c r="AW57" i="16"/>
  <c r="AV57" i="16"/>
  <c r="AQ57" i="16"/>
  <c r="BC56" i="16"/>
  <c r="BB56" i="16"/>
  <c r="AZ56" i="16"/>
  <c r="AW56" i="16"/>
  <c r="AV56" i="16"/>
  <c r="AQ56" i="16"/>
  <c r="BC55" i="16"/>
  <c r="BB55" i="16"/>
  <c r="AZ55" i="16"/>
  <c r="AW55" i="16"/>
  <c r="AV55" i="16"/>
  <c r="AQ55" i="16"/>
  <c r="BC54" i="16"/>
  <c r="BB54" i="16"/>
  <c r="AZ54" i="16"/>
  <c r="AW54" i="16"/>
  <c r="AV54" i="16"/>
  <c r="AQ54" i="16"/>
  <c r="BC53" i="16"/>
  <c r="BB53" i="16"/>
  <c r="AZ53" i="16"/>
  <c r="AW53" i="16"/>
  <c r="AV53" i="16"/>
  <c r="AQ53" i="16"/>
  <c r="BC52" i="16"/>
  <c r="BB52" i="16"/>
  <c r="AZ52" i="16"/>
  <c r="AW52" i="16"/>
  <c r="AV52" i="16"/>
  <c r="AQ52" i="16"/>
  <c r="BC51" i="16"/>
  <c r="BB51" i="16"/>
  <c r="AZ51" i="16"/>
  <c r="AW51" i="16"/>
  <c r="AV51" i="16"/>
  <c r="AQ51" i="16"/>
  <c r="BC50" i="16"/>
  <c r="BB50" i="16"/>
  <c r="AZ50" i="16"/>
  <c r="AW50" i="16"/>
  <c r="AV50" i="16"/>
  <c r="AQ50" i="16"/>
  <c r="BC49" i="16"/>
  <c r="BB49" i="16"/>
  <c r="AZ49" i="16"/>
  <c r="AW49" i="16"/>
  <c r="AV49" i="16"/>
  <c r="AQ49" i="16"/>
  <c r="BC48" i="16"/>
  <c r="BB48" i="16"/>
  <c r="AZ48" i="16"/>
  <c r="AW48" i="16"/>
  <c r="AV48" i="16"/>
  <c r="AQ48" i="16"/>
  <c r="BC47" i="16"/>
  <c r="BB47" i="16"/>
  <c r="AZ47" i="16"/>
  <c r="AW47" i="16"/>
  <c r="AV47" i="16"/>
  <c r="AQ47" i="16"/>
  <c r="BC46" i="16"/>
  <c r="BB46" i="16"/>
  <c r="AZ46" i="16"/>
  <c r="AW46" i="16"/>
  <c r="AV46" i="16"/>
  <c r="AQ46" i="16"/>
  <c r="BC45" i="16"/>
  <c r="BB45" i="16"/>
  <c r="AZ45" i="16"/>
  <c r="AW45" i="16"/>
  <c r="AV45" i="16"/>
  <c r="AQ45" i="16"/>
  <c r="BC44" i="16"/>
  <c r="BB44" i="16"/>
  <c r="AZ44" i="16"/>
  <c r="AW44" i="16"/>
  <c r="AV44" i="16"/>
  <c r="AQ44" i="16"/>
  <c r="BC43" i="16"/>
  <c r="BB43" i="16"/>
  <c r="AZ43" i="16"/>
  <c r="AW43" i="16"/>
  <c r="AV43" i="16"/>
  <c r="AQ43" i="16"/>
  <c r="BC42" i="16"/>
  <c r="BB42" i="16"/>
  <c r="AZ42" i="16"/>
  <c r="AW42" i="16"/>
  <c r="AV42" i="16"/>
  <c r="AQ42" i="16"/>
  <c r="BC41" i="16"/>
  <c r="BB41" i="16"/>
  <c r="AZ41" i="16"/>
  <c r="AW41" i="16"/>
  <c r="AV41" i="16"/>
  <c r="AQ41" i="16"/>
  <c r="BC40" i="16"/>
  <c r="BB40" i="16"/>
  <c r="AZ40" i="16"/>
  <c r="AW40" i="16"/>
  <c r="AV40" i="16"/>
  <c r="AQ40" i="16"/>
  <c r="BC39" i="16"/>
  <c r="BB39" i="16"/>
  <c r="AZ39" i="16"/>
  <c r="AW39" i="16"/>
  <c r="AV39" i="16"/>
  <c r="AQ39" i="16"/>
  <c r="BC38" i="16"/>
  <c r="BB38" i="16"/>
  <c r="AZ38" i="16"/>
  <c r="AW38" i="16"/>
  <c r="AV38" i="16"/>
  <c r="AQ38" i="16"/>
  <c r="BC37" i="16"/>
  <c r="BB37" i="16"/>
  <c r="AZ37" i="16"/>
  <c r="AW37" i="16"/>
  <c r="AV37" i="16"/>
  <c r="AQ37" i="16"/>
  <c r="BC36" i="16"/>
  <c r="BB36" i="16"/>
  <c r="AZ36" i="16"/>
  <c r="AW36" i="16"/>
  <c r="AV36" i="16"/>
  <c r="AQ36" i="16"/>
  <c r="BC35" i="16"/>
  <c r="BB35" i="16"/>
  <c r="AZ35" i="16"/>
  <c r="AW35" i="16"/>
  <c r="AV35" i="16"/>
  <c r="AQ35" i="16"/>
  <c r="BC34" i="16"/>
  <c r="BB34" i="16"/>
  <c r="AZ34" i="16"/>
  <c r="AW34" i="16"/>
  <c r="AV34" i="16"/>
  <c r="AQ34" i="16"/>
  <c r="BC33" i="16"/>
  <c r="BB33" i="16"/>
  <c r="AZ33" i="16"/>
  <c r="AW33" i="16"/>
  <c r="AV33" i="16"/>
  <c r="AQ33" i="16"/>
  <c r="BC32" i="16"/>
  <c r="BB32" i="16"/>
  <c r="AZ32" i="16"/>
  <c r="AW32" i="16"/>
  <c r="AV32" i="16"/>
  <c r="AQ32" i="16"/>
  <c r="BC31" i="16"/>
  <c r="BB31" i="16"/>
  <c r="AZ31" i="16"/>
  <c r="AW31" i="16"/>
  <c r="AV31" i="16"/>
  <c r="AQ31" i="16"/>
  <c r="BC30" i="16"/>
  <c r="BB30" i="16"/>
  <c r="AZ30" i="16"/>
  <c r="AW30" i="16"/>
  <c r="AV30" i="16"/>
  <c r="AQ30" i="16"/>
  <c r="BC29" i="16"/>
  <c r="BB29" i="16"/>
  <c r="AZ29" i="16"/>
  <c r="AW29" i="16"/>
  <c r="AV29" i="16"/>
  <c r="AQ29" i="16"/>
  <c r="BC28" i="16"/>
  <c r="BB28" i="16"/>
  <c r="AZ28" i="16"/>
  <c r="AW28" i="16"/>
  <c r="AV28" i="16"/>
  <c r="AQ28" i="16"/>
  <c r="BC27" i="16"/>
  <c r="BB27" i="16"/>
  <c r="AZ27" i="16"/>
  <c r="AW27" i="16"/>
  <c r="AV27" i="16"/>
  <c r="AQ27" i="16"/>
  <c r="BC26" i="16"/>
  <c r="BB26" i="16"/>
  <c r="AZ26" i="16"/>
  <c r="AW26" i="16"/>
  <c r="AV26" i="16"/>
  <c r="AQ26" i="16"/>
  <c r="BC25" i="16"/>
  <c r="BB25" i="16"/>
  <c r="AZ25" i="16"/>
  <c r="AW25" i="16"/>
  <c r="AV25" i="16"/>
  <c r="AQ25" i="16"/>
  <c r="BC24" i="16"/>
  <c r="BB24" i="16"/>
  <c r="AZ24" i="16"/>
  <c r="AW24" i="16"/>
  <c r="AV24" i="16"/>
  <c r="AQ24" i="16"/>
  <c r="BC23" i="16"/>
  <c r="BB23" i="16"/>
  <c r="AZ23" i="16"/>
  <c r="AW23" i="16"/>
  <c r="AV23" i="16"/>
  <c r="AQ23" i="16"/>
  <c r="BC22" i="16"/>
  <c r="BB22" i="16"/>
  <c r="AZ22" i="16"/>
  <c r="AW22" i="16"/>
  <c r="AV22" i="16"/>
  <c r="AQ22" i="16"/>
  <c r="BC21" i="16"/>
  <c r="BB21" i="16"/>
  <c r="AZ21" i="16"/>
  <c r="AW21" i="16"/>
  <c r="AV21" i="16"/>
  <c r="AQ21" i="16"/>
  <c r="BC20" i="16"/>
  <c r="BB20" i="16"/>
  <c r="AZ20" i="16"/>
  <c r="AW20" i="16"/>
  <c r="AV20" i="16"/>
  <c r="AQ20" i="16"/>
  <c r="BC19" i="16"/>
  <c r="BB19" i="16"/>
  <c r="AZ19" i="16"/>
  <c r="AW19" i="16"/>
  <c r="AV19" i="16"/>
  <c r="AQ19" i="16"/>
  <c r="BC18" i="16"/>
  <c r="BB18" i="16"/>
  <c r="AZ18" i="16"/>
  <c r="AW18" i="16"/>
  <c r="AV18" i="16"/>
  <c r="AQ18" i="16"/>
  <c r="BC17" i="16"/>
  <c r="BB17" i="16"/>
  <c r="AZ17" i="16"/>
  <c r="AW17" i="16"/>
  <c r="AV17" i="16"/>
  <c r="AQ17" i="16"/>
  <c r="BC16" i="16"/>
  <c r="BB16" i="16"/>
  <c r="AZ16" i="16"/>
  <c r="AW16" i="16"/>
  <c r="AV16" i="16"/>
  <c r="AQ16" i="16"/>
  <c r="BC15" i="16"/>
  <c r="BB15" i="16"/>
  <c r="AZ15" i="16"/>
  <c r="AW15" i="16"/>
  <c r="AV15" i="16"/>
  <c r="AQ15" i="16"/>
  <c r="AP15" i="16"/>
  <c r="AP16" i="16"/>
  <c r="AP2" i="16"/>
  <c r="F36" i="37"/>
  <c r="O215" i="16" l="1"/>
  <c r="W215" i="16"/>
  <c r="AE215" i="16"/>
  <c r="S214" i="16"/>
  <c r="K214" i="16"/>
  <c r="AA214" i="16"/>
  <c r="AP18" i="16"/>
  <c r="AP17" i="16"/>
  <c r="T214" i="16"/>
  <c r="L214" i="16"/>
  <c r="AB214" i="16"/>
  <c r="M214" i="16"/>
  <c r="U214" i="16"/>
  <c r="AC214" i="16"/>
  <c r="F214" i="16"/>
  <c r="N214" i="16"/>
  <c r="V214" i="16"/>
  <c r="AD214" i="16"/>
  <c r="W214" i="16"/>
  <c r="AE214" i="16"/>
  <c r="P214" i="16"/>
  <c r="P215" i="16"/>
  <c r="O214" i="16"/>
  <c r="H214" i="16"/>
  <c r="H215" i="16"/>
  <c r="X214" i="16"/>
  <c r="X215" i="16"/>
  <c r="I214" i="16"/>
  <c r="Q214" i="16"/>
  <c r="Y214" i="16"/>
  <c r="AD215" i="16"/>
  <c r="G214" i="16"/>
  <c r="AF214" i="16"/>
  <c r="AF215" i="16"/>
  <c r="J214" i="16"/>
  <c r="R214" i="16"/>
  <c r="Z214" i="16"/>
  <c r="G215" i="16"/>
  <c r="I215" i="16"/>
  <c r="Q215" i="16"/>
  <c r="Y215" i="16"/>
  <c r="B216" i="16"/>
  <c r="J215" i="16"/>
  <c r="R215" i="16"/>
  <c r="Z215" i="16"/>
  <c r="K215" i="16"/>
  <c r="S215" i="16"/>
  <c r="AA215" i="16"/>
  <c r="L215" i="16"/>
  <c r="T215" i="16"/>
  <c r="AB215" i="16"/>
  <c r="M215" i="16"/>
  <c r="U215" i="16"/>
  <c r="AC215" i="16"/>
  <c r="F215" i="16"/>
  <c r="N215" i="16"/>
  <c r="V215" i="16"/>
  <c r="Z216" i="16" l="1"/>
  <c r="R216" i="16"/>
  <c r="J216" i="16"/>
  <c r="B217" i="16"/>
  <c r="Y216" i="16"/>
  <c r="Q216" i="16"/>
  <c r="I216" i="16"/>
  <c r="AF216" i="16"/>
  <c r="X216" i="16"/>
  <c r="P216" i="16"/>
  <c r="H216" i="16"/>
  <c r="AE216" i="16"/>
  <c r="W216" i="16"/>
  <c r="O216" i="16"/>
  <c r="G216" i="16"/>
  <c r="AD216" i="16"/>
  <c r="V216" i="16"/>
  <c r="N216" i="16"/>
  <c r="F216" i="16"/>
  <c r="AC216" i="16"/>
  <c r="U216" i="16"/>
  <c r="M216" i="16"/>
  <c r="AB216" i="16"/>
  <c r="T216" i="16"/>
  <c r="L216" i="16"/>
  <c r="AA216" i="16"/>
  <c r="S216" i="16"/>
  <c r="K216" i="16"/>
  <c r="AP19" i="16"/>
  <c r="AD217" i="16" l="1"/>
  <c r="V217" i="16"/>
  <c r="N217" i="16"/>
  <c r="F217" i="16"/>
  <c r="AC217" i="16"/>
  <c r="U217" i="16"/>
  <c r="M217" i="16"/>
  <c r="AB217" i="16"/>
  <c r="T217" i="16"/>
  <c r="L217" i="16"/>
  <c r="AA217" i="16"/>
  <c r="S217" i="16"/>
  <c r="K217" i="16"/>
  <c r="Z217" i="16"/>
  <c r="R217" i="16"/>
  <c r="J217" i="16"/>
  <c r="B218" i="16"/>
  <c r="Y217" i="16"/>
  <c r="Q217" i="16"/>
  <c r="I217" i="16"/>
  <c r="AF217" i="16"/>
  <c r="X217" i="16"/>
  <c r="P217" i="16"/>
  <c r="H217" i="16"/>
  <c r="O217" i="16"/>
  <c r="G217" i="16"/>
  <c r="AE217" i="16"/>
  <c r="W217" i="16"/>
  <c r="AP20" i="16"/>
  <c r="AP21" i="16" l="1"/>
  <c r="Z218" i="16"/>
  <c r="R218" i="16"/>
  <c r="J218" i="16"/>
  <c r="B219" i="16"/>
  <c r="Y218" i="16"/>
  <c r="Q218" i="16"/>
  <c r="I218" i="16"/>
  <c r="AF218" i="16"/>
  <c r="X218" i="16"/>
  <c r="P218" i="16"/>
  <c r="H218" i="16"/>
  <c r="AE218" i="16"/>
  <c r="W218" i="16"/>
  <c r="O218" i="16"/>
  <c r="G218" i="16"/>
  <c r="AD218" i="16"/>
  <c r="V218" i="16"/>
  <c r="N218" i="16"/>
  <c r="F218" i="16"/>
  <c r="AC218" i="16"/>
  <c r="U218" i="16"/>
  <c r="M218" i="16"/>
  <c r="AB218" i="16"/>
  <c r="T218" i="16"/>
  <c r="L218" i="16"/>
  <c r="AA218" i="16"/>
  <c r="S218" i="16"/>
  <c r="K218" i="16"/>
  <c r="AD219" i="16" l="1"/>
  <c r="V219" i="16"/>
  <c r="N219" i="16"/>
  <c r="F219" i="16"/>
  <c r="AC219" i="16"/>
  <c r="U219" i="16"/>
  <c r="M219" i="16"/>
  <c r="AB219" i="16"/>
  <c r="T219" i="16"/>
  <c r="L219" i="16"/>
  <c r="AA219" i="16"/>
  <c r="S219" i="16"/>
  <c r="K219" i="16"/>
  <c r="Z219" i="16"/>
  <c r="R219" i="16"/>
  <c r="J219" i="16"/>
  <c r="B220" i="16"/>
  <c r="Y219" i="16"/>
  <c r="Q219" i="16"/>
  <c r="I219" i="16"/>
  <c r="AF219" i="16"/>
  <c r="X219" i="16"/>
  <c r="P219" i="16"/>
  <c r="H219" i="16"/>
  <c r="W219" i="16"/>
  <c r="O219" i="16"/>
  <c r="G219" i="16"/>
  <c r="AE219" i="16"/>
  <c r="AP22" i="16"/>
  <c r="AP23" i="16" l="1"/>
  <c r="Z220" i="16"/>
  <c r="R220" i="16"/>
  <c r="J220" i="16"/>
  <c r="B221" i="16"/>
  <c r="Y220" i="16"/>
  <c r="Q220" i="16"/>
  <c r="I220" i="16"/>
  <c r="AF220" i="16"/>
  <c r="X220" i="16"/>
  <c r="P220" i="16"/>
  <c r="H220" i="16"/>
  <c r="AE220" i="16"/>
  <c r="W220" i="16"/>
  <c r="O220" i="16"/>
  <c r="G220" i="16"/>
  <c r="AD220" i="16"/>
  <c r="V220" i="16"/>
  <c r="N220" i="16"/>
  <c r="F220" i="16"/>
  <c r="AC220" i="16"/>
  <c r="U220" i="16"/>
  <c r="M220" i="16"/>
  <c r="AB220" i="16"/>
  <c r="T220" i="16"/>
  <c r="L220" i="16"/>
  <c r="AA220" i="16"/>
  <c r="S220" i="16"/>
  <c r="K220" i="16"/>
  <c r="AD221" i="16" l="1"/>
  <c r="V221" i="16"/>
  <c r="N221" i="16"/>
  <c r="F221" i="16"/>
  <c r="AC221" i="16"/>
  <c r="U221" i="16"/>
  <c r="M221" i="16"/>
  <c r="AB221" i="16"/>
  <c r="T221" i="16"/>
  <c r="L221" i="16"/>
  <c r="AA221" i="16"/>
  <c r="S221" i="16"/>
  <c r="K221" i="16"/>
  <c r="Z221" i="16"/>
  <c r="R221" i="16"/>
  <c r="J221" i="16"/>
  <c r="B222" i="16"/>
  <c r="Y221" i="16"/>
  <c r="Q221" i="16"/>
  <c r="I221" i="16"/>
  <c r="AF221" i="16"/>
  <c r="X221" i="16"/>
  <c r="P221" i="16"/>
  <c r="H221" i="16"/>
  <c r="AE221" i="16"/>
  <c r="W221" i="16"/>
  <c r="O221" i="16"/>
  <c r="G221" i="16"/>
  <c r="AP24" i="16"/>
  <c r="AP25" i="16" l="1"/>
  <c r="Z222" i="16"/>
  <c r="R222" i="16"/>
  <c r="J222" i="16"/>
  <c r="B223" i="16"/>
  <c r="Y222" i="16"/>
  <c r="Q222" i="16"/>
  <c r="I222" i="16"/>
  <c r="AF222" i="16"/>
  <c r="X222" i="16"/>
  <c r="P222" i="16"/>
  <c r="H222" i="16"/>
  <c r="AE222" i="16"/>
  <c r="W222" i="16"/>
  <c r="O222" i="16"/>
  <c r="G222" i="16"/>
  <c r="AD222" i="16"/>
  <c r="V222" i="16"/>
  <c r="N222" i="16"/>
  <c r="F222" i="16"/>
  <c r="AC222" i="16"/>
  <c r="U222" i="16"/>
  <c r="M222" i="16"/>
  <c r="AB222" i="16"/>
  <c r="T222" i="16"/>
  <c r="L222" i="16"/>
  <c r="AA222" i="16"/>
  <c r="K222" i="16"/>
  <c r="S222" i="16"/>
  <c r="AD223" i="16" l="1"/>
  <c r="V223" i="16"/>
  <c r="N223" i="16"/>
  <c r="F223" i="16"/>
  <c r="AC223" i="16"/>
  <c r="U223" i="16"/>
  <c r="M223" i="16"/>
  <c r="AB223" i="16"/>
  <c r="T223" i="16"/>
  <c r="L223" i="16"/>
  <c r="AA223" i="16"/>
  <c r="S223" i="16"/>
  <c r="K223" i="16"/>
  <c r="Z223" i="16"/>
  <c r="R223" i="16"/>
  <c r="J223" i="16"/>
  <c r="B224" i="16"/>
  <c r="Y223" i="16"/>
  <c r="Q223" i="16"/>
  <c r="I223" i="16"/>
  <c r="AF223" i="16"/>
  <c r="X223" i="16"/>
  <c r="P223" i="16"/>
  <c r="H223" i="16"/>
  <c r="AE223" i="16"/>
  <c r="W223" i="16"/>
  <c r="O223" i="16"/>
  <c r="G223" i="16"/>
  <c r="AP26" i="16"/>
  <c r="AP27" i="16" l="1"/>
  <c r="Z224" i="16"/>
  <c r="R224" i="16"/>
  <c r="J224" i="16"/>
  <c r="B225" i="16"/>
  <c r="Y224" i="16"/>
  <c r="Q224" i="16"/>
  <c r="I224" i="16"/>
  <c r="AF224" i="16"/>
  <c r="X224" i="16"/>
  <c r="P224" i="16"/>
  <c r="H224" i="16"/>
  <c r="AE224" i="16"/>
  <c r="W224" i="16"/>
  <c r="O224" i="16"/>
  <c r="G224" i="16"/>
  <c r="AD224" i="16"/>
  <c r="V224" i="16"/>
  <c r="N224" i="16"/>
  <c r="F224" i="16"/>
  <c r="AC224" i="16"/>
  <c r="U224" i="16"/>
  <c r="M224" i="16"/>
  <c r="AB224" i="16"/>
  <c r="T224" i="16"/>
  <c r="L224" i="16"/>
  <c r="K224" i="16"/>
  <c r="AA224" i="16"/>
  <c r="S224" i="16"/>
  <c r="AD225" i="16" l="1"/>
  <c r="V225" i="16"/>
  <c r="N225" i="16"/>
  <c r="F225" i="16"/>
  <c r="AC225" i="16"/>
  <c r="U225" i="16"/>
  <c r="M225" i="16"/>
  <c r="AB225" i="16"/>
  <c r="T225" i="16"/>
  <c r="L225" i="16"/>
  <c r="AA225" i="16"/>
  <c r="S225" i="16"/>
  <c r="K225" i="16"/>
  <c r="Z225" i="16"/>
  <c r="R225" i="16"/>
  <c r="J225" i="16"/>
  <c r="B226" i="16"/>
  <c r="Y225" i="16"/>
  <c r="Q225" i="16"/>
  <c r="I225" i="16"/>
  <c r="AF225" i="16"/>
  <c r="X225" i="16"/>
  <c r="P225" i="16"/>
  <c r="H225" i="16"/>
  <c r="AE225" i="16"/>
  <c r="W225" i="16"/>
  <c r="O225" i="16"/>
  <c r="G225" i="16"/>
  <c r="AP28" i="16"/>
  <c r="AP29" i="16" l="1"/>
  <c r="Z226" i="16"/>
  <c r="R226" i="16"/>
  <c r="J226" i="16"/>
  <c r="B227" i="16"/>
  <c r="Y226" i="16"/>
  <c r="Q226" i="16"/>
  <c r="I226" i="16"/>
  <c r="AF226" i="16"/>
  <c r="X226" i="16"/>
  <c r="P226" i="16"/>
  <c r="H226" i="16"/>
  <c r="AE226" i="16"/>
  <c r="W226" i="16"/>
  <c r="O226" i="16"/>
  <c r="G226" i="16"/>
  <c r="AD226" i="16"/>
  <c r="V226" i="16"/>
  <c r="N226" i="16"/>
  <c r="F226" i="16"/>
  <c r="AC226" i="16"/>
  <c r="U226" i="16"/>
  <c r="M226" i="16"/>
  <c r="AB226" i="16"/>
  <c r="T226" i="16"/>
  <c r="L226" i="16"/>
  <c r="S226" i="16"/>
  <c r="K226" i="16"/>
  <c r="AA226" i="16"/>
  <c r="AD227" i="16" l="1"/>
  <c r="V227" i="16"/>
  <c r="N227" i="16"/>
  <c r="F227" i="16"/>
  <c r="AC227" i="16"/>
  <c r="U227" i="16"/>
  <c r="M227" i="16"/>
  <c r="AB227" i="16"/>
  <c r="T227" i="16"/>
  <c r="L227" i="16"/>
  <c r="AA227" i="16"/>
  <c r="S227" i="16"/>
  <c r="K227" i="16"/>
  <c r="Z227" i="16"/>
  <c r="R227" i="16"/>
  <c r="J227" i="16"/>
  <c r="B228" i="16"/>
  <c r="Y227" i="16"/>
  <c r="Q227" i="16"/>
  <c r="I227" i="16"/>
  <c r="AF227" i="16"/>
  <c r="X227" i="16"/>
  <c r="P227" i="16"/>
  <c r="H227" i="16"/>
  <c r="AE227" i="16"/>
  <c r="W227" i="16"/>
  <c r="O227" i="16"/>
  <c r="G227" i="16"/>
  <c r="AP30" i="16"/>
  <c r="AP31" i="16" l="1"/>
  <c r="Z228" i="16"/>
  <c r="R228" i="16"/>
  <c r="J228" i="16"/>
  <c r="B229" i="16"/>
  <c r="Y228" i="16"/>
  <c r="Q228" i="16"/>
  <c r="I228" i="16"/>
  <c r="AF228" i="16"/>
  <c r="X228" i="16"/>
  <c r="P228" i="16"/>
  <c r="H228" i="16"/>
  <c r="AE228" i="16"/>
  <c r="W228" i="16"/>
  <c r="O228" i="16"/>
  <c r="G228" i="16"/>
  <c r="AD228" i="16"/>
  <c r="V228" i="16"/>
  <c r="N228" i="16"/>
  <c r="F228" i="16"/>
  <c r="AC228" i="16"/>
  <c r="U228" i="16"/>
  <c r="M228" i="16"/>
  <c r="AB228" i="16"/>
  <c r="T228" i="16"/>
  <c r="L228" i="16"/>
  <c r="AA228" i="16"/>
  <c r="S228" i="16"/>
  <c r="K228" i="16"/>
  <c r="AD229" i="16" l="1"/>
  <c r="V229" i="16"/>
  <c r="N229" i="16"/>
  <c r="F229" i="16"/>
  <c r="AC229" i="16"/>
  <c r="U229" i="16"/>
  <c r="M229" i="16"/>
  <c r="AB229" i="16"/>
  <c r="T229" i="16"/>
  <c r="L229" i="16"/>
  <c r="AA229" i="16"/>
  <c r="S229" i="16"/>
  <c r="K229" i="16"/>
  <c r="Z229" i="16"/>
  <c r="R229" i="16"/>
  <c r="J229" i="16"/>
  <c r="B230" i="16"/>
  <c r="Y229" i="16"/>
  <c r="Q229" i="16"/>
  <c r="I229" i="16"/>
  <c r="AF229" i="16"/>
  <c r="X229" i="16"/>
  <c r="P229" i="16"/>
  <c r="H229" i="16"/>
  <c r="AE229" i="16"/>
  <c r="G229" i="16"/>
  <c r="W229" i="16"/>
  <c r="O229" i="16"/>
  <c r="AP32" i="16"/>
  <c r="AP33" i="16" l="1"/>
  <c r="Z230" i="16"/>
  <c r="R230" i="16"/>
  <c r="J230" i="16"/>
  <c r="B231" i="16"/>
  <c r="Y230" i="16"/>
  <c r="Q230" i="16"/>
  <c r="I230" i="16"/>
  <c r="AF230" i="16"/>
  <c r="X230" i="16"/>
  <c r="P230" i="16"/>
  <c r="H230" i="16"/>
  <c r="AE230" i="16"/>
  <c r="W230" i="16"/>
  <c r="O230" i="16"/>
  <c r="G230" i="16"/>
  <c r="AD230" i="16"/>
  <c r="V230" i="16"/>
  <c r="N230" i="16"/>
  <c r="F230" i="16"/>
  <c r="AC230" i="16"/>
  <c r="U230" i="16"/>
  <c r="M230" i="16"/>
  <c r="AB230" i="16"/>
  <c r="T230" i="16"/>
  <c r="L230" i="16"/>
  <c r="AA230" i="16"/>
  <c r="S230" i="16"/>
  <c r="K230" i="16"/>
  <c r="AD231" i="16" l="1"/>
  <c r="V231" i="16"/>
  <c r="N231" i="16"/>
  <c r="F231" i="16"/>
  <c r="AC231" i="16"/>
  <c r="U231" i="16"/>
  <c r="M231" i="16"/>
  <c r="AB231" i="16"/>
  <c r="T231" i="16"/>
  <c r="L231" i="16"/>
  <c r="AA231" i="16"/>
  <c r="S231" i="16"/>
  <c r="K231" i="16"/>
  <c r="Z231" i="16"/>
  <c r="R231" i="16"/>
  <c r="J231" i="16"/>
  <c r="B232" i="16"/>
  <c r="Y231" i="16"/>
  <c r="Q231" i="16"/>
  <c r="I231" i="16"/>
  <c r="AF231" i="16"/>
  <c r="X231" i="16"/>
  <c r="P231" i="16"/>
  <c r="H231" i="16"/>
  <c r="G231" i="16"/>
  <c r="AE231" i="16"/>
  <c r="W231" i="16"/>
  <c r="O231" i="16"/>
  <c r="AP34" i="16"/>
  <c r="AP35" i="16" l="1"/>
  <c r="Z232" i="16"/>
  <c r="R232" i="16"/>
  <c r="J232" i="16"/>
  <c r="B233" i="16"/>
  <c r="Y232" i="16"/>
  <c r="Q232" i="16"/>
  <c r="I232" i="16"/>
  <c r="AF232" i="16"/>
  <c r="X232" i="16"/>
  <c r="P232" i="16"/>
  <c r="H232" i="16"/>
  <c r="AE232" i="16"/>
  <c r="W232" i="16"/>
  <c r="O232" i="16"/>
  <c r="G232" i="16"/>
  <c r="AD232" i="16"/>
  <c r="V232" i="16"/>
  <c r="N232" i="16"/>
  <c r="F232" i="16"/>
  <c r="AC232" i="16"/>
  <c r="U232" i="16"/>
  <c r="M232" i="16"/>
  <c r="AB232" i="16"/>
  <c r="T232" i="16"/>
  <c r="L232" i="16"/>
  <c r="AA232" i="16"/>
  <c r="S232" i="16"/>
  <c r="K232" i="16"/>
  <c r="AD233" i="16" l="1"/>
  <c r="V233" i="16"/>
  <c r="N233" i="16"/>
  <c r="F233" i="16"/>
  <c r="AC233" i="16"/>
  <c r="U233" i="16"/>
  <c r="M233" i="16"/>
  <c r="AB233" i="16"/>
  <c r="T233" i="16"/>
  <c r="L233" i="16"/>
  <c r="AA233" i="16"/>
  <c r="S233" i="16"/>
  <c r="K233" i="16"/>
  <c r="Z233" i="16"/>
  <c r="R233" i="16"/>
  <c r="J233" i="16"/>
  <c r="B234" i="16"/>
  <c r="Y233" i="16"/>
  <c r="Q233" i="16"/>
  <c r="I233" i="16"/>
  <c r="AF233" i="16"/>
  <c r="X233" i="16"/>
  <c r="P233" i="16"/>
  <c r="H233" i="16"/>
  <c r="O233" i="16"/>
  <c r="G233" i="16"/>
  <c r="W233" i="16"/>
  <c r="AE233" i="16"/>
  <c r="AP36" i="16"/>
  <c r="AP37" i="16" l="1"/>
  <c r="Z234" i="16"/>
  <c r="R234" i="16"/>
  <c r="J234" i="16"/>
  <c r="B235" i="16"/>
  <c r="Y234" i="16"/>
  <c r="Q234" i="16"/>
  <c r="I234" i="16"/>
  <c r="AF234" i="16"/>
  <c r="X234" i="16"/>
  <c r="P234" i="16"/>
  <c r="H234" i="16"/>
  <c r="AE234" i="16"/>
  <c r="W234" i="16"/>
  <c r="O234" i="16"/>
  <c r="G234" i="16"/>
  <c r="AD234" i="16"/>
  <c r="V234" i="16"/>
  <c r="N234" i="16"/>
  <c r="F234" i="16"/>
  <c r="AC234" i="16"/>
  <c r="U234" i="16"/>
  <c r="M234" i="16"/>
  <c r="AB234" i="16"/>
  <c r="T234" i="16"/>
  <c r="L234" i="16"/>
  <c r="AA234" i="16"/>
  <c r="S234" i="16"/>
  <c r="K234" i="16"/>
  <c r="AD235" i="16" l="1"/>
  <c r="V235" i="16"/>
  <c r="N235" i="16"/>
  <c r="F235" i="16"/>
  <c r="AC235" i="16"/>
  <c r="U235" i="16"/>
  <c r="M235" i="16"/>
  <c r="AB235" i="16"/>
  <c r="T235" i="16"/>
  <c r="L235" i="16"/>
  <c r="AA235" i="16"/>
  <c r="S235" i="16"/>
  <c r="K235" i="16"/>
  <c r="Z235" i="16"/>
  <c r="R235" i="16"/>
  <c r="J235" i="16"/>
  <c r="B236" i="16"/>
  <c r="Y235" i="16"/>
  <c r="Q235" i="16"/>
  <c r="I235" i="16"/>
  <c r="AF235" i="16"/>
  <c r="X235" i="16"/>
  <c r="P235" i="16"/>
  <c r="H235" i="16"/>
  <c r="W235" i="16"/>
  <c r="O235" i="16"/>
  <c r="G235" i="16"/>
  <c r="AE235" i="16"/>
  <c r="AP38" i="16"/>
  <c r="AP39" i="16" l="1"/>
  <c r="Z236" i="16"/>
  <c r="R236" i="16"/>
  <c r="J236" i="16"/>
  <c r="B237" i="16"/>
  <c r="Y236" i="16"/>
  <c r="Q236" i="16"/>
  <c r="I236" i="16"/>
  <c r="AF236" i="16"/>
  <c r="X236" i="16"/>
  <c r="P236" i="16"/>
  <c r="H236" i="16"/>
  <c r="AE236" i="16"/>
  <c r="W236" i="16"/>
  <c r="O236" i="16"/>
  <c r="G236" i="16"/>
  <c r="AD236" i="16"/>
  <c r="V236" i="16"/>
  <c r="N236" i="16"/>
  <c r="F236" i="16"/>
  <c r="AC236" i="16"/>
  <c r="U236" i="16"/>
  <c r="M236" i="16"/>
  <c r="AB236" i="16"/>
  <c r="T236" i="16"/>
  <c r="L236" i="16"/>
  <c r="AA236" i="16"/>
  <c r="S236" i="16"/>
  <c r="K236" i="16"/>
  <c r="AD237" i="16" l="1"/>
  <c r="V237" i="16"/>
  <c r="N237" i="16"/>
  <c r="F237" i="16"/>
  <c r="AC237" i="16"/>
  <c r="U237" i="16"/>
  <c r="M237" i="16"/>
  <c r="AB237" i="16"/>
  <c r="T237" i="16"/>
  <c r="L237" i="16"/>
  <c r="AA237" i="16"/>
  <c r="S237" i="16"/>
  <c r="K237" i="16"/>
  <c r="Z237" i="16"/>
  <c r="R237" i="16"/>
  <c r="J237" i="16"/>
  <c r="B238" i="16"/>
  <c r="Y237" i="16"/>
  <c r="Q237" i="16"/>
  <c r="I237" i="16"/>
  <c r="AF237" i="16"/>
  <c r="X237" i="16"/>
  <c r="P237" i="16"/>
  <c r="H237" i="16"/>
  <c r="AE237" i="16"/>
  <c r="W237" i="16"/>
  <c r="O237" i="16"/>
  <c r="G237" i="16"/>
  <c r="AP40" i="16"/>
  <c r="AP41" i="16" l="1"/>
  <c r="Z238" i="16"/>
  <c r="R238" i="16"/>
  <c r="J238" i="16"/>
  <c r="B239" i="16"/>
  <c r="Y238" i="16"/>
  <c r="Q238" i="16"/>
  <c r="I238" i="16"/>
  <c r="AF238" i="16"/>
  <c r="X238" i="16"/>
  <c r="P238" i="16"/>
  <c r="H238" i="16"/>
  <c r="AE238" i="16"/>
  <c r="W238" i="16"/>
  <c r="O238" i="16"/>
  <c r="G238" i="16"/>
  <c r="AD238" i="16"/>
  <c r="V238" i="16"/>
  <c r="N238" i="16"/>
  <c r="F238" i="16"/>
  <c r="AC238" i="16"/>
  <c r="U238" i="16"/>
  <c r="M238" i="16"/>
  <c r="AB238" i="16"/>
  <c r="T238" i="16"/>
  <c r="L238" i="16"/>
  <c r="AA238" i="16"/>
  <c r="S238" i="16"/>
  <c r="K238" i="16"/>
  <c r="AD239" i="16" l="1"/>
  <c r="V239" i="16"/>
  <c r="N239" i="16"/>
  <c r="F239" i="16"/>
  <c r="AC239" i="16"/>
  <c r="U239" i="16"/>
  <c r="M239" i="16"/>
  <c r="AB239" i="16"/>
  <c r="T239" i="16"/>
  <c r="L239" i="16"/>
  <c r="AA239" i="16"/>
  <c r="S239" i="16"/>
  <c r="K239" i="16"/>
  <c r="Z239" i="16"/>
  <c r="R239" i="16"/>
  <c r="J239" i="16"/>
  <c r="B240" i="16"/>
  <c r="Y239" i="16"/>
  <c r="Q239" i="16"/>
  <c r="I239" i="16"/>
  <c r="AF239" i="16"/>
  <c r="X239" i="16"/>
  <c r="P239" i="16"/>
  <c r="H239" i="16"/>
  <c r="AE239" i="16"/>
  <c r="W239" i="16"/>
  <c r="O239" i="16"/>
  <c r="G239" i="16"/>
  <c r="AP42" i="16"/>
  <c r="AP43" i="16" l="1"/>
  <c r="Z240" i="16"/>
  <c r="R240" i="16"/>
  <c r="J240" i="16"/>
  <c r="B241" i="16"/>
  <c r="Y240" i="16"/>
  <c r="Q240" i="16"/>
  <c r="I240" i="16"/>
  <c r="AF240" i="16"/>
  <c r="X240" i="16"/>
  <c r="P240" i="16"/>
  <c r="H240" i="16"/>
  <c r="AE240" i="16"/>
  <c r="W240" i="16"/>
  <c r="O240" i="16"/>
  <c r="G240" i="16"/>
  <c r="AD240" i="16"/>
  <c r="V240" i="16"/>
  <c r="N240" i="16"/>
  <c r="F240" i="16"/>
  <c r="AC240" i="16"/>
  <c r="U240" i="16"/>
  <c r="M240" i="16"/>
  <c r="AB240" i="16"/>
  <c r="T240" i="16"/>
  <c r="L240" i="16"/>
  <c r="K240" i="16"/>
  <c r="S240" i="16"/>
  <c r="AA240" i="16"/>
  <c r="AD241" i="16" l="1"/>
  <c r="V241" i="16"/>
  <c r="N241" i="16"/>
  <c r="F241" i="16"/>
  <c r="AC241" i="16"/>
  <c r="U241" i="16"/>
  <c r="M241" i="16"/>
  <c r="AB241" i="16"/>
  <c r="T241" i="16"/>
  <c r="L241" i="16"/>
  <c r="AA241" i="16"/>
  <c r="S241" i="16"/>
  <c r="K241" i="16"/>
  <c r="Z241" i="16"/>
  <c r="R241" i="16"/>
  <c r="J241" i="16"/>
  <c r="B242" i="16"/>
  <c r="Y241" i="16"/>
  <c r="Q241" i="16"/>
  <c r="I241" i="16"/>
  <c r="AF241" i="16"/>
  <c r="X241" i="16"/>
  <c r="P241" i="16"/>
  <c r="H241" i="16"/>
  <c r="AE241" i="16"/>
  <c r="W241" i="16"/>
  <c r="O241" i="16"/>
  <c r="G241" i="16"/>
  <c r="AP44" i="16"/>
  <c r="AP45" i="16" l="1"/>
  <c r="Z242" i="16"/>
  <c r="R242" i="16"/>
  <c r="J242" i="16"/>
  <c r="B243" i="16"/>
  <c r="Y242" i="16"/>
  <c r="Q242" i="16"/>
  <c r="I242" i="16"/>
  <c r="AF242" i="16"/>
  <c r="X242" i="16"/>
  <c r="P242" i="16"/>
  <c r="H242" i="16"/>
  <c r="AE242" i="16"/>
  <c r="W242" i="16"/>
  <c r="O242" i="16"/>
  <c r="G242" i="16"/>
  <c r="AD242" i="16"/>
  <c r="V242" i="16"/>
  <c r="N242" i="16"/>
  <c r="F242" i="16"/>
  <c r="AC242" i="16"/>
  <c r="U242" i="16"/>
  <c r="M242" i="16"/>
  <c r="AB242" i="16"/>
  <c r="T242" i="16"/>
  <c r="L242" i="16"/>
  <c r="S242" i="16"/>
  <c r="K242" i="16"/>
  <c r="AA242" i="16"/>
  <c r="AD243" i="16" l="1"/>
  <c r="V243" i="16"/>
  <c r="N243" i="16"/>
  <c r="F243" i="16"/>
  <c r="AC243" i="16"/>
  <c r="U243" i="16"/>
  <c r="M243" i="16"/>
  <c r="AB243" i="16"/>
  <c r="T243" i="16"/>
  <c r="L243" i="16"/>
  <c r="AA243" i="16"/>
  <c r="S243" i="16"/>
  <c r="K243" i="16"/>
  <c r="Z243" i="16"/>
  <c r="R243" i="16"/>
  <c r="J243" i="16"/>
  <c r="B244" i="16"/>
  <c r="Y243" i="16"/>
  <c r="Q243" i="16"/>
  <c r="I243" i="16"/>
  <c r="AF243" i="16"/>
  <c r="X243" i="16"/>
  <c r="P243" i="16"/>
  <c r="H243" i="16"/>
  <c r="AE243" i="16"/>
  <c r="W243" i="16"/>
  <c r="O243" i="16"/>
  <c r="G243" i="16"/>
  <c r="AP46" i="16"/>
  <c r="AP47" i="16" l="1"/>
  <c r="Z244" i="16"/>
  <c r="R244" i="16"/>
  <c r="J244" i="16"/>
  <c r="B245" i="16"/>
  <c r="Y244" i="16"/>
  <c r="Q244" i="16"/>
  <c r="I244" i="16"/>
  <c r="AF244" i="16"/>
  <c r="X244" i="16"/>
  <c r="P244" i="16"/>
  <c r="H244" i="16"/>
  <c r="AE244" i="16"/>
  <c r="W244" i="16"/>
  <c r="O244" i="16"/>
  <c r="G244" i="16"/>
  <c r="AD244" i="16"/>
  <c r="V244" i="16"/>
  <c r="N244" i="16"/>
  <c r="F244" i="16"/>
  <c r="AC244" i="16"/>
  <c r="U244" i="16"/>
  <c r="M244" i="16"/>
  <c r="AB244" i="16"/>
  <c r="T244" i="16"/>
  <c r="L244" i="16"/>
  <c r="AA244" i="16"/>
  <c r="S244" i="16"/>
  <c r="K244" i="16"/>
  <c r="AP48" i="16" l="1"/>
  <c r="AD245" i="16"/>
  <c r="V245" i="16"/>
  <c r="N245" i="16"/>
  <c r="F245" i="16"/>
  <c r="AC245" i="16"/>
  <c r="U245" i="16"/>
  <c r="M245" i="16"/>
  <c r="AB245" i="16"/>
  <c r="T245" i="16"/>
  <c r="L245" i="16"/>
  <c r="AA245" i="16"/>
  <c r="S245" i="16"/>
  <c r="K245" i="16"/>
  <c r="Z245" i="16"/>
  <c r="R245" i="16"/>
  <c r="J245" i="16"/>
  <c r="B246" i="16"/>
  <c r="Y245" i="16"/>
  <c r="Q245" i="16"/>
  <c r="I245" i="16"/>
  <c r="AF245" i="16"/>
  <c r="X245" i="16"/>
  <c r="P245" i="16"/>
  <c r="H245" i="16"/>
  <c r="AE245" i="16"/>
  <c r="G245" i="16"/>
  <c r="W245" i="16"/>
  <c r="O245" i="16"/>
  <c r="AP49" i="16" l="1"/>
  <c r="AE246" i="16"/>
  <c r="Z246" i="16"/>
  <c r="R246" i="16"/>
  <c r="J246" i="16"/>
  <c r="Y246" i="16"/>
  <c r="Q246" i="16"/>
  <c r="I246" i="16"/>
  <c r="B247" i="16"/>
  <c r="X246" i="16"/>
  <c r="P246" i="16"/>
  <c r="H246" i="16"/>
  <c r="AF246" i="16"/>
  <c r="W246" i="16"/>
  <c r="O246" i="16"/>
  <c r="G246" i="16"/>
  <c r="AD246" i="16"/>
  <c r="V246" i="16"/>
  <c r="N246" i="16"/>
  <c r="F246" i="16"/>
  <c r="AC246" i="16"/>
  <c r="U246" i="16"/>
  <c r="M246" i="16"/>
  <c r="AB246" i="16"/>
  <c r="T246" i="16"/>
  <c r="L246" i="16"/>
  <c r="AA246" i="16"/>
  <c r="S246" i="16"/>
  <c r="K246" i="16"/>
  <c r="AD247" i="16" l="1"/>
  <c r="V247" i="16"/>
  <c r="N247" i="16"/>
  <c r="F247" i="16"/>
  <c r="AA247" i="16"/>
  <c r="S247" i="16"/>
  <c r="K247" i="16"/>
  <c r="B248" i="16"/>
  <c r="Y247" i="16"/>
  <c r="Q247" i="16"/>
  <c r="I247" i="16"/>
  <c r="AF247" i="16"/>
  <c r="X247" i="16"/>
  <c r="P247" i="16"/>
  <c r="W247" i="16"/>
  <c r="H247" i="16"/>
  <c r="U247" i="16"/>
  <c r="G247" i="16"/>
  <c r="T247" i="16"/>
  <c r="R247" i="16"/>
  <c r="AE247" i="16"/>
  <c r="O247" i="16"/>
  <c r="AC247" i="16"/>
  <c r="M247" i="16"/>
  <c r="AB247" i="16"/>
  <c r="L247" i="16"/>
  <c r="J247" i="16"/>
  <c r="Z247" i="16"/>
  <c r="AP50" i="16"/>
  <c r="Z248" i="16" l="1"/>
  <c r="R248" i="16"/>
  <c r="J248" i="16"/>
  <c r="AE248" i="16"/>
  <c r="W248" i="16"/>
  <c r="O248" i="16"/>
  <c r="G248" i="16"/>
  <c r="AC248" i="16"/>
  <c r="U248" i="16"/>
  <c r="M248" i="16"/>
  <c r="AB248" i="16"/>
  <c r="T248" i="16"/>
  <c r="L248" i="16"/>
  <c r="AA248" i="16"/>
  <c r="K248" i="16"/>
  <c r="Y248" i="16"/>
  <c r="I248" i="16"/>
  <c r="X248" i="16"/>
  <c r="H248" i="16"/>
  <c r="V248" i="16"/>
  <c r="F248" i="16"/>
  <c r="S248" i="16"/>
  <c r="B249" i="16"/>
  <c r="Q248" i="16"/>
  <c r="AF248" i="16"/>
  <c r="P248" i="16"/>
  <c r="AD248" i="16"/>
  <c r="N248" i="16"/>
  <c r="AP51" i="16"/>
  <c r="AD249" i="16" l="1"/>
  <c r="V249" i="16"/>
  <c r="N249" i="16"/>
  <c r="F249" i="16"/>
  <c r="AA249" i="16"/>
  <c r="S249" i="16"/>
  <c r="K249" i="16"/>
  <c r="B250" i="16"/>
  <c r="Y249" i="16"/>
  <c r="Q249" i="16"/>
  <c r="I249" i="16"/>
  <c r="AF249" i="16"/>
  <c r="X249" i="16"/>
  <c r="P249" i="16"/>
  <c r="H249" i="16"/>
  <c r="AE249" i="16"/>
  <c r="O249" i="16"/>
  <c r="AC249" i="16"/>
  <c r="M249" i="16"/>
  <c r="AB249" i="16"/>
  <c r="L249" i="16"/>
  <c r="Z249" i="16"/>
  <c r="J249" i="16"/>
  <c r="W249" i="16"/>
  <c r="G249" i="16"/>
  <c r="U249" i="16"/>
  <c r="T249" i="16"/>
  <c r="R249" i="16"/>
  <c r="AP52" i="16"/>
  <c r="Z250" i="16" l="1"/>
  <c r="R250" i="16"/>
  <c r="J250" i="16"/>
  <c r="AF250" i="16"/>
  <c r="AE250" i="16"/>
  <c r="W250" i="16"/>
  <c r="O250" i="16"/>
  <c r="G250" i="16"/>
  <c r="AC250" i="16"/>
  <c r="U250" i="16"/>
  <c r="M250" i="16"/>
  <c r="AB250" i="16"/>
  <c r="T250" i="16"/>
  <c r="L250" i="16"/>
  <c r="S250" i="16"/>
  <c r="Q250" i="16"/>
  <c r="B251" i="16"/>
  <c r="P250" i="16"/>
  <c r="AD250" i="16"/>
  <c r="N250" i="16"/>
  <c r="AA250" i="16"/>
  <c r="K250" i="16"/>
  <c r="Y250" i="16"/>
  <c r="I250" i="16"/>
  <c r="X250" i="16"/>
  <c r="H250" i="16"/>
  <c r="V250" i="16"/>
  <c r="F250" i="16"/>
  <c r="AP53" i="16"/>
  <c r="AP54" i="16" l="1"/>
  <c r="AD251" i="16"/>
  <c r="V251" i="16"/>
  <c r="N251" i="16"/>
  <c r="F251" i="16"/>
  <c r="AB251" i="16"/>
  <c r="T251" i="16"/>
  <c r="L251" i="16"/>
  <c r="AA251" i="16"/>
  <c r="S251" i="16"/>
  <c r="K251" i="16"/>
  <c r="Z251" i="16"/>
  <c r="R251" i="16"/>
  <c r="J251" i="16"/>
  <c r="B252" i="16"/>
  <c r="Y251" i="16"/>
  <c r="Q251" i="16"/>
  <c r="I251" i="16"/>
  <c r="AF251" i="16"/>
  <c r="X251" i="16"/>
  <c r="P251" i="16"/>
  <c r="H251" i="16"/>
  <c r="M251" i="16"/>
  <c r="G251" i="16"/>
  <c r="AE251" i="16"/>
  <c r="AC251" i="16"/>
  <c r="W251" i="16"/>
  <c r="U251" i="16"/>
  <c r="O251" i="16"/>
  <c r="Z252" i="16" l="1"/>
  <c r="R252" i="16"/>
  <c r="J252" i="16"/>
  <c r="AF252" i="16"/>
  <c r="X252" i="16"/>
  <c r="P252" i="16"/>
  <c r="H252" i="16"/>
  <c r="AE252" i="16"/>
  <c r="W252" i="16"/>
  <c r="O252" i="16"/>
  <c r="G252" i="16"/>
  <c r="AD252" i="16"/>
  <c r="V252" i="16"/>
  <c r="N252" i="16"/>
  <c r="F252" i="16"/>
  <c r="AC252" i="16"/>
  <c r="U252" i="16"/>
  <c r="M252" i="16"/>
  <c r="AB252" i="16"/>
  <c r="T252" i="16"/>
  <c r="L252" i="16"/>
  <c r="Q252" i="16"/>
  <c r="K252" i="16"/>
  <c r="I252" i="16"/>
  <c r="B253" i="16"/>
  <c r="AA252" i="16"/>
  <c r="Y252" i="16"/>
  <c r="S252" i="16"/>
  <c r="AP55" i="16"/>
  <c r="AP56" i="16" l="1"/>
  <c r="AD253" i="16"/>
  <c r="V253" i="16"/>
  <c r="N253" i="16"/>
  <c r="F253" i="16"/>
  <c r="AB253" i="16"/>
  <c r="T253" i="16"/>
  <c r="L253" i="16"/>
  <c r="AA253" i="16"/>
  <c r="S253" i="16"/>
  <c r="K253" i="16"/>
  <c r="Z253" i="16"/>
  <c r="R253" i="16"/>
  <c r="J253" i="16"/>
  <c r="B254" i="16"/>
  <c r="Y253" i="16"/>
  <c r="Q253" i="16"/>
  <c r="I253" i="16"/>
  <c r="AF253" i="16"/>
  <c r="X253" i="16"/>
  <c r="P253" i="16"/>
  <c r="H253" i="16"/>
  <c r="U253" i="16"/>
  <c r="O253" i="16"/>
  <c r="M253" i="16"/>
  <c r="G253" i="16"/>
  <c r="AE253" i="16"/>
  <c r="AC253" i="16"/>
  <c r="W253" i="16"/>
  <c r="Z254" i="16" l="1"/>
  <c r="R254" i="16"/>
  <c r="J254" i="16"/>
  <c r="B255" i="16"/>
  <c r="Y254" i="16"/>
  <c r="Q254" i="16"/>
  <c r="AF254" i="16"/>
  <c r="X254" i="16"/>
  <c r="P254" i="16"/>
  <c r="H254" i="16"/>
  <c r="AE254" i="16"/>
  <c r="W254" i="16"/>
  <c r="O254" i="16"/>
  <c r="G254" i="16"/>
  <c r="AD254" i="16"/>
  <c r="V254" i="16"/>
  <c r="N254" i="16"/>
  <c r="F254" i="16"/>
  <c r="AC254" i="16"/>
  <c r="U254" i="16"/>
  <c r="M254" i="16"/>
  <c r="AB254" i="16"/>
  <c r="T254" i="16"/>
  <c r="L254" i="16"/>
  <c r="AA254" i="16"/>
  <c r="S254" i="16"/>
  <c r="K254" i="16"/>
  <c r="I254" i="16"/>
  <c r="AP57" i="16"/>
  <c r="AD255" i="16" l="1"/>
  <c r="V255" i="16"/>
  <c r="N255" i="16"/>
  <c r="F255" i="16"/>
  <c r="AC255" i="16"/>
  <c r="U255" i="16"/>
  <c r="M255" i="16"/>
  <c r="AB255" i="16"/>
  <c r="T255" i="16"/>
  <c r="L255" i="16"/>
  <c r="AA255" i="16"/>
  <c r="S255" i="16"/>
  <c r="K255" i="16"/>
  <c r="Z255" i="16"/>
  <c r="R255" i="16"/>
  <c r="J255" i="16"/>
  <c r="B256" i="16"/>
  <c r="Y255" i="16"/>
  <c r="Q255" i="16"/>
  <c r="I255" i="16"/>
  <c r="AF255" i="16"/>
  <c r="X255" i="16"/>
  <c r="P255" i="16"/>
  <c r="H255" i="16"/>
  <c r="G255" i="16"/>
  <c r="AE255" i="16"/>
  <c r="W255" i="16"/>
  <c r="O255" i="16"/>
  <c r="AP58" i="16"/>
  <c r="AP59" i="16" l="1"/>
  <c r="Z256" i="16"/>
  <c r="R256" i="16"/>
  <c r="J256" i="16"/>
  <c r="B257" i="16"/>
  <c r="Y256" i="16"/>
  <c r="Q256" i="16"/>
  <c r="I256" i="16"/>
  <c r="AF256" i="16"/>
  <c r="X256" i="16"/>
  <c r="P256" i="16"/>
  <c r="H256" i="16"/>
  <c r="AE256" i="16"/>
  <c r="W256" i="16"/>
  <c r="O256" i="16"/>
  <c r="G256" i="16"/>
  <c r="AD256" i="16"/>
  <c r="V256" i="16"/>
  <c r="N256" i="16"/>
  <c r="F256" i="16"/>
  <c r="AC256" i="16"/>
  <c r="U256" i="16"/>
  <c r="M256" i="16"/>
  <c r="AB256" i="16"/>
  <c r="T256" i="16"/>
  <c r="L256" i="16"/>
  <c r="AA256" i="16"/>
  <c r="S256" i="16"/>
  <c r="K256" i="16"/>
  <c r="AD257" i="16" l="1"/>
  <c r="V257" i="16"/>
  <c r="N257" i="16"/>
  <c r="F257" i="16"/>
  <c r="AC257" i="16"/>
  <c r="U257" i="16"/>
  <c r="M257" i="16"/>
  <c r="AB257" i="16"/>
  <c r="T257" i="16"/>
  <c r="L257" i="16"/>
  <c r="AA257" i="16"/>
  <c r="S257" i="16"/>
  <c r="K257" i="16"/>
  <c r="Z257" i="16"/>
  <c r="R257" i="16"/>
  <c r="J257" i="16"/>
  <c r="B258" i="16"/>
  <c r="Y257" i="16"/>
  <c r="Q257" i="16"/>
  <c r="I257" i="16"/>
  <c r="AF257" i="16"/>
  <c r="X257" i="16"/>
  <c r="P257" i="16"/>
  <c r="H257" i="16"/>
  <c r="O257" i="16"/>
  <c r="G257" i="16"/>
  <c r="AE257" i="16"/>
  <c r="W257" i="16"/>
  <c r="AP60" i="16"/>
  <c r="AP61" i="16" l="1"/>
  <c r="Z258" i="16"/>
  <c r="R258" i="16"/>
  <c r="J258" i="16"/>
  <c r="B259" i="16"/>
  <c r="Y258" i="16"/>
  <c r="Q258" i="16"/>
  <c r="I258" i="16"/>
  <c r="AF258" i="16"/>
  <c r="X258" i="16"/>
  <c r="P258" i="16"/>
  <c r="H258" i="16"/>
  <c r="AE258" i="16"/>
  <c r="W258" i="16"/>
  <c r="O258" i="16"/>
  <c r="G258" i="16"/>
  <c r="AD258" i="16"/>
  <c r="V258" i="16"/>
  <c r="N258" i="16"/>
  <c r="F258" i="16"/>
  <c r="AC258" i="16"/>
  <c r="U258" i="16"/>
  <c r="M258" i="16"/>
  <c r="AB258" i="16"/>
  <c r="T258" i="16"/>
  <c r="L258" i="16"/>
  <c r="AA258" i="16"/>
  <c r="S258" i="16"/>
  <c r="K258" i="16"/>
  <c r="AD259" i="16" l="1"/>
  <c r="V259" i="16"/>
  <c r="N259" i="16"/>
  <c r="F259" i="16"/>
  <c r="AC259" i="16"/>
  <c r="U259" i="16"/>
  <c r="M259" i="16"/>
  <c r="AB259" i="16"/>
  <c r="T259" i="16"/>
  <c r="L259" i="16"/>
  <c r="AA259" i="16"/>
  <c r="S259" i="16"/>
  <c r="K259" i="16"/>
  <c r="Z259" i="16"/>
  <c r="R259" i="16"/>
  <c r="J259" i="16"/>
  <c r="B260" i="16"/>
  <c r="Y259" i="16"/>
  <c r="Q259" i="16"/>
  <c r="I259" i="16"/>
  <c r="AF259" i="16"/>
  <c r="X259" i="16"/>
  <c r="P259" i="16"/>
  <c r="H259" i="16"/>
  <c r="W259" i="16"/>
  <c r="O259" i="16"/>
  <c r="G259" i="16"/>
  <c r="AE259" i="16"/>
  <c r="AP62" i="16"/>
  <c r="AP63" i="16" l="1"/>
  <c r="Z260" i="16"/>
  <c r="R260" i="16"/>
  <c r="J260" i="16"/>
  <c r="B261" i="16"/>
  <c r="Y260" i="16"/>
  <c r="Q260" i="16"/>
  <c r="I260" i="16"/>
  <c r="AF260" i="16"/>
  <c r="X260" i="16"/>
  <c r="P260" i="16"/>
  <c r="H260" i="16"/>
  <c r="AE260" i="16"/>
  <c r="W260" i="16"/>
  <c r="O260" i="16"/>
  <c r="G260" i="16"/>
  <c r="AD260" i="16"/>
  <c r="V260" i="16"/>
  <c r="N260" i="16"/>
  <c r="F260" i="16"/>
  <c r="AC260" i="16"/>
  <c r="U260" i="16"/>
  <c r="M260" i="16"/>
  <c r="AB260" i="16"/>
  <c r="T260" i="16"/>
  <c r="L260" i="16"/>
  <c r="AA260" i="16"/>
  <c r="S260" i="16"/>
  <c r="K260" i="16"/>
  <c r="AP64" i="16" l="1"/>
  <c r="AD261" i="16"/>
  <c r="V261" i="16"/>
  <c r="N261" i="16"/>
  <c r="F261" i="16"/>
  <c r="AC261" i="16"/>
  <c r="U261" i="16"/>
  <c r="M261" i="16"/>
  <c r="AB261" i="16"/>
  <c r="T261" i="16"/>
  <c r="L261" i="16"/>
  <c r="AA261" i="16"/>
  <c r="S261" i="16"/>
  <c r="K261" i="16"/>
  <c r="Z261" i="16"/>
  <c r="R261" i="16"/>
  <c r="J261" i="16"/>
  <c r="B262" i="16"/>
  <c r="Y261" i="16"/>
  <c r="Q261" i="16"/>
  <c r="I261" i="16"/>
  <c r="AF261" i="16"/>
  <c r="X261" i="16"/>
  <c r="P261" i="16"/>
  <c r="H261" i="16"/>
  <c r="AE261" i="16"/>
  <c r="W261" i="16"/>
  <c r="O261" i="16"/>
  <c r="G261" i="16"/>
  <c r="Z262" i="16" l="1"/>
  <c r="R262" i="16"/>
  <c r="J262" i="16"/>
  <c r="B263" i="16"/>
  <c r="Y262" i="16"/>
  <c r="Q262" i="16"/>
  <c r="I262" i="16"/>
  <c r="AF262" i="16"/>
  <c r="X262" i="16"/>
  <c r="P262" i="16"/>
  <c r="H262" i="16"/>
  <c r="AE262" i="16"/>
  <c r="W262" i="16"/>
  <c r="O262" i="16"/>
  <c r="G262" i="16"/>
  <c r="AD262" i="16"/>
  <c r="V262" i="16"/>
  <c r="N262" i="16"/>
  <c r="F262" i="16"/>
  <c r="AC262" i="16"/>
  <c r="U262" i="16"/>
  <c r="M262" i="16"/>
  <c r="AB262" i="16"/>
  <c r="T262" i="16"/>
  <c r="L262" i="16"/>
  <c r="AA262" i="16"/>
  <c r="S262" i="16"/>
  <c r="K262" i="16"/>
  <c r="AY15" i="16"/>
  <c r="AY16" i="16" l="1"/>
  <c r="AD263" i="16"/>
  <c r="V263" i="16"/>
  <c r="N263" i="16"/>
  <c r="F263" i="16"/>
  <c r="AC263" i="16"/>
  <c r="U263" i="16"/>
  <c r="M263" i="16"/>
  <c r="AB263" i="16"/>
  <c r="T263" i="16"/>
  <c r="L263" i="16"/>
  <c r="AA263" i="16"/>
  <c r="S263" i="16"/>
  <c r="K263" i="16"/>
  <c r="Z263" i="16"/>
  <c r="R263" i="16"/>
  <c r="J263" i="16"/>
  <c r="B264" i="16"/>
  <c r="Y263" i="16"/>
  <c r="Q263" i="16"/>
  <c r="I263" i="16"/>
  <c r="AF263" i="16"/>
  <c r="X263" i="16"/>
  <c r="P263" i="16"/>
  <c r="H263" i="16"/>
  <c r="AE263" i="16"/>
  <c r="W263" i="16"/>
  <c r="O263" i="16"/>
  <c r="G263" i="16"/>
  <c r="Z264" i="16" l="1"/>
  <c r="R264" i="16"/>
  <c r="J264" i="16"/>
  <c r="B265" i="16"/>
  <c r="Y264" i="16"/>
  <c r="Q264" i="16"/>
  <c r="I264" i="16"/>
  <c r="AF264" i="16"/>
  <c r="X264" i="16"/>
  <c r="P264" i="16"/>
  <c r="H264" i="16"/>
  <c r="AE264" i="16"/>
  <c r="W264" i="16"/>
  <c r="O264" i="16"/>
  <c r="G264" i="16"/>
  <c r="AD264" i="16"/>
  <c r="V264" i="16"/>
  <c r="N264" i="16"/>
  <c r="F264" i="16"/>
  <c r="AC264" i="16"/>
  <c r="U264" i="16"/>
  <c r="M264" i="16"/>
  <c r="AB264" i="16"/>
  <c r="T264" i="16"/>
  <c r="L264" i="16"/>
  <c r="K264" i="16"/>
  <c r="AA264" i="16"/>
  <c r="S264" i="16"/>
  <c r="AY17" i="16"/>
  <c r="AD265" i="16" l="1"/>
  <c r="V265" i="16"/>
  <c r="N265" i="16"/>
  <c r="F265" i="16"/>
  <c r="AC265" i="16"/>
  <c r="U265" i="16"/>
  <c r="M265" i="16"/>
  <c r="AB265" i="16"/>
  <c r="T265" i="16"/>
  <c r="L265" i="16"/>
  <c r="AA265" i="16"/>
  <c r="S265" i="16"/>
  <c r="K265" i="16"/>
  <c r="Z265" i="16"/>
  <c r="R265" i="16"/>
  <c r="J265" i="16"/>
  <c r="B266" i="16"/>
  <c r="Y265" i="16"/>
  <c r="Q265" i="16"/>
  <c r="I265" i="16"/>
  <c r="AF265" i="16"/>
  <c r="X265" i="16"/>
  <c r="P265" i="16"/>
  <c r="H265" i="16"/>
  <c r="AE265" i="16"/>
  <c r="W265" i="16"/>
  <c r="O265" i="16"/>
  <c r="G265" i="16"/>
  <c r="AY18" i="16"/>
  <c r="AY19" i="16" l="1"/>
  <c r="Z266" i="16"/>
  <c r="R266" i="16"/>
  <c r="J266" i="16"/>
  <c r="B267" i="16"/>
  <c r="Y266" i="16"/>
  <c r="Q266" i="16"/>
  <c r="I266" i="16"/>
  <c r="AF266" i="16"/>
  <c r="X266" i="16"/>
  <c r="P266" i="16"/>
  <c r="H266" i="16"/>
  <c r="AE266" i="16"/>
  <c r="W266" i="16"/>
  <c r="O266" i="16"/>
  <c r="G266" i="16"/>
  <c r="AD266" i="16"/>
  <c r="V266" i="16"/>
  <c r="N266" i="16"/>
  <c r="F266" i="16"/>
  <c r="AC266" i="16"/>
  <c r="U266" i="16"/>
  <c r="M266" i="16"/>
  <c r="AB266" i="16"/>
  <c r="T266" i="16"/>
  <c r="L266" i="16"/>
  <c r="S266" i="16"/>
  <c r="K266" i="16"/>
  <c r="AA266" i="16"/>
  <c r="AD267" i="16" l="1"/>
  <c r="V267" i="16"/>
  <c r="N267" i="16"/>
  <c r="F267" i="16"/>
  <c r="AC267" i="16"/>
  <c r="U267" i="16"/>
  <c r="M267" i="16"/>
  <c r="AB267" i="16"/>
  <c r="T267" i="16"/>
  <c r="L267" i="16"/>
  <c r="AA267" i="16"/>
  <c r="S267" i="16"/>
  <c r="K267" i="16"/>
  <c r="Z267" i="16"/>
  <c r="R267" i="16"/>
  <c r="J267" i="16"/>
  <c r="B268" i="16"/>
  <c r="Y267" i="16"/>
  <c r="Q267" i="16"/>
  <c r="I267" i="16"/>
  <c r="AF267" i="16"/>
  <c r="X267" i="16"/>
  <c r="P267" i="16"/>
  <c r="H267" i="16"/>
  <c r="AE267" i="16"/>
  <c r="W267" i="16"/>
  <c r="O267" i="16"/>
  <c r="G267" i="16"/>
  <c r="AY20" i="16"/>
  <c r="AY21" i="16" l="1"/>
  <c r="B269" i="16"/>
  <c r="Y268" i="16"/>
  <c r="Q268" i="16"/>
  <c r="AF268" i="16"/>
  <c r="X268" i="16"/>
  <c r="P268" i="16"/>
  <c r="AE268" i="16"/>
  <c r="W268" i="16"/>
  <c r="O268" i="16"/>
  <c r="AD268" i="16"/>
  <c r="V268" i="16"/>
  <c r="AC268" i="16"/>
  <c r="U268" i="16"/>
  <c r="M268" i="16"/>
  <c r="AB268" i="16"/>
  <c r="T268" i="16"/>
  <c r="AA268" i="16"/>
  <c r="S268" i="16"/>
  <c r="J268" i="16"/>
  <c r="I268" i="16"/>
  <c r="H268" i="16"/>
  <c r="Z268" i="16"/>
  <c r="G268" i="16"/>
  <c r="R268" i="16"/>
  <c r="F268" i="16"/>
  <c r="N268" i="16"/>
  <c r="L268" i="16"/>
  <c r="K268" i="16"/>
  <c r="AC269" i="16" l="1"/>
  <c r="U269" i="16"/>
  <c r="M269" i="16"/>
  <c r="AB269" i="16"/>
  <c r="T269" i="16"/>
  <c r="L269" i="16"/>
  <c r="AA269" i="16"/>
  <c r="S269" i="16"/>
  <c r="K269" i="16"/>
  <c r="Z269" i="16"/>
  <c r="R269" i="16"/>
  <c r="J269" i="16"/>
  <c r="B270" i="16"/>
  <c r="Y269" i="16"/>
  <c r="Q269" i="16"/>
  <c r="I269" i="16"/>
  <c r="AF269" i="16"/>
  <c r="X269" i="16"/>
  <c r="P269" i="16"/>
  <c r="H269" i="16"/>
  <c r="AE269" i="16"/>
  <c r="W269" i="16"/>
  <c r="O269" i="16"/>
  <c r="G269" i="16"/>
  <c r="V269" i="16"/>
  <c r="N269" i="16"/>
  <c r="F269" i="16"/>
  <c r="AD269" i="16"/>
  <c r="AY22" i="16"/>
  <c r="AY23" i="16" l="1"/>
  <c r="B271" i="16"/>
  <c r="Y270" i="16"/>
  <c r="Q270" i="16"/>
  <c r="I270" i="16"/>
  <c r="AF270" i="16"/>
  <c r="X270" i="16"/>
  <c r="P270" i="16"/>
  <c r="H270" i="16"/>
  <c r="AE270" i="16"/>
  <c r="W270" i="16"/>
  <c r="O270" i="16"/>
  <c r="G270" i="16"/>
  <c r="AD270" i="16"/>
  <c r="V270" i="16"/>
  <c r="N270" i="16"/>
  <c r="F270" i="16"/>
  <c r="AC270" i="16"/>
  <c r="U270" i="16"/>
  <c r="M270" i="16"/>
  <c r="AB270" i="16"/>
  <c r="T270" i="16"/>
  <c r="L270" i="16"/>
  <c r="AA270" i="16"/>
  <c r="S270" i="16"/>
  <c r="K270" i="16"/>
  <c r="Z270" i="16"/>
  <c r="R270" i="16"/>
  <c r="J270" i="16"/>
  <c r="AC271" i="16" l="1"/>
  <c r="U271" i="16"/>
  <c r="M271" i="16"/>
  <c r="AB271" i="16"/>
  <c r="T271" i="16"/>
  <c r="L271" i="16"/>
  <c r="AA271" i="16"/>
  <c r="S271" i="16"/>
  <c r="K271" i="16"/>
  <c r="Z271" i="16"/>
  <c r="R271" i="16"/>
  <c r="J271" i="16"/>
  <c r="B272" i="16"/>
  <c r="Y271" i="16"/>
  <c r="Q271" i="16"/>
  <c r="I271" i="16"/>
  <c r="AF271" i="16"/>
  <c r="X271" i="16"/>
  <c r="P271" i="16"/>
  <c r="H271" i="16"/>
  <c r="AE271" i="16"/>
  <c r="W271" i="16"/>
  <c r="O271" i="16"/>
  <c r="G271" i="16"/>
  <c r="AD271" i="16"/>
  <c r="V271" i="16"/>
  <c r="N271" i="16"/>
  <c r="F271" i="16"/>
  <c r="AY24" i="16"/>
  <c r="B273" i="16" l="1"/>
  <c r="Y272" i="16"/>
  <c r="Q272" i="16"/>
  <c r="I272" i="16"/>
  <c r="AF272" i="16"/>
  <c r="X272" i="16"/>
  <c r="P272" i="16"/>
  <c r="H272" i="16"/>
  <c r="AE272" i="16"/>
  <c r="W272" i="16"/>
  <c r="O272" i="16"/>
  <c r="G272" i="16"/>
  <c r="AD272" i="16"/>
  <c r="V272" i="16"/>
  <c r="N272" i="16"/>
  <c r="F272" i="16"/>
  <c r="AC272" i="16"/>
  <c r="U272" i="16"/>
  <c r="M272" i="16"/>
  <c r="AB272" i="16"/>
  <c r="T272" i="16"/>
  <c r="L272" i="16"/>
  <c r="AA272" i="16"/>
  <c r="S272" i="16"/>
  <c r="K272" i="16"/>
  <c r="Z272" i="16"/>
  <c r="R272" i="16"/>
  <c r="J272" i="16"/>
  <c r="AY25" i="16"/>
  <c r="AY26" i="16" l="1"/>
  <c r="AC273" i="16"/>
  <c r="U273" i="16"/>
  <c r="M273" i="16"/>
  <c r="AB273" i="16"/>
  <c r="T273" i="16"/>
  <c r="L273" i="16"/>
  <c r="AA273" i="16"/>
  <c r="S273" i="16"/>
  <c r="K273" i="16"/>
  <c r="Z273" i="16"/>
  <c r="R273" i="16"/>
  <c r="J273" i="16"/>
  <c r="B274" i="16"/>
  <c r="Y273" i="16"/>
  <c r="Q273" i="16"/>
  <c r="I273" i="16"/>
  <c r="AF273" i="16"/>
  <c r="X273" i="16"/>
  <c r="P273" i="16"/>
  <c r="H273" i="16"/>
  <c r="AE273" i="16"/>
  <c r="W273" i="16"/>
  <c r="O273" i="16"/>
  <c r="G273" i="16"/>
  <c r="AD273" i="16"/>
  <c r="V273" i="16"/>
  <c r="N273" i="16"/>
  <c r="F273" i="16"/>
  <c r="B275" i="16" l="1"/>
  <c r="Y274" i="16"/>
  <c r="Q274" i="16"/>
  <c r="I274" i="16"/>
  <c r="AF274" i="16"/>
  <c r="X274" i="16"/>
  <c r="P274" i="16"/>
  <c r="H274" i="16"/>
  <c r="AE274" i="16"/>
  <c r="W274" i="16"/>
  <c r="O274" i="16"/>
  <c r="G274" i="16"/>
  <c r="AD274" i="16"/>
  <c r="V274" i="16"/>
  <c r="N274" i="16"/>
  <c r="F274" i="16"/>
  <c r="AC274" i="16"/>
  <c r="U274" i="16"/>
  <c r="M274" i="16"/>
  <c r="AB274" i="16"/>
  <c r="T274" i="16"/>
  <c r="L274" i="16"/>
  <c r="AA274" i="16"/>
  <c r="S274" i="16"/>
  <c r="K274" i="16"/>
  <c r="J274" i="16"/>
  <c r="Z274" i="16"/>
  <c r="R274" i="16"/>
  <c r="AY27" i="16"/>
  <c r="AY28" i="16" l="1"/>
  <c r="AC275" i="16"/>
  <c r="U275" i="16"/>
  <c r="M275" i="16"/>
  <c r="AB275" i="16"/>
  <c r="T275" i="16"/>
  <c r="L275" i="16"/>
  <c r="AA275" i="16"/>
  <c r="S275" i="16"/>
  <c r="K275" i="16"/>
  <c r="Z275" i="16"/>
  <c r="R275" i="16"/>
  <c r="J275" i="16"/>
  <c r="B276" i="16"/>
  <c r="Y275" i="16"/>
  <c r="Q275" i="16"/>
  <c r="I275" i="16"/>
  <c r="AF275" i="16"/>
  <c r="X275" i="16"/>
  <c r="P275" i="16"/>
  <c r="H275" i="16"/>
  <c r="AE275" i="16"/>
  <c r="W275" i="16"/>
  <c r="O275" i="16"/>
  <c r="G275" i="16"/>
  <c r="AD275" i="16"/>
  <c r="V275" i="16"/>
  <c r="N275" i="16"/>
  <c r="F275" i="16"/>
  <c r="B277" i="16" l="1"/>
  <c r="Y276" i="16"/>
  <c r="Q276" i="16"/>
  <c r="I276" i="16"/>
  <c r="AF276" i="16"/>
  <c r="X276" i="16"/>
  <c r="P276" i="16"/>
  <c r="H276" i="16"/>
  <c r="AE276" i="16"/>
  <c r="W276" i="16"/>
  <c r="O276" i="16"/>
  <c r="G276" i="16"/>
  <c r="AD276" i="16"/>
  <c r="V276" i="16"/>
  <c r="N276" i="16"/>
  <c r="F276" i="16"/>
  <c r="AC276" i="16"/>
  <c r="U276" i="16"/>
  <c r="M276" i="16"/>
  <c r="AB276" i="16"/>
  <c r="T276" i="16"/>
  <c r="L276" i="16"/>
  <c r="AA276" i="16"/>
  <c r="S276" i="16"/>
  <c r="K276" i="16"/>
  <c r="R276" i="16"/>
  <c r="J276" i="16"/>
  <c r="Z276" i="16"/>
  <c r="AY29" i="16"/>
  <c r="AY30" i="16" l="1"/>
  <c r="AC277" i="16"/>
  <c r="U277" i="16"/>
  <c r="M277" i="16"/>
  <c r="AB277" i="16"/>
  <c r="T277" i="16"/>
  <c r="L277" i="16"/>
  <c r="AA277" i="16"/>
  <c r="S277" i="16"/>
  <c r="K277" i="16"/>
  <c r="Z277" i="16"/>
  <c r="R277" i="16"/>
  <c r="J277" i="16"/>
  <c r="B278" i="16"/>
  <c r="Y277" i="16"/>
  <c r="Q277" i="16"/>
  <c r="I277" i="16"/>
  <c r="AF277" i="16"/>
  <c r="X277" i="16"/>
  <c r="P277" i="16"/>
  <c r="H277" i="16"/>
  <c r="AE277" i="16"/>
  <c r="W277" i="16"/>
  <c r="O277" i="16"/>
  <c r="G277" i="16"/>
  <c r="AD277" i="16"/>
  <c r="V277" i="16"/>
  <c r="N277" i="16"/>
  <c r="F277" i="16"/>
  <c r="B279" i="16" l="1"/>
  <c r="Y278" i="16"/>
  <c r="Q278" i="16"/>
  <c r="I278" i="16"/>
  <c r="AF278" i="16"/>
  <c r="X278" i="16"/>
  <c r="P278" i="16"/>
  <c r="H278" i="16"/>
  <c r="AE278" i="16"/>
  <c r="W278" i="16"/>
  <c r="O278" i="16"/>
  <c r="G278" i="16"/>
  <c r="AD278" i="16"/>
  <c r="V278" i="16"/>
  <c r="N278" i="16"/>
  <c r="F278" i="16"/>
  <c r="AC278" i="16"/>
  <c r="U278" i="16"/>
  <c r="M278" i="16"/>
  <c r="AB278" i="16"/>
  <c r="T278" i="16"/>
  <c r="L278" i="16"/>
  <c r="AA278" i="16"/>
  <c r="S278" i="16"/>
  <c r="K278" i="16"/>
  <c r="Z278" i="16"/>
  <c r="R278" i="16"/>
  <c r="J278" i="16"/>
  <c r="AY31" i="16"/>
  <c r="AY32" i="16" l="1"/>
  <c r="AC279" i="16"/>
  <c r="U279" i="16"/>
  <c r="M279" i="16"/>
  <c r="AB279" i="16"/>
  <c r="T279" i="16"/>
  <c r="L279" i="16"/>
  <c r="AA279" i="16"/>
  <c r="S279" i="16"/>
  <c r="K279" i="16"/>
  <c r="Z279" i="16"/>
  <c r="R279" i="16"/>
  <c r="J279" i="16"/>
  <c r="B280" i="16"/>
  <c r="Y279" i="16"/>
  <c r="Q279" i="16"/>
  <c r="I279" i="16"/>
  <c r="AF279" i="16"/>
  <c r="X279" i="16"/>
  <c r="P279" i="16"/>
  <c r="H279" i="16"/>
  <c r="AE279" i="16"/>
  <c r="W279" i="16"/>
  <c r="O279" i="16"/>
  <c r="G279" i="16"/>
  <c r="AD279" i="16"/>
  <c r="V279" i="16"/>
  <c r="N279" i="16"/>
  <c r="F279" i="16"/>
  <c r="B281" i="16" l="1"/>
  <c r="Y280" i="16"/>
  <c r="Q280" i="16"/>
  <c r="I280" i="16"/>
  <c r="AF280" i="16"/>
  <c r="X280" i="16"/>
  <c r="P280" i="16"/>
  <c r="H280" i="16"/>
  <c r="AE280" i="16"/>
  <c r="W280" i="16"/>
  <c r="O280" i="16"/>
  <c r="G280" i="16"/>
  <c r="AD280" i="16"/>
  <c r="V280" i="16"/>
  <c r="N280" i="16"/>
  <c r="F280" i="16"/>
  <c r="AC280" i="16"/>
  <c r="U280" i="16"/>
  <c r="M280" i="16"/>
  <c r="AB280" i="16"/>
  <c r="T280" i="16"/>
  <c r="L280" i="16"/>
  <c r="AA280" i="16"/>
  <c r="S280" i="16"/>
  <c r="K280" i="16"/>
  <c r="Z280" i="16"/>
  <c r="R280" i="16"/>
  <c r="J280" i="16"/>
  <c r="AY33" i="16"/>
  <c r="AY34" i="16" l="1"/>
  <c r="AC281" i="16"/>
  <c r="U281" i="16"/>
  <c r="M281" i="16"/>
  <c r="AB281" i="16"/>
  <c r="T281" i="16"/>
  <c r="L281" i="16"/>
  <c r="AA281" i="16"/>
  <c r="S281" i="16"/>
  <c r="K281" i="16"/>
  <c r="Z281" i="16"/>
  <c r="R281" i="16"/>
  <c r="J281" i="16"/>
  <c r="B282" i="16"/>
  <c r="Y281" i="16"/>
  <c r="Q281" i="16"/>
  <c r="I281" i="16"/>
  <c r="AF281" i="16"/>
  <c r="X281" i="16"/>
  <c r="P281" i="16"/>
  <c r="H281" i="16"/>
  <c r="AE281" i="16"/>
  <c r="W281" i="16"/>
  <c r="O281" i="16"/>
  <c r="G281" i="16"/>
  <c r="F281" i="16"/>
  <c r="AD281" i="16"/>
  <c r="V281" i="16"/>
  <c r="N281" i="16"/>
  <c r="B283" i="16" l="1"/>
  <c r="Y282" i="16"/>
  <c r="Q282" i="16"/>
  <c r="I282" i="16"/>
  <c r="AF282" i="16"/>
  <c r="X282" i="16"/>
  <c r="P282" i="16"/>
  <c r="H282" i="16"/>
  <c r="AE282" i="16"/>
  <c r="W282" i="16"/>
  <c r="O282" i="16"/>
  <c r="G282" i="16"/>
  <c r="AD282" i="16"/>
  <c r="V282" i="16"/>
  <c r="N282" i="16"/>
  <c r="F282" i="16"/>
  <c r="AC282" i="16"/>
  <c r="U282" i="16"/>
  <c r="M282" i="16"/>
  <c r="AB282" i="16"/>
  <c r="T282" i="16"/>
  <c r="L282" i="16"/>
  <c r="AA282" i="16"/>
  <c r="S282" i="16"/>
  <c r="K282" i="16"/>
  <c r="Z282" i="16"/>
  <c r="R282" i="16"/>
  <c r="J282" i="16"/>
  <c r="AY35" i="16"/>
  <c r="AY36" i="16" l="1"/>
  <c r="AC283" i="16"/>
  <c r="U283" i="16"/>
  <c r="M283" i="16"/>
  <c r="AB283" i="16"/>
  <c r="T283" i="16"/>
  <c r="L283" i="16"/>
  <c r="AA283" i="16"/>
  <c r="S283" i="16"/>
  <c r="K283" i="16"/>
  <c r="Z283" i="16"/>
  <c r="R283" i="16"/>
  <c r="J283" i="16"/>
  <c r="B284" i="16"/>
  <c r="Y283" i="16"/>
  <c r="Q283" i="16"/>
  <c r="I283" i="16"/>
  <c r="AF283" i="16"/>
  <c r="X283" i="16"/>
  <c r="P283" i="16"/>
  <c r="H283" i="16"/>
  <c r="AE283" i="16"/>
  <c r="W283" i="16"/>
  <c r="O283" i="16"/>
  <c r="G283" i="16"/>
  <c r="N283" i="16"/>
  <c r="F283" i="16"/>
  <c r="AD283" i="16"/>
  <c r="V283" i="16"/>
  <c r="AY37" i="16" l="1"/>
  <c r="B285" i="16"/>
  <c r="Y284" i="16"/>
  <c r="Q284" i="16"/>
  <c r="I284" i="16"/>
  <c r="AF284" i="16"/>
  <c r="X284" i="16"/>
  <c r="P284" i="16"/>
  <c r="H284" i="16"/>
  <c r="AE284" i="16"/>
  <c r="W284" i="16"/>
  <c r="O284" i="16"/>
  <c r="G284" i="16"/>
  <c r="AD284" i="16"/>
  <c r="V284" i="16"/>
  <c r="N284" i="16"/>
  <c r="F284" i="16"/>
  <c r="AC284" i="16"/>
  <c r="U284" i="16"/>
  <c r="M284" i="16"/>
  <c r="AB284" i="16"/>
  <c r="T284" i="16"/>
  <c r="L284" i="16"/>
  <c r="AA284" i="16"/>
  <c r="S284" i="16"/>
  <c r="K284" i="16"/>
  <c r="Z284" i="16"/>
  <c r="R284" i="16"/>
  <c r="J284" i="16"/>
  <c r="AC285" i="16" l="1"/>
  <c r="U285" i="16"/>
  <c r="M285" i="16"/>
  <c r="AB285" i="16"/>
  <c r="T285" i="16"/>
  <c r="L285" i="16"/>
  <c r="AA285" i="16"/>
  <c r="S285" i="16"/>
  <c r="K285" i="16"/>
  <c r="Z285" i="16"/>
  <c r="R285" i="16"/>
  <c r="J285" i="16"/>
  <c r="B286" i="16"/>
  <c r="Y285" i="16"/>
  <c r="Q285" i="16"/>
  <c r="I285" i="16"/>
  <c r="AF285" i="16"/>
  <c r="X285" i="16"/>
  <c r="P285" i="16"/>
  <c r="H285" i="16"/>
  <c r="AE285" i="16"/>
  <c r="W285" i="16"/>
  <c r="O285" i="16"/>
  <c r="G285" i="16"/>
  <c r="V285" i="16"/>
  <c r="N285" i="16"/>
  <c r="F285" i="16"/>
  <c r="AD285" i="16"/>
  <c r="AY38" i="16"/>
  <c r="B287" i="16" l="1"/>
  <c r="Y286" i="16"/>
  <c r="Q286" i="16"/>
  <c r="I286" i="16"/>
  <c r="AF286" i="16"/>
  <c r="X286" i="16"/>
  <c r="P286" i="16"/>
  <c r="H286" i="16"/>
  <c r="AE286" i="16"/>
  <c r="W286" i="16"/>
  <c r="O286" i="16"/>
  <c r="G286" i="16"/>
  <c r="AD286" i="16"/>
  <c r="V286" i="16"/>
  <c r="N286" i="16"/>
  <c r="F286" i="16"/>
  <c r="AC286" i="16"/>
  <c r="U286" i="16"/>
  <c r="M286" i="16"/>
  <c r="AB286" i="16"/>
  <c r="T286" i="16"/>
  <c r="L286" i="16"/>
  <c r="AA286" i="16"/>
  <c r="S286" i="16"/>
  <c r="K286" i="16"/>
  <c r="Z286" i="16"/>
  <c r="R286" i="16"/>
  <c r="J286" i="16"/>
  <c r="AY39" i="16"/>
  <c r="AY40" i="16" l="1"/>
  <c r="AC287" i="16"/>
  <c r="U287" i="16"/>
  <c r="M287" i="16"/>
  <c r="AB287" i="16"/>
  <c r="T287" i="16"/>
  <c r="L287" i="16"/>
  <c r="AA287" i="16"/>
  <c r="S287" i="16"/>
  <c r="K287" i="16"/>
  <c r="Z287" i="16"/>
  <c r="R287" i="16"/>
  <c r="J287" i="16"/>
  <c r="B288" i="16"/>
  <c r="Y287" i="16"/>
  <c r="Q287" i="16"/>
  <c r="I287" i="16"/>
  <c r="AF287" i="16"/>
  <c r="X287" i="16"/>
  <c r="P287" i="16"/>
  <c r="H287" i="16"/>
  <c r="AE287" i="16"/>
  <c r="W287" i="16"/>
  <c r="O287" i="16"/>
  <c r="G287" i="16"/>
  <c r="AD287" i="16"/>
  <c r="V287" i="16"/>
  <c r="N287" i="16"/>
  <c r="F287" i="16"/>
  <c r="B289" i="16" l="1"/>
  <c r="Y288" i="16"/>
  <c r="Q288" i="16"/>
  <c r="I288" i="16"/>
  <c r="AF288" i="16"/>
  <c r="X288" i="16"/>
  <c r="P288" i="16"/>
  <c r="H288" i="16"/>
  <c r="AE288" i="16"/>
  <c r="W288" i="16"/>
  <c r="O288" i="16"/>
  <c r="G288" i="16"/>
  <c r="AD288" i="16"/>
  <c r="V288" i="16"/>
  <c r="N288" i="16"/>
  <c r="F288" i="16"/>
  <c r="AC288" i="16"/>
  <c r="U288" i="16"/>
  <c r="M288" i="16"/>
  <c r="AB288" i="16"/>
  <c r="T288" i="16"/>
  <c r="L288" i="16"/>
  <c r="AA288" i="16"/>
  <c r="S288" i="16"/>
  <c r="K288" i="16"/>
  <c r="Z288" i="16"/>
  <c r="R288" i="16"/>
  <c r="J288" i="16"/>
  <c r="AY41" i="16"/>
  <c r="AY42" i="16" l="1"/>
  <c r="AF289" i="16"/>
  <c r="AE289" i="16"/>
  <c r="AD289" i="16"/>
  <c r="AC289" i="16"/>
  <c r="AB289" i="16"/>
  <c r="Z289" i="16"/>
  <c r="B290" i="16"/>
  <c r="Y289" i="16"/>
  <c r="U289" i="16"/>
  <c r="M289" i="16"/>
  <c r="T289" i="16"/>
  <c r="L289" i="16"/>
  <c r="S289" i="16"/>
  <c r="K289" i="16"/>
  <c r="R289" i="16"/>
  <c r="J289" i="16"/>
  <c r="AA289" i="16"/>
  <c r="Q289" i="16"/>
  <c r="I289" i="16"/>
  <c r="X289" i="16"/>
  <c r="P289" i="16"/>
  <c r="H289" i="16"/>
  <c r="W289" i="16"/>
  <c r="O289" i="16"/>
  <c r="G289" i="16"/>
  <c r="V289" i="16"/>
  <c r="N289" i="16"/>
  <c r="F289" i="16"/>
  <c r="AY43" i="16" l="1"/>
  <c r="AB290" i="16"/>
  <c r="T290" i="16"/>
  <c r="L290" i="16"/>
  <c r="AA290" i="16"/>
  <c r="S290" i="16"/>
  <c r="K290" i="16"/>
  <c r="Z290" i="16"/>
  <c r="R290" i="16"/>
  <c r="J290" i="16"/>
  <c r="B291" i="16"/>
  <c r="Y290" i="16"/>
  <c r="Q290" i="16"/>
  <c r="I290" i="16"/>
  <c r="AF290" i="16"/>
  <c r="X290" i="16"/>
  <c r="P290" i="16"/>
  <c r="H290" i="16"/>
  <c r="AD290" i="16"/>
  <c r="V290" i="16"/>
  <c r="N290" i="16"/>
  <c r="F290" i="16"/>
  <c r="AC290" i="16"/>
  <c r="U290" i="16"/>
  <c r="M290" i="16"/>
  <c r="AE290" i="16"/>
  <c r="W290" i="16"/>
  <c r="O290" i="16"/>
  <c r="G290" i="16"/>
  <c r="AF291" i="16" l="1"/>
  <c r="X291" i="16"/>
  <c r="P291" i="16"/>
  <c r="H291" i="16"/>
  <c r="AE291" i="16"/>
  <c r="W291" i="16"/>
  <c r="O291" i="16"/>
  <c r="G291" i="16"/>
  <c r="AD291" i="16"/>
  <c r="V291" i="16"/>
  <c r="N291" i="16"/>
  <c r="F291" i="16"/>
  <c r="AC291" i="16"/>
  <c r="U291" i="16"/>
  <c r="M291" i="16"/>
  <c r="AB291" i="16"/>
  <c r="T291" i="16"/>
  <c r="L291" i="16"/>
  <c r="Z291" i="16"/>
  <c r="R291" i="16"/>
  <c r="J291" i="16"/>
  <c r="B292" i="16"/>
  <c r="Y291" i="16"/>
  <c r="Q291" i="16"/>
  <c r="I291" i="16"/>
  <c r="AA291" i="16"/>
  <c r="S291" i="16"/>
  <c r="K291" i="16"/>
  <c r="AY44" i="16"/>
  <c r="AY45" i="16" l="1"/>
  <c r="AB292" i="16"/>
  <c r="T292" i="16"/>
  <c r="L292" i="16"/>
  <c r="AA292" i="16"/>
  <c r="S292" i="16"/>
  <c r="K292" i="16"/>
  <c r="Z292" i="16"/>
  <c r="R292" i="16"/>
  <c r="J292" i="16"/>
  <c r="B293" i="16"/>
  <c r="Y292" i="16"/>
  <c r="Q292" i="16"/>
  <c r="I292" i="16"/>
  <c r="AF292" i="16"/>
  <c r="X292" i="16"/>
  <c r="P292" i="16"/>
  <c r="H292" i="16"/>
  <c r="AD292" i="16"/>
  <c r="V292" i="16"/>
  <c r="N292" i="16"/>
  <c r="F292" i="16"/>
  <c r="AC292" i="16"/>
  <c r="U292" i="16"/>
  <c r="M292" i="16"/>
  <c r="AE292" i="16"/>
  <c r="W292" i="16"/>
  <c r="O292" i="16"/>
  <c r="G292" i="16"/>
  <c r="AF293" i="16" l="1"/>
  <c r="X293" i="16"/>
  <c r="P293" i="16"/>
  <c r="H293" i="16"/>
  <c r="AE293" i="16"/>
  <c r="W293" i="16"/>
  <c r="O293" i="16"/>
  <c r="G293" i="16"/>
  <c r="AD293" i="16"/>
  <c r="V293" i="16"/>
  <c r="N293" i="16"/>
  <c r="F293" i="16"/>
  <c r="AC293" i="16"/>
  <c r="U293" i="16"/>
  <c r="M293" i="16"/>
  <c r="AB293" i="16"/>
  <c r="T293" i="16"/>
  <c r="L293" i="16"/>
  <c r="Z293" i="16"/>
  <c r="R293" i="16"/>
  <c r="J293" i="16"/>
  <c r="B294" i="16"/>
  <c r="Y293" i="16"/>
  <c r="Q293" i="16"/>
  <c r="I293" i="16"/>
  <c r="K293" i="16"/>
  <c r="AA293" i="16"/>
  <c r="S293" i="16"/>
  <c r="AY46" i="16"/>
  <c r="AY47" i="16" l="1"/>
  <c r="AB294" i="16"/>
  <c r="T294" i="16"/>
  <c r="L294" i="16"/>
  <c r="AA294" i="16"/>
  <c r="S294" i="16"/>
  <c r="K294" i="16"/>
  <c r="Z294" i="16"/>
  <c r="R294" i="16"/>
  <c r="J294" i="16"/>
  <c r="B295" i="16"/>
  <c r="Y294" i="16"/>
  <c r="Q294" i="16"/>
  <c r="I294" i="16"/>
  <c r="AF294" i="16"/>
  <c r="X294" i="16"/>
  <c r="P294" i="16"/>
  <c r="H294" i="16"/>
  <c r="AD294" i="16"/>
  <c r="V294" i="16"/>
  <c r="N294" i="16"/>
  <c r="F294" i="16"/>
  <c r="AC294" i="16"/>
  <c r="U294" i="16"/>
  <c r="M294" i="16"/>
  <c r="AE294" i="16"/>
  <c r="W294" i="16"/>
  <c r="O294" i="16"/>
  <c r="G294" i="16"/>
  <c r="AY48" i="16" l="1"/>
  <c r="AF295" i="16"/>
  <c r="X295" i="16"/>
  <c r="P295" i="16"/>
  <c r="H295" i="16"/>
  <c r="AE295" i="16"/>
  <c r="W295" i="16"/>
  <c r="O295" i="16"/>
  <c r="G295" i="16"/>
  <c r="AD295" i="16"/>
  <c r="V295" i="16"/>
  <c r="N295" i="16"/>
  <c r="F295" i="16"/>
  <c r="AC295" i="16"/>
  <c r="U295" i="16"/>
  <c r="M295" i="16"/>
  <c r="AB295" i="16"/>
  <c r="T295" i="16"/>
  <c r="L295" i="16"/>
  <c r="Z295" i="16"/>
  <c r="R295" i="16"/>
  <c r="J295" i="16"/>
  <c r="B296" i="16"/>
  <c r="Y295" i="16"/>
  <c r="Q295" i="16"/>
  <c r="I295" i="16"/>
  <c r="S295" i="16"/>
  <c r="K295" i="16"/>
  <c r="AA295" i="16"/>
  <c r="AB296" i="16" l="1"/>
  <c r="T296" i="16"/>
  <c r="L296" i="16"/>
  <c r="AA296" i="16"/>
  <c r="S296" i="16"/>
  <c r="K296" i="16"/>
  <c r="Z296" i="16"/>
  <c r="R296" i="16"/>
  <c r="J296" i="16"/>
  <c r="B297" i="16"/>
  <c r="Y296" i="16"/>
  <c r="Q296" i="16"/>
  <c r="I296" i="16"/>
  <c r="AF296" i="16"/>
  <c r="X296" i="16"/>
  <c r="P296" i="16"/>
  <c r="H296" i="16"/>
  <c r="AD296" i="16"/>
  <c r="V296" i="16"/>
  <c r="N296" i="16"/>
  <c r="F296" i="16"/>
  <c r="AC296" i="16"/>
  <c r="U296" i="16"/>
  <c r="M296" i="16"/>
  <c r="AE296" i="16"/>
  <c r="W296" i="16"/>
  <c r="O296" i="16"/>
  <c r="G296" i="16"/>
  <c r="AY49" i="16"/>
  <c r="AY50" i="16" l="1"/>
  <c r="AF297" i="16"/>
  <c r="X297" i="16"/>
  <c r="P297" i="16"/>
  <c r="H297" i="16"/>
  <c r="AE297" i="16"/>
  <c r="W297" i="16"/>
  <c r="O297" i="16"/>
  <c r="G297" i="16"/>
  <c r="AD297" i="16"/>
  <c r="V297" i="16"/>
  <c r="N297" i="16"/>
  <c r="F297" i="16"/>
  <c r="AC297" i="16"/>
  <c r="U297" i="16"/>
  <c r="M297" i="16"/>
  <c r="AB297" i="16"/>
  <c r="T297" i="16"/>
  <c r="L297" i="16"/>
  <c r="Z297" i="16"/>
  <c r="R297" i="16"/>
  <c r="J297" i="16"/>
  <c r="B298" i="16"/>
  <c r="Y297" i="16"/>
  <c r="Q297" i="16"/>
  <c r="I297" i="16"/>
  <c r="AA297" i="16"/>
  <c r="S297" i="16"/>
  <c r="K297" i="16"/>
  <c r="AB298" i="16" l="1"/>
  <c r="T298" i="16"/>
  <c r="L298" i="16"/>
  <c r="AA298" i="16"/>
  <c r="S298" i="16"/>
  <c r="K298" i="16"/>
  <c r="Z298" i="16"/>
  <c r="R298" i="16"/>
  <c r="J298" i="16"/>
  <c r="B299" i="16"/>
  <c r="Y298" i="16"/>
  <c r="Q298" i="16"/>
  <c r="I298" i="16"/>
  <c r="AF298" i="16"/>
  <c r="X298" i="16"/>
  <c r="P298" i="16"/>
  <c r="H298" i="16"/>
  <c r="AD298" i="16"/>
  <c r="V298" i="16"/>
  <c r="N298" i="16"/>
  <c r="F298" i="16"/>
  <c r="AC298" i="16"/>
  <c r="U298" i="16"/>
  <c r="M298" i="16"/>
  <c r="AE298" i="16"/>
  <c r="W298" i="16"/>
  <c r="O298" i="16"/>
  <c r="G298" i="16"/>
  <c r="AY51" i="16"/>
  <c r="AY52" i="16" l="1"/>
  <c r="AF299" i="16"/>
  <c r="X299" i="16"/>
  <c r="P299" i="16"/>
  <c r="H299" i="16"/>
  <c r="AE299" i="16"/>
  <c r="W299" i="16"/>
  <c r="O299" i="16"/>
  <c r="G299" i="16"/>
  <c r="AD299" i="16"/>
  <c r="V299" i="16"/>
  <c r="N299" i="16"/>
  <c r="F299" i="16"/>
  <c r="AC299" i="16"/>
  <c r="U299" i="16"/>
  <c r="M299" i="16"/>
  <c r="AB299" i="16"/>
  <c r="T299" i="16"/>
  <c r="L299" i="16"/>
  <c r="Z299" i="16"/>
  <c r="R299" i="16"/>
  <c r="J299" i="16"/>
  <c r="B300" i="16"/>
  <c r="Y299" i="16"/>
  <c r="Q299" i="16"/>
  <c r="I299" i="16"/>
  <c r="AA299" i="16"/>
  <c r="S299" i="16"/>
  <c r="K299" i="16"/>
  <c r="AB300" i="16" l="1"/>
  <c r="T300" i="16"/>
  <c r="L300" i="16"/>
  <c r="AA300" i="16"/>
  <c r="S300" i="16"/>
  <c r="K300" i="16"/>
  <c r="Z300" i="16"/>
  <c r="R300" i="16"/>
  <c r="J300" i="16"/>
  <c r="B301" i="16"/>
  <c r="Y300" i="16"/>
  <c r="Q300" i="16"/>
  <c r="I300" i="16"/>
  <c r="AF300" i="16"/>
  <c r="X300" i="16"/>
  <c r="P300" i="16"/>
  <c r="H300" i="16"/>
  <c r="AD300" i="16"/>
  <c r="V300" i="16"/>
  <c r="N300" i="16"/>
  <c r="F300" i="16"/>
  <c r="AC300" i="16"/>
  <c r="U300" i="16"/>
  <c r="M300" i="16"/>
  <c r="G300" i="16"/>
  <c r="AE300" i="16"/>
  <c r="W300" i="16"/>
  <c r="O300" i="16"/>
  <c r="AY53" i="16"/>
  <c r="AY54" i="16" l="1"/>
  <c r="AF301" i="16"/>
  <c r="X301" i="16"/>
  <c r="P301" i="16"/>
  <c r="H301" i="16"/>
  <c r="AE301" i="16"/>
  <c r="W301" i="16"/>
  <c r="O301" i="16"/>
  <c r="G301" i="16"/>
  <c r="AD301" i="16"/>
  <c r="V301" i="16"/>
  <c r="N301" i="16"/>
  <c r="F301" i="16"/>
  <c r="AC301" i="16"/>
  <c r="U301" i="16"/>
  <c r="M301" i="16"/>
  <c r="AB301" i="16"/>
  <c r="T301" i="16"/>
  <c r="L301" i="16"/>
  <c r="Z301" i="16"/>
  <c r="R301" i="16"/>
  <c r="J301" i="16"/>
  <c r="B302" i="16"/>
  <c r="Y301" i="16"/>
  <c r="Q301" i="16"/>
  <c r="I301" i="16"/>
  <c r="AA301" i="16"/>
  <c r="S301" i="16"/>
  <c r="K301" i="16"/>
  <c r="AB302" i="16" l="1"/>
  <c r="T302" i="16"/>
  <c r="L302" i="16"/>
  <c r="AA302" i="16"/>
  <c r="S302" i="16"/>
  <c r="K302" i="16"/>
  <c r="Z302" i="16"/>
  <c r="R302" i="16"/>
  <c r="J302" i="16"/>
  <c r="B303" i="16"/>
  <c r="Y302" i="16"/>
  <c r="Q302" i="16"/>
  <c r="I302" i="16"/>
  <c r="AF302" i="16"/>
  <c r="X302" i="16"/>
  <c r="P302" i="16"/>
  <c r="H302" i="16"/>
  <c r="AD302" i="16"/>
  <c r="V302" i="16"/>
  <c r="N302" i="16"/>
  <c r="F302" i="16"/>
  <c r="AC302" i="16"/>
  <c r="U302" i="16"/>
  <c r="M302" i="16"/>
  <c r="O302" i="16"/>
  <c r="G302" i="16"/>
  <c r="AE302" i="16"/>
  <c r="W302" i="16"/>
  <c r="AY55" i="16"/>
  <c r="AY56" i="16" l="1"/>
  <c r="AF303" i="16"/>
  <c r="X303" i="16"/>
  <c r="P303" i="16"/>
  <c r="H303" i="16"/>
  <c r="AE303" i="16"/>
  <c r="W303" i="16"/>
  <c r="O303" i="16"/>
  <c r="G303" i="16"/>
  <c r="AD303" i="16"/>
  <c r="V303" i="16"/>
  <c r="N303" i="16"/>
  <c r="F303" i="16"/>
  <c r="AC303" i="16"/>
  <c r="U303" i="16"/>
  <c r="M303" i="16"/>
  <c r="AB303" i="16"/>
  <c r="T303" i="16"/>
  <c r="L303" i="16"/>
  <c r="Z303" i="16"/>
  <c r="R303" i="16"/>
  <c r="J303" i="16"/>
  <c r="B304" i="16"/>
  <c r="Y303" i="16"/>
  <c r="Q303" i="16"/>
  <c r="I303" i="16"/>
  <c r="AA303" i="16"/>
  <c r="S303" i="16"/>
  <c r="K303" i="16"/>
  <c r="AB304" i="16" l="1"/>
  <c r="T304" i="16"/>
  <c r="L304" i="16"/>
  <c r="AA304" i="16"/>
  <c r="S304" i="16"/>
  <c r="K304" i="16"/>
  <c r="Z304" i="16"/>
  <c r="R304" i="16"/>
  <c r="J304" i="16"/>
  <c r="B305" i="16"/>
  <c r="Y304" i="16"/>
  <c r="Q304" i="16"/>
  <c r="I304" i="16"/>
  <c r="AF304" i="16"/>
  <c r="X304" i="16"/>
  <c r="P304" i="16"/>
  <c r="H304" i="16"/>
  <c r="AD304" i="16"/>
  <c r="V304" i="16"/>
  <c r="N304" i="16"/>
  <c r="F304" i="16"/>
  <c r="AC304" i="16"/>
  <c r="U304" i="16"/>
  <c r="M304" i="16"/>
  <c r="W304" i="16"/>
  <c r="O304" i="16"/>
  <c r="G304" i="16"/>
  <c r="AE304" i="16"/>
  <c r="AY57" i="16"/>
  <c r="AY58" i="16" l="1"/>
  <c r="AF305" i="16"/>
  <c r="X305" i="16"/>
  <c r="P305" i="16"/>
  <c r="H305" i="16"/>
  <c r="AE305" i="16"/>
  <c r="W305" i="16"/>
  <c r="O305" i="16"/>
  <c r="G305" i="16"/>
  <c r="AD305" i="16"/>
  <c r="V305" i="16"/>
  <c r="N305" i="16"/>
  <c r="F305" i="16"/>
  <c r="AC305" i="16"/>
  <c r="U305" i="16"/>
  <c r="M305" i="16"/>
  <c r="AB305" i="16"/>
  <c r="T305" i="16"/>
  <c r="L305" i="16"/>
  <c r="Z305" i="16"/>
  <c r="R305" i="16"/>
  <c r="J305" i="16"/>
  <c r="B306" i="16"/>
  <c r="Y305" i="16"/>
  <c r="Q305" i="16"/>
  <c r="I305" i="16"/>
  <c r="AA305" i="16"/>
  <c r="S305" i="16"/>
  <c r="K305" i="16"/>
  <c r="AB306" i="16" l="1"/>
  <c r="T306" i="16"/>
  <c r="L306" i="16"/>
  <c r="AA306" i="16"/>
  <c r="S306" i="16"/>
  <c r="K306" i="16"/>
  <c r="Z306" i="16"/>
  <c r="R306" i="16"/>
  <c r="J306" i="16"/>
  <c r="B307" i="16"/>
  <c r="Y306" i="16"/>
  <c r="Q306" i="16"/>
  <c r="I306" i="16"/>
  <c r="AF306" i="16"/>
  <c r="X306" i="16"/>
  <c r="P306" i="16"/>
  <c r="H306" i="16"/>
  <c r="AD306" i="16"/>
  <c r="V306" i="16"/>
  <c r="N306" i="16"/>
  <c r="F306" i="16"/>
  <c r="AC306" i="16"/>
  <c r="U306" i="16"/>
  <c r="M306" i="16"/>
  <c r="AE306" i="16"/>
  <c r="W306" i="16"/>
  <c r="O306" i="16"/>
  <c r="G306" i="16"/>
  <c r="AY59" i="16"/>
  <c r="AY60" i="16" l="1"/>
  <c r="AF307" i="16"/>
  <c r="X307" i="16"/>
  <c r="P307" i="16"/>
  <c r="H307" i="16"/>
  <c r="AE307" i="16"/>
  <c r="W307" i="16"/>
  <c r="O307" i="16"/>
  <c r="G307" i="16"/>
  <c r="AD307" i="16"/>
  <c r="V307" i="16"/>
  <c r="N307" i="16"/>
  <c r="F307" i="16"/>
  <c r="AC307" i="16"/>
  <c r="U307" i="16"/>
  <c r="M307" i="16"/>
  <c r="AB307" i="16"/>
  <c r="T307" i="16"/>
  <c r="L307" i="16"/>
  <c r="Z307" i="16"/>
  <c r="R307" i="16"/>
  <c r="J307" i="16"/>
  <c r="B308" i="16"/>
  <c r="Y307" i="16"/>
  <c r="Q307" i="16"/>
  <c r="I307" i="16"/>
  <c r="AA307" i="16"/>
  <c r="S307" i="16"/>
  <c r="K307" i="16"/>
  <c r="AB308" i="16" l="1"/>
  <c r="T308" i="16"/>
  <c r="L308" i="16"/>
  <c r="AA308" i="16"/>
  <c r="S308" i="16"/>
  <c r="K308" i="16"/>
  <c r="Z308" i="16"/>
  <c r="R308" i="16"/>
  <c r="J308" i="16"/>
  <c r="B309" i="16"/>
  <c r="Y308" i="16"/>
  <c r="Q308" i="16"/>
  <c r="I308" i="16"/>
  <c r="AF308" i="16"/>
  <c r="X308" i="16"/>
  <c r="P308" i="16"/>
  <c r="H308" i="16"/>
  <c r="AD308" i="16"/>
  <c r="V308" i="16"/>
  <c r="N308" i="16"/>
  <c r="F308" i="16"/>
  <c r="AC308" i="16"/>
  <c r="U308" i="16"/>
  <c r="M308" i="16"/>
  <c r="AE308" i="16"/>
  <c r="W308" i="16"/>
  <c r="O308" i="16"/>
  <c r="G308" i="16"/>
  <c r="AY61" i="16"/>
  <c r="AY63" i="16" l="1"/>
  <c r="AY62" i="16"/>
  <c r="AF309" i="16"/>
  <c r="X309" i="16"/>
  <c r="P309" i="16"/>
  <c r="H309" i="16"/>
  <c r="AE309" i="16"/>
  <c r="W309" i="16"/>
  <c r="O309" i="16"/>
  <c r="G309" i="16"/>
  <c r="AD309" i="16"/>
  <c r="V309" i="16"/>
  <c r="N309" i="16"/>
  <c r="F309" i="16"/>
  <c r="AC309" i="16"/>
  <c r="U309" i="16"/>
  <c r="M309" i="16"/>
  <c r="AB309" i="16"/>
  <c r="T309" i="16"/>
  <c r="L309" i="16"/>
  <c r="Z309" i="16"/>
  <c r="R309" i="16"/>
  <c r="J309" i="16"/>
  <c r="B310" i="16"/>
  <c r="Y309" i="16"/>
  <c r="Q309" i="16"/>
  <c r="I309" i="16"/>
  <c r="K309" i="16"/>
  <c r="AA309" i="16"/>
  <c r="S309" i="16"/>
  <c r="AB310" i="16" l="1"/>
  <c r="T310" i="16"/>
  <c r="L310" i="16"/>
  <c r="AA310" i="16"/>
  <c r="S310" i="16"/>
  <c r="K310" i="16"/>
  <c r="Z310" i="16"/>
  <c r="R310" i="16"/>
  <c r="J310" i="16"/>
  <c r="B311" i="16"/>
  <c r="Y310" i="16"/>
  <c r="Q310" i="16"/>
  <c r="I310" i="16"/>
  <c r="AF310" i="16"/>
  <c r="X310" i="16"/>
  <c r="P310" i="16"/>
  <c r="H310" i="16"/>
  <c r="AD310" i="16"/>
  <c r="V310" i="16"/>
  <c r="N310" i="16"/>
  <c r="F310" i="16"/>
  <c r="AC310" i="16"/>
  <c r="U310" i="16"/>
  <c r="M310" i="16"/>
  <c r="AE310" i="16"/>
  <c r="W310" i="16"/>
  <c r="O310" i="16"/>
  <c r="G310" i="16"/>
  <c r="AF311" i="16" l="1"/>
  <c r="X311" i="16"/>
  <c r="P311" i="16"/>
  <c r="H311" i="16"/>
  <c r="AE311" i="16"/>
  <c r="W311" i="16"/>
  <c r="O311" i="16"/>
  <c r="G311" i="16"/>
  <c r="AD311" i="16"/>
  <c r="V311" i="16"/>
  <c r="N311" i="16"/>
  <c r="F311" i="16"/>
  <c r="AC311" i="16"/>
  <c r="U311" i="16"/>
  <c r="M311" i="16"/>
  <c r="AB311" i="16"/>
  <c r="T311" i="16"/>
  <c r="L311" i="16"/>
  <c r="Z311" i="16"/>
  <c r="R311" i="16"/>
  <c r="J311" i="16"/>
  <c r="B312" i="16"/>
  <c r="Y311" i="16"/>
  <c r="Q311" i="16"/>
  <c r="I311" i="16"/>
  <c r="S311" i="16"/>
  <c r="K311" i="16"/>
  <c r="AA311" i="16"/>
  <c r="AB312" i="16" l="1"/>
  <c r="T312" i="16"/>
  <c r="L312" i="16"/>
  <c r="AA312" i="16"/>
  <c r="S312" i="16"/>
  <c r="K312" i="16"/>
  <c r="Z312" i="16"/>
  <c r="R312" i="16"/>
  <c r="J312" i="16"/>
  <c r="B313" i="16"/>
  <c r="Y312" i="16"/>
  <c r="Q312" i="16"/>
  <c r="I312" i="16"/>
  <c r="AF312" i="16"/>
  <c r="X312" i="16"/>
  <c r="P312" i="16"/>
  <c r="H312" i="16"/>
  <c r="AD312" i="16"/>
  <c r="V312" i="16"/>
  <c r="N312" i="16"/>
  <c r="F312" i="16"/>
  <c r="AC312" i="16"/>
  <c r="U312" i="16"/>
  <c r="M312" i="16"/>
  <c r="AE312" i="16"/>
  <c r="W312" i="16"/>
  <c r="O312" i="16"/>
  <c r="G312" i="16"/>
  <c r="AF313" i="16" l="1"/>
  <c r="X313" i="16"/>
  <c r="P313" i="16"/>
  <c r="H313" i="16"/>
  <c r="AE313" i="16"/>
  <c r="W313" i="16"/>
  <c r="O313" i="16"/>
  <c r="G313" i="16"/>
  <c r="AD313" i="16"/>
  <c r="V313" i="16"/>
  <c r="N313" i="16"/>
  <c r="F313" i="16"/>
  <c r="AC313" i="16"/>
  <c r="U313" i="16"/>
  <c r="M313" i="16"/>
  <c r="AB313" i="16"/>
  <c r="T313" i="16"/>
  <c r="L313" i="16"/>
  <c r="Z313" i="16"/>
  <c r="R313" i="16"/>
  <c r="J313" i="16"/>
  <c r="Y313" i="16"/>
  <c r="Q313" i="16"/>
  <c r="I313" i="16"/>
  <c r="AA313" i="16"/>
  <c r="S313" i="16"/>
  <c r="K313" i="16"/>
  <c r="F36" i="22" l="1"/>
  <c r="O19" i="73" l="1"/>
  <c r="O20" i="90"/>
  <c r="O21" i="90"/>
  <c r="I20" i="90"/>
  <c r="I21" i="90"/>
  <c r="O20" i="89"/>
  <c r="O21" i="89"/>
  <c r="I20" i="89"/>
  <c r="I21" i="89"/>
  <c r="O20" i="91"/>
  <c r="O21" i="91"/>
  <c r="I20" i="91"/>
  <c r="I21" i="91"/>
  <c r="O20" i="85"/>
  <c r="O21" i="85"/>
  <c r="I20" i="85"/>
  <c r="I21" i="85"/>
  <c r="O20" i="87"/>
  <c r="O21" i="87"/>
  <c r="I20" i="87"/>
  <c r="I21" i="87"/>
  <c r="O20" i="86"/>
  <c r="O21" i="86"/>
  <c r="I20" i="86"/>
  <c r="I21" i="86"/>
  <c r="O20" i="76"/>
  <c r="O21" i="76"/>
  <c r="O20" i="74"/>
  <c r="O21" i="74"/>
  <c r="I20" i="74"/>
  <c r="I21" i="74"/>
  <c r="O20" i="75"/>
  <c r="O21" i="75"/>
  <c r="O20" i="73"/>
  <c r="O21" i="73"/>
  <c r="I20" i="73"/>
  <c r="I21" i="73"/>
  <c r="O20" i="72"/>
  <c r="O21" i="72"/>
  <c r="I20" i="72"/>
  <c r="I21" i="72"/>
  <c r="O20" i="71"/>
  <c r="O21" i="71"/>
  <c r="I20" i="71"/>
  <c r="I21" i="71"/>
  <c r="O20" i="70"/>
  <c r="O21" i="70"/>
  <c r="I20" i="70"/>
  <c r="I21" i="70"/>
  <c r="O20" i="107"/>
  <c r="O21" i="107"/>
  <c r="L20" i="107"/>
  <c r="L21" i="107"/>
  <c r="I20" i="107"/>
  <c r="I21" i="107"/>
  <c r="O19" i="51"/>
  <c r="O19" i="107"/>
  <c r="I19" i="51"/>
  <c r="L19" i="107"/>
  <c r="L19" i="51"/>
  <c r="I19" i="107"/>
  <c r="I20" i="51"/>
  <c r="O20" i="51"/>
  <c r="O21" i="51"/>
  <c r="I21" i="51"/>
  <c r="O20" i="50"/>
  <c r="O21" i="50"/>
  <c r="I20" i="50"/>
  <c r="I21" i="50"/>
  <c r="O20" i="39"/>
  <c r="O21" i="39"/>
  <c r="I20" i="39"/>
  <c r="I21" i="39"/>
  <c r="O20" i="25"/>
  <c r="O21" i="25"/>
  <c r="I20" i="25"/>
  <c r="I21" i="25"/>
  <c r="O20" i="24"/>
  <c r="O21" i="24"/>
  <c r="I20" i="24"/>
  <c r="I21" i="24"/>
  <c r="O20" i="49"/>
  <c r="O21" i="49"/>
  <c r="I20" i="49"/>
  <c r="I21" i="49"/>
  <c r="O20" i="48"/>
  <c r="O21" i="48"/>
  <c r="I20" i="48"/>
  <c r="I21" i="48"/>
  <c r="O20" i="47"/>
  <c r="O21" i="47"/>
  <c r="I20" i="47"/>
  <c r="I21" i="47"/>
  <c r="O20" i="46"/>
  <c r="O21" i="46"/>
  <c r="I20" i="46"/>
  <c r="I21" i="46"/>
  <c r="O20" i="45"/>
  <c r="O21" i="45"/>
  <c r="I20" i="45"/>
  <c r="I21" i="45"/>
  <c r="O20" i="44"/>
  <c r="O21" i="44"/>
  <c r="I20" i="44"/>
  <c r="I21" i="44"/>
  <c r="O20" i="43"/>
  <c r="O21" i="43"/>
  <c r="I20" i="43"/>
  <c r="I21" i="43"/>
  <c r="O20" i="42"/>
  <c r="O21" i="42"/>
  <c r="I20" i="42"/>
  <c r="I21" i="42"/>
  <c r="O20" i="41"/>
  <c r="O21" i="41"/>
  <c r="I20" i="41"/>
  <c r="I21" i="41"/>
  <c r="O20" i="40"/>
  <c r="O21" i="40"/>
  <c r="I20" i="40"/>
  <c r="I21" i="40"/>
  <c r="O20" i="38"/>
  <c r="O21" i="38"/>
  <c r="I20" i="38"/>
  <c r="I21" i="38"/>
  <c r="O20" i="37"/>
  <c r="O21" i="37"/>
  <c r="I20" i="37"/>
  <c r="I21" i="37"/>
  <c r="O20" i="36"/>
  <c r="O21" i="36"/>
  <c r="I20" i="36"/>
  <c r="I21" i="36"/>
  <c r="O20" i="34"/>
  <c r="O21" i="34"/>
  <c r="L20" i="34"/>
  <c r="L21" i="34"/>
  <c r="I20" i="34"/>
  <c r="I21" i="34"/>
  <c r="O20" i="35"/>
  <c r="O21" i="35"/>
  <c r="I20" i="35"/>
  <c r="I21" i="35"/>
  <c r="O20" i="33"/>
  <c r="O21" i="33"/>
  <c r="I20" i="33"/>
  <c r="I21" i="33"/>
  <c r="O20" i="32"/>
  <c r="O21" i="32"/>
  <c r="I20" i="32"/>
  <c r="I21" i="32"/>
  <c r="O20" i="31"/>
  <c r="O21" i="31"/>
  <c r="I20" i="31"/>
  <c r="I21" i="31"/>
  <c r="O20" i="30"/>
  <c r="O21" i="30"/>
  <c r="I20" i="30"/>
  <c r="I21" i="30"/>
  <c r="O20" i="29"/>
  <c r="O21" i="29"/>
  <c r="I20" i="29"/>
  <c r="I21" i="29"/>
  <c r="O20" i="28"/>
  <c r="O21" i="28"/>
  <c r="I20" i="28"/>
  <c r="I21" i="28"/>
  <c r="O20" i="27"/>
  <c r="O21" i="27"/>
  <c r="I20" i="27"/>
  <c r="I21" i="27"/>
  <c r="O20" i="26"/>
  <c r="O21" i="26"/>
  <c r="L20" i="26"/>
  <c r="L21" i="26"/>
  <c r="I20" i="26"/>
  <c r="I21" i="26"/>
  <c r="O20" i="23"/>
  <c r="O21" i="23"/>
  <c r="L20" i="23"/>
  <c r="L21" i="23"/>
  <c r="I20" i="23"/>
  <c r="I21" i="23"/>
  <c r="O20" i="22"/>
  <c r="O21" i="22"/>
  <c r="L20" i="22"/>
  <c r="L21" i="22"/>
  <c r="I20" i="22"/>
  <c r="I21" i="22"/>
  <c r="N49" i="63" l="1"/>
  <c r="N50" i="63"/>
  <c r="N51" i="63"/>
  <c r="N53" i="63"/>
  <c r="N48" i="63"/>
  <c r="L19" i="89" l="1"/>
  <c r="L20" i="87"/>
  <c r="L21" i="87"/>
  <c r="L19" i="87"/>
  <c r="L20" i="86"/>
  <c r="L21" i="86"/>
  <c r="L19" i="86"/>
  <c r="L20" i="90"/>
  <c r="L21" i="90"/>
  <c r="L20" i="89"/>
  <c r="L21" i="89"/>
  <c r="L20" i="85"/>
  <c r="L21" i="85"/>
  <c r="L19" i="85"/>
  <c r="L20" i="91"/>
  <c r="L21" i="91"/>
  <c r="L19" i="91"/>
  <c r="L19" i="90"/>
  <c r="L20" i="84"/>
  <c r="L21" i="84"/>
  <c r="L19" i="84"/>
  <c r="M18" i="84" s="1"/>
  <c r="L20" i="83"/>
  <c r="L21" i="83"/>
  <c r="L19" i="83"/>
  <c r="L20" i="82"/>
  <c r="L21" i="82"/>
  <c r="L19" i="82"/>
  <c r="L20" i="81"/>
  <c r="L21" i="81"/>
  <c r="L19" i="81"/>
  <c r="L20" i="80"/>
  <c r="L21" i="80"/>
  <c r="L19" i="80"/>
  <c r="L20" i="109"/>
  <c r="L21" i="109"/>
  <c r="L19" i="109"/>
  <c r="L20" i="79"/>
  <c r="L21" i="79"/>
  <c r="L19" i="79"/>
  <c r="L21" i="76"/>
  <c r="L21" i="74"/>
  <c r="L21" i="75"/>
  <c r="L20" i="78"/>
  <c r="L21" i="78"/>
  <c r="L19" i="78"/>
  <c r="L20" i="77"/>
  <c r="L21" i="77"/>
  <c r="L19" i="77"/>
  <c r="L20" i="76"/>
  <c r="L19" i="76"/>
  <c r="Q14" i="77"/>
  <c r="L20" i="74"/>
  <c r="L19" i="74"/>
  <c r="L20" i="75"/>
  <c r="L19" i="75"/>
  <c r="L21" i="73"/>
  <c r="L20" i="73"/>
  <c r="L19" i="73"/>
  <c r="L20" i="72"/>
  <c r="L21" i="72"/>
  <c r="L19" i="72"/>
  <c r="L20" i="71"/>
  <c r="L21" i="71"/>
  <c r="L19" i="71"/>
  <c r="L20" i="70"/>
  <c r="L21" i="70"/>
  <c r="L19" i="70"/>
  <c r="L20" i="51"/>
  <c r="L21" i="51"/>
  <c r="L20" i="50"/>
  <c r="L21" i="50"/>
  <c r="L19" i="50"/>
  <c r="L20" i="39"/>
  <c r="L21" i="39"/>
  <c r="L19" i="39"/>
  <c r="L20" i="25"/>
  <c r="L21" i="25"/>
  <c r="L19" i="25"/>
  <c r="L20" i="24"/>
  <c r="L21" i="24"/>
  <c r="L19" i="24"/>
  <c r="L20" i="49"/>
  <c r="L21" i="49"/>
  <c r="L19" i="49"/>
  <c r="L20" i="48"/>
  <c r="L21" i="48"/>
  <c r="L19" i="48"/>
  <c r="L20" i="47"/>
  <c r="L21" i="47"/>
  <c r="L19" i="47"/>
  <c r="L20" i="46"/>
  <c r="L21" i="46"/>
  <c r="L19" i="46"/>
  <c r="L20" i="45"/>
  <c r="L21" i="45"/>
  <c r="L19" i="45"/>
  <c r="L20" i="44"/>
  <c r="L21" i="44"/>
  <c r="L19" i="44"/>
  <c r="L20" i="43"/>
  <c r="L21" i="43"/>
  <c r="L19" i="43"/>
  <c r="L20" i="42"/>
  <c r="L21" i="42"/>
  <c r="L19" i="42"/>
  <c r="L20" i="41"/>
  <c r="L21" i="41"/>
  <c r="L19" i="41"/>
  <c r="L20" i="40"/>
  <c r="L21" i="40"/>
  <c r="L19" i="40"/>
  <c r="L20" i="38"/>
  <c r="L21" i="38"/>
  <c r="L19" i="38"/>
  <c r="L20" i="37"/>
  <c r="L21" i="37"/>
  <c r="L19" i="37"/>
  <c r="L20" i="36"/>
  <c r="L21" i="36"/>
  <c r="L19" i="36"/>
  <c r="L20" i="35"/>
  <c r="L21" i="35"/>
  <c r="L19" i="35"/>
  <c r="L19" i="34"/>
  <c r="L20" i="33"/>
  <c r="L21" i="33"/>
  <c r="L19" i="33"/>
  <c r="L20" i="32"/>
  <c r="L21" i="32"/>
  <c r="L19" i="32"/>
  <c r="L19" i="31"/>
  <c r="L20" i="31" l="1"/>
  <c r="L21" i="31"/>
  <c r="L20" i="30"/>
  <c r="L21" i="30"/>
  <c r="L19" i="30"/>
  <c r="L20" i="29"/>
  <c r="L21" i="29"/>
  <c r="L19" i="29"/>
  <c r="L19" i="28"/>
  <c r="L20" i="28"/>
  <c r="L21" i="28"/>
  <c r="L20" i="27"/>
  <c r="L21" i="27"/>
  <c r="L19" i="27"/>
  <c r="N72" i="13"/>
  <c r="N73" i="13"/>
  <c r="N71" i="13"/>
  <c r="L19" i="23" s="1"/>
  <c r="L19" i="22"/>
  <c r="Q15" i="22"/>
  <c r="Q16" i="22"/>
  <c r="Q14" i="22"/>
  <c r="L25" i="12" l="1"/>
  <c r="N25" i="12" s="1"/>
  <c r="L21" i="12"/>
  <c r="N21" i="12" s="1"/>
  <c r="L20" i="12"/>
  <c r="N20" i="12" s="1"/>
  <c r="L19" i="12"/>
  <c r="N19" i="12" s="1"/>
  <c r="L18" i="12"/>
  <c r="N18" i="12" s="1"/>
  <c r="L16" i="12"/>
  <c r="A38" i="60" l="1"/>
  <c r="L19" i="26" l="1"/>
  <c r="N60" i="13" l="1"/>
  <c r="N61" i="13"/>
  <c r="N62" i="13"/>
  <c r="N63" i="13"/>
  <c r="N64" i="13"/>
  <c r="N65" i="13"/>
  <c r="N66" i="13"/>
  <c r="N67" i="13"/>
  <c r="N68" i="13"/>
  <c r="N69" i="13"/>
  <c r="N70" i="13"/>
  <c r="N36" i="13"/>
  <c r="N37" i="13"/>
  <c r="N38" i="13"/>
  <c r="N39" i="13"/>
  <c r="N40" i="13"/>
  <c r="N41" i="13"/>
  <c r="N42" i="13"/>
  <c r="N43" i="13"/>
  <c r="N44" i="13"/>
  <c r="N45" i="13"/>
  <c r="N46" i="13"/>
  <c r="F25" i="50" l="1"/>
  <c r="F25" i="39"/>
  <c r="F25" i="25"/>
  <c r="F25" i="24"/>
  <c r="F25" i="49"/>
  <c r="F25" i="48"/>
  <c r="F25" i="47"/>
  <c r="F25" i="46"/>
  <c r="F25" i="45"/>
  <c r="F25" i="44"/>
  <c r="F25" i="43"/>
  <c r="F25" i="42"/>
  <c r="F25" i="41"/>
  <c r="F25" i="40"/>
  <c r="F26" i="37"/>
  <c r="F25" i="37"/>
  <c r="F25" i="36" l="1"/>
  <c r="F25" i="35"/>
  <c r="F25" i="34"/>
  <c r="F25" i="33"/>
  <c r="F25" i="32"/>
  <c r="F25" i="31"/>
  <c r="F25" i="30"/>
  <c r="F25" i="29"/>
  <c r="F25" i="28"/>
  <c r="F25" i="27"/>
  <c r="F26" i="26"/>
  <c r="F25" i="26"/>
  <c r="F25" i="23"/>
  <c r="F25" i="22"/>
  <c r="N59" i="13"/>
  <c r="L58" i="13"/>
  <c r="H58" i="13"/>
  <c r="I58" i="13"/>
  <c r="J58" i="13"/>
  <c r="K58" i="13"/>
  <c r="G58" i="13"/>
  <c r="N58" i="13"/>
  <c r="N35" i="13"/>
  <c r="O9" i="12" l="1"/>
  <c r="N23" i="13" l="1"/>
  <c r="N21" i="13"/>
  <c r="N12" i="13"/>
  <c r="N11" i="13"/>
  <c r="N13" i="13"/>
  <c r="N42" i="15" l="1"/>
  <c r="A62" i="12"/>
  <c r="O62" i="12" s="1"/>
  <c r="A63" i="12"/>
  <c r="O63" i="12" s="1"/>
  <c r="A64" i="12"/>
  <c r="O64" i="12" l="1"/>
  <c r="D5" i="14" s="1"/>
  <c r="N31" i="60"/>
  <c r="N32" i="60"/>
  <c r="N33" i="60"/>
  <c r="N36" i="60"/>
  <c r="N37" i="60"/>
  <c r="N40" i="60"/>
  <c r="N45" i="60"/>
  <c r="N46" i="60"/>
  <c r="N47" i="60"/>
  <c r="N50" i="60"/>
  <c r="D4" i="62" l="1"/>
  <c r="M10" i="6" l="1"/>
  <c r="CX65" i="21" l="1"/>
  <c r="CY65" i="21"/>
  <c r="D4" i="21"/>
  <c r="Q39" i="22"/>
  <c r="Q40" i="22"/>
  <c r="Q41" i="22"/>
  <c r="Q42" i="22"/>
  <c r="F42" i="107"/>
  <c r="F41" i="107"/>
  <c r="F40" i="107"/>
  <c r="F39" i="107"/>
  <c r="F38" i="107"/>
  <c r="F37" i="107"/>
  <c r="F36" i="107"/>
  <c r="F42" i="51"/>
  <c r="F41" i="51"/>
  <c r="F40" i="51"/>
  <c r="F39" i="51"/>
  <c r="F38" i="51"/>
  <c r="F37" i="51"/>
  <c r="F36" i="51"/>
  <c r="F42" i="50"/>
  <c r="F41" i="50"/>
  <c r="F40" i="50"/>
  <c r="F39" i="50"/>
  <c r="F38" i="50"/>
  <c r="F37" i="50"/>
  <c r="F36" i="50"/>
  <c r="F42" i="23"/>
  <c r="F41" i="23"/>
  <c r="F40" i="23"/>
  <c r="F39" i="23"/>
  <c r="F38" i="23"/>
  <c r="F37" i="23"/>
  <c r="F36" i="23"/>
  <c r="F42" i="26"/>
  <c r="F41" i="26"/>
  <c r="F40" i="26"/>
  <c r="F39" i="26"/>
  <c r="F38" i="26"/>
  <c r="F37" i="26"/>
  <c r="F36" i="26"/>
  <c r="F42" i="27"/>
  <c r="F41" i="27"/>
  <c r="F40" i="27"/>
  <c r="F39" i="27"/>
  <c r="F38" i="27"/>
  <c r="F37" i="27"/>
  <c r="F36" i="27"/>
  <c r="F42" i="28"/>
  <c r="F41" i="28"/>
  <c r="F40" i="28"/>
  <c r="F39" i="28"/>
  <c r="F38" i="28"/>
  <c r="F37" i="28"/>
  <c r="F36" i="28"/>
  <c r="F42" i="29"/>
  <c r="F41" i="29"/>
  <c r="F40" i="29"/>
  <c r="F39" i="29"/>
  <c r="F38" i="29"/>
  <c r="F37" i="29"/>
  <c r="F36" i="29"/>
  <c r="F42" i="30"/>
  <c r="F41" i="30"/>
  <c r="F40" i="30"/>
  <c r="F39" i="30"/>
  <c r="F38" i="30"/>
  <c r="F37" i="30"/>
  <c r="F36" i="30"/>
  <c r="F42" i="31"/>
  <c r="F41" i="31"/>
  <c r="F40" i="31"/>
  <c r="F39" i="31"/>
  <c r="F38" i="31"/>
  <c r="F37" i="31"/>
  <c r="F36" i="31"/>
  <c r="F42" i="32"/>
  <c r="F41" i="32"/>
  <c r="F40" i="32"/>
  <c r="F39" i="32"/>
  <c r="F38" i="32"/>
  <c r="F37" i="32"/>
  <c r="F36" i="32"/>
  <c r="F42" i="33"/>
  <c r="F41" i="33"/>
  <c r="F40" i="33"/>
  <c r="F39" i="33"/>
  <c r="F38" i="33"/>
  <c r="F37" i="33"/>
  <c r="F36" i="33"/>
  <c r="F42" i="34"/>
  <c r="F41" i="34"/>
  <c r="F40" i="34"/>
  <c r="F39" i="34"/>
  <c r="F38" i="34"/>
  <c r="F37" i="34"/>
  <c r="F36" i="34"/>
  <c r="F42" i="35"/>
  <c r="F41" i="35"/>
  <c r="F40" i="35"/>
  <c r="F39" i="35"/>
  <c r="F38" i="35"/>
  <c r="F37" i="35"/>
  <c r="F36" i="35"/>
  <c r="F42" i="36"/>
  <c r="F41" i="36"/>
  <c r="F40" i="36"/>
  <c r="F39" i="36"/>
  <c r="F38" i="36"/>
  <c r="F37" i="36"/>
  <c r="F36" i="36"/>
  <c r="F42" i="37"/>
  <c r="F41" i="37"/>
  <c r="F40" i="37"/>
  <c r="F39" i="37"/>
  <c r="F38" i="37"/>
  <c r="F37" i="37"/>
  <c r="F42" i="38"/>
  <c r="F41" i="38"/>
  <c r="F40" i="38"/>
  <c r="F39" i="38"/>
  <c r="F38" i="38"/>
  <c r="F37" i="38"/>
  <c r="F42" i="40"/>
  <c r="F41" i="40"/>
  <c r="F40" i="40"/>
  <c r="F39" i="40"/>
  <c r="F38" i="40"/>
  <c r="F37" i="40"/>
  <c r="F36" i="40"/>
  <c r="F42" i="41"/>
  <c r="F41" i="41"/>
  <c r="F40" i="41"/>
  <c r="F39" i="41"/>
  <c r="F38" i="41"/>
  <c r="F37" i="41"/>
  <c r="F36" i="41"/>
  <c r="F42" i="42"/>
  <c r="F41" i="42"/>
  <c r="F40" i="42"/>
  <c r="F39" i="42"/>
  <c r="F38" i="42"/>
  <c r="F37" i="42"/>
  <c r="F36" i="42"/>
  <c r="F42" i="43"/>
  <c r="F41" i="43"/>
  <c r="F40" i="43"/>
  <c r="F39" i="43"/>
  <c r="F38" i="43"/>
  <c r="F37" i="43"/>
  <c r="F36" i="43"/>
  <c r="F42" i="44"/>
  <c r="F41" i="44"/>
  <c r="F40" i="44"/>
  <c r="F39" i="44"/>
  <c r="F38" i="44"/>
  <c r="F37" i="44"/>
  <c r="F36" i="44"/>
  <c r="F42" i="45"/>
  <c r="F41" i="45"/>
  <c r="F40" i="45"/>
  <c r="F39" i="45"/>
  <c r="F38" i="45"/>
  <c r="F37" i="45"/>
  <c r="F36" i="45"/>
  <c r="F42" i="46"/>
  <c r="F41" i="46"/>
  <c r="F40" i="46"/>
  <c r="F39" i="46"/>
  <c r="F38" i="46"/>
  <c r="F37" i="46"/>
  <c r="F36" i="46"/>
  <c r="F42" i="47"/>
  <c r="F41" i="47"/>
  <c r="F40" i="47"/>
  <c r="F39" i="47"/>
  <c r="F38" i="47"/>
  <c r="F37" i="47"/>
  <c r="F36" i="47"/>
  <c r="F42" i="48"/>
  <c r="F41" i="48"/>
  <c r="F40" i="48"/>
  <c r="F39" i="48"/>
  <c r="F38" i="48"/>
  <c r="F37" i="48"/>
  <c r="F36" i="48"/>
  <c r="F42" i="49"/>
  <c r="F41" i="49"/>
  <c r="F40" i="49"/>
  <c r="F39" i="49"/>
  <c r="F38" i="49"/>
  <c r="F37" i="49"/>
  <c r="F36" i="49"/>
  <c r="F42" i="24"/>
  <c r="F41" i="24"/>
  <c r="F40" i="24"/>
  <c r="F39" i="24"/>
  <c r="F38" i="24"/>
  <c r="F37" i="24"/>
  <c r="F36" i="24"/>
  <c r="F42" i="25"/>
  <c r="F41" i="25"/>
  <c r="F40" i="25"/>
  <c r="F39" i="25"/>
  <c r="F38" i="25"/>
  <c r="F37" i="25"/>
  <c r="F36" i="25"/>
  <c r="F42" i="39"/>
  <c r="F41" i="39"/>
  <c r="F40" i="39"/>
  <c r="F39" i="39"/>
  <c r="F38" i="39"/>
  <c r="F37" i="39"/>
  <c r="F36" i="39"/>
  <c r="F36" i="90"/>
  <c r="F37" i="90"/>
  <c r="F38" i="90"/>
  <c r="F39" i="90"/>
  <c r="F40" i="90"/>
  <c r="F41" i="90"/>
  <c r="F42" i="90"/>
  <c r="F36" i="89"/>
  <c r="F37" i="89"/>
  <c r="F38" i="89"/>
  <c r="F39" i="89"/>
  <c r="F40" i="89"/>
  <c r="F41" i="89"/>
  <c r="F42" i="89"/>
  <c r="F36" i="91"/>
  <c r="F37" i="91"/>
  <c r="F38" i="91"/>
  <c r="F39" i="91"/>
  <c r="F40" i="91"/>
  <c r="F41" i="91"/>
  <c r="F42" i="91"/>
  <c r="F36" i="85"/>
  <c r="F37" i="85"/>
  <c r="F38" i="85"/>
  <c r="F39" i="85"/>
  <c r="F40" i="85"/>
  <c r="F41" i="85"/>
  <c r="F42" i="85"/>
  <c r="F36" i="87"/>
  <c r="F37" i="87"/>
  <c r="F38" i="87"/>
  <c r="F39" i="87"/>
  <c r="F40" i="87"/>
  <c r="F41" i="87"/>
  <c r="F42" i="87"/>
  <c r="F36" i="86"/>
  <c r="F37" i="86"/>
  <c r="F38" i="86"/>
  <c r="F39" i="86"/>
  <c r="F40" i="86"/>
  <c r="F41" i="86"/>
  <c r="F42" i="86"/>
  <c r="F36" i="84"/>
  <c r="F37" i="84"/>
  <c r="F38" i="84"/>
  <c r="F39" i="84"/>
  <c r="F40" i="84"/>
  <c r="F41" i="84"/>
  <c r="F42" i="84"/>
  <c r="F36" i="83"/>
  <c r="F37" i="83"/>
  <c r="F38" i="83"/>
  <c r="F39" i="83"/>
  <c r="F40" i="83"/>
  <c r="F41" i="83"/>
  <c r="F42" i="83"/>
  <c r="F36" i="82"/>
  <c r="F37" i="82"/>
  <c r="F38" i="82"/>
  <c r="F39" i="82"/>
  <c r="F40" i="82"/>
  <c r="F41" i="82"/>
  <c r="F42" i="82"/>
  <c r="F36" i="81"/>
  <c r="F37" i="81"/>
  <c r="F38" i="81"/>
  <c r="F39" i="81"/>
  <c r="F40" i="81"/>
  <c r="F41" i="81"/>
  <c r="F42" i="81"/>
  <c r="F36" i="80"/>
  <c r="F37" i="80"/>
  <c r="F38" i="80"/>
  <c r="F39" i="80"/>
  <c r="F40" i="80"/>
  <c r="F41" i="80"/>
  <c r="F42" i="80"/>
  <c r="F36" i="109"/>
  <c r="F37" i="109"/>
  <c r="F38" i="109"/>
  <c r="F39" i="109"/>
  <c r="F40" i="109"/>
  <c r="F41" i="109"/>
  <c r="F42" i="109"/>
  <c r="F36" i="79"/>
  <c r="F37" i="79"/>
  <c r="F38" i="79"/>
  <c r="F39" i="79"/>
  <c r="F40" i="79"/>
  <c r="F41" i="79"/>
  <c r="F42" i="79"/>
  <c r="F36" i="78"/>
  <c r="F37" i="78"/>
  <c r="F38" i="78"/>
  <c r="F39" i="78"/>
  <c r="F40" i="78"/>
  <c r="F41" i="78"/>
  <c r="F42" i="78"/>
  <c r="F36" i="77"/>
  <c r="F37" i="77"/>
  <c r="F38" i="77"/>
  <c r="F39" i="77"/>
  <c r="F40" i="77"/>
  <c r="F41" i="77"/>
  <c r="F42" i="77"/>
  <c r="F36" i="76"/>
  <c r="F37" i="76"/>
  <c r="F38" i="76"/>
  <c r="F39" i="76"/>
  <c r="F40" i="76"/>
  <c r="F41" i="76"/>
  <c r="F42" i="76"/>
  <c r="F36" i="74"/>
  <c r="F37" i="74"/>
  <c r="F38" i="74"/>
  <c r="F39" i="74"/>
  <c r="F40" i="74"/>
  <c r="F41" i="74"/>
  <c r="F42" i="74"/>
  <c r="F36" i="75"/>
  <c r="F37" i="75"/>
  <c r="F38" i="75"/>
  <c r="F39" i="75"/>
  <c r="F40" i="75"/>
  <c r="F41" i="75"/>
  <c r="F42" i="75"/>
  <c r="F36" i="73"/>
  <c r="F37" i="73"/>
  <c r="F38" i="73"/>
  <c r="F39" i="73"/>
  <c r="F40" i="73"/>
  <c r="F41" i="73"/>
  <c r="F42" i="73"/>
  <c r="F36" i="72"/>
  <c r="F37" i="72"/>
  <c r="F38" i="72"/>
  <c r="F39" i="72"/>
  <c r="F40" i="72"/>
  <c r="F41" i="72"/>
  <c r="F42" i="72"/>
  <c r="F36" i="71"/>
  <c r="F37" i="71"/>
  <c r="F38" i="71"/>
  <c r="F39" i="71"/>
  <c r="F40" i="71"/>
  <c r="F41" i="71"/>
  <c r="F42" i="71"/>
  <c r="F36" i="70"/>
  <c r="F37" i="70"/>
  <c r="F38" i="70"/>
  <c r="F39" i="70"/>
  <c r="F40" i="70"/>
  <c r="F41" i="70"/>
  <c r="F42" i="70"/>
  <c r="Q38" i="22"/>
  <c r="F39" i="22"/>
  <c r="F40" i="22"/>
  <c r="F41" i="22"/>
  <c r="F42" i="22"/>
  <c r="F37" i="22"/>
  <c r="F38" i="22"/>
  <c r="BI4" i="21"/>
  <c r="AP4" i="21"/>
  <c r="I4" i="21"/>
  <c r="BR4" i="21"/>
  <c r="L4" i="21"/>
  <c r="AF4" i="21"/>
  <c r="BJ4" i="21"/>
  <c r="BW4" i="21"/>
  <c r="AH4" i="21"/>
  <c r="AL4" i="21"/>
  <c r="CE4" i="21"/>
  <c r="AY4" i="21"/>
  <c r="AE4" i="21"/>
  <c r="AN4" i="21"/>
  <c r="AA4" i="21"/>
  <c r="AD4" i="21"/>
  <c r="P4" i="21"/>
  <c r="CR4" i="21"/>
  <c r="AQ4" i="21"/>
  <c r="Q4" i="21"/>
  <c r="AO4" i="21"/>
  <c r="BD4" i="21"/>
  <c r="BU4" i="21"/>
  <c r="BV4" i="21"/>
  <c r="CB4" i="21"/>
  <c r="CO4" i="21"/>
  <c r="BE4" i="21"/>
  <c r="K4" i="21"/>
  <c r="BH4" i="21"/>
  <c r="CQ4" i="21"/>
  <c r="CX4" i="21"/>
  <c r="BF4" i="21"/>
  <c r="BX4" i="21"/>
  <c r="BK4" i="21"/>
  <c r="N4" i="21"/>
  <c r="X4" i="21"/>
  <c r="T4" i="21"/>
  <c r="Z4" i="21"/>
  <c r="AV4" i="21"/>
  <c r="O4" i="21"/>
  <c r="CK4" i="21"/>
  <c r="CH4" i="21"/>
  <c r="AT4" i="21"/>
  <c r="F4" i="21"/>
  <c r="H4" i="21"/>
  <c r="CP4" i="21"/>
  <c r="AM4" i="21"/>
  <c r="CS4" i="21"/>
  <c r="BQ4" i="21"/>
  <c r="CY4" i="21"/>
  <c r="BA4" i="21"/>
  <c r="AR4" i="21"/>
  <c r="CA4" i="21"/>
  <c r="CC4" i="21"/>
  <c r="AB4" i="21"/>
  <c r="BZ4" i="21"/>
  <c r="CI4" i="21"/>
  <c r="BG4" i="21"/>
  <c r="CJ4" i="21"/>
  <c r="E4" i="21"/>
  <c r="BN4" i="21"/>
  <c r="AZ4" i="21"/>
  <c r="U4" i="21"/>
  <c r="BT4" i="21"/>
  <c r="V4" i="21"/>
  <c r="G4" i="21"/>
  <c r="AW4" i="21"/>
  <c r="AJ4" i="21"/>
  <c r="BS4" i="21"/>
  <c r="BL4" i="21"/>
  <c r="CN4" i="21"/>
  <c r="BY4" i="21"/>
  <c r="M4" i="21"/>
  <c r="AU4" i="21"/>
  <c r="BB4" i="21"/>
  <c r="CG4" i="21"/>
  <c r="AK4" i="21"/>
  <c r="CF4" i="21"/>
  <c r="CD4" i="21"/>
  <c r="AC4" i="21"/>
  <c r="AS4" i="21"/>
  <c r="BP4" i="21"/>
  <c r="CT4" i="21"/>
  <c r="Y4" i="21"/>
  <c r="CL4" i="21"/>
  <c r="CM4" i="21"/>
  <c r="S4" i="21"/>
  <c r="J4" i="21"/>
  <c r="F284" i="20" l="1"/>
  <c r="J42" i="15" l="1"/>
  <c r="K42" i="15" s="1"/>
  <c r="L42" i="15" l="1"/>
  <c r="D61" i="85"/>
  <c r="F63" i="86" l="1"/>
  <c r="K1" i="57"/>
  <c r="A45" i="60" l="1"/>
  <c r="A46" i="60"/>
  <c r="A47" i="60"/>
  <c r="A48" i="60"/>
  <c r="F62" i="75"/>
  <c r="F63" i="75"/>
  <c r="F70" i="75"/>
  <c r="F64" i="62"/>
  <c r="O45" i="63" l="1"/>
  <c r="O53" i="63" l="1"/>
  <c r="O49" i="63"/>
  <c r="O48" i="63"/>
  <c r="O51" i="63"/>
  <c r="O50" i="63"/>
  <c r="K9" i="77"/>
  <c r="K10" i="77" s="1"/>
  <c r="O12" i="12" l="1"/>
  <c r="D72" i="75" s="1"/>
  <c r="O11" i="12"/>
  <c r="O10" i="12"/>
  <c r="O9" i="60"/>
  <c r="O10" i="60"/>
  <c r="O11" i="60"/>
  <c r="O12" i="60"/>
  <c r="D35" i="38" l="1"/>
  <c r="G36" i="38" s="1"/>
  <c r="I36" i="38" s="1"/>
  <c r="U68" i="35"/>
  <c r="S68" i="81"/>
  <c r="T68" i="81"/>
  <c r="R68" i="81"/>
  <c r="T68" i="35"/>
  <c r="V68" i="35"/>
  <c r="S68" i="22"/>
  <c r="R68" i="22"/>
  <c r="R68" i="85"/>
  <c r="R68" i="86"/>
  <c r="S68" i="85"/>
  <c r="T68" i="85"/>
  <c r="S68" i="83"/>
  <c r="T68" i="84"/>
  <c r="S68" i="86"/>
  <c r="R68" i="83"/>
  <c r="S68" i="84"/>
  <c r="T68" i="82"/>
  <c r="R68" i="84"/>
  <c r="R68" i="82"/>
  <c r="T68" i="83"/>
  <c r="S68" i="82"/>
  <c r="T68" i="86"/>
  <c r="T68" i="79"/>
  <c r="R68" i="77"/>
  <c r="S68" i="79"/>
  <c r="R68" i="79"/>
  <c r="R68" i="78"/>
  <c r="T68" i="77"/>
  <c r="T68" i="78"/>
  <c r="S68" i="78"/>
  <c r="S68" i="77"/>
  <c r="M67" i="77" s="1"/>
  <c r="D61" i="90"/>
  <c r="D61" i="89"/>
  <c r="D61" i="86"/>
  <c r="D61" i="109"/>
  <c r="D61" i="84"/>
  <c r="D61" i="77"/>
  <c r="D61" i="91"/>
  <c r="D61" i="79"/>
  <c r="D61" i="70"/>
  <c r="D61" i="87"/>
  <c r="D61" i="76"/>
  <c r="D61" i="71"/>
  <c r="D61" i="83"/>
  <c r="D61" i="78"/>
  <c r="D61" i="73"/>
  <c r="D61" i="81"/>
  <c r="D61" i="82"/>
  <c r="D61" i="74"/>
  <c r="D61" i="72"/>
  <c r="D61" i="75"/>
  <c r="D61" i="80"/>
  <c r="G63" i="75" l="1"/>
  <c r="G62" i="75"/>
  <c r="G63" i="86"/>
  <c r="I63" i="75" l="1"/>
  <c r="L63" i="75"/>
  <c r="O63" i="75"/>
  <c r="O63" i="86"/>
  <c r="L63" i="86"/>
  <c r="I63" i="86"/>
  <c r="L62" i="75"/>
  <c r="O62" i="75"/>
  <c r="I62" i="75"/>
  <c r="J45" i="63"/>
  <c r="K45" i="63" s="1"/>
  <c r="L45" i="63" s="1"/>
  <c r="C136" i="62"/>
  <c r="F64" i="86" l="1"/>
  <c r="G64" i="86" s="1"/>
  <c r="F64" i="75"/>
  <c r="G64" i="75" s="1"/>
  <c r="F62" i="86"/>
  <c r="G62" i="86" s="1"/>
  <c r="O62" i="86" l="1"/>
  <c r="I62" i="86"/>
  <c r="L62" i="86"/>
  <c r="K9" i="23"/>
  <c r="X13" i="37" l="1"/>
  <c r="Y13" i="37"/>
  <c r="M18" i="101" l="1"/>
  <c r="J18" i="101"/>
  <c r="I14" i="102" l="1"/>
  <c r="J13" i="102" s="1"/>
  <c r="I14" i="103"/>
  <c r="I14" i="104"/>
  <c r="J13" i="104" s="1"/>
  <c r="I14" i="105"/>
  <c r="J13" i="105" s="1"/>
  <c r="I14" i="106"/>
  <c r="J13" i="106"/>
  <c r="J13" i="103"/>
  <c r="N50" i="44"/>
  <c r="K50" i="44"/>
  <c r="N53" i="41"/>
  <c r="K53" i="41"/>
  <c r="H53" i="41"/>
  <c r="N50" i="37"/>
  <c r="K50" i="37"/>
  <c r="H50" i="37"/>
  <c r="N50" i="36"/>
  <c r="K50" i="36"/>
  <c r="H50" i="36"/>
  <c r="N51" i="35"/>
  <c r="K51" i="35"/>
  <c r="H51" i="35"/>
  <c r="H50" i="28" l="1"/>
  <c r="N50" i="28"/>
  <c r="K50" i="28"/>
  <c r="N50" i="26"/>
  <c r="K50" i="26"/>
  <c r="H50" i="26"/>
  <c r="Q37" i="23" l="1"/>
  <c r="Q38" i="23"/>
  <c r="Q39" i="23"/>
  <c r="Q36" i="23"/>
  <c r="Q36" i="22"/>
  <c r="Q37" i="22"/>
  <c r="Q37" i="32" l="1"/>
  <c r="Q38" i="32"/>
  <c r="Q39" i="32"/>
  <c r="Q40" i="32"/>
  <c r="Q41" i="32"/>
  <c r="Q42" i="32"/>
  <c r="Q36" i="32"/>
  <c r="F43" i="62" l="1"/>
  <c r="F50" i="62"/>
  <c r="F36" i="62"/>
  <c r="N37" i="62"/>
  <c r="N36" i="62"/>
  <c r="D37" i="62"/>
  <c r="D36" i="62"/>
  <c r="O17" i="27" l="1"/>
  <c r="O16" i="27"/>
  <c r="L17" i="27"/>
  <c r="L16" i="27"/>
  <c r="I17" i="27"/>
  <c r="I16" i="27"/>
  <c r="O17" i="26"/>
  <c r="O16" i="26"/>
  <c r="L17" i="26"/>
  <c r="L16" i="26"/>
  <c r="I17" i="26"/>
  <c r="I16" i="26"/>
  <c r="K73" i="77" l="1"/>
  <c r="K53" i="77"/>
  <c r="K53" i="76"/>
  <c r="M12" i="76"/>
  <c r="F64" i="74"/>
  <c r="N52" i="74"/>
  <c r="K52" i="74"/>
  <c r="CX5" i="21" l="1"/>
  <c r="Q17" i="91" l="1"/>
  <c r="O17" i="91"/>
  <c r="L17" i="91"/>
  <c r="I17" i="91"/>
  <c r="Q16" i="91"/>
  <c r="O16" i="91"/>
  <c r="L16" i="91"/>
  <c r="I16" i="91"/>
  <c r="Q15" i="91"/>
  <c r="O15" i="91"/>
  <c r="L15" i="91"/>
  <c r="I15" i="91"/>
  <c r="Q17" i="90"/>
  <c r="O17" i="90"/>
  <c r="L17" i="90"/>
  <c r="I17" i="90"/>
  <c r="Q16" i="90"/>
  <c r="O16" i="90"/>
  <c r="L16" i="90"/>
  <c r="I16" i="90"/>
  <c r="Q17" i="89"/>
  <c r="O17" i="89"/>
  <c r="L17" i="89"/>
  <c r="I17" i="89"/>
  <c r="Q16" i="89"/>
  <c r="O16" i="89"/>
  <c r="L16" i="89"/>
  <c r="I16" i="89"/>
  <c r="Q15" i="89"/>
  <c r="O15" i="89"/>
  <c r="L15" i="89"/>
  <c r="I15" i="89"/>
  <c r="Q17" i="87"/>
  <c r="O17" i="87"/>
  <c r="L17" i="87"/>
  <c r="I17" i="87"/>
  <c r="Q16" i="87"/>
  <c r="O16" i="87"/>
  <c r="L16" i="87"/>
  <c r="I16" i="87"/>
  <c r="Q17" i="86"/>
  <c r="O17" i="86"/>
  <c r="L17" i="86"/>
  <c r="I17" i="86"/>
  <c r="Q16" i="86"/>
  <c r="O16" i="86"/>
  <c r="L16" i="86"/>
  <c r="I16" i="86"/>
  <c r="Q17" i="85"/>
  <c r="O17" i="85"/>
  <c r="L17" i="85"/>
  <c r="I17" i="85"/>
  <c r="Q16" i="85"/>
  <c r="O16" i="85"/>
  <c r="L16" i="85"/>
  <c r="I16" i="85"/>
  <c r="Q15" i="85"/>
  <c r="O15" i="85"/>
  <c r="L15" i="85"/>
  <c r="I15" i="85"/>
  <c r="Q17" i="84"/>
  <c r="O17" i="84"/>
  <c r="L17" i="84"/>
  <c r="I17" i="84"/>
  <c r="Q16" i="84"/>
  <c r="O16" i="84"/>
  <c r="L16" i="84"/>
  <c r="I16" i="84"/>
  <c r="Q17" i="83"/>
  <c r="O17" i="83"/>
  <c r="L17" i="83"/>
  <c r="I17" i="83"/>
  <c r="Q16" i="83"/>
  <c r="O16" i="83"/>
  <c r="L16" i="83"/>
  <c r="I16" i="83"/>
  <c r="O15" i="83"/>
  <c r="L15" i="83"/>
  <c r="Q17" i="82"/>
  <c r="O17" i="82"/>
  <c r="L17" i="82"/>
  <c r="I17" i="82"/>
  <c r="Q16" i="82"/>
  <c r="O16" i="82"/>
  <c r="L16" i="82"/>
  <c r="I16" i="82"/>
  <c r="Q17" i="81"/>
  <c r="O17" i="81"/>
  <c r="L17" i="81"/>
  <c r="I17" i="81"/>
  <c r="Q16" i="81"/>
  <c r="O16" i="81"/>
  <c r="L16" i="81"/>
  <c r="I16" i="81"/>
  <c r="Q17" i="80"/>
  <c r="O17" i="80"/>
  <c r="L17" i="80"/>
  <c r="I17" i="80"/>
  <c r="Q16" i="80"/>
  <c r="O16" i="80"/>
  <c r="L16" i="80"/>
  <c r="I16" i="80"/>
  <c r="Q17" i="109"/>
  <c r="O17" i="109"/>
  <c r="L17" i="109"/>
  <c r="I17" i="109"/>
  <c r="Q16" i="109"/>
  <c r="O16" i="109"/>
  <c r="L16" i="109"/>
  <c r="I16" i="109"/>
  <c r="Q17" i="79"/>
  <c r="O17" i="79"/>
  <c r="L17" i="79"/>
  <c r="I17" i="79"/>
  <c r="Q16" i="79"/>
  <c r="O16" i="79"/>
  <c r="L16" i="79"/>
  <c r="I16" i="79"/>
  <c r="Q17" i="78"/>
  <c r="O17" i="78"/>
  <c r="L17" i="78"/>
  <c r="I17" i="78"/>
  <c r="Q16" i="78"/>
  <c r="O16" i="78"/>
  <c r="L16" i="78"/>
  <c r="I16" i="78"/>
  <c r="Q17" i="77"/>
  <c r="O17" i="77"/>
  <c r="L17" i="77"/>
  <c r="I17" i="77"/>
  <c r="Q16" i="77"/>
  <c r="O16" i="77"/>
  <c r="L16" i="77"/>
  <c r="I16" i="77"/>
  <c r="Q17" i="76"/>
  <c r="O17" i="76"/>
  <c r="L17" i="76"/>
  <c r="I17" i="76"/>
  <c r="Q16" i="76"/>
  <c r="O16" i="76"/>
  <c r="L16" i="76"/>
  <c r="I16" i="76"/>
  <c r="Q17" i="75"/>
  <c r="O17" i="75"/>
  <c r="L17" i="75"/>
  <c r="I17" i="75"/>
  <c r="Q16" i="75"/>
  <c r="O16" i="75"/>
  <c r="L16" i="75"/>
  <c r="I16" i="75"/>
  <c r="Q17" i="74"/>
  <c r="O17" i="74"/>
  <c r="L17" i="74"/>
  <c r="I17" i="74"/>
  <c r="Q16" i="74"/>
  <c r="O16" i="74"/>
  <c r="L16" i="74"/>
  <c r="I16" i="74"/>
  <c r="Q17" i="73"/>
  <c r="O17" i="73"/>
  <c r="L17" i="73"/>
  <c r="I17" i="73"/>
  <c r="Q16" i="73"/>
  <c r="O16" i="73"/>
  <c r="L16" i="73"/>
  <c r="I16" i="73"/>
  <c r="Q17" i="72"/>
  <c r="O17" i="72"/>
  <c r="L17" i="72"/>
  <c r="I17" i="72"/>
  <c r="Q16" i="72"/>
  <c r="O16" i="72"/>
  <c r="L16" i="72"/>
  <c r="I16" i="72"/>
  <c r="Q17" i="71"/>
  <c r="O17" i="71"/>
  <c r="L17" i="71"/>
  <c r="I17" i="71"/>
  <c r="Q16" i="71"/>
  <c r="O16" i="71"/>
  <c r="L16" i="71"/>
  <c r="I16" i="71"/>
  <c r="Q17" i="70"/>
  <c r="O17" i="70"/>
  <c r="L17" i="70"/>
  <c r="I17" i="70"/>
  <c r="Q16" i="70"/>
  <c r="O16" i="70"/>
  <c r="L16" i="70"/>
  <c r="I16" i="70"/>
  <c r="Q17" i="107"/>
  <c r="Q16" i="107"/>
  <c r="Q15" i="107"/>
  <c r="Q17" i="51"/>
  <c r="Q16" i="51"/>
  <c r="Q15" i="51"/>
  <c r="Q17" i="50"/>
  <c r="Q16" i="50"/>
  <c r="Q17" i="49"/>
  <c r="Q16" i="49"/>
  <c r="Q15" i="49"/>
  <c r="Q17" i="48"/>
  <c r="Q16" i="48"/>
  <c r="Q15" i="48"/>
  <c r="Q17" i="47"/>
  <c r="Q16" i="47"/>
  <c r="Q15" i="47"/>
  <c r="Q17" i="46"/>
  <c r="Q16" i="46"/>
  <c r="Q15" i="46"/>
  <c r="Q17" i="45"/>
  <c r="Q16" i="45"/>
  <c r="Q15" i="45"/>
  <c r="Q17" i="44"/>
  <c r="Q16" i="44"/>
  <c r="Q15" i="44"/>
  <c r="Q17" i="43"/>
  <c r="Q16" i="43"/>
  <c r="Q15" i="43"/>
  <c r="Q17" i="42"/>
  <c r="Q17" i="41"/>
  <c r="Q16" i="41"/>
  <c r="Q17" i="40"/>
  <c r="Q16" i="40"/>
  <c r="Q17" i="39"/>
  <c r="Q16" i="39"/>
  <c r="Q15" i="39"/>
  <c r="Q17" i="38"/>
  <c r="Q16" i="38"/>
  <c r="Q15" i="38"/>
  <c r="Q17" i="37"/>
  <c r="Q16" i="37"/>
  <c r="Q15" i="37"/>
  <c r="Q17" i="36"/>
  <c r="Q16" i="36"/>
  <c r="Q15" i="36"/>
  <c r="Q17" i="35"/>
  <c r="Q16" i="35"/>
  <c r="Q15" i="35"/>
  <c r="Q17" i="34"/>
  <c r="Q16" i="34"/>
  <c r="Q17" i="33"/>
  <c r="Q16" i="33"/>
  <c r="Q17" i="32"/>
  <c r="Q16" i="32"/>
  <c r="Q15" i="32"/>
  <c r="Q17" i="31"/>
  <c r="Q16" i="31"/>
  <c r="Q15" i="31"/>
  <c r="Q17" i="30"/>
  <c r="Q16" i="30"/>
  <c r="Q17" i="29"/>
  <c r="Q16" i="29"/>
  <c r="Q15" i="29"/>
  <c r="Q17" i="28"/>
  <c r="Q16" i="28"/>
  <c r="Q15" i="28"/>
  <c r="Q17" i="27"/>
  <c r="Q16" i="27"/>
  <c r="Q17" i="26"/>
  <c r="Q16" i="26"/>
  <c r="Q17" i="25"/>
  <c r="Q16" i="25"/>
  <c r="Q15" i="25"/>
  <c r="Q17" i="24"/>
  <c r="Q16" i="24"/>
  <c r="Q15" i="24"/>
  <c r="Q17" i="23"/>
  <c r="Q16" i="23"/>
  <c r="N1" i="13"/>
  <c r="E30" i="73" l="1"/>
  <c r="E30" i="72"/>
  <c r="E30" i="71"/>
  <c r="E30" i="70"/>
  <c r="S44" i="19"/>
  <c r="S43" i="19"/>
  <c r="S42" i="19"/>
  <c r="K31" i="71"/>
  <c r="N33" i="71"/>
  <c r="X7" i="20"/>
  <c r="X31" i="20" l="1"/>
  <c r="X20" i="20"/>
  <c r="K32" i="71"/>
  <c r="K33" i="71"/>
  <c r="N30" i="71"/>
  <c r="N31" i="71"/>
  <c r="N32" i="71"/>
  <c r="K30" i="71"/>
  <c r="E33" i="87" l="1"/>
  <c r="E32" i="87"/>
  <c r="E31" i="87"/>
  <c r="E30" i="87"/>
  <c r="E33" i="86"/>
  <c r="E32" i="86"/>
  <c r="E31" i="86"/>
  <c r="E33" i="85"/>
  <c r="E32" i="85"/>
  <c r="E31" i="85"/>
  <c r="E30" i="85"/>
  <c r="E33" i="84"/>
  <c r="E32" i="84"/>
  <c r="E31" i="84"/>
  <c r="E30" i="84"/>
  <c r="E33" i="83"/>
  <c r="E32" i="83"/>
  <c r="E31" i="83"/>
  <c r="E30" i="83"/>
  <c r="E33" i="82"/>
  <c r="E32" i="82"/>
  <c r="E31" i="82"/>
  <c r="E30" i="82"/>
  <c r="E33" i="81"/>
  <c r="E32" i="81"/>
  <c r="E31" i="81"/>
  <c r="E30" i="81"/>
  <c r="E33" i="80"/>
  <c r="E32" i="80"/>
  <c r="E31" i="80"/>
  <c r="E30" i="80"/>
  <c r="E33" i="109"/>
  <c r="E32" i="109"/>
  <c r="E31" i="109"/>
  <c r="E30" i="109"/>
  <c r="E33" i="79"/>
  <c r="E32" i="79"/>
  <c r="E31" i="79"/>
  <c r="E30" i="79"/>
  <c r="E33" i="78"/>
  <c r="E32" i="78"/>
  <c r="E31" i="78"/>
  <c r="E30" i="78"/>
  <c r="E33" i="77"/>
  <c r="E31" i="77"/>
  <c r="E30" i="77"/>
  <c r="E33" i="76"/>
  <c r="E31" i="76"/>
  <c r="E30" i="76"/>
  <c r="E33" i="75"/>
  <c r="E32" i="75"/>
  <c r="E31" i="75"/>
  <c r="E30" i="75"/>
  <c r="E33" i="74"/>
  <c r="E32" i="74"/>
  <c r="E31" i="74"/>
  <c r="E30" i="40"/>
  <c r="K33" i="70" l="1"/>
  <c r="N33" i="70"/>
  <c r="K33" i="73"/>
  <c r="N33" i="73"/>
  <c r="K30" i="73"/>
  <c r="N30" i="73"/>
  <c r="N30" i="72"/>
  <c r="K30" i="72"/>
  <c r="N32" i="70"/>
  <c r="K32" i="70"/>
  <c r="N31" i="72"/>
  <c r="K31" i="72"/>
  <c r="K31" i="70"/>
  <c r="N31" i="70"/>
  <c r="N32" i="73"/>
  <c r="K32" i="73"/>
  <c r="K32" i="72"/>
  <c r="N32" i="72"/>
  <c r="K31" i="73"/>
  <c r="N31" i="73"/>
  <c r="N33" i="72"/>
  <c r="K33" i="72"/>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F63" i="70" l="1"/>
  <c r="F62" i="70"/>
  <c r="A7" i="60"/>
  <c r="A8" i="60"/>
  <c r="A9" i="60"/>
  <c r="A10" i="60"/>
  <c r="A11" i="60"/>
  <c r="A12" i="60"/>
  <c r="A13" i="60"/>
  <c r="A14" i="60"/>
  <c r="A15" i="60"/>
  <c r="A16" i="60"/>
  <c r="A17" i="60"/>
  <c r="A18" i="60"/>
  <c r="A19" i="60"/>
  <c r="A20" i="60"/>
  <c r="A21" i="60"/>
  <c r="A22" i="60"/>
  <c r="A23" i="60"/>
  <c r="A24" i="60"/>
  <c r="A25" i="60"/>
  <c r="A26" i="60"/>
  <c r="A27" i="60"/>
  <c r="A28" i="60"/>
  <c r="A29" i="60"/>
  <c r="A30" i="60"/>
  <c r="A31" i="60"/>
  <c r="A32" i="60"/>
  <c r="A33" i="60"/>
  <c r="A34" i="60"/>
  <c r="A35" i="60"/>
  <c r="A36" i="60"/>
  <c r="A37" i="60"/>
  <c r="A39" i="60"/>
  <c r="A40" i="60"/>
  <c r="A41" i="60"/>
  <c r="A42" i="60"/>
  <c r="A43" i="60"/>
  <c r="A44" i="60"/>
  <c r="A49" i="60"/>
  <c r="A50" i="60"/>
  <c r="A51" i="60"/>
  <c r="A52" i="60"/>
  <c r="A53" i="60"/>
  <c r="A54" i="60"/>
  <c r="A55" i="60"/>
  <c r="A56" i="60"/>
  <c r="A57" i="60"/>
  <c r="A58" i="60"/>
  <c r="A59" i="60"/>
  <c r="A60" i="60"/>
  <c r="A61" i="60"/>
  <c r="A62" i="60"/>
  <c r="A63" i="60"/>
  <c r="A64" i="60"/>
  <c r="A65" i="60"/>
  <c r="A66" i="60"/>
  <c r="A67" i="60"/>
  <c r="A68" i="60"/>
  <c r="A69" i="60"/>
  <c r="A70" i="60"/>
  <c r="A71" i="60"/>
  <c r="O71" i="60" s="1"/>
  <c r="A72" i="60"/>
  <c r="O72" i="60" s="1"/>
  <c r="A73" i="60"/>
  <c r="O73" i="60" s="1"/>
  <c r="A74" i="60"/>
  <c r="A75" i="60"/>
  <c r="A76" i="60"/>
  <c r="A77" i="60"/>
  <c r="A78" i="60"/>
  <c r="A79" i="60"/>
  <c r="FB65" i="21" l="1"/>
  <c r="FB62" i="21"/>
  <c r="FB61" i="21"/>
  <c r="FB43" i="21"/>
  <c r="EE65" i="21"/>
  <c r="EE62" i="21"/>
  <c r="EE61" i="21"/>
  <c r="EE10" i="21"/>
  <c r="EE5" i="21"/>
  <c r="EE43" i="21"/>
  <c r="DH65" i="21"/>
  <c r="DH62" i="21"/>
  <c r="DH61" i="21"/>
  <c r="DH10" i="21"/>
  <c r="DH43" i="21"/>
  <c r="DR1" i="21"/>
  <c r="EF5" i="21"/>
  <c r="EF10" i="21"/>
  <c r="EF43" i="21"/>
  <c r="EF61" i="21"/>
  <c r="EF62" i="21"/>
  <c r="EF65" i="21"/>
  <c r="F70" i="109"/>
  <c r="P65" i="109"/>
  <c r="FB17" i="21" s="1"/>
  <c r="M65" i="109"/>
  <c r="EE17" i="21" s="1"/>
  <c r="J65" i="109"/>
  <c r="DH17" i="21" s="1"/>
  <c r="F64" i="109"/>
  <c r="F63" i="109"/>
  <c r="G56" i="109"/>
  <c r="P56" i="109" s="1"/>
  <c r="F56" i="109"/>
  <c r="I56" i="109" s="1"/>
  <c r="E56" i="109"/>
  <c r="G53" i="109"/>
  <c r="M53" i="109" s="1"/>
  <c r="F53" i="109"/>
  <c r="L53" i="109" s="1"/>
  <c r="E53" i="109"/>
  <c r="F50" i="109"/>
  <c r="O50" i="109" s="1"/>
  <c r="E50" i="109"/>
  <c r="K30" i="109"/>
  <c r="D27" i="109"/>
  <c r="N26" i="109"/>
  <c r="K26" i="109"/>
  <c r="N25" i="109"/>
  <c r="K25" i="109"/>
  <c r="P19" i="109"/>
  <c r="M19" i="109"/>
  <c r="J19" i="109"/>
  <c r="Y12" i="109"/>
  <c r="Y14" i="109" s="1"/>
  <c r="K31" i="109" s="1"/>
  <c r="M12" i="109"/>
  <c r="K11" i="109"/>
  <c r="K57" i="109" s="1"/>
  <c r="O10" i="109"/>
  <c r="L10" i="109"/>
  <c r="I10" i="109"/>
  <c r="K9" i="109"/>
  <c r="EE6" i="21" s="1"/>
  <c r="P6" i="109"/>
  <c r="J6" i="109"/>
  <c r="H11" i="109" s="1"/>
  <c r="H57" i="109" s="1"/>
  <c r="N3" i="109"/>
  <c r="DH4" i="21"/>
  <c r="EF4" i="21"/>
  <c r="EE4" i="21"/>
  <c r="FB4" i="21"/>
  <c r="O20" i="109" l="1"/>
  <c r="O21" i="109"/>
  <c r="DH5" i="21"/>
  <c r="I20" i="109"/>
  <c r="I21" i="109"/>
  <c r="N11" i="109"/>
  <c r="N57" i="109" s="1"/>
  <c r="J56" i="109"/>
  <c r="M56" i="109"/>
  <c r="I53" i="109"/>
  <c r="O53" i="109"/>
  <c r="FB5" i="21"/>
  <c r="DS2" i="21"/>
  <c r="DS1" i="21" s="1"/>
  <c r="I50" i="109"/>
  <c r="L50" i="109"/>
  <c r="P53" i="109"/>
  <c r="O56" i="109"/>
  <c r="L56" i="109"/>
  <c r="Z12" i="109"/>
  <c r="Z16" i="109" s="1"/>
  <c r="N33" i="109" s="1"/>
  <c r="N9" i="109"/>
  <c r="FB6" i="21" s="1"/>
  <c r="O12" i="109"/>
  <c r="N30" i="109"/>
  <c r="Y13" i="109"/>
  <c r="Y15" i="109"/>
  <c r="K32" i="109" s="1"/>
  <c r="X12" i="109"/>
  <c r="J53" i="109"/>
  <c r="Y16" i="109"/>
  <c r="K33" i="109" s="1"/>
  <c r="H9" i="109"/>
  <c r="DH6" i="21" s="1"/>
  <c r="I12" i="109"/>
  <c r="G56" i="75"/>
  <c r="F56" i="75"/>
  <c r="E56" i="75"/>
  <c r="G55" i="75"/>
  <c r="F55" i="75"/>
  <c r="E55" i="75"/>
  <c r="G52" i="75"/>
  <c r="F52" i="75"/>
  <c r="E52" i="75"/>
  <c r="G56" i="76"/>
  <c r="F56" i="76"/>
  <c r="E56" i="76"/>
  <c r="G55" i="76"/>
  <c r="F55" i="76"/>
  <c r="E55" i="76"/>
  <c r="G52" i="76"/>
  <c r="F52" i="76"/>
  <c r="E52" i="76"/>
  <c r="G56" i="77"/>
  <c r="F56" i="77"/>
  <c r="E56" i="77"/>
  <c r="G54" i="77"/>
  <c r="F54" i="77"/>
  <c r="E54" i="77"/>
  <c r="G52" i="77"/>
  <c r="F52" i="77"/>
  <c r="E52" i="77"/>
  <c r="G56" i="78"/>
  <c r="F56" i="78"/>
  <c r="E56" i="78"/>
  <c r="G53" i="78"/>
  <c r="F53" i="78"/>
  <c r="E53" i="78"/>
  <c r="G56" i="79"/>
  <c r="F56" i="79"/>
  <c r="E56" i="79"/>
  <c r="G53" i="79"/>
  <c r="F53" i="79"/>
  <c r="E53" i="79"/>
  <c r="G56" i="80"/>
  <c r="F56" i="80"/>
  <c r="E56" i="80"/>
  <c r="G55" i="80"/>
  <c r="F55" i="80"/>
  <c r="E55" i="80"/>
  <c r="G52" i="80"/>
  <c r="F52" i="80"/>
  <c r="E52" i="80"/>
  <c r="G56" i="82"/>
  <c r="F56" i="82"/>
  <c r="E56" i="82"/>
  <c r="G56" i="83"/>
  <c r="F56" i="83"/>
  <c r="E56" i="83"/>
  <c r="G55" i="83"/>
  <c r="F55" i="83"/>
  <c r="E55" i="83"/>
  <c r="G56" i="84"/>
  <c r="F56" i="84"/>
  <c r="E56" i="84"/>
  <c r="G46" i="84"/>
  <c r="F46" i="84"/>
  <c r="E46" i="84"/>
  <c r="G57" i="85"/>
  <c r="F57" i="85"/>
  <c r="E57" i="85"/>
  <c r="G56" i="85"/>
  <c r="F56" i="85"/>
  <c r="E56" i="85"/>
  <c r="G57" i="86"/>
  <c r="F57" i="86"/>
  <c r="E57" i="86"/>
  <c r="G56" i="86"/>
  <c r="F56" i="86"/>
  <c r="E56" i="86"/>
  <c r="G57" i="87"/>
  <c r="F57" i="87"/>
  <c r="E57" i="87"/>
  <c r="G57" i="89"/>
  <c r="F57" i="89"/>
  <c r="E57" i="89"/>
  <c r="G56" i="89"/>
  <c r="F56" i="89"/>
  <c r="E56" i="89"/>
  <c r="G55" i="89"/>
  <c r="F55" i="89"/>
  <c r="E55" i="89"/>
  <c r="G54" i="89"/>
  <c r="F54" i="89"/>
  <c r="E54" i="89"/>
  <c r="G53" i="89"/>
  <c r="F53" i="89"/>
  <c r="E53" i="89"/>
  <c r="G52" i="89"/>
  <c r="F52" i="89"/>
  <c r="E52" i="89"/>
  <c r="G51" i="89"/>
  <c r="F51" i="89"/>
  <c r="E51" i="89"/>
  <c r="G57" i="90"/>
  <c r="F57" i="90"/>
  <c r="E57" i="90"/>
  <c r="G56" i="90"/>
  <c r="F56" i="90"/>
  <c r="E56" i="90"/>
  <c r="G55" i="90"/>
  <c r="F55" i="90"/>
  <c r="E55" i="90"/>
  <c r="G54" i="90"/>
  <c r="F54" i="90"/>
  <c r="E54" i="90"/>
  <c r="G53" i="90"/>
  <c r="F53" i="90"/>
  <c r="E53" i="90"/>
  <c r="G52" i="90"/>
  <c r="F52" i="90"/>
  <c r="E52" i="90"/>
  <c r="G51" i="90"/>
  <c r="F51" i="90"/>
  <c r="E51" i="90"/>
  <c r="E50" i="90"/>
  <c r="G49" i="90"/>
  <c r="F49" i="90"/>
  <c r="E49" i="90"/>
  <c r="G47" i="90"/>
  <c r="F47" i="90"/>
  <c r="E47" i="90"/>
  <c r="G57" i="91"/>
  <c r="F57" i="91"/>
  <c r="E57" i="91"/>
  <c r="G56" i="91"/>
  <c r="F56" i="91"/>
  <c r="E56" i="91"/>
  <c r="G55" i="91"/>
  <c r="F55" i="91"/>
  <c r="E55" i="91"/>
  <c r="G54" i="91"/>
  <c r="F54" i="91"/>
  <c r="E54" i="91"/>
  <c r="G53" i="91"/>
  <c r="F53" i="91"/>
  <c r="E53" i="91"/>
  <c r="G52" i="91"/>
  <c r="F52" i="91"/>
  <c r="E52" i="91"/>
  <c r="G51" i="91"/>
  <c r="F51" i="91"/>
  <c r="E51" i="91"/>
  <c r="G50" i="91"/>
  <c r="F50" i="91"/>
  <c r="E50" i="91"/>
  <c r="G49" i="91"/>
  <c r="F49" i="91"/>
  <c r="E49" i="91"/>
  <c r="G48" i="91"/>
  <c r="F48" i="91"/>
  <c r="E48" i="91"/>
  <c r="G47" i="91"/>
  <c r="F47" i="91"/>
  <c r="E47" i="91"/>
  <c r="G46" i="91"/>
  <c r="F46" i="91"/>
  <c r="E46" i="91"/>
  <c r="G56" i="74"/>
  <c r="F56" i="74"/>
  <c r="E56" i="74"/>
  <c r="G55" i="74"/>
  <c r="F55" i="74"/>
  <c r="E55" i="74"/>
  <c r="G54" i="74"/>
  <c r="F54" i="74"/>
  <c r="E54" i="74"/>
  <c r="G57" i="72"/>
  <c r="F57" i="72"/>
  <c r="E57" i="72"/>
  <c r="G56" i="72"/>
  <c r="F56" i="72"/>
  <c r="E56" i="72"/>
  <c r="G55" i="72"/>
  <c r="F55" i="72"/>
  <c r="E55" i="72"/>
  <c r="G54" i="72"/>
  <c r="F54" i="72"/>
  <c r="E54" i="72"/>
  <c r="G53" i="72"/>
  <c r="F53" i="72"/>
  <c r="E53" i="72"/>
  <c r="G52" i="72"/>
  <c r="F52" i="72"/>
  <c r="E52" i="72"/>
  <c r="G57" i="73"/>
  <c r="F57" i="73"/>
  <c r="E57" i="73"/>
  <c r="G56" i="73"/>
  <c r="F56" i="73"/>
  <c r="E56" i="73"/>
  <c r="G55" i="73"/>
  <c r="F55" i="73"/>
  <c r="E55" i="73"/>
  <c r="G54" i="73"/>
  <c r="F54" i="73"/>
  <c r="E54" i="73"/>
  <c r="G53" i="73"/>
  <c r="F53" i="73"/>
  <c r="E53" i="73"/>
  <c r="G52" i="73"/>
  <c r="F52" i="73"/>
  <c r="E52" i="73"/>
  <c r="G57" i="71"/>
  <c r="F57" i="71"/>
  <c r="E57" i="71"/>
  <c r="G56" i="71"/>
  <c r="F56" i="71"/>
  <c r="E56" i="71"/>
  <c r="G55" i="71"/>
  <c r="F55" i="71"/>
  <c r="E55" i="71"/>
  <c r="G54" i="71"/>
  <c r="F54" i="71"/>
  <c r="E54" i="71"/>
  <c r="G53" i="71"/>
  <c r="F53" i="71"/>
  <c r="E53" i="71"/>
  <c r="G52" i="71"/>
  <c r="F52" i="71"/>
  <c r="E52" i="71"/>
  <c r="E52" i="70"/>
  <c r="E53" i="70"/>
  <c r="E54" i="70"/>
  <c r="E55" i="70"/>
  <c r="E56" i="70"/>
  <c r="E57" i="70"/>
  <c r="F52" i="70"/>
  <c r="F53" i="70"/>
  <c r="F54" i="70"/>
  <c r="F55" i="70"/>
  <c r="F56" i="70"/>
  <c r="F57" i="70"/>
  <c r="G52" i="70"/>
  <c r="G53" i="70"/>
  <c r="G54" i="70"/>
  <c r="G55" i="70"/>
  <c r="G56" i="70"/>
  <c r="G57" i="70"/>
  <c r="F87" i="62"/>
  <c r="J81" i="62"/>
  <c r="J84" i="62"/>
  <c r="J85" i="62"/>
  <c r="F78" i="62"/>
  <c r="E53" i="87" s="1"/>
  <c r="F79" i="62"/>
  <c r="F80" i="62"/>
  <c r="F81" i="62"/>
  <c r="F82" i="62"/>
  <c r="F83" i="62"/>
  <c r="F84" i="62"/>
  <c r="F85" i="62"/>
  <c r="F86" i="62"/>
  <c r="E55" i="87" l="1"/>
  <c r="P57" i="72"/>
  <c r="J57" i="72"/>
  <c r="M57" i="72"/>
  <c r="L57" i="72"/>
  <c r="I57" i="72"/>
  <c r="O57" i="72"/>
  <c r="Z15" i="109"/>
  <c r="N32" i="109" s="1"/>
  <c r="Z13" i="109"/>
  <c r="Z14" i="109"/>
  <c r="N31" i="109" s="1"/>
  <c r="X13" i="109"/>
  <c r="H30" i="109" s="1"/>
  <c r="X14" i="109"/>
  <c r="H31" i="109" s="1"/>
  <c r="X15" i="109"/>
  <c r="H32" i="109" s="1"/>
  <c r="X16" i="109"/>
  <c r="H33" i="109" s="1"/>
  <c r="E54" i="87"/>
  <c r="J71" i="62"/>
  <c r="J45" i="62"/>
  <c r="D146" i="62"/>
  <c r="O3" i="65" l="1"/>
  <c r="N2" i="15"/>
  <c r="M16" i="63"/>
  <c r="M17" i="63"/>
  <c r="M18" i="63"/>
  <c r="K16" i="63"/>
  <c r="K17" i="63"/>
  <c r="K18" i="63"/>
  <c r="M16" i="15"/>
  <c r="K16" i="15"/>
  <c r="O2" i="62"/>
  <c r="O3" i="60" l="1"/>
  <c r="P4" i="109" s="1"/>
  <c r="O2" i="14"/>
  <c r="O3" i="63" l="1"/>
  <c r="O3" i="62"/>
  <c r="F63" i="67" l="1"/>
  <c r="F64" i="67"/>
  <c r="F65" i="67"/>
  <c r="F66" i="67"/>
  <c r="F67" i="67"/>
  <c r="F68" i="67"/>
  <c r="F69" i="67"/>
  <c r="F70" i="67"/>
  <c r="F71" i="67"/>
  <c r="F72" i="67"/>
  <c r="F73" i="67"/>
  <c r="F62" i="67"/>
  <c r="F53" i="58" l="1"/>
  <c r="C53" i="58"/>
  <c r="C54" i="58" s="1"/>
  <c r="C55" i="58" s="1"/>
  <c r="C56" i="58" s="1"/>
  <c r="C57" i="58" s="1"/>
  <c r="C58" i="58" s="1"/>
  <c r="C59" i="58" s="1"/>
  <c r="C60" i="58" s="1"/>
  <c r="C61" i="58" s="1"/>
  <c r="C62" i="58" s="1"/>
  <c r="C63" i="58" s="1"/>
  <c r="C64" i="58" s="1"/>
  <c r="C65" i="58" s="1"/>
  <c r="C66" i="58" s="1"/>
  <c r="C67" i="58" s="1"/>
  <c r="C68" i="58" s="1"/>
  <c r="C69" i="58" s="1"/>
  <c r="C70" i="58" s="1"/>
  <c r="C71" i="58" s="1"/>
  <c r="C72" i="58" s="1"/>
  <c r="C73" i="58" s="1"/>
  <c r="B3" i="21"/>
  <c r="F54" i="58" l="1"/>
  <c r="F55" i="58" s="1"/>
  <c r="F56" i="58" s="1"/>
  <c r="F57" i="58" l="1"/>
  <c r="F58" i="58" s="1"/>
  <c r="F59" i="58" s="1"/>
  <c r="F60" i="58" s="1"/>
  <c r="F61" i="58" l="1"/>
  <c r="F62" i="58" s="1"/>
  <c r="F63" i="58" s="1"/>
  <c r="F64" i="58" s="1"/>
  <c r="F65" i="58" s="1"/>
  <c r="F66" i="58" s="1"/>
  <c r="F67" i="58" s="1"/>
  <c r="F68" i="58" s="1"/>
  <c r="F69" i="58" s="1"/>
  <c r="F70" i="58" s="1"/>
  <c r="F71" i="58" s="1"/>
  <c r="F72" i="58" s="1"/>
  <c r="F73" i="58" s="1"/>
  <c r="C53" i="57" l="1"/>
  <c r="C54" i="57" s="1"/>
  <c r="C55" i="57" s="1"/>
  <c r="C56" i="57" s="1"/>
  <c r="C57" i="57" s="1"/>
  <c r="C58" i="57" s="1"/>
  <c r="C59" i="57" s="1"/>
  <c r="C60" i="57" s="1"/>
  <c r="C61" i="57" s="1"/>
  <c r="C62" i="57" s="1"/>
  <c r="C63" i="57" s="1"/>
  <c r="C64" i="57" s="1"/>
  <c r="C65" i="57" s="1"/>
  <c r="C66" i="57" s="1"/>
  <c r="C67" i="57" s="1"/>
  <c r="C68" i="57" s="1"/>
  <c r="C69" i="57" s="1"/>
  <c r="C70" i="57" s="1"/>
  <c r="C71" i="57" s="1"/>
  <c r="C72" i="57" s="1"/>
  <c r="C73" i="57" s="1"/>
  <c r="F53" i="57"/>
  <c r="F54" i="57" s="1"/>
  <c r="F55" i="57" s="1"/>
  <c r="F56" i="57" s="1"/>
  <c r="F57" i="57" s="1"/>
  <c r="F58" i="57" s="1"/>
  <c r="F59" i="57" s="1"/>
  <c r="F60" i="57" s="1"/>
  <c r="F61" i="57" s="1"/>
  <c r="F62" i="57" s="1"/>
  <c r="F63" i="57" s="1"/>
  <c r="F64" i="57" s="1"/>
  <c r="F65" i="57" s="1"/>
  <c r="F66" i="57" s="1"/>
  <c r="F67" i="57" s="1"/>
  <c r="F68" i="57" s="1"/>
  <c r="F69" i="57" s="1"/>
  <c r="F70" i="57" s="1"/>
  <c r="F71" i="57" s="1"/>
  <c r="F72" i="57" s="1"/>
  <c r="F73" i="57" s="1"/>
  <c r="B8" i="6" l="1"/>
  <c r="CY5" i="21" l="1"/>
  <c r="CZ5" i="21"/>
  <c r="DA5" i="21"/>
  <c r="DN5" i="21"/>
  <c r="DO5" i="21"/>
  <c r="DP5" i="21"/>
  <c r="DR5" i="21"/>
  <c r="DS5" i="21"/>
  <c r="CX7" i="21"/>
  <c r="CY7" i="21"/>
  <c r="CZ7" i="21"/>
  <c r="DA7" i="21"/>
  <c r="DR7" i="21"/>
  <c r="DS7" i="21"/>
  <c r="CX10" i="21"/>
  <c r="CY10" i="21"/>
  <c r="CZ10" i="21"/>
  <c r="DA10" i="21"/>
  <c r="DB10" i="21"/>
  <c r="DC10" i="21"/>
  <c r="DD10" i="21"/>
  <c r="DE10" i="21"/>
  <c r="DF10" i="21"/>
  <c r="DG10" i="21"/>
  <c r="DI10" i="21"/>
  <c r="DJ10" i="21"/>
  <c r="DK10" i="21"/>
  <c r="DL10" i="21"/>
  <c r="DM10" i="21"/>
  <c r="DN10" i="21"/>
  <c r="DO10" i="21"/>
  <c r="DP10" i="21"/>
  <c r="DR10" i="21"/>
  <c r="DS10" i="21"/>
  <c r="AF62" i="21" l="1"/>
  <c r="AF61" i="21"/>
  <c r="AF10" i="21"/>
  <c r="AF7" i="21"/>
  <c r="AF5" i="21"/>
  <c r="CR62" i="21"/>
  <c r="CR23" i="21"/>
  <c r="CR51" i="21" s="1"/>
  <c r="CR10" i="21"/>
  <c r="CR7" i="21"/>
  <c r="CR5" i="21"/>
  <c r="CR43" i="21"/>
  <c r="EP10" i="21" l="1"/>
  <c r="EO10" i="21"/>
  <c r="EM10" i="21"/>
  <c r="EL10" i="21"/>
  <c r="EK10" i="21"/>
  <c r="EJ10" i="21"/>
  <c r="EI10" i="21"/>
  <c r="EH10" i="21"/>
  <c r="EG10" i="21"/>
  <c r="ED10" i="21"/>
  <c r="EC10" i="21"/>
  <c r="EB10" i="21"/>
  <c r="EA10" i="21"/>
  <c r="DZ10" i="21"/>
  <c r="DY10" i="21"/>
  <c r="DX10" i="21"/>
  <c r="DW10" i="21"/>
  <c r="DV10" i="21"/>
  <c r="DU10" i="21"/>
  <c r="Z13" i="83"/>
  <c r="Y13" i="83"/>
  <c r="X13" i="83"/>
  <c r="Z13" i="84"/>
  <c r="Y13" i="84"/>
  <c r="X13" i="84"/>
  <c r="Z13" i="87"/>
  <c r="Y13" i="87"/>
  <c r="X13" i="87"/>
  <c r="Z13" i="89"/>
  <c r="Y13" i="89"/>
  <c r="X13" i="89"/>
  <c r="H30" i="89" s="1"/>
  <c r="Z13" i="91"/>
  <c r="Y13" i="91"/>
  <c r="X13" i="91"/>
  <c r="Z13" i="82"/>
  <c r="Y13" i="82"/>
  <c r="X13" i="82"/>
  <c r="K30" i="83"/>
  <c r="D27" i="83"/>
  <c r="N26" i="83"/>
  <c r="K26" i="83"/>
  <c r="N25" i="83"/>
  <c r="K25" i="83"/>
  <c r="K30" i="84"/>
  <c r="D27" i="84"/>
  <c r="N26" i="84"/>
  <c r="K26" i="84"/>
  <c r="N25" i="84"/>
  <c r="K25" i="84"/>
  <c r="N30" i="85"/>
  <c r="K30" i="85"/>
  <c r="D27" i="85"/>
  <c r="N26" i="85"/>
  <c r="K26" i="85"/>
  <c r="N25" i="85"/>
  <c r="K25" i="85"/>
  <c r="N30" i="86"/>
  <c r="K30" i="86"/>
  <c r="D27" i="86"/>
  <c r="N26" i="86"/>
  <c r="K26" i="86"/>
  <c r="N25" i="86"/>
  <c r="K25" i="86"/>
  <c r="N30" i="87"/>
  <c r="K30" i="87"/>
  <c r="D27" i="87"/>
  <c r="N26" i="87"/>
  <c r="K26" i="87"/>
  <c r="N25" i="87"/>
  <c r="K25" i="87"/>
  <c r="N30" i="89"/>
  <c r="K30" i="89"/>
  <c r="D27" i="89"/>
  <c r="N26" i="89"/>
  <c r="K26" i="89"/>
  <c r="N25" i="89"/>
  <c r="K25" i="89"/>
  <c r="N30" i="90"/>
  <c r="K30" i="90"/>
  <c r="D27" i="90"/>
  <c r="N26" i="90"/>
  <c r="K26" i="90"/>
  <c r="N25" i="90"/>
  <c r="K25" i="90"/>
  <c r="K30" i="91"/>
  <c r="D27" i="91"/>
  <c r="N26" i="91"/>
  <c r="K26" i="91"/>
  <c r="N25" i="91"/>
  <c r="K25" i="91"/>
  <c r="K30" i="82"/>
  <c r="D27" i="82"/>
  <c r="N26" i="82"/>
  <c r="K26" i="82"/>
  <c r="N25" i="82"/>
  <c r="K25" i="82"/>
  <c r="O2" i="63"/>
  <c r="FM65" i="21" l="1"/>
  <c r="FL65" i="21"/>
  <c r="FJ65" i="21"/>
  <c r="FI65" i="21"/>
  <c r="FH65" i="21"/>
  <c r="FG65" i="21"/>
  <c r="FF65" i="21"/>
  <c r="FE65" i="21"/>
  <c r="FD65" i="21"/>
  <c r="FC65" i="21"/>
  <c r="FA65" i="21"/>
  <c r="EZ65" i="21"/>
  <c r="EY65" i="21"/>
  <c r="EX65" i="21"/>
  <c r="EW65" i="21"/>
  <c r="EV65" i="21"/>
  <c r="EU65" i="21"/>
  <c r="ET65" i="21"/>
  <c r="ES65" i="21"/>
  <c r="ER65" i="21"/>
  <c r="DS65" i="21"/>
  <c r="DR65" i="21"/>
  <c r="DP65" i="21"/>
  <c r="DO65" i="21"/>
  <c r="DN65" i="21"/>
  <c r="DM65" i="21"/>
  <c r="DL65" i="21"/>
  <c r="DK65" i="21"/>
  <c r="DJ65" i="21"/>
  <c r="DI65" i="21"/>
  <c r="DG65" i="21"/>
  <c r="DF65" i="21"/>
  <c r="DE65" i="21"/>
  <c r="DD65" i="21"/>
  <c r="DC65" i="21"/>
  <c r="DB65" i="21"/>
  <c r="DA65" i="21"/>
  <c r="CZ65" i="21"/>
  <c r="EP65" i="21"/>
  <c r="EO65" i="21"/>
  <c r="EM65" i="21"/>
  <c r="EL65" i="21"/>
  <c r="EK65" i="21"/>
  <c r="EJ65" i="21"/>
  <c r="EI65" i="21"/>
  <c r="EH65" i="21"/>
  <c r="EG65" i="21"/>
  <c r="ED65" i="21"/>
  <c r="EC65" i="21"/>
  <c r="EB65" i="21"/>
  <c r="EA65" i="21"/>
  <c r="DZ65" i="21"/>
  <c r="DX65" i="21"/>
  <c r="DY65" i="21"/>
  <c r="DW65" i="21"/>
  <c r="DV65" i="21"/>
  <c r="DU65" i="21"/>
  <c r="D66" i="21"/>
  <c r="BG64" i="21"/>
  <c r="A64" i="21"/>
  <c r="A63" i="21"/>
  <c r="FM62" i="21"/>
  <c r="FL62" i="21"/>
  <c r="FJ62" i="21"/>
  <c r="FI62" i="21"/>
  <c r="FH62" i="21"/>
  <c r="FG62" i="21"/>
  <c r="FF62" i="21"/>
  <c r="FE62" i="21"/>
  <c r="FD62" i="21"/>
  <c r="FC62" i="21"/>
  <c r="FA62" i="21"/>
  <c r="EZ62" i="21"/>
  <c r="EY62" i="21"/>
  <c r="EX62" i="21"/>
  <c r="EW62" i="21"/>
  <c r="EV62" i="21"/>
  <c r="EU62" i="21"/>
  <c r="ET62" i="21"/>
  <c r="ES62" i="21"/>
  <c r="ER62" i="21"/>
  <c r="EP62" i="21"/>
  <c r="EO62" i="21"/>
  <c r="EM62" i="21"/>
  <c r="EL62" i="21"/>
  <c r="EK62" i="21"/>
  <c r="EJ62" i="21"/>
  <c r="EI62" i="21"/>
  <c r="EH62" i="21"/>
  <c r="EG62" i="21"/>
  <c r="ED62" i="21"/>
  <c r="EC62" i="21"/>
  <c r="EB62" i="21"/>
  <c r="EA62" i="21"/>
  <c r="DZ62" i="21"/>
  <c r="DY62" i="21"/>
  <c r="DX62" i="21"/>
  <c r="DW62" i="21"/>
  <c r="DV62" i="21"/>
  <c r="DU62" i="21"/>
  <c r="DS62" i="21"/>
  <c r="DR62" i="21"/>
  <c r="DP62" i="21"/>
  <c r="DO62" i="21"/>
  <c r="DN62" i="21"/>
  <c r="DM62" i="21"/>
  <c r="DL62" i="21"/>
  <c r="DK62" i="21"/>
  <c r="DJ62" i="21"/>
  <c r="DI62" i="21"/>
  <c r="DG62" i="21"/>
  <c r="DF62" i="21"/>
  <c r="DE62" i="21"/>
  <c r="DD62" i="21"/>
  <c r="DC62" i="21"/>
  <c r="DB62" i="21"/>
  <c r="DA62" i="21"/>
  <c r="CZ62" i="21"/>
  <c r="CY62" i="21"/>
  <c r="CX62" i="21"/>
  <c r="CT62" i="21"/>
  <c r="CS62" i="21"/>
  <c r="CQ62" i="21"/>
  <c r="CP62" i="21"/>
  <c r="CO62" i="21"/>
  <c r="CN62" i="21"/>
  <c r="CM62" i="21"/>
  <c r="CL62" i="21"/>
  <c r="CK62" i="21"/>
  <c r="CJ62" i="21"/>
  <c r="CH62" i="21"/>
  <c r="CG62" i="21"/>
  <c r="CF62" i="21"/>
  <c r="CE62" i="21"/>
  <c r="CC62" i="21"/>
  <c r="CB62" i="21"/>
  <c r="CA62" i="21"/>
  <c r="BZ62" i="21"/>
  <c r="BY62" i="21"/>
  <c r="BX62" i="21"/>
  <c r="BW62" i="21"/>
  <c r="BV62" i="21"/>
  <c r="BU62" i="21"/>
  <c r="BT62" i="21"/>
  <c r="BS62" i="21"/>
  <c r="BR62" i="21"/>
  <c r="BQ62" i="21"/>
  <c r="BP62" i="21"/>
  <c r="BN62" i="21"/>
  <c r="BM62" i="21"/>
  <c r="BK62" i="21"/>
  <c r="BJ62" i="21"/>
  <c r="BI62" i="21"/>
  <c r="BH62" i="21"/>
  <c r="BG62" i="21"/>
  <c r="BF62" i="21"/>
  <c r="BE62" i="21"/>
  <c r="BD62" i="21"/>
  <c r="BB62" i="21"/>
  <c r="BA62" i="21"/>
  <c r="AZ62" i="21"/>
  <c r="AY62" i="21"/>
  <c r="AW62" i="21"/>
  <c r="AV62" i="21"/>
  <c r="AU62" i="21"/>
  <c r="AT62" i="21"/>
  <c r="AS62" i="21"/>
  <c r="AR62" i="21"/>
  <c r="AQ62" i="21"/>
  <c r="AP62" i="21"/>
  <c r="AO62" i="21"/>
  <c r="AN62" i="21"/>
  <c r="AM62" i="21"/>
  <c r="AL62" i="21"/>
  <c r="AK62" i="21"/>
  <c r="AJ62" i="21"/>
  <c r="AH62" i="21"/>
  <c r="AG62" i="21"/>
  <c r="AE62" i="21"/>
  <c r="AD62" i="21"/>
  <c r="AC62" i="21"/>
  <c r="AB62" i="21"/>
  <c r="AA62" i="21"/>
  <c r="Z62" i="21"/>
  <c r="Y62" i="21"/>
  <c r="X62" i="21"/>
  <c r="V62" i="21"/>
  <c r="U62" i="21"/>
  <c r="T62" i="21"/>
  <c r="S62" i="21"/>
  <c r="Q62" i="21"/>
  <c r="P62" i="21"/>
  <c r="O62" i="21"/>
  <c r="N62" i="21"/>
  <c r="M62" i="21"/>
  <c r="L62" i="21"/>
  <c r="K62" i="21"/>
  <c r="J62" i="21"/>
  <c r="I62" i="21"/>
  <c r="H62" i="21"/>
  <c r="G62" i="21"/>
  <c r="F62" i="21"/>
  <c r="E62" i="21"/>
  <c r="D62" i="21"/>
  <c r="A62" i="21"/>
  <c r="FM61" i="21"/>
  <c r="FL61" i="21"/>
  <c r="FJ61" i="21"/>
  <c r="FI61" i="21"/>
  <c r="FH61" i="21"/>
  <c r="FG61" i="21"/>
  <c r="FF61" i="21"/>
  <c r="FE61" i="21"/>
  <c r="FD61" i="21"/>
  <c r="FC61" i="21"/>
  <c r="FA61" i="21"/>
  <c r="EZ61" i="21"/>
  <c r="EY61" i="21"/>
  <c r="EX61" i="21"/>
  <c r="EW61" i="21"/>
  <c r="EV61" i="21"/>
  <c r="EU61" i="21"/>
  <c r="ET61" i="21"/>
  <c r="ES61" i="21"/>
  <c r="ER61" i="21"/>
  <c r="EP61" i="21"/>
  <c r="EO61" i="21"/>
  <c r="EM61" i="21"/>
  <c r="EL61" i="21"/>
  <c r="EK61" i="21"/>
  <c r="EJ61" i="21"/>
  <c r="EI61" i="21"/>
  <c r="EH61" i="21"/>
  <c r="EG61" i="21"/>
  <c r="ED61" i="21"/>
  <c r="EC61" i="21"/>
  <c r="EB61" i="21"/>
  <c r="EA61" i="21"/>
  <c r="DZ61" i="21"/>
  <c r="DY61" i="21"/>
  <c r="DX61" i="21"/>
  <c r="DW61" i="21"/>
  <c r="DV61" i="21"/>
  <c r="DU61" i="21"/>
  <c r="DS61" i="21"/>
  <c r="DR61" i="21"/>
  <c r="DP61" i="21"/>
  <c r="DO61" i="21"/>
  <c r="DN61" i="21"/>
  <c r="DM61" i="21"/>
  <c r="DL61" i="21"/>
  <c r="DK61" i="21"/>
  <c r="DJ61" i="21"/>
  <c r="DI61" i="21"/>
  <c r="DG61" i="21"/>
  <c r="DF61" i="21"/>
  <c r="DE61" i="21"/>
  <c r="DD61" i="21"/>
  <c r="DC61" i="21"/>
  <c r="DB61" i="21"/>
  <c r="DA61" i="21"/>
  <c r="CZ61" i="21"/>
  <c r="CY61" i="21"/>
  <c r="CX61" i="21"/>
  <c r="AH61" i="21"/>
  <c r="AG61" i="21"/>
  <c r="AE61" i="21"/>
  <c r="AD61" i="21"/>
  <c r="AC61" i="21"/>
  <c r="AB61" i="21"/>
  <c r="AA61" i="21"/>
  <c r="Z61" i="21"/>
  <c r="Y61" i="21"/>
  <c r="X61" i="21"/>
  <c r="V61" i="21"/>
  <c r="U61" i="21"/>
  <c r="T61" i="21"/>
  <c r="S61" i="21"/>
  <c r="Q61" i="21"/>
  <c r="P61" i="21"/>
  <c r="O61" i="21"/>
  <c r="N61" i="21"/>
  <c r="M61" i="21"/>
  <c r="L61" i="21"/>
  <c r="K61" i="21"/>
  <c r="J61" i="21"/>
  <c r="I61" i="21"/>
  <c r="H61" i="21"/>
  <c r="G61" i="21"/>
  <c r="F61" i="21"/>
  <c r="E61" i="21"/>
  <c r="D61" i="21"/>
  <c r="A61" i="21"/>
  <c r="A60" i="21"/>
  <c r="FO59" i="21"/>
  <c r="A59" i="21"/>
  <c r="A58" i="21"/>
  <c r="A57" i="21"/>
  <c r="A56" i="21"/>
  <c r="A55" i="21"/>
  <c r="A54" i="21"/>
  <c r="A53" i="21"/>
  <c r="A52" i="21"/>
  <c r="A51" i="21"/>
  <c r="A50" i="21"/>
  <c r="A49" i="21"/>
  <c r="A48" i="21"/>
  <c r="A47" i="21"/>
  <c r="A46" i="21"/>
  <c r="A45" i="21"/>
  <c r="A44" i="21"/>
  <c r="FL43" i="21"/>
  <c r="FJ43" i="21"/>
  <c r="FG43" i="21"/>
  <c r="FF43" i="21"/>
  <c r="FE43" i="21"/>
  <c r="FD43" i="21"/>
  <c r="FC43" i="21"/>
  <c r="FA43" i="21"/>
  <c r="EZ43" i="21"/>
  <c r="EX43" i="21"/>
  <c r="EW43" i="21"/>
  <c r="EV43" i="21"/>
  <c r="EO43" i="21"/>
  <c r="EM43" i="21"/>
  <c r="EJ43" i="21"/>
  <c r="EI43" i="21"/>
  <c r="EH43" i="21"/>
  <c r="EG43" i="21"/>
  <c r="ED43" i="21"/>
  <c r="EC43" i="21"/>
  <c r="EA43" i="21"/>
  <c r="DZ43" i="21"/>
  <c r="DY43" i="21"/>
  <c r="DS43" i="21"/>
  <c r="DR43" i="21"/>
  <c r="DP43" i="21"/>
  <c r="DO43" i="21"/>
  <c r="DN43" i="21"/>
  <c r="DM43" i="21"/>
  <c r="DL43" i="21"/>
  <c r="DK43" i="21"/>
  <c r="DJ43" i="21"/>
  <c r="DI43" i="21"/>
  <c r="DG43" i="21"/>
  <c r="DF43" i="21"/>
  <c r="DE43" i="21"/>
  <c r="DD43" i="21"/>
  <c r="DC43" i="21"/>
  <c r="DB43" i="21"/>
  <c r="DA43" i="21"/>
  <c r="CZ43" i="21"/>
  <c r="CY43" i="21"/>
  <c r="CX43" i="21"/>
  <c r="CT43" i="21"/>
  <c r="CS43" i="21"/>
  <c r="CQ43" i="21"/>
  <c r="CP43" i="21"/>
  <c r="CO43" i="21"/>
  <c r="CN43" i="21"/>
  <c r="CL43" i="21"/>
  <c r="CK43" i="21"/>
  <c r="CJ43" i="21"/>
  <c r="CH43" i="21"/>
  <c r="CG43" i="21"/>
  <c r="CF43" i="21"/>
  <c r="CE43" i="21"/>
  <c r="CC43" i="21"/>
  <c r="CB43" i="21"/>
  <c r="CA43" i="21"/>
  <c r="BZ43" i="21"/>
  <c r="BY43" i="21"/>
  <c r="BX43" i="21"/>
  <c r="BW43" i="21"/>
  <c r="BV43" i="21"/>
  <c r="BU43" i="21"/>
  <c r="BT43" i="21"/>
  <c r="BS43" i="21"/>
  <c r="BR43" i="21"/>
  <c r="BQ43" i="21"/>
  <c r="BP43" i="21"/>
  <c r="BN43" i="21"/>
  <c r="BM43" i="21"/>
  <c r="BL43" i="21"/>
  <c r="BK43" i="21"/>
  <c r="BJ43" i="21"/>
  <c r="BI43" i="21"/>
  <c r="BH43" i="21"/>
  <c r="BF43" i="21"/>
  <c r="BE43" i="21"/>
  <c r="BD43" i="21"/>
  <c r="BB43" i="21"/>
  <c r="BA43" i="21"/>
  <c r="AZ43" i="21"/>
  <c r="AY43" i="21"/>
  <c r="AW43" i="21"/>
  <c r="AV43" i="21"/>
  <c r="AU43" i="21"/>
  <c r="AT43" i="21"/>
  <c r="AS43" i="21"/>
  <c r="AR43" i="21"/>
  <c r="AQ43" i="21"/>
  <c r="AP43" i="21"/>
  <c r="AO43" i="21"/>
  <c r="AN43" i="21"/>
  <c r="AM43" i="21"/>
  <c r="AL43" i="21"/>
  <c r="AK43" i="21"/>
  <c r="AJ43" i="21"/>
  <c r="AH43" i="21"/>
  <c r="AG43" i="21"/>
  <c r="AF43" i="21"/>
  <c r="AE43" i="21"/>
  <c r="AD43" i="21"/>
  <c r="AC43" i="21"/>
  <c r="AB43" i="21"/>
  <c r="Z43" i="21"/>
  <c r="Y43" i="21"/>
  <c r="X43" i="21"/>
  <c r="V43" i="21"/>
  <c r="U43" i="21"/>
  <c r="T43" i="21"/>
  <c r="S43" i="21"/>
  <c r="Q43" i="21"/>
  <c r="P43" i="21"/>
  <c r="O43" i="21"/>
  <c r="N43" i="21"/>
  <c r="M43" i="21"/>
  <c r="L43" i="21"/>
  <c r="K43" i="21"/>
  <c r="J43" i="21"/>
  <c r="I43" i="21"/>
  <c r="H43" i="21"/>
  <c r="G43" i="21"/>
  <c r="F43" i="21"/>
  <c r="E43" i="21"/>
  <c r="D43" i="21"/>
  <c r="A43" i="21"/>
  <c r="A42" i="21"/>
  <c r="A41" i="21"/>
  <c r="A40" i="21"/>
  <c r="A39" i="21"/>
  <c r="A38" i="21"/>
  <c r="BL55" i="21"/>
  <c r="A37" i="21"/>
  <c r="A36" i="21"/>
  <c r="A35" i="21"/>
  <c r="A34" i="21"/>
  <c r="A33" i="21"/>
  <c r="CW32" i="21"/>
  <c r="A32" i="21"/>
  <c r="FM43" i="21"/>
  <c r="EP43" i="21"/>
  <c r="A31" i="21"/>
  <c r="A30" i="21"/>
  <c r="A29" i="21"/>
  <c r="EV28" i="21"/>
  <c r="DB28" i="21"/>
  <c r="A28" i="21"/>
  <c r="BL42" i="21"/>
  <c r="A27" i="21"/>
  <c r="A26" i="21"/>
  <c r="A25" i="21"/>
  <c r="A24" i="21"/>
  <c r="BL51" i="21"/>
  <c r="A23" i="21"/>
  <c r="A22" i="21"/>
  <c r="A21" i="21"/>
  <c r="A20" i="21"/>
  <c r="A19" i="21"/>
  <c r="CT18" i="21"/>
  <c r="CS18" i="21"/>
  <c r="BN18" i="21"/>
  <c r="BM18" i="21"/>
  <c r="AH18" i="21"/>
  <c r="AG18" i="21"/>
  <c r="A18" i="21"/>
  <c r="A17" i="21"/>
  <c r="A16" i="21"/>
  <c r="A15" i="21"/>
  <c r="A14" i="21"/>
  <c r="A13" i="21"/>
  <c r="A12" i="21"/>
  <c r="A11" i="21"/>
  <c r="CT10" i="21"/>
  <c r="CS10" i="21"/>
  <c r="CQ10" i="21"/>
  <c r="CP10" i="21"/>
  <c r="CO10" i="21"/>
  <c r="CN10" i="21"/>
  <c r="CM10" i="21"/>
  <c r="CL10" i="21"/>
  <c r="CK10" i="21"/>
  <c r="CJ10" i="21"/>
  <c r="CH10" i="21"/>
  <c r="CG10" i="21"/>
  <c r="CF10" i="21"/>
  <c r="CE10" i="21"/>
  <c r="CC10" i="21"/>
  <c r="CB10" i="21"/>
  <c r="CA10" i="21"/>
  <c r="BZ10" i="21"/>
  <c r="BY10" i="21"/>
  <c r="BX10" i="21"/>
  <c r="BW10" i="21"/>
  <c r="BV10" i="21"/>
  <c r="BU10" i="21"/>
  <c r="BT10" i="21"/>
  <c r="BS10" i="21"/>
  <c r="BR10" i="21"/>
  <c r="BQ10" i="21"/>
  <c r="BP10" i="21"/>
  <c r="BN10" i="21"/>
  <c r="BM10" i="21"/>
  <c r="BK10" i="21"/>
  <c r="BJ10" i="21"/>
  <c r="BI10" i="21"/>
  <c r="BH10" i="21"/>
  <c r="BG10" i="21"/>
  <c r="BF10" i="21"/>
  <c r="BE10" i="21"/>
  <c r="BD10" i="21"/>
  <c r="BB10" i="21"/>
  <c r="BA10" i="21"/>
  <c r="AZ10" i="21"/>
  <c r="AY10" i="21"/>
  <c r="AW10" i="21"/>
  <c r="AV10" i="21"/>
  <c r="AU10" i="21"/>
  <c r="AT10" i="21"/>
  <c r="AS10" i="21"/>
  <c r="AR10" i="21"/>
  <c r="AQ10" i="21"/>
  <c r="AP10" i="21"/>
  <c r="AO10" i="21"/>
  <c r="AN10" i="21"/>
  <c r="AM10" i="21"/>
  <c r="AL10" i="21"/>
  <c r="AK10" i="21"/>
  <c r="AJ10" i="21"/>
  <c r="AH10" i="21"/>
  <c r="AG10" i="21"/>
  <c r="AE10" i="21"/>
  <c r="AD10" i="21"/>
  <c r="AC10" i="21"/>
  <c r="AB10" i="21"/>
  <c r="AA10" i="21"/>
  <c r="Z10" i="21"/>
  <c r="Y10" i="21"/>
  <c r="X10" i="21"/>
  <c r="V10" i="21"/>
  <c r="U10" i="21"/>
  <c r="T10" i="21"/>
  <c r="S10" i="21"/>
  <c r="Q10" i="21"/>
  <c r="P10" i="21"/>
  <c r="O10" i="21"/>
  <c r="N10" i="21"/>
  <c r="M10" i="21"/>
  <c r="L10" i="21"/>
  <c r="K10" i="21"/>
  <c r="J10" i="21"/>
  <c r="I10" i="21"/>
  <c r="H10" i="21"/>
  <c r="G10" i="21"/>
  <c r="F10" i="21"/>
  <c r="E10" i="21"/>
  <c r="D10" i="21"/>
  <c r="A10" i="21"/>
  <c r="A9" i="21"/>
  <c r="A8" i="21"/>
  <c r="FM7" i="21"/>
  <c r="FL7" i="21"/>
  <c r="EU7" i="21"/>
  <c r="ET7" i="21"/>
  <c r="ES7" i="21"/>
  <c r="ER7" i="21"/>
  <c r="EP7" i="21"/>
  <c r="EO7" i="21"/>
  <c r="DX7" i="21"/>
  <c r="DW7" i="21"/>
  <c r="DV7" i="21"/>
  <c r="DU7" i="21"/>
  <c r="CT7" i="21"/>
  <c r="CS7" i="21"/>
  <c r="BN7" i="21"/>
  <c r="BM7" i="21"/>
  <c r="AH7" i="21"/>
  <c r="AG7" i="21"/>
  <c r="A7" i="21"/>
  <c r="A6" i="21"/>
  <c r="FM5" i="21"/>
  <c r="FL5" i="21"/>
  <c r="FJ5" i="21"/>
  <c r="FI5" i="21"/>
  <c r="FH5" i="21"/>
  <c r="EW5" i="21"/>
  <c r="EV5" i="21"/>
  <c r="EU5" i="21"/>
  <c r="ET5" i="21"/>
  <c r="ES5" i="21"/>
  <c r="ER5" i="21"/>
  <c r="EP5" i="21"/>
  <c r="EO5" i="21"/>
  <c r="EM5" i="21"/>
  <c r="EL5" i="21"/>
  <c r="EK5" i="21"/>
  <c r="EJ5" i="21"/>
  <c r="EI5" i="21"/>
  <c r="EH5" i="21"/>
  <c r="EG5" i="21"/>
  <c r="ED5" i="21"/>
  <c r="EC5" i="21"/>
  <c r="EB5" i="21"/>
  <c r="EA5" i="21"/>
  <c r="DZ5" i="21"/>
  <c r="DY5" i="21"/>
  <c r="DX5" i="21"/>
  <c r="DW5" i="21"/>
  <c r="DV5" i="21"/>
  <c r="DU5" i="21"/>
  <c r="CT5" i="21"/>
  <c r="CS5" i="21"/>
  <c r="CQ5" i="21"/>
  <c r="CP5" i="21"/>
  <c r="CO5" i="21"/>
  <c r="CN5" i="21"/>
  <c r="CM5" i="21"/>
  <c r="CL5" i="21"/>
  <c r="CK5" i="21"/>
  <c r="CJ5" i="21"/>
  <c r="CH5" i="21"/>
  <c r="CG5" i="21"/>
  <c r="CF5" i="21"/>
  <c r="CE5" i="21"/>
  <c r="CC5" i="21"/>
  <c r="CB5" i="21"/>
  <c r="CA5" i="21"/>
  <c r="BZ5" i="21"/>
  <c r="BY5" i="21"/>
  <c r="BX5" i="21"/>
  <c r="BW5" i="21"/>
  <c r="BV5" i="21"/>
  <c r="BU5" i="21"/>
  <c r="BT5" i="21"/>
  <c r="BS5" i="21"/>
  <c r="BR5" i="21"/>
  <c r="BQ5" i="21"/>
  <c r="BP5" i="21"/>
  <c r="BN5" i="21"/>
  <c r="BM5" i="21"/>
  <c r="BK5" i="21"/>
  <c r="BJ5" i="21"/>
  <c r="BI5" i="21"/>
  <c r="BH5" i="21"/>
  <c r="BG5" i="21"/>
  <c r="BF5" i="21"/>
  <c r="BE5" i="21"/>
  <c r="BD5" i="21"/>
  <c r="BB5" i="21"/>
  <c r="BA5" i="21"/>
  <c r="AZ5" i="21"/>
  <c r="AY5" i="21"/>
  <c r="AW5" i="21"/>
  <c r="AV5" i="21"/>
  <c r="AU5" i="21"/>
  <c r="AT5" i="21"/>
  <c r="AS5" i="21"/>
  <c r="AR5" i="21"/>
  <c r="AQ5" i="21"/>
  <c r="AP5" i="21"/>
  <c r="AO5" i="21"/>
  <c r="AN5" i="21"/>
  <c r="AM5" i="21"/>
  <c r="AL5" i="21"/>
  <c r="AK5" i="21"/>
  <c r="AJ5" i="21"/>
  <c r="AH5" i="21"/>
  <c r="AG5" i="21"/>
  <c r="AE5" i="21"/>
  <c r="AD5" i="21"/>
  <c r="AC5" i="21"/>
  <c r="AB5" i="21"/>
  <c r="AA5" i="21"/>
  <c r="Z5" i="21"/>
  <c r="Y5" i="21"/>
  <c r="X5" i="21"/>
  <c r="V5" i="21"/>
  <c r="U5" i="21"/>
  <c r="T5" i="21"/>
  <c r="S5" i="21"/>
  <c r="Q5" i="21"/>
  <c r="P5" i="21"/>
  <c r="O5" i="21"/>
  <c r="N5" i="21"/>
  <c r="M5" i="21"/>
  <c r="L5" i="21"/>
  <c r="K5" i="21"/>
  <c r="J5" i="21"/>
  <c r="I5" i="21"/>
  <c r="H5" i="21"/>
  <c r="G5" i="21"/>
  <c r="F5" i="21"/>
  <c r="E5" i="21"/>
  <c r="D5" i="21"/>
  <c r="A5" i="21"/>
  <c r="A4" i="21"/>
  <c r="CT3" i="21"/>
  <c r="CS3" i="21"/>
  <c r="CR3" i="21"/>
  <c r="CQ3" i="21"/>
  <c r="CP3" i="21"/>
  <c r="CO3" i="21"/>
  <c r="CN3" i="21"/>
  <c r="CM3" i="21"/>
  <c r="CL3" i="21"/>
  <c r="CK3" i="21"/>
  <c r="CJ3" i="21"/>
  <c r="CI3" i="21"/>
  <c r="CH3" i="21"/>
  <c r="CG3" i="21"/>
  <c r="CF3" i="21"/>
  <c r="CE3" i="21"/>
  <c r="CD3" i="21"/>
  <c r="CC3" i="21"/>
  <c r="CB3" i="21"/>
  <c r="CA3" i="21"/>
  <c r="BZ3" i="21"/>
  <c r="BY3" i="21"/>
  <c r="BX3" i="21"/>
  <c r="BW3" i="21"/>
  <c r="BV3" i="21"/>
  <c r="BU3" i="21"/>
  <c r="BT3" i="21"/>
  <c r="BS3" i="21"/>
  <c r="BR3" i="21"/>
  <c r="BQ3" i="21"/>
  <c r="BP3" i="21"/>
  <c r="BN3" i="21"/>
  <c r="BM3" i="21"/>
  <c r="BL3" i="21"/>
  <c r="BK3" i="21"/>
  <c r="BJ3" i="21"/>
  <c r="BI3" i="21"/>
  <c r="BH3" i="21"/>
  <c r="BG3" i="21"/>
  <c r="BF3" i="21"/>
  <c r="BE3" i="21"/>
  <c r="BD3" i="21"/>
  <c r="BC3" i="21"/>
  <c r="BB3" i="21"/>
  <c r="BA3" i="21"/>
  <c r="AZ3" i="21"/>
  <c r="AY3" i="21"/>
  <c r="AX3" i="21"/>
  <c r="AW3" i="21"/>
  <c r="AV3" i="21"/>
  <c r="AU3" i="21"/>
  <c r="AT3" i="21"/>
  <c r="AS3" i="21"/>
  <c r="AR3" i="21"/>
  <c r="AQ3" i="21"/>
  <c r="AP3" i="21"/>
  <c r="AO3" i="21"/>
  <c r="AN3" i="21"/>
  <c r="AM3" i="21"/>
  <c r="AL3" i="21"/>
  <c r="AK3" i="21"/>
  <c r="AJ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A3" i="21"/>
  <c r="ER2" i="21"/>
  <c r="ER1" i="21" s="1"/>
  <c r="DU2" i="21"/>
  <c r="CX2" i="21"/>
  <c r="CX3" i="21" s="1"/>
  <c r="A2" i="21"/>
  <c r="A1" i="21"/>
  <c r="DE4" i="21"/>
  <c r="EH4" i="21"/>
  <c r="DN4" i="21"/>
  <c r="DD4" i="21"/>
  <c r="DW4" i="21"/>
  <c r="EM4" i="21"/>
  <c r="CZ4" i="21"/>
  <c r="DJ4" i="21"/>
  <c r="FE4" i="21"/>
  <c r="DK4" i="21"/>
  <c r="DP4" i="21"/>
  <c r="DL4" i="21"/>
  <c r="DG4" i="21"/>
  <c r="DF4" i="21"/>
  <c r="DZ4" i="21"/>
  <c r="DU4" i="21"/>
  <c r="DY4" i="21"/>
  <c r="DB4" i="21"/>
  <c r="FJ4" i="21"/>
  <c r="FH4" i="21"/>
  <c r="EA4" i="21"/>
  <c r="EC4" i="21"/>
  <c r="EW4" i="21"/>
  <c r="EI4" i="21"/>
  <c r="EG4" i="21"/>
  <c r="FL4" i="21"/>
  <c r="ED4" i="21"/>
  <c r="FD4" i="21"/>
  <c r="FM4" i="21"/>
  <c r="DM4" i="21"/>
  <c r="DI4" i="21"/>
  <c r="EZ4" i="21"/>
  <c r="DA4" i="21"/>
  <c r="DC4" i="21"/>
  <c r="DO4" i="21"/>
  <c r="EB4" i="21"/>
  <c r="DX4" i="21"/>
  <c r="FG4" i="21"/>
  <c r="ER4" i="21"/>
  <c r="EO4" i="21"/>
  <c r="FI4" i="21"/>
  <c r="EY4" i="21"/>
  <c r="EJ4" i="21"/>
  <c r="EV4" i="21"/>
  <c r="EL4" i="21"/>
  <c r="FA4" i="21"/>
  <c r="ET4" i="21"/>
  <c r="EK4" i="21"/>
  <c r="DR4" i="21"/>
  <c r="FC4" i="21"/>
  <c r="EX4" i="21"/>
  <c r="ES4" i="21"/>
  <c r="FF4" i="21"/>
  <c r="DV4" i="21"/>
  <c r="EU4" i="21"/>
  <c r="EP4" i="21"/>
  <c r="DS4" i="21"/>
  <c r="CX1" i="21" l="1"/>
  <c r="CY2" i="21"/>
  <c r="CY1" i="21" s="1"/>
  <c r="ER3" i="21"/>
  <c r="ES2" i="21"/>
  <c r="ET2" i="21" s="1"/>
  <c r="ET1" i="21" s="1"/>
  <c r="BL48" i="21"/>
  <c r="BL36" i="21"/>
  <c r="BL21" i="21"/>
  <c r="BL11" i="21"/>
  <c r="DV2" i="21"/>
  <c r="DU3" i="21"/>
  <c r="DU1" i="21"/>
  <c r="CZ2" i="21"/>
  <c r="CY3" i="21"/>
  <c r="BL60" i="21"/>
  <c r="BL58" i="21"/>
  <c r="BL56" i="21"/>
  <c r="BL54" i="21"/>
  <c r="BL52" i="21"/>
  <c r="BL50" i="21"/>
  <c r="BL39" i="21"/>
  <c r="ES3" i="21" l="1"/>
  <c r="ES1" i="21"/>
  <c r="BL59" i="21"/>
  <c r="BL22" i="21"/>
  <c r="BL25" i="21" s="1"/>
  <c r="DV1" i="21"/>
  <c r="DV3" i="21"/>
  <c r="DW2" i="21"/>
  <c r="CZ1" i="21"/>
  <c r="CZ3" i="21"/>
  <c r="DA2" i="21"/>
  <c r="EU2" i="21"/>
  <c r="EU1" i="21" s="1"/>
  <c r="ET3" i="21"/>
  <c r="I74" i="107"/>
  <c r="P65" i="107"/>
  <c r="CR17" i="21" s="1"/>
  <c r="M65" i="107"/>
  <c r="J65" i="107"/>
  <c r="AF17" i="21" s="1"/>
  <c r="L56" i="107"/>
  <c r="J55" i="107"/>
  <c r="M55" i="107"/>
  <c r="L55" i="107"/>
  <c r="M54" i="107"/>
  <c r="O54" i="107"/>
  <c r="P53" i="107"/>
  <c r="L53" i="107"/>
  <c r="M52" i="107"/>
  <c r="L52" i="107"/>
  <c r="M51" i="107"/>
  <c r="L51" i="107"/>
  <c r="M50" i="107"/>
  <c r="O50" i="107"/>
  <c r="P49" i="107"/>
  <c r="L48" i="107"/>
  <c r="M47" i="107"/>
  <c r="L47" i="107"/>
  <c r="P46" i="107"/>
  <c r="L46" i="107"/>
  <c r="G40" i="107"/>
  <c r="N26" i="107"/>
  <c r="K26" i="107"/>
  <c r="G26" i="107"/>
  <c r="O17" i="107"/>
  <c r="L17" i="107"/>
  <c r="I17" i="107"/>
  <c r="O16" i="107"/>
  <c r="L16" i="107"/>
  <c r="I16" i="107"/>
  <c r="O15" i="107"/>
  <c r="L15" i="107"/>
  <c r="I15" i="107"/>
  <c r="O14" i="107"/>
  <c r="L14" i="107"/>
  <c r="Z13" i="107"/>
  <c r="Z15" i="107" s="1"/>
  <c r="N31" i="107" s="1"/>
  <c r="Y13" i="107"/>
  <c r="Y16" i="107" s="1"/>
  <c r="K32" i="107" s="1"/>
  <c r="X13" i="107"/>
  <c r="X14" i="107" s="1"/>
  <c r="H30" i="107" s="1"/>
  <c r="O12" i="107"/>
  <c r="M12" i="107"/>
  <c r="I12" i="107"/>
  <c r="N11" i="107"/>
  <c r="N57" i="107" s="1"/>
  <c r="K11" i="107"/>
  <c r="H11" i="107"/>
  <c r="H57" i="107" s="1"/>
  <c r="I57" i="107" s="1"/>
  <c r="L11" i="107"/>
  <c r="O10" i="107"/>
  <c r="L10" i="107"/>
  <c r="I10" i="107"/>
  <c r="N9" i="107"/>
  <c r="CR6" i="21" s="1"/>
  <c r="K9" i="107"/>
  <c r="L9" i="107" s="1"/>
  <c r="H9" i="107"/>
  <c r="AF6" i="21" s="1"/>
  <c r="N3" i="107"/>
  <c r="Q46" i="107"/>
  <c r="K70" i="107" l="1"/>
  <c r="M69" i="107" s="1"/>
  <c r="P67" i="107"/>
  <c r="CR18" i="21" s="1"/>
  <c r="M67" i="107"/>
  <c r="I9" i="107"/>
  <c r="AF8" i="21" s="1"/>
  <c r="AF48" i="21" s="1"/>
  <c r="CR52" i="21"/>
  <c r="CR48" i="21"/>
  <c r="O9" i="107"/>
  <c r="CR8" i="21" s="1"/>
  <c r="M7" i="107"/>
  <c r="M13" i="107"/>
  <c r="M18" i="107"/>
  <c r="Y14" i="107"/>
  <c r="K30" i="107" s="1"/>
  <c r="L30" i="107" s="1"/>
  <c r="J50" i="107"/>
  <c r="I47" i="107"/>
  <c r="I48" i="107"/>
  <c r="P50" i="107"/>
  <c r="I51" i="107"/>
  <c r="I52" i="107"/>
  <c r="DA3" i="21"/>
  <c r="DB2" i="21"/>
  <c r="DA1" i="21"/>
  <c r="EV2" i="21"/>
  <c r="EV1" i="21" s="1"/>
  <c r="EU3" i="21"/>
  <c r="DW3" i="21"/>
  <c r="DX2" i="21"/>
  <c r="DW1" i="21"/>
  <c r="I73" i="107"/>
  <c r="J71" i="107" s="1"/>
  <c r="AF20" i="21" s="1"/>
  <c r="P13" i="107"/>
  <c r="O74" i="107"/>
  <c r="X15" i="107"/>
  <c r="H31" i="107" s="1"/>
  <c r="I31" i="107" s="1"/>
  <c r="I30" i="107"/>
  <c r="Z17" i="107"/>
  <c r="N33" i="107" s="1"/>
  <c r="O33" i="107" s="1"/>
  <c r="G38" i="107"/>
  <c r="L38" i="107" s="1"/>
  <c r="J67" i="107"/>
  <c r="AF18" i="21" s="1"/>
  <c r="O31" i="107"/>
  <c r="G41" i="107"/>
  <c r="I41" i="107" s="1"/>
  <c r="L73" i="107"/>
  <c r="L32" i="107"/>
  <c r="G42" i="107"/>
  <c r="O42" i="107" s="1"/>
  <c r="J57" i="107"/>
  <c r="Y17" i="107"/>
  <c r="K33" i="107" s="1"/>
  <c r="L33" i="107" s="1"/>
  <c r="Z16" i="107"/>
  <c r="N32" i="107" s="1"/>
  <c r="O32" i="107" s="1"/>
  <c r="J18" i="107"/>
  <c r="G25" i="107"/>
  <c r="O25" i="107" s="1"/>
  <c r="G37" i="107"/>
  <c r="O37" i="107" s="1"/>
  <c r="O48" i="107"/>
  <c r="O26" i="107"/>
  <c r="P23" i="107" s="1"/>
  <c r="CR12" i="21" s="1"/>
  <c r="I26" i="107"/>
  <c r="O55" i="107"/>
  <c r="Y15" i="107"/>
  <c r="K31" i="107" s="1"/>
  <c r="L31" i="107" s="1"/>
  <c r="G39" i="107"/>
  <c r="I39" i="107" s="1"/>
  <c r="J47" i="107"/>
  <c r="J51" i="107"/>
  <c r="O52" i="107"/>
  <c r="J54" i="107"/>
  <c r="P55" i="107"/>
  <c r="I56" i="107"/>
  <c r="O73" i="107"/>
  <c r="P47" i="107"/>
  <c r="P51" i="107"/>
  <c r="L26" i="107"/>
  <c r="P18" i="107"/>
  <c r="G36" i="107"/>
  <c r="I36" i="107" s="1"/>
  <c r="O47" i="107"/>
  <c r="O51" i="107"/>
  <c r="P54" i="107"/>
  <c r="I55" i="107"/>
  <c r="O56" i="107"/>
  <c r="P57" i="107"/>
  <c r="G63" i="107"/>
  <c r="I63" i="107" s="1"/>
  <c r="L74" i="107"/>
  <c r="J7" i="107"/>
  <c r="H70" i="107"/>
  <c r="J69" i="107" s="1"/>
  <c r="AF19" i="21" s="1"/>
  <c r="P48" i="107"/>
  <c r="J48" i="107"/>
  <c r="P56" i="107"/>
  <c r="J56" i="107"/>
  <c r="M56" i="107"/>
  <c r="O49" i="107"/>
  <c r="I49" i="107"/>
  <c r="S10" i="107"/>
  <c r="O40" i="107"/>
  <c r="I40" i="107"/>
  <c r="L40" i="107"/>
  <c r="M48" i="107"/>
  <c r="P52" i="107"/>
  <c r="J52" i="107"/>
  <c r="P7" i="107"/>
  <c r="O46" i="107"/>
  <c r="I46" i="107"/>
  <c r="L49" i="107"/>
  <c r="O53" i="107"/>
  <c r="I53" i="107"/>
  <c r="G64" i="107"/>
  <c r="O64" i="107" s="1"/>
  <c r="P60" i="107" s="1"/>
  <c r="CR16" i="21" s="1"/>
  <c r="M49" i="107"/>
  <c r="M53" i="107"/>
  <c r="L54" i="107"/>
  <c r="K57" i="107"/>
  <c r="M57" i="107" s="1"/>
  <c r="O57" i="107"/>
  <c r="I11" i="107"/>
  <c r="R10" i="107" s="1"/>
  <c r="AF9" i="21" s="1"/>
  <c r="O11" i="107"/>
  <c r="T10" i="107" s="1"/>
  <c r="CR9" i="21" s="1"/>
  <c r="Z14" i="107"/>
  <c r="N30" i="107" s="1"/>
  <c r="O30" i="107" s="1"/>
  <c r="X16" i="107"/>
  <c r="H32" i="107" s="1"/>
  <c r="I32" i="107" s="1"/>
  <c r="G62" i="107"/>
  <c r="X17" i="107"/>
  <c r="H33" i="107" s="1"/>
  <c r="I33" i="107" s="1"/>
  <c r="M46" i="107"/>
  <c r="L50" i="107"/>
  <c r="J46" i="107"/>
  <c r="J49" i="107"/>
  <c r="I50" i="107"/>
  <c r="J53" i="107"/>
  <c r="I54" i="107"/>
  <c r="AF11" i="21" l="1"/>
  <c r="CR11" i="21"/>
  <c r="I38" i="107"/>
  <c r="S19" i="107"/>
  <c r="AF23" i="21" s="1"/>
  <c r="AF51" i="21" s="1"/>
  <c r="AF52" i="21" s="1"/>
  <c r="T19" i="107"/>
  <c r="CR37" i="21" s="1"/>
  <c r="CR55" i="21" s="1"/>
  <c r="CR56" i="21" s="1"/>
  <c r="N70" i="107"/>
  <c r="P69" i="107" s="1"/>
  <c r="CR19" i="21" s="1"/>
  <c r="L36" i="107"/>
  <c r="L57" i="107"/>
  <c r="L58" i="107" s="1"/>
  <c r="L59" i="107" s="1"/>
  <c r="L63" i="107"/>
  <c r="O41" i="107"/>
  <c r="I42" i="107"/>
  <c r="L42" i="107"/>
  <c r="L37" i="107"/>
  <c r="I37" i="107"/>
  <c r="O38" i="107"/>
  <c r="J27" i="107"/>
  <c r="AF13" i="21" s="1"/>
  <c r="I25" i="107"/>
  <c r="J23" i="107" s="1"/>
  <c r="AF12" i="21" s="1"/>
  <c r="L39" i="107"/>
  <c r="L41" i="107"/>
  <c r="DB1" i="21"/>
  <c r="DB3" i="21"/>
  <c r="DC2" i="21"/>
  <c r="DX1" i="21"/>
  <c r="DX3" i="21"/>
  <c r="DY2" i="21"/>
  <c r="EW2" i="21"/>
  <c r="EW1" i="21" s="1"/>
  <c r="EV3" i="21"/>
  <c r="O63" i="107"/>
  <c r="P27" i="107"/>
  <c r="CR13" i="21" s="1"/>
  <c r="O39" i="107"/>
  <c r="P71" i="107"/>
  <c r="CR20" i="21" s="1"/>
  <c r="M27" i="107"/>
  <c r="O36" i="107"/>
  <c r="O58" i="107"/>
  <c r="O59" i="107" s="1"/>
  <c r="CR27" i="21" s="1"/>
  <c r="CR42" i="21" s="1"/>
  <c r="I64" i="107"/>
  <c r="J60" i="107" s="1"/>
  <c r="AF16" i="21" s="1"/>
  <c r="M71" i="107"/>
  <c r="L25" i="107"/>
  <c r="M23" i="107" s="1"/>
  <c r="P43" i="107"/>
  <c r="CR15" i="21" s="1"/>
  <c r="CR60" i="21" s="1"/>
  <c r="L64" i="107"/>
  <c r="M60" i="107" s="1"/>
  <c r="M43" i="107"/>
  <c r="J43" i="107"/>
  <c r="AF15" i="21" s="1"/>
  <c r="I62" i="107"/>
  <c r="O62" i="107"/>
  <c r="L62" i="107"/>
  <c r="I58" i="107"/>
  <c r="I59" i="107" s="1"/>
  <c r="AF27" i="21" s="1"/>
  <c r="AF42" i="21" s="1"/>
  <c r="AF60" i="21" l="1"/>
  <c r="M34" i="107"/>
  <c r="M1" i="107" s="1"/>
  <c r="J34" i="107"/>
  <c r="AF14" i="21" s="1"/>
  <c r="AF21" i="21" s="1"/>
  <c r="EW3" i="21"/>
  <c r="EX2" i="21"/>
  <c r="EX1" i="21" s="1"/>
  <c r="DD2" i="21"/>
  <c r="DC3" i="21"/>
  <c r="DC1" i="21"/>
  <c r="DZ2" i="21"/>
  <c r="DY3" i="21"/>
  <c r="DY1" i="21"/>
  <c r="P34" i="107"/>
  <c r="CR14" i="21" s="1"/>
  <c r="CR21" i="21" s="1"/>
  <c r="CR22" i="21" l="1"/>
  <c r="AF22" i="21"/>
  <c r="P1" i="107"/>
  <c r="N1" i="107" s="1"/>
  <c r="DZ1" i="21"/>
  <c r="DZ3" i="21"/>
  <c r="EA2" i="21"/>
  <c r="EY2" i="21"/>
  <c r="EY1" i="21" s="1"/>
  <c r="EX3" i="21"/>
  <c r="DD1" i="21"/>
  <c r="DD3" i="21"/>
  <c r="DE2" i="21"/>
  <c r="DE3" i="21" l="1"/>
  <c r="DF2" i="21"/>
  <c r="DE1" i="21"/>
  <c r="EZ2" i="21"/>
  <c r="EZ1" i="21" s="1"/>
  <c r="EY3" i="21"/>
  <c r="EA3" i="21"/>
  <c r="EB2" i="21"/>
  <c r="EA1" i="21"/>
  <c r="B6" i="4"/>
  <c r="EZ3" i="21" l="1"/>
  <c r="FA2" i="21"/>
  <c r="EB1" i="21"/>
  <c r="EC2" i="21"/>
  <c r="EB3" i="21"/>
  <c r="DF1" i="21"/>
  <c r="DF3" i="21"/>
  <c r="DG2" i="21"/>
  <c r="DH2" i="21" s="1"/>
  <c r="G30" i="12"/>
  <c r="H30" i="12"/>
  <c r="FA1" i="21" l="1"/>
  <c r="FB2" i="21"/>
  <c r="DI2" i="21"/>
  <c r="DH3" i="21"/>
  <c r="DH1" i="21"/>
  <c r="FA3" i="21"/>
  <c r="DG3" i="21"/>
  <c r="DG1" i="21"/>
  <c r="ED2" i="21"/>
  <c r="EE2" i="21" s="1"/>
  <c r="EC3" i="21"/>
  <c r="EC1" i="21"/>
  <c r="EE1" i="21" l="1"/>
  <c r="EE3" i="21"/>
  <c r="EF2" i="21"/>
  <c r="EG2" i="21" s="1"/>
  <c r="EH2" i="21" s="1"/>
  <c r="EI2" i="21" s="1"/>
  <c r="EJ2" i="21" s="1"/>
  <c r="EK2" i="21" s="1"/>
  <c r="EL2" i="21" s="1"/>
  <c r="EM2" i="21" s="1"/>
  <c r="EO2" i="21" s="1"/>
  <c r="FC2" i="21"/>
  <c r="FB3" i="21"/>
  <c r="FB1" i="21"/>
  <c r="DI1" i="21"/>
  <c r="DJ2" i="21"/>
  <c r="DI3" i="21"/>
  <c r="ED1" i="21"/>
  <c r="ED3" i="21"/>
  <c r="FC3" i="21"/>
  <c r="Z12" i="75"/>
  <c r="Z16" i="75" s="1"/>
  <c r="Y12" i="75"/>
  <c r="Y15" i="75" s="1"/>
  <c r="Z12" i="76"/>
  <c r="Z13" i="76" s="1"/>
  <c r="Y12" i="76"/>
  <c r="Y16" i="76" s="1"/>
  <c r="Y12" i="77"/>
  <c r="Y13" i="77" s="1"/>
  <c r="Y12" i="78"/>
  <c r="Y16" i="78" s="1"/>
  <c r="Y12" i="79"/>
  <c r="Y15" i="79" s="1"/>
  <c r="Y12" i="80"/>
  <c r="Y16" i="80" s="1"/>
  <c r="Z12" i="81"/>
  <c r="Z16" i="81" s="1"/>
  <c r="Y12" i="81"/>
  <c r="Y13" i="81" s="1"/>
  <c r="X12" i="81"/>
  <c r="X16" i="81" s="1"/>
  <c r="Z12" i="74"/>
  <c r="Z15" i="74" s="1"/>
  <c r="Y12" i="74"/>
  <c r="Y16" i="74" s="1"/>
  <c r="M56" i="75"/>
  <c r="L56" i="75"/>
  <c r="M55" i="75"/>
  <c r="L55" i="75"/>
  <c r="M52" i="75"/>
  <c r="L52" i="75"/>
  <c r="M56" i="76"/>
  <c r="L56" i="76"/>
  <c r="M55" i="76"/>
  <c r="L55" i="76"/>
  <c r="M52" i="76"/>
  <c r="L52" i="76"/>
  <c r="M56" i="77"/>
  <c r="M54" i="77"/>
  <c r="L54" i="77"/>
  <c r="M52" i="77"/>
  <c r="J56" i="78"/>
  <c r="L56" i="78"/>
  <c r="O53" i="78"/>
  <c r="M56" i="79"/>
  <c r="I56" i="79"/>
  <c r="P53" i="79"/>
  <c r="L53" i="79"/>
  <c r="J56" i="80"/>
  <c r="L56" i="80"/>
  <c r="M55" i="80"/>
  <c r="O55" i="80"/>
  <c r="J52" i="80"/>
  <c r="L52" i="80"/>
  <c r="J56" i="74"/>
  <c r="L56" i="74"/>
  <c r="M55" i="74"/>
  <c r="O55" i="74"/>
  <c r="M54" i="74"/>
  <c r="L54" i="74"/>
  <c r="N30" i="75"/>
  <c r="K30" i="75"/>
  <c r="D27" i="75"/>
  <c r="K30" i="76"/>
  <c r="D27" i="76"/>
  <c r="K30" i="77"/>
  <c r="D27" i="77"/>
  <c r="K30" i="78"/>
  <c r="D27" i="78"/>
  <c r="K30" i="79"/>
  <c r="D27" i="79"/>
  <c r="K30" i="80"/>
  <c r="D27" i="80"/>
  <c r="K30" i="81"/>
  <c r="D27" i="81"/>
  <c r="N30" i="74"/>
  <c r="K30" i="74"/>
  <c r="D27" i="74"/>
  <c r="N26" i="75"/>
  <c r="K26" i="75"/>
  <c r="N25" i="75"/>
  <c r="K25" i="75"/>
  <c r="N26" i="76"/>
  <c r="K26" i="76"/>
  <c r="N25" i="76"/>
  <c r="K25" i="76"/>
  <c r="N26" i="77"/>
  <c r="K26" i="77"/>
  <c r="N25" i="77"/>
  <c r="K25" i="77"/>
  <c r="K26" i="78"/>
  <c r="N25" i="78"/>
  <c r="K25" i="78"/>
  <c r="N26" i="79"/>
  <c r="K26" i="79"/>
  <c r="N25" i="79"/>
  <c r="K25" i="79"/>
  <c r="N26" i="80"/>
  <c r="K26" i="80"/>
  <c r="N25" i="80"/>
  <c r="K25" i="80"/>
  <c r="N26" i="81"/>
  <c r="K26" i="81"/>
  <c r="N25" i="81"/>
  <c r="K25" i="81"/>
  <c r="N26" i="74"/>
  <c r="K26" i="74"/>
  <c r="N25" i="74"/>
  <c r="K25" i="74"/>
  <c r="P57" i="73"/>
  <c r="L57" i="73"/>
  <c r="M56" i="73"/>
  <c r="L56" i="73"/>
  <c r="M55" i="73"/>
  <c r="L55" i="73"/>
  <c r="M54" i="73"/>
  <c r="O54" i="73"/>
  <c r="P53" i="73"/>
  <c r="L53" i="73"/>
  <c r="M52" i="73"/>
  <c r="L52" i="73"/>
  <c r="Z12" i="73"/>
  <c r="Z16" i="73" s="1"/>
  <c r="Y12" i="73"/>
  <c r="Y15" i="73" s="1"/>
  <c r="X12" i="73"/>
  <c r="X14" i="73" s="1"/>
  <c r="H31" i="73" s="1"/>
  <c r="X12" i="72"/>
  <c r="X14" i="72" s="1"/>
  <c r="H31" i="72" s="1"/>
  <c r="Y12" i="72"/>
  <c r="Y15" i="72" s="1"/>
  <c r="Z12" i="72"/>
  <c r="Z13" i="72" s="1"/>
  <c r="Z15" i="72"/>
  <c r="Y16" i="72"/>
  <c r="Z16" i="72"/>
  <c r="D27" i="73"/>
  <c r="S68" i="73"/>
  <c r="T68" i="73"/>
  <c r="S68" i="71"/>
  <c r="T68" i="71"/>
  <c r="S68" i="70"/>
  <c r="T68" i="70"/>
  <c r="EP2" i="21" l="1"/>
  <c r="EO3" i="21"/>
  <c r="EF3" i="21"/>
  <c r="Z14" i="73"/>
  <c r="Z14" i="81"/>
  <c r="Z14" i="72"/>
  <c r="Z13" i="81"/>
  <c r="X15" i="81"/>
  <c r="EF1" i="21"/>
  <c r="FD2" i="21"/>
  <c r="FD3" i="21" s="1"/>
  <c r="FC1" i="21"/>
  <c r="Z15" i="81"/>
  <c r="Y15" i="80"/>
  <c r="Y13" i="80"/>
  <c r="Z13" i="75"/>
  <c r="DJ1" i="21"/>
  <c r="DK2" i="21"/>
  <c r="X15" i="72"/>
  <c r="H32" i="72" s="1"/>
  <c r="Z15" i="75"/>
  <c r="Y13" i="78"/>
  <c r="Y13" i="76"/>
  <c r="X13" i="73"/>
  <c r="H30" i="73" s="1"/>
  <c r="X13" i="81"/>
  <c r="Y14" i="77"/>
  <c r="Z14" i="76"/>
  <c r="Y13" i="73"/>
  <c r="Y14" i="78"/>
  <c r="Y15" i="76"/>
  <c r="Y14" i="73"/>
  <c r="Y14" i="81"/>
  <c r="Y15" i="78"/>
  <c r="X16" i="72"/>
  <c r="H33" i="72" s="1"/>
  <c r="Z15" i="73"/>
  <c r="I56" i="73"/>
  <c r="I55" i="76"/>
  <c r="I56" i="75"/>
  <c r="O53" i="73"/>
  <c r="J56" i="73"/>
  <c r="O57" i="73"/>
  <c r="L55" i="80"/>
  <c r="P55" i="73"/>
  <c r="L53" i="78"/>
  <c r="I54" i="74"/>
  <c r="P52" i="77"/>
  <c r="O54" i="74"/>
  <c r="I53" i="78"/>
  <c r="Y13" i="74"/>
  <c r="Y14" i="74"/>
  <c r="Y15" i="74"/>
  <c r="P55" i="74"/>
  <c r="I56" i="74"/>
  <c r="I56" i="78"/>
  <c r="P56" i="77"/>
  <c r="O55" i="76"/>
  <c r="I52" i="75"/>
  <c r="I55" i="75"/>
  <c r="O56" i="75"/>
  <c r="O56" i="74"/>
  <c r="O55" i="75"/>
  <c r="P56" i="74"/>
  <c r="O54" i="77"/>
  <c r="J56" i="77"/>
  <c r="P55" i="75"/>
  <c r="O56" i="73"/>
  <c r="I52" i="73"/>
  <c r="I53" i="73"/>
  <c r="J55" i="73"/>
  <c r="P56" i="73"/>
  <c r="I57" i="73"/>
  <c r="M56" i="74"/>
  <c r="O56" i="78"/>
  <c r="J52" i="77"/>
  <c r="I54" i="77"/>
  <c r="O52" i="75"/>
  <c r="J55" i="75"/>
  <c r="DJ3" i="21"/>
  <c r="Z14" i="74"/>
  <c r="Y16" i="81"/>
  <c r="Y14" i="79"/>
  <c r="Y16" i="77"/>
  <c r="Z16" i="76"/>
  <c r="Y14" i="75"/>
  <c r="Z13" i="74"/>
  <c r="X14" i="81"/>
  <c r="Y15" i="81"/>
  <c r="Y14" i="80"/>
  <c r="Y13" i="79"/>
  <c r="Y15" i="77"/>
  <c r="Y14" i="76"/>
  <c r="Z15" i="76"/>
  <c r="Y13" i="75"/>
  <c r="Z14" i="75"/>
  <c r="Z16" i="74"/>
  <c r="Y16" i="79"/>
  <c r="Y16" i="75"/>
  <c r="L55" i="74"/>
  <c r="J54" i="74"/>
  <c r="P54" i="74"/>
  <c r="I55" i="74"/>
  <c r="M52" i="80"/>
  <c r="M56" i="80"/>
  <c r="P54" i="77"/>
  <c r="J54" i="77"/>
  <c r="P52" i="76"/>
  <c r="J52" i="76"/>
  <c r="J55" i="74"/>
  <c r="P52" i="80"/>
  <c r="I55" i="80"/>
  <c r="P56" i="80"/>
  <c r="P55" i="76"/>
  <c r="J55" i="76"/>
  <c r="L56" i="79"/>
  <c r="O56" i="79"/>
  <c r="P53" i="78"/>
  <c r="J53" i="78"/>
  <c r="M53" i="78"/>
  <c r="O56" i="77"/>
  <c r="I56" i="77"/>
  <c r="L56" i="77"/>
  <c r="J53" i="79"/>
  <c r="M53" i="79"/>
  <c r="M56" i="78"/>
  <c r="P56" i="78"/>
  <c r="O52" i="77"/>
  <c r="I52" i="77"/>
  <c r="L52" i="77"/>
  <c r="J56" i="76"/>
  <c r="I52" i="80"/>
  <c r="O52" i="80"/>
  <c r="J55" i="80"/>
  <c r="P55" i="80"/>
  <c r="I56" i="80"/>
  <c r="O56" i="80"/>
  <c r="O53" i="79"/>
  <c r="I53" i="79"/>
  <c r="P56" i="79"/>
  <c r="J56" i="79"/>
  <c r="O52" i="76"/>
  <c r="I52" i="76"/>
  <c r="I56" i="76"/>
  <c r="P52" i="75"/>
  <c r="J52" i="75"/>
  <c r="P56" i="75"/>
  <c r="J56" i="75"/>
  <c r="P52" i="73"/>
  <c r="J52" i="73"/>
  <c r="O52" i="73"/>
  <c r="M57" i="73"/>
  <c r="J54" i="73"/>
  <c r="P54" i="73"/>
  <c r="I55" i="73"/>
  <c r="O55" i="73"/>
  <c r="L54" i="73"/>
  <c r="M53" i="73"/>
  <c r="J53" i="73"/>
  <c r="I54" i="73"/>
  <c r="J57" i="73"/>
  <c r="X16" i="73"/>
  <c r="H33" i="73" s="1"/>
  <c r="Z13" i="73"/>
  <c r="X15" i="73"/>
  <c r="H32" i="73" s="1"/>
  <c r="Y16" i="73"/>
  <c r="Y13" i="72"/>
  <c r="Y14" i="72"/>
  <c r="X13" i="72"/>
  <c r="H30" i="72" s="1"/>
  <c r="FE2" i="21" l="1"/>
  <c r="FE3" i="21" s="1"/>
  <c r="FD1" i="21"/>
  <c r="DL2" i="21"/>
  <c r="DK1" i="21"/>
  <c r="EG1" i="21"/>
  <c r="EG3" i="21"/>
  <c r="DK3" i="21"/>
  <c r="FF2" i="21" l="1"/>
  <c r="FE1" i="21"/>
  <c r="DL1" i="21"/>
  <c r="DM2" i="21"/>
  <c r="EH3" i="21"/>
  <c r="EH1" i="21"/>
  <c r="DL3" i="21"/>
  <c r="FG2" i="21" l="1"/>
  <c r="FG3" i="21" s="1"/>
  <c r="FF1" i="21"/>
  <c r="FF3" i="21"/>
  <c r="DN2" i="21"/>
  <c r="DM1" i="21"/>
  <c r="DM3" i="21"/>
  <c r="EI1" i="21"/>
  <c r="EI3" i="21"/>
  <c r="D27" i="72"/>
  <c r="D27" i="71"/>
  <c r="N26" i="73"/>
  <c r="K26" i="73"/>
  <c r="N25" i="73"/>
  <c r="K25" i="73"/>
  <c r="N26" i="72"/>
  <c r="K26" i="72"/>
  <c r="N25" i="72"/>
  <c r="K25" i="72"/>
  <c r="F70" i="71"/>
  <c r="P65" i="71"/>
  <c r="ES17" i="21" s="1"/>
  <c r="M65" i="71"/>
  <c r="DV17" i="21" s="1"/>
  <c r="J65" i="71"/>
  <c r="CY17" i="21" s="1"/>
  <c r="F64" i="71"/>
  <c r="F63" i="71"/>
  <c r="M57" i="71"/>
  <c r="L57" i="71"/>
  <c r="M55" i="71"/>
  <c r="L55" i="71"/>
  <c r="M54" i="71"/>
  <c r="L54" i="71"/>
  <c r="M53" i="71"/>
  <c r="L53" i="71"/>
  <c r="L52" i="71"/>
  <c r="N26" i="71"/>
  <c r="K26" i="71"/>
  <c r="N25" i="71"/>
  <c r="K25" i="71"/>
  <c r="O19" i="89"/>
  <c r="P18" i="89" s="1"/>
  <c r="FM63" i="21" s="1"/>
  <c r="O19" i="90"/>
  <c r="P18" i="90" s="1"/>
  <c r="FL63" i="21" s="1"/>
  <c r="M18" i="89"/>
  <c r="EP63" i="21" s="1"/>
  <c r="M18" i="90"/>
  <c r="EO63" i="21" s="1"/>
  <c r="I19" i="89"/>
  <c r="J18" i="89" s="1"/>
  <c r="I19" i="90"/>
  <c r="J18" i="90" s="1"/>
  <c r="DR63" i="21" s="1"/>
  <c r="F70" i="72"/>
  <c r="P65" i="72"/>
  <c r="ET17" i="21" s="1"/>
  <c r="M65" i="72"/>
  <c r="DW17" i="21" s="1"/>
  <c r="J65" i="72"/>
  <c r="CZ17" i="21" s="1"/>
  <c r="F64" i="72"/>
  <c r="F63" i="72"/>
  <c r="F70" i="73"/>
  <c r="P65" i="73"/>
  <c r="EU17" i="21" s="1"/>
  <c r="M65" i="73"/>
  <c r="DX17" i="21" s="1"/>
  <c r="J65" i="73"/>
  <c r="DA17" i="21" s="1"/>
  <c r="F64" i="73"/>
  <c r="F63" i="73"/>
  <c r="F70" i="74"/>
  <c r="P65" i="74"/>
  <c r="EV17" i="21" s="1"/>
  <c r="M65" i="74"/>
  <c r="DY17" i="21" s="1"/>
  <c r="J65" i="74"/>
  <c r="DB17" i="21" s="1"/>
  <c r="F63" i="74"/>
  <c r="P65" i="75"/>
  <c r="EW17" i="21" s="1"/>
  <c r="M65" i="75"/>
  <c r="DZ17" i="21" s="1"/>
  <c r="J65" i="75"/>
  <c r="DC17" i="21" s="1"/>
  <c r="F70" i="76"/>
  <c r="P65" i="76"/>
  <c r="EX17" i="21" s="1"/>
  <c r="M65" i="76"/>
  <c r="EA17" i="21" s="1"/>
  <c r="J65" i="76"/>
  <c r="DD17" i="21" s="1"/>
  <c r="F64" i="76"/>
  <c r="F63" i="76"/>
  <c r="F70" i="77"/>
  <c r="P65" i="77"/>
  <c r="EY17" i="21" s="1"/>
  <c r="M65" i="77"/>
  <c r="EB17" i="21" s="1"/>
  <c r="J65" i="77"/>
  <c r="DE17" i="21" s="1"/>
  <c r="F64" i="77"/>
  <c r="F63" i="77"/>
  <c r="F70" i="78"/>
  <c r="P65" i="78"/>
  <c r="EZ17" i="21" s="1"/>
  <c r="M65" i="78"/>
  <c r="EC17" i="21" s="1"/>
  <c r="J65" i="78"/>
  <c r="DF17" i="21" s="1"/>
  <c r="F64" i="78"/>
  <c r="F63" i="78"/>
  <c r="F70" i="79"/>
  <c r="P65" i="79"/>
  <c r="FA17" i="21" s="1"/>
  <c r="M65" i="79"/>
  <c r="ED17" i="21" s="1"/>
  <c r="J65" i="79"/>
  <c r="DG17" i="21" s="1"/>
  <c r="F64" i="79"/>
  <c r="F63" i="79"/>
  <c r="F70" i="80"/>
  <c r="P65" i="80"/>
  <c r="FC17" i="21" s="1"/>
  <c r="M65" i="80"/>
  <c r="EF17" i="21" s="1"/>
  <c r="J65" i="80"/>
  <c r="DI17" i="21" s="1"/>
  <c r="F64" i="80"/>
  <c r="F63" i="80"/>
  <c r="F70" i="81"/>
  <c r="P65" i="81"/>
  <c r="FD17" i="21" s="1"/>
  <c r="M65" i="81"/>
  <c r="EG17" i="21" s="1"/>
  <c r="J65" i="81"/>
  <c r="DJ17" i="21" s="1"/>
  <c r="F64" i="81"/>
  <c r="F63" i="81"/>
  <c r="F70" i="82"/>
  <c r="P65" i="82"/>
  <c r="FE17" i="21" s="1"/>
  <c r="M65" i="82"/>
  <c r="EH17" i="21" s="1"/>
  <c r="J65" i="82"/>
  <c r="DK17" i="21" s="1"/>
  <c r="F64" i="82"/>
  <c r="F63" i="82"/>
  <c r="F70" i="83"/>
  <c r="P65" i="83"/>
  <c r="FF17" i="21" s="1"/>
  <c r="M65" i="83"/>
  <c r="EI17" i="21" s="1"/>
  <c r="J65" i="83"/>
  <c r="DL17" i="21" s="1"/>
  <c r="F64" i="83"/>
  <c r="F63" i="83"/>
  <c r="F70" i="84"/>
  <c r="P65" i="84"/>
  <c r="FG17" i="21" s="1"/>
  <c r="M65" i="84"/>
  <c r="EJ17" i="21" s="1"/>
  <c r="J65" i="84"/>
  <c r="DM17" i="21" s="1"/>
  <c r="F64" i="84"/>
  <c r="F63" i="84"/>
  <c r="F70" i="85"/>
  <c r="P65" i="85"/>
  <c r="FI17" i="21" s="1"/>
  <c r="M65" i="85"/>
  <c r="EL17" i="21" s="1"/>
  <c r="J65" i="85"/>
  <c r="DO17" i="21" s="1"/>
  <c r="F63" i="85"/>
  <c r="F70" i="86"/>
  <c r="P65" i="86"/>
  <c r="FH17" i="21" s="1"/>
  <c r="M65" i="86"/>
  <c r="EK17" i="21" s="1"/>
  <c r="J65" i="86"/>
  <c r="DN17" i="21" s="1"/>
  <c r="F70" i="87"/>
  <c r="P65" i="87"/>
  <c r="FJ17" i="21" s="1"/>
  <c r="M65" i="87"/>
  <c r="EM17" i="21" s="1"/>
  <c r="J65" i="87"/>
  <c r="DP17" i="21" s="1"/>
  <c r="F64" i="87"/>
  <c r="F63" i="87"/>
  <c r="F70" i="89"/>
  <c r="P65" i="89"/>
  <c r="FM17" i="21" s="1"/>
  <c r="M65" i="89"/>
  <c r="EP17" i="21" s="1"/>
  <c r="J65" i="89"/>
  <c r="DS17" i="21" s="1"/>
  <c r="F64" i="89"/>
  <c r="F63" i="89"/>
  <c r="F70" i="90"/>
  <c r="P65" i="90"/>
  <c r="FL17" i="21" s="1"/>
  <c r="M65" i="90"/>
  <c r="EO17" i="21" s="1"/>
  <c r="J65" i="90"/>
  <c r="DR17" i="21" s="1"/>
  <c r="F64" i="90"/>
  <c r="F63" i="90"/>
  <c r="F70" i="91"/>
  <c r="P65" i="91"/>
  <c r="M65" i="91"/>
  <c r="J65" i="91"/>
  <c r="F64" i="91"/>
  <c r="F63" i="91"/>
  <c r="F70" i="70"/>
  <c r="P65" i="70"/>
  <c r="ER17" i="21" s="1"/>
  <c r="M65" i="70"/>
  <c r="DU17" i="21" s="1"/>
  <c r="J65" i="70"/>
  <c r="CX17" i="21" s="1"/>
  <c r="F64" i="70"/>
  <c r="P55" i="72"/>
  <c r="P55" i="83"/>
  <c r="P55" i="90"/>
  <c r="P55" i="91"/>
  <c r="P55" i="70"/>
  <c r="L55" i="72"/>
  <c r="O55" i="83"/>
  <c r="O55" i="89"/>
  <c r="O55" i="90"/>
  <c r="O55" i="91"/>
  <c r="L55" i="70"/>
  <c r="DS63" i="21" l="1"/>
  <c r="FH2" i="21"/>
  <c r="FH3" i="21" s="1"/>
  <c r="FG1" i="21"/>
  <c r="DO2" i="21"/>
  <c r="DN1" i="21"/>
  <c r="DN3" i="21"/>
  <c r="EJ3" i="21"/>
  <c r="EJ1" i="21"/>
  <c r="I54" i="71"/>
  <c r="I55" i="71"/>
  <c r="P53" i="71"/>
  <c r="J57" i="71"/>
  <c r="P54" i="71"/>
  <c r="J54" i="71"/>
  <c r="O55" i="71"/>
  <c r="J53" i="71"/>
  <c r="O54" i="71"/>
  <c r="P57" i="71"/>
  <c r="O56" i="71"/>
  <c r="I56" i="71"/>
  <c r="P52" i="71"/>
  <c r="J52" i="71"/>
  <c r="O57" i="71"/>
  <c r="I57" i="71"/>
  <c r="L56" i="71"/>
  <c r="O52" i="71"/>
  <c r="I52" i="71"/>
  <c r="O53" i="71"/>
  <c r="I53" i="71"/>
  <c r="P56" i="71"/>
  <c r="J56" i="71"/>
  <c r="M52" i="71"/>
  <c r="P55" i="71"/>
  <c r="J55" i="71"/>
  <c r="M56" i="71"/>
  <c r="L55" i="83"/>
  <c r="M55" i="90"/>
  <c r="L55" i="91"/>
  <c r="I55" i="70"/>
  <c r="J55" i="90"/>
  <c r="O55" i="70"/>
  <c r="P55" i="89"/>
  <c r="M55" i="89"/>
  <c r="I55" i="91"/>
  <c r="I55" i="83"/>
  <c r="J55" i="89"/>
  <c r="O55" i="72"/>
  <c r="I55" i="72"/>
  <c r="I55" i="90"/>
  <c r="J55" i="70"/>
  <c r="J55" i="72"/>
  <c r="L55" i="90"/>
  <c r="M55" i="70"/>
  <c r="M55" i="72"/>
  <c r="I55" i="89"/>
  <c r="J55" i="91"/>
  <c r="J55" i="83"/>
  <c r="L55" i="89"/>
  <c r="M55" i="91"/>
  <c r="M55" i="83"/>
  <c r="FI2" i="21" l="1"/>
  <c r="FI3" i="21" s="1"/>
  <c r="FH1" i="21"/>
  <c r="DP2" i="21"/>
  <c r="DO1" i="21"/>
  <c r="DO3" i="21"/>
  <c r="EK1" i="21"/>
  <c r="EK3" i="21"/>
  <c r="FJ2" i="21" l="1"/>
  <c r="FI1" i="21"/>
  <c r="DP1" i="21"/>
  <c r="FJ3" i="21"/>
  <c r="DP3" i="21"/>
  <c r="EL3" i="21"/>
  <c r="EL1" i="21"/>
  <c r="FK2" i="21" l="1"/>
  <c r="FJ1" i="21"/>
  <c r="EM1" i="21"/>
  <c r="EM3" i="21"/>
  <c r="FL2" i="21" l="1"/>
  <c r="FL3" i="21" s="1"/>
  <c r="FK1" i="21"/>
  <c r="FK3" i="21"/>
  <c r="DR3" i="21"/>
  <c r="D73" i="62"/>
  <c r="D74" i="62"/>
  <c r="D75" i="62"/>
  <c r="D76" i="62"/>
  <c r="D77" i="62"/>
  <c r="D78" i="62"/>
  <c r="D79" i="62"/>
  <c r="D80" i="62"/>
  <c r="D81" i="62"/>
  <c r="D84" i="62"/>
  <c r="D85" i="62"/>
  <c r="D71" i="62"/>
  <c r="D62" i="62"/>
  <c r="D63" i="62"/>
  <c r="D65" i="62"/>
  <c r="D66" i="62"/>
  <c r="D67" i="62"/>
  <c r="D68" i="62"/>
  <c r="D69" i="62"/>
  <c r="D61" i="62"/>
  <c r="D54" i="14"/>
  <c r="D56" i="62" s="1"/>
  <c r="D54" i="62"/>
  <c r="D53" i="62"/>
  <c r="D49" i="62"/>
  <c r="D51" i="62"/>
  <c r="D48" i="62"/>
  <c r="D47" i="62"/>
  <c r="D40" i="62"/>
  <c r="D33" i="62"/>
  <c r="D34" i="62"/>
  <c r="D35" i="62"/>
  <c r="N71" i="62"/>
  <c r="N72" i="62"/>
  <c r="N73" i="62"/>
  <c r="N74" i="62"/>
  <c r="N75" i="62"/>
  <c r="N76" i="62"/>
  <c r="N77" i="62"/>
  <c r="N78" i="62"/>
  <c r="F52" i="87" s="1"/>
  <c r="N79" i="62"/>
  <c r="N80" i="62"/>
  <c r="N81" i="62"/>
  <c r="N82" i="62"/>
  <c r="N83" i="62"/>
  <c r="N84" i="62"/>
  <c r="N85" i="62"/>
  <c r="N86" i="62"/>
  <c r="N56" i="62"/>
  <c r="N57" i="62"/>
  <c r="N58" i="62"/>
  <c r="N59" i="62"/>
  <c r="N61" i="62"/>
  <c r="N62" i="62"/>
  <c r="N63" i="62"/>
  <c r="N65" i="62"/>
  <c r="N66" i="62"/>
  <c r="N67" i="62"/>
  <c r="N68" i="62"/>
  <c r="N69" i="62"/>
  <c r="N54" i="62"/>
  <c r="N53" i="62"/>
  <c r="N48" i="62"/>
  <c r="N49" i="62"/>
  <c r="N51" i="62"/>
  <c r="N47" i="62"/>
  <c r="N46" i="62"/>
  <c r="FM2" i="21" l="1"/>
  <c r="FL1" i="21"/>
  <c r="F50" i="83"/>
  <c r="F54" i="81"/>
  <c r="F54" i="109"/>
  <c r="F54" i="78"/>
  <c r="F53" i="80"/>
  <c r="F55" i="85"/>
  <c r="F55" i="81"/>
  <c r="F54" i="84"/>
  <c r="F54" i="82"/>
  <c r="F53" i="83"/>
  <c r="F54" i="79"/>
  <c r="F54" i="86"/>
  <c r="F52" i="74"/>
  <c r="F53" i="77"/>
  <c r="F53" i="76"/>
  <c r="F53" i="75"/>
  <c r="F50" i="89"/>
  <c r="F51" i="72"/>
  <c r="F51" i="109"/>
  <c r="F52" i="81"/>
  <c r="F52" i="109"/>
  <c r="F53" i="81"/>
  <c r="F54" i="85"/>
  <c r="F50" i="72"/>
  <c r="F51" i="82"/>
  <c r="F52" i="79"/>
  <c r="F51" i="84"/>
  <c r="F52" i="78"/>
  <c r="F50" i="87"/>
  <c r="F57" i="82"/>
  <c r="F57" i="78"/>
  <c r="F57" i="74"/>
  <c r="F57" i="83"/>
  <c r="F57" i="79"/>
  <c r="F57" i="75"/>
  <c r="F57" i="80"/>
  <c r="F57" i="81"/>
  <c r="F57" i="84"/>
  <c r="F57" i="109"/>
  <c r="F57" i="76"/>
  <c r="F57" i="77"/>
  <c r="F55" i="87"/>
  <c r="F51" i="87"/>
  <c r="F51" i="75"/>
  <c r="F51" i="77"/>
  <c r="F51" i="79"/>
  <c r="F51" i="71"/>
  <c r="F51" i="70"/>
  <c r="F51" i="76"/>
  <c r="F51" i="78"/>
  <c r="F51" i="80"/>
  <c r="F51" i="74"/>
  <c r="F51" i="73"/>
  <c r="F48" i="90"/>
  <c r="F49" i="82"/>
  <c r="F51" i="86"/>
  <c r="F49" i="83"/>
  <c r="F50" i="76"/>
  <c r="F50" i="78"/>
  <c r="F50" i="80"/>
  <c r="F50" i="82"/>
  <c r="F50" i="74"/>
  <c r="F50" i="71"/>
  <c r="F50" i="75"/>
  <c r="F50" i="77"/>
  <c r="F50" i="79"/>
  <c r="F50" i="70"/>
  <c r="F51" i="83"/>
  <c r="F52" i="82"/>
  <c r="F52" i="84"/>
  <c r="F52" i="86"/>
  <c r="I52" i="86" s="1"/>
  <c r="F49" i="86"/>
  <c r="F49" i="87"/>
  <c r="EO1" i="21"/>
  <c r="DS3" i="21"/>
  <c r="N42" i="62"/>
  <c r="F51" i="81" s="1"/>
  <c r="N41" i="62"/>
  <c r="F46" i="109" s="1"/>
  <c r="N40" i="62"/>
  <c r="N34" i="62"/>
  <c r="F50" i="81" s="1"/>
  <c r="N35" i="62"/>
  <c r="N32" i="62"/>
  <c r="N33" i="62"/>
  <c r="N31" i="62"/>
  <c r="F49" i="109" s="1"/>
  <c r="N25" i="62"/>
  <c r="F47" i="82" s="1"/>
  <c r="N26" i="62"/>
  <c r="F50" i="90" s="1"/>
  <c r="N27" i="62"/>
  <c r="F48" i="84" s="1"/>
  <c r="N28" i="62"/>
  <c r="N29" i="62"/>
  <c r="F49" i="89" s="1"/>
  <c r="N24" i="62"/>
  <c r="F47" i="87" s="1"/>
  <c r="D25" i="62"/>
  <c r="D26" i="62"/>
  <c r="D27" i="62"/>
  <c r="D28" i="62"/>
  <c r="D29" i="62"/>
  <c r="J4" i="62"/>
  <c r="F47" i="83" l="1"/>
  <c r="L49" i="83"/>
  <c r="O49" i="83"/>
  <c r="F50" i="84"/>
  <c r="F48" i="86"/>
  <c r="FM1" i="21"/>
  <c r="FM3" i="21"/>
  <c r="F48" i="83"/>
  <c r="F48" i="72"/>
  <c r="F49" i="72"/>
  <c r="F48" i="89"/>
  <c r="F47" i="85"/>
  <c r="F48" i="85"/>
  <c r="F46" i="87"/>
  <c r="F48" i="109"/>
  <c r="L53" i="76"/>
  <c r="L55" i="81"/>
  <c r="I55" i="81"/>
  <c r="O55" i="81"/>
  <c r="I52" i="79"/>
  <c r="O52" i="79"/>
  <c r="L52" i="79"/>
  <c r="L46" i="109"/>
  <c r="O46" i="109"/>
  <c r="I46" i="109"/>
  <c r="F48" i="82"/>
  <c r="F49" i="85"/>
  <c r="F50" i="73"/>
  <c r="L50" i="73" s="1"/>
  <c r="L53" i="81"/>
  <c r="O53" i="81"/>
  <c r="I53" i="81"/>
  <c r="L53" i="77"/>
  <c r="O55" i="85"/>
  <c r="I55" i="85"/>
  <c r="L55" i="85"/>
  <c r="F55" i="109"/>
  <c r="F55" i="86"/>
  <c r="F55" i="82"/>
  <c r="F53" i="74"/>
  <c r="F55" i="84"/>
  <c r="F54" i="76"/>
  <c r="F54" i="75"/>
  <c r="F54" i="83"/>
  <c r="F56" i="81"/>
  <c r="F55" i="79"/>
  <c r="F55" i="78"/>
  <c r="F55" i="77"/>
  <c r="F54" i="80"/>
  <c r="F52" i="85"/>
  <c r="O55" i="87"/>
  <c r="I55" i="87"/>
  <c r="L55" i="87"/>
  <c r="F48" i="87"/>
  <c r="I52" i="109"/>
  <c r="L52" i="109"/>
  <c r="O52" i="109"/>
  <c r="L52" i="74"/>
  <c r="O52" i="74"/>
  <c r="L53" i="80"/>
  <c r="O53" i="80"/>
  <c r="I53" i="80"/>
  <c r="F50" i="86"/>
  <c r="L52" i="78"/>
  <c r="I52" i="78"/>
  <c r="O52" i="78"/>
  <c r="O52" i="81"/>
  <c r="L52" i="81"/>
  <c r="I52" i="81"/>
  <c r="O54" i="78"/>
  <c r="I54" i="78"/>
  <c r="L54" i="78"/>
  <c r="L49" i="109"/>
  <c r="I49" i="109"/>
  <c r="O49" i="109"/>
  <c r="F46" i="70"/>
  <c r="F47" i="109"/>
  <c r="F47" i="86"/>
  <c r="F53" i="85"/>
  <c r="F49" i="84"/>
  <c r="I51" i="109"/>
  <c r="O51" i="109"/>
  <c r="L51" i="109"/>
  <c r="O54" i="79"/>
  <c r="L54" i="79"/>
  <c r="I54" i="79"/>
  <c r="L54" i="109"/>
  <c r="O54" i="109"/>
  <c r="I54" i="109"/>
  <c r="O54" i="81"/>
  <c r="I54" i="81"/>
  <c r="L54" i="81"/>
  <c r="O57" i="109"/>
  <c r="L57" i="109"/>
  <c r="I57" i="109"/>
  <c r="F46" i="75"/>
  <c r="F46" i="77"/>
  <c r="F46" i="79"/>
  <c r="F46" i="81"/>
  <c r="F46" i="71"/>
  <c r="F47" i="74"/>
  <c r="F46" i="74"/>
  <c r="F47" i="76"/>
  <c r="F47" i="78"/>
  <c r="F47" i="80"/>
  <c r="F46" i="76"/>
  <c r="F46" i="78"/>
  <c r="F46" i="80"/>
  <c r="F50" i="85"/>
  <c r="F47" i="75"/>
  <c r="F47" i="77"/>
  <c r="F47" i="79"/>
  <c r="F47" i="81"/>
  <c r="F47" i="71"/>
  <c r="F47" i="73"/>
  <c r="F47" i="70"/>
  <c r="F46" i="73"/>
  <c r="F46" i="83"/>
  <c r="F46" i="89"/>
  <c r="F46" i="72"/>
  <c r="F47" i="84"/>
  <c r="F48" i="75"/>
  <c r="F48" i="77"/>
  <c r="F48" i="79"/>
  <c r="F48" i="81"/>
  <c r="F48" i="71"/>
  <c r="F46" i="82"/>
  <c r="F48" i="76"/>
  <c r="F48" i="78"/>
  <c r="F48" i="80"/>
  <c r="F48" i="74"/>
  <c r="F48" i="73"/>
  <c r="F46" i="90"/>
  <c r="F48" i="70"/>
  <c r="F49" i="70"/>
  <c r="F49" i="76"/>
  <c r="F49" i="78"/>
  <c r="F49" i="80"/>
  <c r="F49" i="74"/>
  <c r="F49" i="73"/>
  <c r="F47" i="89"/>
  <c r="F47" i="72"/>
  <c r="F49" i="75"/>
  <c r="I49" i="75" s="1"/>
  <c r="F49" i="77"/>
  <c r="F49" i="79"/>
  <c r="F49" i="81"/>
  <c r="F49" i="71"/>
  <c r="F46" i="85"/>
  <c r="F46" i="86"/>
  <c r="F56" i="87"/>
  <c r="F52" i="83"/>
  <c r="F53" i="82"/>
  <c r="F53" i="84"/>
  <c r="F53" i="86"/>
  <c r="F51" i="85"/>
  <c r="L50" i="79"/>
  <c r="I50" i="79"/>
  <c r="O50" i="79"/>
  <c r="L50" i="76"/>
  <c r="I50" i="76"/>
  <c r="O50" i="76"/>
  <c r="L51" i="71"/>
  <c r="I51" i="71"/>
  <c r="O51" i="71"/>
  <c r="L51" i="73"/>
  <c r="I51" i="73"/>
  <c r="O51" i="73"/>
  <c r="O51" i="80"/>
  <c r="L51" i="80"/>
  <c r="I51" i="80"/>
  <c r="L50" i="74"/>
  <c r="O50" i="74"/>
  <c r="I50" i="74"/>
  <c r="L51" i="77"/>
  <c r="I51" i="77"/>
  <c r="O51" i="77"/>
  <c r="L51" i="74"/>
  <c r="I51" i="74"/>
  <c r="O51" i="74"/>
  <c r="L51" i="79"/>
  <c r="I51" i="79"/>
  <c r="O51" i="79"/>
  <c r="L50" i="71"/>
  <c r="I50" i="71"/>
  <c r="O50" i="71"/>
  <c r="L50" i="78"/>
  <c r="O50" i="78"/>
  <c r="I50" i="78"/>
  <c r="L50" i="77"/>
  <c r="O50" i="77"/>
  <c r="I50" i="77"/>
  <c r="L51" i="75"/>
  <c r="I51" i="75"/>
  <c r="O51" i="75"/>
  <c r="L51" i="76"/>
  <c r="O51" i="76"/>
  <c r="I51" i="76"/>
  <c r="O50" i="81"/>
  <c r="I50" i="81"/>
  <c r="L50" i="81"/>
  <c r="L50" i="80"/>
  <c r="I50" i="80"/>
  <c r="O50" i="80"/>
  <c r="L50" i="75"/>
  <c r="O50" i="75"/>
  <c r="I50" i="75"/>
  <c r="L51" i="78"/>
  <c r="I51" i="78"/>
  <c r="O51" i="78"/>
  <c r="L51" i="81"/>
  <c r="I51" i="81"/>
  <c r="O51" i="81"/>
  <c r="EP3" i="21"/>
  <c r="EP1" i="21"/>
  <c r="X175" i="20"/>
  <c r="W175" i="20"/>
  <c r="V175" i="20"/>
  <c r="U175" i="20"/>
  <c r="T175" i="20"/>
  <c r="S175" i="20"/>
  <c r="R175" i="20"/>
  <c r="X174" i="20"/>
  <c r="W174" i="20"/>
  <c r="V174" i="20"/>
  <c r="U174" i="20"/>
  <c r="T174" i="20"/>
  <c r="S174" i="20"/>
  <c r="R174" i="20"/>
  <c r="X144" i="20"/>
  <c r="X143" i="20"/>
  <c r="W144" i="20"/>
  <c r="W143" i="20"/>
  <c r="V144" i="20"/>
  <c r="V143" i="20"/>
  <c r="U144" i="20"/>
  <c r="U143" i="20"/>
  <c r="T144" i="20"/>
  <c r="T143" i="20"/>
  <c r="S144" i="20"/>
  <c r="S143" i="20"/>
  <c r="R144" i="20"/>
  <c r="R143" i="20"/>
  <c r="O50" i="73" l="1"/>
  <c r="I50" i="73"/>
  <c r="L54" i="76"/>
  <c r="I54" i="76"/>
  <c r="O54" i="76"/>
  <c r="O47" i="109"/>
  <c r="L47" i="109"/>
  <c r="I47" i="109"/>
  <c r="L54" i="80"/>
  <c r="O54" i="80"/>
  <c r="I54" i="80"/>
  <c r="O55" i="84"/>
  <c r="I55" i="84"/>
  <c r="L55" i="84"/>
  <c r="L55" i="77"/>
  <c r="O55" i="77"/>
  <c r="I55" i="77"/>
  <c r="L53" i="74"/>
  <c r="I53" i="74"/>
  <c r="O53" i="74"/>
  <c r="I48" i="109"/>
  <c r="L48" i="109"/>
  <c r="O48" i="109"/>
  <c r="L55" i="78"/>
  <c r="I55" i="78"/>
  <c r="O55" i="78"/>
  <c r="O55" i="82"/>
  <c r="L55" i="82"/>
  <c r="I55" i="82"/>
  <c r="L55" i="79"/>
  <c r="O55" i="79"/>
  <c r="I55" i="79"/>
  <c r="O55" i="86"/>
  <c r="L55" i="86"/>
  <c r="I55" i="86"/>
  <c r="L54" i="75"/>
  <c r="O54" i="75"/>
  <c r="I54" i="75"/>
  <c r="O56" i="81"/>
  <c r="L56" i="81"/>
  <c r="I56" i="81"/>
  <c r="O55" i="109"/>
  <c r="L55" i="109"/>
  <c r="I55" i="109"/>
  <c r="L48" i="71"/>
  <c r="O48" i="71"/>
  <c r="I48" i="71"/>
  <c r="L48" i="80"/>
  <c r="I48" i="80"/>
  <c r="O48" i="80"/>
  <c r="I48" i="77"/>
  <c r="O48" i="77"/>
  <c r="L48" i="77"/>
  <c r="O46" i="73"/>
  <c r="L46" i="73"/>
  <c r="I46" i="73"/>
  <c r="L47" i="76"/>
  <c r="O47" i="76"/>
  <c r="I47" i="76"/>
  <c r="O47" i="80"/>
  <c r="L47" i="80"/>
  <c r="I47" i="80"/>
  <c r="L46" i="81"/>
  <c r="I46" i="81"/>
  <c r="O46" i="81"/>
  <c r="L47" i="75"/>
  <c r="O47" i="75"/>
  <c r="I47" i="75"/>
  <c r="L49" i="74"/>
  <c r="O49" i="74"/>
  <c r="I49" i="74"/>
  <c r="L49" i="81"/>
  <c r="I49" i="81"/>
  <c r="O49" i="81"/>
  <c r="L48" i="78"/>
  <c r="O48" i="78"/>
  <c r="I48" i="78"/>
  <c r="L48" i="73"/>
  <c r="I48" i="73"/>
  <c r="O48" i="73"/>
  <c r="L48" i="76"/>
  <c r="O48" i="76"/>
  <c r="I48" i="76"/>
  <c r="L46" i="71"/>
  <c r="I46" i="71"/>
  <c r="O46" i="71"/>
  <c r="L46" i="80"/>
  <c r="I46" i="80"/>
  <c r="O46" i="80"/>
  <c r="L47" i="73"/>
  <c r="I47" i="73"/>
  <c r="O47" i="73"/>
  <c r="L46" i="77"/>
  <c r="I46" i="77"/>
  <c r="O46" i="77"/>
  <c r="L46" i="79"/>
  <c r="O46" i="79"/>
  <c r="I46" i="79"/>
  <c r="L49" i="71"/>
  <c r="O49" i="71"/>
  <c r="I49" i="71"/>
  <c r="L49" i="79"/>
  <c r="I49" i="79"/>
  <c r="O49" i="79"/>
  <c r="L49" i="80"/>
  <c r="O49" i="80"/>
  <c r="I49" i="80"/>
  <c r="L48" i="75"/>
  <c r="O48" i="75"/>
  <c r="I48" i="75"/>
  <c r="L48" i="74"/>
  <c r="O48" i="74"/>
  <c r="I48" i="74"/>
  <c r="L47" i="71"/>
  <c r="I47" i="71"/>
  <c r="O47" i="71"/>
  <c r="L47" i="79"/>
  <c r="O47" i="79"/>
  <c r="I47" i="79"/>
  <c r="O47" i="74"/>
  <c r="L47" i="74"/>
  <c r="I47" i="74"/>
  <c r="L46" i="75"/>
  <c r="I46" i="75"/>
  <c r="O46" i="75"/>
  <c r="O46" i="78"/>
  <c r="I46" i="78"/>
  <c r="L46" i="78"/>
  <c r="I49" i="78"/>
  <c r="O49" i="78"/>
  <c r="L49" i="78"/>
  <c r="L49" i="77"/>
  <c r="O49" i="77"/>
  <c r="I49" i="77"/>
  <c r="L49" i="75"/>
  <c r="O49" i="75"/>
  <c r="O48" i="81"/>
  <c r="L48" i="81"/>
  <c r="I48" i="81"/>
  <c r="O48" i="79"/>
  <c r="I48" i="79"/>
  <c r="L48" i="79"/>
  <c r="L47" i="78"/>
  <c r="O47" i="78"/>
  <c r="I47" i="78"/>
  <c r="L47" i="77"/>
  <c r="O47" i="77"/>
  <c r="I47" i="77"/>
  <c r="L47" i="81"/>
  <c r="O47" i="81"/>
  <c r="I47" i="81"/>
  <c r="L46" i="74"/>
  <c r="I46" i="74"/>
  <c r="O46" i="74"/>
  <c r="L46" i="76"/>
  <c r="O46" i="76"/>
  <c r="I46" i="76"/>
  <c r="L49" i="73"/>
  <c r="O49" i="73"/>
  <c r="I49" i="73"/>
  <c r="O49" i="76"/>
  <c r="I49" i="76"/>
  <c r="L49" i="76"/>
  <c r="F286" i="20"/>
  <c r="F287" i="20"/>
  <c r="F281" i="20"/>
  <c r="F273" i="20"/>
  <c r="F272" i="20"/>
  <c r="F275" i="20"/>
  <c r="F283" i="20"/>
  <c r="I58" i="109" l="1"/>
  <c r="I59" i="109" s="1"/>
  <c r="DH27" i="21" s="1"/>
  <c r="L58" i="109"/>
  <c r="L59" i="109" s="1"/>
  <c r="EE27" i="21" s="1"/>
  <c r="O58" i="109"/>
  <c r="O59" i="109" s="1"/>
  <c r="FB27" i="21" s="1"/>
  <c r="C61" i="6"/>
  <c r="G61" i="6" s="1"/>
  <c r="D69" i="58"/>
  <c r="D69" i="57"/>
  <c r="C59" i="6"/>
  <c r="G59" i="6" s="1"/>
  <c r="D67" i="58"/>
  <c r="D67" i="57"/>
  <c r="C54" i="6"/>
  <c r="D61" i="58"/>
  <c r="D61" i="57"/>
  <c r="C64" i="6"/>
  <c r="J64" i="6" s="1"/>
  <c r="D73" i="58"/>
  <c r="D73" i="57"/>
  <c r="C51" i="6"/>
  <c r="D58" i="58"/>
  <c r="D58" i="57"/>
  <c r="C63" i="6"/>
  <c r="G63" i="6" s="1"/>
  <c r="D72" i="58"/>
  <c r="D72" i="57"/>
  <c r="D71" i="58"/>
  <c r="D71" i="57"/>
  <c r="C52" i="6"/>
  <c r="D59" i="58"/>
  <c r="D59" i="57"/>
  <c r="O58" i="71"/>
  <c r="O59" i="71" s="1"/>
  <c r="ES27" i="21" s="1"/>
  <c r="I58" i="71"/>
  <c r="I59" i="71" s="1"/>
  <c r="CY27" i="21" s="1"/>
  <c r="L58" i="71"/>
  <c r="L59" i="71" s="1"/>
  <c r="DV27" i="21" s="1"/>
  <c r="G267" i="20"/>
  <c r="G268" i="20" s="1"/>
  <c r="G269" i="20" s="1"/>
  <c r="G270" i="20" s="1"/>
  <c r="G271" i="20" s="1"/>
  <c r="G272" i="20" s="1"/>
  <c r="G273" i="20" s="1"/>
  <c r="G274" i="20" s="1"/>
  <c r="G275" i="20" s="1"/>
  <c r="G276" i="20" s="1"/>
  <c r="G277" i="20" s="1"/>
  <c r="G278" i="20" s="1"/>
  <c r="G279" i="20" s="1"/>
  <c r="G280" i="20" s="1"/>
  <c r="G281" i="20" s="1"/>
  <c r="G282" i="20" s="1"/>
  <c r="G283" i="20" s="1"/>
  <c r="G284" i="20" s="1"/>
  <c r="G285" i="20" s="1"/>
  <c r="G286" i="20" s="1"/>
  <c r="G287" i="20" s="1"/>
  <c r="F282" i="20"/>
  <c r="F280" i="20"/>
  <c r="F279" i="20"/>
  <c r="F278" i="20"/>
  <c r="F277" i="20"/>
  <c r="F274" i="20"/>
  <c r="F271" i="20"/>
  <c r="F270" i="20"/>
  <c r="F269" i="20"/>
  <c r="F268" i="20"/>
  <c r="F267" i="20"/>
  <c r="F266" i="20"/>
  <c r="G234" i="20"/>
  <c r="G235" i="20" s="1"/>
  <c r="G236" i="20" s="1"/>
  <c r="G237" i="20" s="1"/>
  <c r="G238" i="20" s="1"/>
  <c r="G239" i="20" s="1"/>
  <c r="G240" i="20" s="1"/>
  <c r="G241" i="20" s="1"/>
  <c r="G242" i="20" s="1"/>
  <c r="G243" i="20" s="1"/>
  <c r="G244" i="20" s="1"/>
  <c r="G245" i="20" s="1"/>
  <c r="G246" i="20" s="1"/>
  <c r="G247" i="20" s="1"/>
  <c r="G248" i="20" s="1"/>
  <c r="G249" i="20" s="1"/>
  <c r="G250" i="20" s="1"/>
  <c r="G251" i="20" s="1"/>
  <c r="G252" i="20" s="1"/>
  <c r="G253" i="20" s="1"/>
  <c r="G254" i="20" s="1"/>
  <c r="G255" i="20" s="1"/>
  <c r="G256" i="20" s="1"/>
  <c r="G257" i="20" s="1"/>
  <c r="G258" i="20" s="1"/>
  <c r="G259" i="20" s="1"/>
  <c r="G260" i="20" s="1"/>
  <c r="G261" i="20" s="1"/>
  <c r="G262" i="20" s="1"/>
  <c r="G263" i="20" s="1"/>
  <c r="G264" i="20" s="1"/>
  <c r="D61" i="6" l="1"/>
  <c r="J61" i="6"/>
  <c r="G51" i="6"/>
  <c r="D64" i="6"/>
  <c r="G54" i="6"/>
  <c r="D63" i="6"/>
  <c r="C47" i="6"/>
  <c r="D47" i="6" s="1"/>
  <c r="D54" i="58"/>
  <c r="D54" i="57"/>
  <c r="C45" i="6"/>
  <c r="J45" i="6" s="1"/>
  <c r="D52" i="58"/>
  <c r="D52" i="57"/>
  <c r="C49" i="6"/>
  <c r="J49" i="6" s="1"/>
  <c r="D56" i="58"/>
  <c r="D56" i="57"/>
  <c r="C56" i="6"/>
  <c r="D64" i="58"/>
  <c r="D64" i="57"/>
  <c r="C62" i="6"/>
  <c r="J62" i="6" s="1"/>
  <c r="D70" i="58"/>
  <c r="D70" i="57"/>
  <c r="G64" i="6"/>
  <c r="C46" i="6"/>
  <c r="J46" i="6" s="1"/>
  <c r="D53" i="58"/>
  <c r="D53" i="57"/>
  <c r="C50" i="6"/>
  <c r="D57" i="58"/>
  <c r="D57" i="57"/>
  <c r="C57" i="6"/>
  <c r="D65" i="58"/>
  <c r="D65" i="57"/>
  <c r="G52" i="6"/>
  <c r="J63" i="6"/>
  <c r="C53" i="6"/>
  <c r="D60" i="58"/>
  <c r="D60" i="57"/>
  <c r="C58" i="6"/>
  <c r="D66" i="58"/>
  <c r="D66" i="57"/>
  <c r="C48" i="6"/>
  <c r="D48" i="6" s="1"/>
  <c r="D55" i="58"/>
  <c r="D55" i="57"/>
  <c r="C55" i="6"/>
  <c r="G55" i="6" s="1"/>
  <c r="D63" i="58"/>
  <c r="D63" i="57"/>
  <c r="C60" i="6"/>
  <c r="G60" i="6" s="1"/>
  <c r="D68" i="58"/>
  <c r="D68" i="57"/>
  <c r="A1" i="73"/>
  <c r="M2" i="57" l="1"/>
  <c r="P2" i="57"/>
  <c r="H2" i="57"/>
  <c r="L2" i="57"/>
  <c r="O2" i="57"/>
  <c r="N2" i="57"/>
  <c r="K2" i="57"/>
  <c r="D62" i="6"/>
  <c r="J60" i="6"/>
  <c r="G50" i="6"/>
  <c r="J47" i="6"/>
  <c r="J48" i="6"/>
  <c r="G49" i="6"/>
  <c r="J50" i="6"/>
  <c r="G53" i="6"/>
  <c r="G62" i="6"/>
  <c r="D60" i="6"/>
  <c r="G48" i="6"/>
  <c r="G47" i="6"/>
  <c r="K2" i="58"/>
  <c r="D46" i="6"/>
  <c r="G46" i="6"/>
  <c r="D45" i="6"/>
  <c r="G57" i="6"/>
  <c r="G56" i="6"/>
  <c r="G45" i="6"/>
  <c r="G58" i="6"/>
  <c r="R2" i="57"/>
  <c r="J2" i="57"/>
  <c r="Q2" i="57"/>
  <c r="E2" i="57"/>
  <c r="D2" i="57"/>
  <c r="G2" i="57"/>
  <c r="I2" i="57"/>
  <c r="F2" i="57"/>
  <c r="J2" i="58"/>
  <c r="E2" i="58"/>
  <c r="D2" i="58"/>
  <c r="F2" i="58"/>
  <c r="I2" i="58"/>
  <c r="G2" i="58"/>
  <c r="H2" i="58"/>
  <c r="F70" i="101" l="1"/>
  <c r="Q18" i="106"/>
  <c r="Q17" i="106"/>
  <c r="Q16" i="106"/>
  <c r="Q15" i="106"/>
  <c r="Q14" i="106"/>
  <c r="L21" i="106"/>
  <c r="I21" i="106"/>
  <c r="L20" i="106"/>
  <c r="I20" i="106"/>
  <c r="O18" i="106"/>
  <c r="L18" i="106"/>
  <c r="I18" i="106"/>
  <c r="G82" i="106"/>
  <c r="G81" i="106"/>
  <c r="G90" i="106"/>
  <c r="G89" i="106"/>
  <c r="G88" i="106"/>
  <c r="G86" i="106"/>
  <c r="C99" i="106"/>
  <c r="C98" i="106"/>
  <c r="C97" i="106"/>
  <c r="C96" i="106"/>
  <c r="C95" i="106"/>
  <c r="C94" i="106"/>
  <c r="C93" i="106"/>
  <c r="C92" i="106"/>
  <c r="C91" i="106"/>
  <c r="C90" i="106"/>
  <c r="C89" i="106"/>
  <c r="C88" i="106"/>
  <c r="C87" i="106"/>
  <c r="C86" i="106"/>
  <c r="C85" i="106"/>
  <c r="C84" i="106"/>
  <c r="C83" i="106"/>
  <c r="C82" i="106"/>
  <c r="C81" i="106"/>
  <c r="Q18" i="105"/>
  <c r="Q17" i="105"/>
  <c r="Q16" i="105"/>
  <c r="Q15" i="105"/>
  <c r="Q14" i="105"/>
  <c r="L21" i="105"/>
  <c r="I21" i="105"/>
  <c r="L20" i="105"/>
  <c r="I20" i="105"/>
  <c r="O18" i="105"/>
  <c r="L18" i="105"/>
  <c r="I18" i="105"/>
  <c r="G82" i="105"/>
  <c r="G81" i="105"/>
  <c r="G90" i="105"/>
  <c r="G89" i="105"/>
  <c r="G88" i="105"/>
  <c r="G86" i="105"/>
  <c r="C99" i="105"/>
  <c r="C98" i="105"/>
  <c r="C97" i="105"/>
  <c r="C96" i="105"/>
  <c r="C95" i="105"/>
  <c r="C94" i="105"/>
  <c r="C93" i="105"/>
  <c r="C92" i="105"/>
  <c r="C91" i="105"/>
  <c r="C90" i="105"/>
  <c r="C89" i="105"/>
  <c r="C88" i="105"/>
  <c r="C87" i="105"/>
  <c r="C86" i="105"/>
  <c r="C85" i="105"/>
  <c r="C84" i="105"/>
  <c r="C83" i="105"/>
  <c r="C82" i="105"/>
  <c r="C81" i="105"/>
  <c r="Q18" i="104"/>
  <c r="Q17" i="104"/>
  <c r="Q16" i="104"/>
  <c r="Q15" i="104"/>
  <c r="Q14" i="104"/>
  <c r="L21" i="104"/>
  <c r="I21" i="104"/>
  <c r="L20" i="104"/>
  <c r="I20" i="104"/>
  <c r="O18" i="104"/>
  <c r="L18" i="104"/>
  <c r="I18" i="104"/>
  <c r="G82" i="104"/>
  <c r="G81" i="104"/>
  <c r="G90" i="104"/>
  <c r="G89" i="104"/>
  <c r="G88" i="104"/>
  <c r="G86" i="104"/>
  <c r="C99" i="104"/>
  <c r="C98" i="104"/>
  <c r="C97" i="104"/>
  <c r="C96" i="104"/>
  <c r="C95" i="104"/>
  <c r="C94" i="104"/>
  <c r="C93" i="104"/>
  <c r="C92" i="104"/>
  <c r="C91" i="104"/>
  <c r="C90" i="104"/>
  <c r="C89" i="104"/>
  <c r="C88" i="104"/>
  <c r="C87" i="104"/>
  <c r="C86" i="104"/>
  <c r="C85" i="104"/>
  <c r="C84" i="104"/>
  <c r="C83" i="104"/>
  <c r="C82" i="104"/>
  <c r="C81" i="104"/>
  <c r="Q18" i="103"/>
  <c r="Q17" i="103"/>
  <c r="Q16" i="103"/>
  <c r="Q15" i="103"/>
  <c r="Q14" i="103"/>
  <c r="L21" i="103"/>
  <c r="I21" i="103"/>
  <c r="L20" i="103"/>
  <c r="I20" i="103"/>
  <c r="O18" i="103"/>
  <c r="L18" i="103"/>
  <c r="I18" i="103"/>
  <c r="G82" i="103"/>
  <c r="G81" i="103"/>
  <c r="G90" i="103"/>
  <c r="G89" i="103"/>
  <c r="G88" i="103"/>
  <c r="G86" i="103"/>
  <c r="C99" i="103"/>
  <c r="C98" i="103"/>
  <c r="C97" i="103"/>
  <c r="C96" i="103"/>
  <c r="C95" i="103"/>
  <c r="C94" i="103"/>
  <c r="C93" i="103"/>
  <c r="C92" i="103"/>
  <c r="C91" i="103"/>
  <c r="C90" i="103"/>
  <c r="C89" i="103"/>
  <c r="C88" i="103"/>
  <c r="C87" i="103"/>
  <c r="C86" i="103"/>
  <c r="C85" i="103"/>
  <c r="C84" i="103"/>
  <c r="C83" i="103"/>
  <c r="C82" i="103"/>
  <c r="C81" i="103"/>
  <c r="Q18" i="102"/>
  <c r="Q17" i="102"/>
  <c r="Q16" i="102"/>
  <c r="Q15" i="102"/>
  <c r="Q14" i="102"/>
  <c r="L21" i="102"/>
  <c r="I21" i="102"/>
  <c r="L20" i="102"/>
  <c r="I20" i="102"/>
  <c r="O18" i="102"/>
  <c r="L18" i="102"/>
  <c r="I18" i="102"/>
  <c r="G82" i="102"/>
  <c r="G81" i="102"/>
  <c r="G90" i="102"/>
  <c r="G89" i="102"/>
  <c r="G88" i="102"/>
  <c r="G86" i="102"/>
  <c r="C99" i="102"/>
  <c r="C98" i="102"/>
  <c r="C97" i="102"/>
  <c r="C96" i="102"/>
  <c r="C95" i="102"/>
  <c r="C94" i="102"/>
  <c r="C93" i="102"/>
  <c r="C92" i="102"/>
  <c r="C91" i="102"/>
  <c r="C90" i="102"/>
  <c r="C89" i="102"/>
  <c r="C88" i="102"/>
  <c r="C87" i="102"/>
  <c r="C86" i="102"/>
  <c r="C85" i="102"/>
  <c r="C84" i="102"/>
  <c r="C83" i="102"/>
  <c r="C82" i="102"/>
  <c r="C81" i="102"/>
  <c r="O19" i="101"/>
  <c r="L19" i="101"/>
  <c r="I19" i="101"/>
  <c r="G81" i="101"/>
  <c r="G80" i="101"/>
  <c r="G89" i="101"/>
  <c r="G88" i="101"/>
  <c r="G87" i="101"/>
  <c r="G85" i="101"/>
  <c r="C98" i="101"/>
  <c r="C97" i="101"/>
  <c r="C96" i="101"/>
  <c r="C95" i="101"/>
  <c r="C94" i="101"/>
  <c r="C93" i="101"/>
  <c r="C92" i="101"/>
  <c r="C91" i="101"/>
  <c r="C90" i="101"/>
  <c r="C89" i="101"/>
  <c r="C88" i="101"/>
  <c r="C87" i="101"/>
  <c r="C86" i="101"/>
  <c r="C85" i="101"/>
  <c r="C84" i="101"/>
  <c r="C83" i="101"/>
  <c r="C82" i="101"/>
  <c r="C81" i="101"/>
  <c r="C80" i="101"/>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F67" i="106"/>
  <c r="F66" i="106"/>
  <c r="F65" i="106"/>
  <c r="G119" i="106"/>
  <c r="G118" i="106"/>
  <c r="G117" i="106"/>
  <c r="G116" i="106"/>
  <c r="G115" i="106"/>
  <c r="G114" i="106"/>
  <c r="G113" i="106"/>
  <c r="G112" i="106"/>
  <c r="G111" i="106"/>
  <c r="G110" i="106"/>
  <c r="G109" i="106"/>
  <c r="G108" i="106"/>
  <c r="G107" i="106"/>
  <c r="G106" i="106"/>
  <c r="G105" i="106"/>
  <c r="G104" i="106"/>
  <c r="G103" i="106"/>
  <c r="G102" i="106"/>
  <c r="G101" i="106"/>
  <c r="G100" i="106"/>
  <c r="G99" i="106"/>
  <c r="G98" i="106"/>
  <c r="G97" i="106"/>
  <c r="G96" i="106"/>
  <c r="G95" i="106"/>
  <c r="G94" i="106"/>
  <c r="N141" i="106"/>
  <c r="N140" i="106"/>
  <c r="N139" i="106"/>
  <c r="N138" i="106"/>
  <c r="N137" i="106"/>
  <c r="N136" i="106"/>
  <c r="N135" i="106"/>
  <c r="N134" i="106"/>
  <c r="N133" i="106"/>
  <c r="N132" i="106"/>
  <c r="N131" i="106"/>
  <c r="N130" i="106"/>
  <c r="N129" i="106"/>
  <c r="N128" i="106"/>
  <c r="N127" i="106"/>
  <c r="N126" i="106"/>
  <c r="N125" i="106"/>
  <c r="N124" i="106"/>
  <c r="N123" i="106"/>
  <c r="N122" i="106"/>
  <c r="N121" i="106"/>
  <c r="N120" i="106"/>
  <c r="N119" i="106"/>
  <c r="N118" i="106"/>
  <c r="N117" i="106"/>
  <c r="N116" i="106"/>
  <c r="N115" i="106"/>
  <c r="N114" i="106"/>
  <c r="N113" i="106"/>
  <c r="N112" i="106"/>
  <c r="N111" i="106"/>
  <c r="N110" i="106"/>
  <c r="N109" i="106"/>
  <c r="N108" i="106"/>
  <c r="N107" i="106"/>
  <c r="N106" i="106"/>
  <c r="N105" i="106"/>
  <c r="N104" i="106"/>
  <c r="N103" i="106"/>
  <c r="N102" i="106"/>
  <c r="N101" i="106"/>
  <c r="N100" i="106"/>
  <c r="N99" i="106"/>
  <c r="N98" i="106"/>
  <c r="N97" i="106"/>
  <c r="N96" i="106"/>
  <c r="N95" i="106"/>
  <c r="N94" i="106"/>
  <c r="N93" i="106"/>
  <c r="N92" i="106"/>
  <c r="N91" i="106"/>
  <c r="N90" i="106"/>
  <c r="N89" i="106"/>
  <c r="N88" i="106"/>
  <c r="N87" i="106"/>
  <c r="N86" i="106"/>
  <c r="N85" i="106"/>
  <c r="N84" i="106"/>
  <c r="N83" i="106"/>
  <c r="N82" i="106"/>
  <c r="G57" i="105"/>
  <c r="F57" i="105"/>
  <c r="E57" i="105"/>
  <c r="G56" i="105"/>
  <c r="F56" i="105"/>
  <c r="E56" i="105"/>
  <c r="G55" i="105"/>
  <c r="F55" i="105"/>
  <c r="E55" i="105"/>
  <c r="G54" i="105"/>
  <c r="F54" i="105"/>
  <c r="E54" i="105"/>
  <c r="G53" i="105"/>
  <c r="F53" i="105"/>
  <c r="E53" i="105"/>
  <c r="G52" i="105"/>
  <c r="F52" i="105"/>
  <c r="E52" i="105"/>
  <c r="G51" i="105"/>
  <c r="F51" i="105"/>
  <c r="E51" i="105"/>
  <c r="G50" i="105"/>
  <c r="F50" i="105"/>
  <c r="E50" i="105"/>
  <c r="G49" i="105"/>
  <c r="F49" i="105"/>
  <c r="E49" i="105"/>
  <c r="G48" i="105"/>
  <c r="F48" i="105"/>
  <c r="E48" i="105"/>
  <c r="G47" i="105"/>
  <c r="F47" i="105"/>
  <c r="E47" i="105"/>
  <c r="G46" i="105"/>
  <c r="F46" i="105"/>
  <c r="E46" i="105"/>
  <c r="F67" i="105"/>
  <c r="F66" i="105"/>
  <c r="F65" i="105"/>
  <c r="G119" i="105"/>
  <c r="G118" i="105"/>
  <c r="G117" i="105"/>
  <c r="G116" i="105"/>
  <c r="G115" i="105"/>
  <c r="G114" i="105"/>
  <c r="G113" i="105"/>
  <c r="G112" i="105"/>
  <c r="G111" i="105"/>
  <c r="G110" i="105"/>
  <c r="G109" i="105"/>
  <c r="G108" i="105"/>
  <c r="G107" i="105"/>
  <c r="G106" i="105"/>
  <c r="G105" i="105"/>
  <c r="G104" i="105"/>
  <c r="G103" i="105"/>
  <c r="G102" i="105"/>
  <c r="G101" i="105"/>
  <c r="G100" i="105"/>
  <c r="G99" i="105"/>
  <c r="G98" i="105"/>
  <c r="G97" i="105"/>
  <c r="G96" i="105"/>
  <c r="G95" i="105"/>
  <c r="G94" i="105"/>
  <c r="N141" i="105"/>
  <c r="N140" i="105"/>
  <c r="N139" i="105"/>
  <c r="N138" i="105"/>
  <c r="N137" i="105"/>
  <c r="N136" i="105"/>
  <c r="N135" i="105"/>
  <c r="N134" i="105"/>
  <c r="N133" i="105"/>
  <c r="N132" i="105"/>
  <c r="N131" i="105"/>
  <c r="N130" i="105"/>
  <c r="N129" i="105"/>
  <c r="N128" i="105"/>
  <c r="N127" i="105"/>
  <c r="N126" i="105"/>
  <c r="N125" i="105"/>
  <c r="N124" i="105"/>
  <c r="N123" i="105"/>
  <c r="N122" i="105"/>
  <c r="N121" i="105"/>
  <c r="N120" i="105"/>
  <c r="N119" i="105"/>
  <c r="N118" i="105"/>
  <c r="N117" i="105"/>
  <c r="N116" i="105"/>
  <c r="N115" i="105"/>
  <c r="N114" i="105"/>
  <c r="N113" i="105"/>
  <c r="N112" i="105"/>
  <c r="N111" i="105"/>
  <c r="N110" i="105"/>
  <c r="N109" i="105"/>
  <c r="N108" i="105"/>
  <c r="N107" i="105"/>
  <c r="N106" i="105"/>
  <c r="N105" i="105"/>
  <c r="N104" i="105"/>
  <c r="N103" i="105"/>
  <c r="N102" i="105"/>
  <c r="N101" i="105"/>
  <c r="N100" i="105"/>
  <c r="N99" i="105"/>
  <c r="N98" i="105"/>
  <c r="N97" i="105"/>
  <c r="N96" i="105"/>
  <c r="N95" i="105"/>
  <c r="N94" i="105"/>
  <c r="N93" i="105"/>
  <c r="N92" i="105"/>
  <c r="N91" i="105"/>
  <c r="N90" i="105"/>
  <c r="N89" i="105"/>
  <c r="N88" i="105"/>
  <c r="N87" i="105"/>
  <c r="N86" i="105"/>
  <c r="N85" i="105"/>
  <c r="N84" i="105"/>
  <c r="N83" i="105"/>
  <c r="N82" i="105"/>
  <c r="G57" i="104"/>
  <c r="F57" i="104"/>
  <c r="E57" i="104"/>
  <c r="G56" i="104"/>
  <c r="F56" i="104"/>
  <c r="E56" i="104"/>
  <c r="G55" i="104"/>
  <c r="F55" i="104"/>
  <c r="E55" i="104"/>
  <c r="G54" i="104"/>
  <c r="F54" i="104"/>
  <c r="E54" i="104"/>
  <c r="G53" i="104"/>
  <c r="F53" i="104"/>
  <c r="E53" i="104"/>
  <c r="G52" i="104"/>
  <c r="F52" i="104"/>
  <c r="E52" i="104"/>
  <c r="G51" i="104"/>
  <c r="F51" i="104"/>
  <c r="E51" i="104"/>
  <c r="G50" i="104"/>
  <c r="F50" i="104"/>
  <c r="E50" i="104"/>
  <c r="G49" i="104"/>
  <c r="F49" i="104"/>
  <c r="E49" i="104"/>
  <c r="G48" i="104"/>
  <c r="F48" i="104"/>
  <c r="E48" i="104"/>
  <c r="G47" i="104"/>
  <c r="F47" i="104"/>
  <c r="E47" i="104"/>
  <c r="G46" i="104"/>
  <c r="F46" i="104"/>
  <c r="E46" i="104"/>
  <c r="F67" i="104"/>
  <c r="F66" i="104"/>
  <c r="F65" i="104"/>
  <c r="G119" i="104"/>
  <c r="G118" i="104"/>
  <c r="G117" i="104"/>
  <c r="G116" i="104"/>
  <c r="G115" i="104"/>
  <c r="G114" i="104"/>
  <c r="G113" i="104"/>
  <c r="G112" i="104"/>
  <c r="G111" i="104"/>
  <c r="G110" i="104"/>
  <c r="G109" i="104"/>
  <c r="G108" i="104"/>
  <c r="G107" i="104"/>
  <c r="G106" i="104"/>
  <c r="G105" i="104"/>
  <c r="G104" i="104"/>
  <c r="G103" i="104"/>
  <c r="G102" i="104"/>
  <c r="G101" i="104"/>
  <c r="G100" i="104"/>
  <c r="G99" i="104"/>
  <c r="G98" i="104"/>
  <c r="G97" i="104"/>
  <c r="G96" i="104"/>
  <c r="G95" i="104"/>
  <c r="G94" i="104"/>
  <c r="N141" i="104"/>
  <c r="N140" i="104"/>
  <c r="N139" i="104"/>
  <c r="N138" i="104"/>
  <c r="N137" i="104"/>
  <c r="N136" i="104"/>
  <c r="N135" i="104"/>
  <c r="N134" i="104"/>
  <c r="N133" i="104"/>
  <c r="N132" i="104"/>
  <c r="N131" i="104"/>
  <c r="N130" i="104"/>
  <c r="N129" i="104"/>
  <c r="N128" i="104"/>
  <c r="N127" i="104"/>
  <c r="N126" i="104"/>
  <c r="N125" i="104"/>
  <c r="N124" i="104"/>
  <c r="N123" i="104"/>
  <c r="N122" i="104"/>
  <c r="N121" i="104"/>
  <c r="N120" i="104"/>
  <c r="N119" i="104"/>
  <c r="N118" i="104"/>
  <c r="N117" i="104"/>
  <c r="N116" i="104"/>
  <c r="N115" i="104"/>
  <c r="N114" i="104"/>
  <c r="N113" i="104"/>
  <c r="N112" i="104"/>
  <c r="N111" i="104"/>
  <c r="N110" i="104"/>
  <c r="N109" i="104"/>
  <c r="N108" i="104"/>
  <c r="N107" i="104"/>
  <c r="N106" i="104"/>
  <c r="N105" i="104"/>
  <c r="N104" i="104"/>
  <c r="N103" i="104"/>
  <c r="N102" i="104"/>
  <c r="N101" i="104"/>
  <c r="N100" i="104"/>
  <c r="N99" i="104"/>
  <c r="N98" i="104"/>
  <c r="N97" i="104"/>
  <c r="N96" i="104"/>
  <c r="N95" i="104"/>
  <c r="N94" i="104"/>
  <c r="N93" i="104"/>
  <c r="N92" i="104"/>
  <c r="N91" i="104"/>
  <c r="N90" i="104"/>
  <c r="N89" i="104"/>
  <c r="N88" i="104"/>
  <c r="N87" i="104"/>
  <c r="N86" i="104"/>
  <c r="N85" i="104"/>
  <c r="N84" i="104"/>
  <c r="N83" i="104"/>
  <c r="N82" i="104"/>
  <c r="G57" i="103"/>
  <c r="F57" i="103"/>
  <c r="E57" i="103"/>
  <c r="G56" i="103"/>
  <c r="F56" i="103"/>
  <c r="E56" i="103"/>
  <c r="G55" i="103"/>
  <c r="F55" i="103"/>
  <c r="E55" i="103"/>
  <c r="G54" i="103"/>
  <c r="F54" i="103"/>
  <c r="E54" i="103"/>
  <c r="G53" i="103"/>
  <c r="F53" i="103"/>
  <c r="E53" i="103"/>
  <c r="G52" i="103"/>
  <c r="F52" i="103"/>
  <c r="E52" i="103"/>
  <c r="G51" i="103"/>
  <c r="F51" i="103"/>
  <c r="E51" i="103"/>
  <c r="G50" i="103"/>
  <c r="F50" i="103"/>
  <c r="E50" i="103"/>
  <c r="G49" i="103"/>
  <c r="F49" i="103"/>
  <c r="E49" i="103"/>
  <c r="G48" i="103"/>
  <c r="F48" i="103"/>
  <c r="E48" i="103"/>
  <c r="G47" i="103"/>
  <c r="F47" i="103"/>
  <c r="E47" i="103"/>
  <c r="G46" i="103"/>
  <c r="F46" i="103"/>
  <c r="E46" i="103"/>
  <c r="F67" i="103"/>
  <c r="F66" i="103"/>
  <c r="F65" i="103"/>
  <c r="G119" i="103"/>
  <c r="G118" i="103"/>
  <c r="G117" i="103"/>
  <c r="G116" i="103"/>
  <c r="G115" i="103"/>
  <c r="G114" i="103"/>
  <c r="G113" i="103"/>
  <c r="G112" i="103"/>
  <c r="G111" i="103"/>
  <c r="G110" i="103"/>
  <c r="G109" i="103"/>
  <c r="G108" i="103"/>
  <c r="G107" i="103"/>
  <c r="G106" i="103"/>
  <c r="G105" i="103"/>
  <c r="G104" i="103"/>
  <c r="G103" i="103"/>
  <c r="G102" i="103"/>
  <c r="G101" i="103"/>
  <c r="G100" i="103"/>
  <c r="G99" i="103"/>
  <c r="G98" i="103"/>
  <c r="G97" i="103"/>
  <c r="G96" i="103"/>
  <c r="G95" i="103"/>
  <c r="G94" i="103"/>
  <c r="N141" i="103"/>
  <c r="N140" i="103"/>
  <c r="N139" i="103"/>
  <c r="N138" i="103"/>
  <c r="N137" i="103"/>
  <c r="N136" i="103"/>
  <c r="N135" i="103"/>
  <c r="N134" i="103"/>
  <c r="N133" i="103"/>
  <c r="N132" i="103"/>
  <c r="N131" i="103"/>
  <c r="N130" i="103"/>
  <c r="N129" i="103"/>
  <c r="N128" i="103"/>
  <c r="N127" i="103"/>
  <c r="N126" i="103"/>
  <c r="N125" i="103"/>
  <c r="N124" i="103"/>
  <c r="N123" i="103"/>
  <c r="N122" i="103"/>
  <c r="N121" i="103"/>
  <c r="N120" i="103"/>
  <c r="N119" i="103"/>
  <c r="N118" i="103"/>
  <c r="N117" i="103"/>
  <c r="N116" i="103"/>
  <c r="N115" i="103"/>
  <c r="N114" i="103"/>
  <c r="N113" i="103"/>
  <c r="N112" i="103"/>
  <c r="N111" i="103"/>
  <c r="N110" i="103"/>
  <c r="N109" i="103"/>
  <c r="N108" i="103"/>
  <c r="N107" i="103"/>
  <c r="N106" i="103"/>
  <c r="N105" i="103"/>
  <c r="N104" i="103"/>
  <c r="N103" i="103"/>
  <c r="N102" i="103"/>
  <c r="N101" i="103"/>
  <c r="N100" i="103"/>
  <c r="N99" i="103"/>
  <c r="N98" i="103"/>
  <c r="N97" i="103"/>
  <c r="N96" i="103"/>
  <c r="N95" i="103"/>
  <c r="N94" i="103"/>
  <c r="N93" i="103"/>
  <c r="N92" i="103"/>
  <c r="N91" i="103"/>
  <c r="N90" i="103"/>
  <c r="N89" i="103"/>
  <c r="N88" i="103"/>
  <c r="N87" i="103"/>
  <c r="N86" i="103"/>
  <c r="N85" i="103"/>
  <c r="N84" i="103"/>
  <c r="N83" i="103"/>
  <c r="N82" i="103"/>
  <c r="G57" i="102"/>
  <c r="F57" i="102"/>
  <c r="E57" i="102"/>
  <c r="G56" i="102"/>
  <c r="F56" i="102"/>
  <c r="E56" i="102"/>
  <c r="G55" i="102"/>
  <c r="F55" i="102"/>
  <c r="E55" i="102"/>
  <c r="G54" i="102"/>
  <c r="F54" i="102"/>
  <c r="E54" i="102"/>
  <c r="G53" i="102"/>
  <c r="F53" i="102"/>
  <c r="E53" i="102"/>
  <c r="G52" i="102"/>
  <c r="F52" i="102"/>
  <c r="E52" i="102"/>
  <c r="G51" i="102"/>
  <c r="F51" i="102"/>
  <c r="E51" i="102"/>
  <c r="G50" i="102"/>
  <c r="F50" i="102"/>
  <c r="E50" i="102"/>
  <c r="G49" i="102"/>
  <c r="F49" i="102"/>
  <c r="E49" i="102"/>
  <c r="G48" i="102"/>
  <c r="F48" i="102"/>
  <c r="E48" i="102"/>
  <c r="G47" i="102"/>
  <c r="F47" i="102"/>
  <c r="E47" i="102"/>
  <c r="G46" i="102"/>
  <c r="F46" i="102"/>
  <c r="E46" i="102"/>
  <c r="F67" i="102"/>
  <c r="F66" i="102"/>
  <c r="F65" i="102"/>
  <c r="G119" i="102"/>
  <c r="G118" i="102"/>
  <c r="G117" i="102"/>
  <c r="G116" i="102"/>
  <c r="G115" i="102"/>
  <c r="G114" i="102"/>
  <c r="G113" i="102"/>
  <c r="G112" i="102"/>
  <c r="G111" i="102"/>
  <c r="G110" i="102"/>
  <c r="G109" i="102"/>
  <c r="G108" i="102"/>
  <c r="G107" i="102"/>
  <c r="G106" i="102"/>
  <c r="G105" i="102"/>
  <c r="G104" i="102"/>
  <c r="G103" i="102"/>
  <c r="G102" i="102"/>
  <c r="G101" i="102"/>
  <c r="G100" i="102"/>
  <c r="G99" i="102"/>
  <c r="G98" i="102"/>
  <c r="G97" i="102"/>
  <c r="G96" i="102"/>
  <c r="G95" i="102"/>
  <c r="G94" i="102"/>
  <c r="N141" i="102"/>
  <c r="N140" i="102"/>
  <c r="N139" i="102"/>
  <c r="N138" i="102"/>
  <c r="N137" i="102"/>
  <c r="N136" i="102"/>
  <c r="N135" i="102"/>
  <c r="N134" i="102"/>
  <c r="N133" i="102"/>
  <c r="N132" i="102"/>
  <c r="N131" i="102"/>
  <c r="N130" i="102"/>
  <c r="N129" i="102"/>
  <c r="N128" i="102"/>
  <c r="N127" i="102"/>
  <c r="N126" i="102"/>
  <c r="N125" i="102"/>
  <c r="N124" i="102"/>
  <c r="N123" i="102"/>
  <c r="N122" i="102"/>
  <c r="N121" i="102"/>
  <c r="N120" i="102"/>
  <c r="N119" i="102"/>
  <c r="N118" i="102"/>
  <c r="N117" i="102"/>
  <c r="N116" i="102"/>
  <c r="N115" i="102"/>
  <c r="N114" i="102"/>
  <c r="N113" i="102"/>
  <c r="N112" i="102"/>
  <c r="N111" i="102"/>
  <c r="N110" i="102"/>
  <c r="N109" i="102"/>
  <c r="N108" i="102"/>
  <c r="N107" i="102"/>
  <c r="N106" i="102"/>
  <c r="N105" i="102"/>
  <c r="N104" i="102"/>
  <c r="N103" i="102"/>
  <c r="N102" i="102"/>
  <c r="N101" i="102"/>
  <c r="N100" i="102"/>
  <c r="N99" i="102"/>
  <c r="N98" i="102"/>
  <c r="N97" i="102"/>
  <c r="N96" i="102"/>
  <c r="N95" i="102"/>
  <c r="N94" i="102"/>
  <c r="N93" i="102"/>
  <c r="N92" i="102"/>
  <c r="N91" i="102"/>
  <c r="N90" i="102"/>
  <c r="N89" i="102"/>
  <c r="N88" i="102"/>
  <c r="N87" i="102"/>
  <c r="N86" i="102"/>
  <c r="N85" i="102"/>
  <c r="N84" i="102"/>
  <c r="N83" i="102"/>
  <c r="N82" i="102"/>
  <c r="G56" i="101"/>
  <c r="F56" i="101"/>
  <c r="E56" i="101"/>
  <c r="G55" i="101"/>
  <c r="F55" i="101"/>
  <c r="E55" i="101"/>
  <c r="G54" i="101"/>
  <c r="F54" i="101"/>
  <c r="E54" i="101"/>
  <c r="G53" i="101"/>
  <c r="F53" i="101"/>
  <c r="E53" i="101"/>
  <c r="G52" i="101"/>
  <c r="F52" i="101"/>
  <c r="E52" i="101"/>
  <c r="G51" i="101"/>
  <c r="F51" i="101"/>
  <c r="E51" i="101"/>
  <c r="F50" i="101"/>
  <c r="G49" i="101"/>
  <c r="F49" i="101"/>
  <c r="E49" i="101"/>
  <c r="G48" i="101"/>
  <c r="F48" i="101"/>
  <c r="E48" i="101"/>
  <c r="F47" i="101"/>
  <c r="G46" i="101"/>
  <c r="F46" i="101"/>
  <c r="E46" i="101"/>
  <c r="G45" i="101"/>
  <c r="F45" i="101"/>
  <c r="E45" i="101"/>
  <c r="F66" i="101"/>
  <c r="F65" i="101"/>
  <c r="G118" i="101"/>
  <c r="G117" i="101"/>
  <c r="G116" i="101"/>
  <c r="G115" i="101"/>
  <c r="G114" i="101"/>
  <c r="G113" i="101"/>
  <c r="G112" i="101"/>
  <c r="G111" i="101"/>
  <c r="G110" i="101"/>
  <c r="G109" i="101"/>
  <c r="G108" i="101"/>
  <c r="G107" i="101"/>
  <c r="G106" i="101"/>
  <c r="G105" i="101"/>
  <c r="G104" i="101"/>
  <c r="G103" i="101"/>
  <c r="G102" i="101"/>
  <c r="G101" i="101"/>
  <c r="G100" i="101"/>
  <c r="G99" i="101"/>
  <c r="G98" i="101"/>
  <c r="G97" i="101"/>
  <c r="G96" i="101"/>
  <c r="G95" i="101"/>
  <c r="G94" i="101"/>
  <c r="G93" i="101"/>
  <c r="N140" i="101"/>
  <c r="N139" i="101"/>
  <c r="N138" i="101"/>
  <c r="N137" i="101"/>
  <c r="N136" i="101"/>
  <c r="N135" i="101"/>
  <c r="N134" i="101"/>
  <c r="N133" i="101"/>
  <c r="N132" i="101"/>
  <c r="N131" i="101"/>
  <c r="N130" i="101"/>
  <c r="N129" i="101"/>
  <c r="N128" i="101"/>
  <c r="N127" i="101"/>
  <c r="N126" i="101"/>
  <c r="N125" i="101"/>
  <c r="N124" i="101"/>
  <c r="N123" i="101"/>
  <c r="N122" i="101"/>
  <c r="N121" i="101"/>
  <c r="N120" i="101"/>
  <c r="N119" i="101"/>
  <c r="N118" i="101"/>
  <c r="N117" i="101"/>
  <c r="N116" i="101"/>
  <c r="N115" i="101"/>
  <c r="N114" i="101"/>
  <c r="N113" i="101"/>
  <c r="N112" i="101"/>
  <c r="N111" i="101"/>
  <c r="N110" i="101"/>
  <c r="N109" i="101"/>
  <c r="N108" i="101"/>
  <c r="N107" i="101"/>
  <c r="N106" i="101"/>
  <c r="N105" i="101"/>
  <c r="N104" i="101"/>
  <c r="N103" i="101"/>
  <c r="N102" i="101"/>
  <c r="N101" i="101"/>
  <c r="N100" i="101"/>
  <c r="N99" i="101"/>
  <c r="N98" i="101"/>
  <c r="N97" i="101"/>
  <c r="N96" i="101"/>
  <c r="N95" i="101"/>
  <c r="N94" i="101"/>
  <c r="N93" i="101"/>
  <c r="N92" i="101"/>
  <c r="N91" i="101"/>
  <c r="N90" i="101"/>
  <c r="N89" i="101"/>
  <c r="N88" i="101"/>
  <c r="N87" i="101"/>
  <c r="N86" i="101"/>
  <c r="N85" i="101"/>
  <c r="N84" i="101"/>
  <c r="N83" i="101"/>
  <c r="N82" i="101"/>
  <c r="N81" i="101"/>
  <c r="F42" i="106"/>
  <c r="F41" i="106"/>
  <c r="F40" i="106"/>
  <c r="F39" i="106"/>
  <c r="F38" i="106"/>
  <c r="F37" i="106"/>
  <c r="F36" i="106"/>
  <c r="E138" i="106"/>
  <c r="E137" i="106"/>
  <c r="E136" i="106"/>
  <c r="C136" i="106"/>
  <c r="E135" i="106"/>
  <c r="C135" i="106"/>
  <c r="E134" i="106"/>
  <c r="C134" i="106"/>
  <c r="E133" i="106"/>
  <c r="C133" i="106"/>
  <c r="E132" i="106"/>
  <c r="C132" i="106"/>
  <c r="E131" i="106"/>
  <c r="C131" i="106"/>
  <c r="E130" i="106"/>
  <c r="C130" i="106"/>
  <c r="E129" i="106"/>
  <c r="C129" i="106"/>
  <c r="E128" i="106"/>
  <c r="C128" i="106"/>
  <c r="E127" i="106"/>
  <c r="C127" i="106"/>
  <c r="E126" i="106"/>
  <c r="C126" i="106"/>
  <c r="E125" i="106"/>
  <c r="C125" i="106"/>
  <c r="E124" i="106"/>
  <c r="C124" i="106"/>
  <c r="E123" i="106"/>
  <c r="C123" i="106"/>
  <c r="F42" i="105"/>
  <c r="F41" i="105"/>
  <c r="F40" i="105"/>
  <c r="F39" i="105"/>
  <c r="F38" i="105"/>
  <c r="F37" i="105"/>
  <c r="F36" i="105"/>
  <c r="E138" i="105"/>
  <c r="E137" i="105"/>
  <c r="E136" i="105"/>
  <c r="C136" i="105"/>
  <c r="E135" i="105"/>
  <c r="C135" i="105"/>
  <c r="E134" i="105"/>
  <c r="C134" i="105"/>
  <c r="E133" i="105"/>
  <c r="C133" i="105"/>
  <c r="E132" i="105"/>
  <c r="C132" i="105"/>
  <c r="E131" i="105"/>
  <c r="C131" i="105"/>
  <c r="E130" i="105"/>
  <c r="C130" i="105"/>
  <c r="E129" i="105"/>
  <c r="C129" i="105"/>
  <c r="E128" i="105"/>
  <c r="C128" i="105"/>
  <c r="E127" i="105"/>
  <c r="C127" i="105"/>
  <c r="E126" i="105"/>
  <c r="C126" i="105"/>
  <c r="E125" i="105"/>
  <c r="C125" i="105"/>
  <c r="E124" i="105"/>
  <c r="C124" i="105"/>
  <c r="E123" i="105"/>
  <c r="C123" i="105"/>
  <c r="F42" i="104"/>
  <c r="F41" i="104"/>
  <c r="F40" i="104"/>
  <c r="F39" i="104"/>
  <c r="F38" i="104"/>
  <c r="F37" i="104"/>
  <c r="F36" i="104"/>
  <c r="E138" i="104"/>
  <c r="E137" i="104"/>
  <c r="E136" i="104"/>
  <c r="C136" i="104"/>
  <c r="E135" i="104"/>
  <c r="C135" i="104"/>
  <c r="E134" i="104"/>
  <c r="C134" i="104"/>
  <c r="E133" i="104"/>
  <c r="C133" i="104"/>
  <c r="E132" i="104"/>
  <c r="C132" i="104"/>
  <c r="E131" i="104"/>
  <c r="C131" i="104"/>
  <c r="E130" i="104"/>
  <c r="C130" i="104"/>
  <c r="E129" i="104"/>
  <c r="C129" i="104"/>
  <c r="E128" i="104"/>
  <c r="C128" i="104"/>
  <c r="E127" i="104"/>
  <c r="C127" i="104"/>
  <c r="E126" i="104"/>
  <c r="C126" i="104"/>
  <c r="E125" i="104"/>
  <c r="C125" i="104"/>
  <c r="E124" i="104"/>
  <c r="C124" i="104"/>
  <c r="E123" i="104"/>
  <c r="C123" i="104"/>
  <c r="F42" i="103"/>
  <c r="F41" i="103"/>
  <c r="F40" i="103"/>
  <c r="F39" i="103"/>
  <c r="F38" i="103"/>
  <c r="F37" i="103"/>
  <c r="F36" i="103"/>
  <c r="E138" i="103"/>
  <c r="E137" i="103"/>
  <c r="E136" i="103"/>
  <c r="C136" i="103"/>
  <c r="E135" i="103"/>
  <c r="C135" i="103"/>
  <c r="E134" i="103"/>
  <c r="C134" i="103"/>
  <c r="E133" i="103"/>
  <c r="C133" i="103"/>
  <c r="E132" i="103"/>
  <c r="C132" i="103"/>
  <c r="E131" i="103"/>
  <c r="C131" i="103"/>
  <c r="E130" i="103"/>
  <c r="C130" i="103"/>
  <c r="E129" i="103"/>
  <c r="C129" i="103"/>
  <c r="E128" i="103"/>
  <c r="C128" i="103"/>
  <c r="E127" i="103"/>
  <c r="C127" i="103"/>
  <c r="E126" i="103"/>
  <c r="C126" i="103"/>
  <c r="E125" i="103"/>
  <c r="C125" i="103"/>
  <c r="E124" i="103"/>
  <c r="C124" i="103"/>
  <c r="E123" i="103"/>
  <c r="C123" i="103"/>
  <c r="F42" i="102"/>
  <c r="F41" i="102"/>
  <c r="F40" i="102"/>
  <c r="F39" i="102"/>
  <c r="F38" i="102"/>
  <c r="F37" i="102"/>
  <c r="F36" i="102"/>
  <c r="E138" i="102"/>
  <c r="E137" i="102"/>
  <c r="E136" i="102"/>
  <c r="C136" i="102"/>
  <c r="E135" i="102"/>
  <c r="C135" i="102"/>
  <c r="E134" i="102"/>
  <c r="C134" i="102"/>
  <c r="E133" i="102"/>
  <c r="C133" i="102"/>
  <c r="E132" i="102"/>
  <c r="C132" i="102"/>
  <c r="E131" i="102"/>
  <c r="C131" i="102"/>
  <c r="E130" i="102"/>
  <c r="C130" i="102"/>
  <c r="E129" i="102"/>
  <c r="C129" i="102"/>
  <c r="E128" i="102"/>
  <c r="C128" i="102"/>
  <c r="E127" i="102"/>
  <c r="C127" i="102"/>
  <c r="E126" i="102"/>
  <c r="C126" i="102"/>
  <c r="E125" i="102"/>
  <c r="C125" i="102"/>
  <c r="E124" i="102"/>
  <c r="C124" i="102"/>
  <c r="E123" i="102"/>
  <c r="C123" i="102"/>
  <c r="F41" i="101"/>
  <c r="F40" i="101"/>
  <c r="F39" i="101"/>
  <c r="F38" i="101"/>
  <c r="F37" i="101"/>
  <c r="F36" i="101"/>
  <c r="F35" i="101"/>
  <c r="F34" i="101"/>
  <c r="C151" i="101"/>
  <c r="C150" i="101"/>
  <c r="C149" i="101"/>
  <c r="C148" i="101"/>
  <c r="C147" i="101"/>
  <c r="C146" i="101"/>
  <c r="C145" i="101"/>
  <c r="C144" i="101"/>
  <c r="C143" i="101"/>
  <c r="C142" i="101"/>
  <c r="C141" i="101"/>
  <c r="C140" i="101"/>
  <c r="C139" i="101"/>
  <c r="C138" i="101"/>
  <c r="C137" i="101"/>
  <c r="C136" i="101"/>
  <c r="C135" i="101"/>
  <c r="C134" i="101"/>
  <c r="C133" i="101"/>
  <c r="C132" i="101"/>
  <c r="C131" i="101"/>
  <c r="C130" i="101"/>
  <c r="C129" i="101"/>
  <c r="C128" i="101"/>
  <c r="C127" i="101"/>
  <c r="C126" i="101"/>
  <c r="C125" i="101"/>
  <c r="C124" i="101"/>
  <c r="C123" i="101"/>
  <c r="C122" i="101"/>
  <c r="P4" i="106"/>
  <c r="D27" i="106"/>
  <c r="P4" i="105"/>
  <c r="D27" i="105"/>
  <c r="P4" i="104"/>
  <c r="D27" i="104"/>
  <c r="P4" i="103"/>
  <c r="D27" i="103"/>
  <c r="P4" i="102"/>
  <c r="D27" i="102"/>
  <c r="P4" i="101"/>
  <c r="D25" i="101"/>
  <c r="L2" i="100"/>
  <c r="L70" i="99"/>
  <c r="L69" i="99"/>
  <c r="L68" i="99"/>
  <c r="L67" i="99"/>
  <c r="L66" i="99"/>
  <c r="L65" i="99"/>
  <c r="L63" i="99"/>
  <c r="L62" i="99"/>
  <c r="L59" i="99"/>
  <c r="L58" i="99"/>
  <c r="L57" i="99"/>
  <c r="L56" i="99"/>
  <c r="L55" i="99"/>
  <c r="L54" i="99"/>
  <c r="L53" i="99"/>
  <c r="L52" i="99"/>
  <c r="L51" i="99"/>
  <c r="L49" i="99"/>
  <c r="L48" i="99"/>
  <c r="L47" i="99"/>
  <c r="L46" i="99"/>
  <c r="L45" i="99"/>
  <c r="L44" i="99"/>
  <c r="L43" i="99"/>
  <c r="L42" i="99"/>
  <c r="L41" i="99"/>
  <c r="L37" i="99"/>
  <c r="L36" i="99"/>
  <c r="L35" i="99"/>
  <c r="L34" i="99"/>
  <c r="L33" i="99"/>
  <c r="L32" i="99"/>
  <c r="L31" i="99"/>
  <c r="L29" i="99"/>
  <c r="L26" i="99"/>
  <c r="L25" i="99"/>
  <c r="L24" i="99"/>
  <c r="L23" i="99"/>
  <c r="L22" i="99"/>
  <c r="L21" i="99"/>
  <c r="L18" i="99"/>
  <c r="L17" i="99"/>
  <c r="L16" i="99"/>
  <c r="L15" i="99"/>
  <c r="L14" i="99"/>
  <c r="L13" i="99"/>
  <c r="F40" i="96"/>
  <c r="F37" i="96"/>
  <c r="C37" i="96"/>
  <c r="F36" i="96"/>
  <c r="C36" i="96"/>
  <c r="F35" i="96"/>
  <c r="C35" i="96"/>
  <c r="F34" i="96"/>
  <c r="C34" i="96"/>
  <c r="F33" i="96"/>
  <c r="C33" i="96"/>
  <c r="F32" i="96"/>
  <c r="C32" i="96"/>
  <c r="F31" i="96"/>
  <c r="C31" i="96"/>
  <c r="L40" i="96"/>
  <c r="L34" i="96"/>
  <c r="F73" i="96"/>
  <c r="F72" i="96"/>
  <c r="F69" i="96"/>
  <c r="C69" i="96"/>
  <c r="F68" i="96"/>
  <c r="C68" i="96"/>
  <c r="F67" i="96"/>
  <c r="C67" i="96"/>
  <c r="F66" i="96"/>
  <c r="C66" i="96"/>
  <c r="F65" i="96"/>
  <c r="C65" i="96"/>
  <c r="F64" i="96"/>
  <c r="C64" i="96"/>
  <c r="L73" i="96"/>
  <c r="L72" i="96"/>
  <c r="B12" i="13" l="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N3" i="106" l="1"/>
  <c r="P6" i="106"/>
  <c r="H9" i="106"/>
  <c r="I9" i="106" s="1"/>
  <c r="H10" i="106"/>
  <c r="I10" i="106" s="1"/>
  <c r="K10" i="106"/>
  <c r="H11" i="106"/>
  <c r="K11" i="106"/>
  <c r="K57" i="106" s="1"/>
  <c r="M57" i="106" s="1"/>
  <c r="N11" i="106"/>
  <c r="I12" i="106"/>
  <c r="M12" i="106"/>
  <c r="O12" i="106"/>
  <c r="X13" i="106"/>
  <c r="X17" i="106" s="1"/>
  <c r="H33" i="106" s="1"/>
  <c r="Y13" i="106"/>
  <c r="Y14" i="106" s="1"/>
  <c r="K30" i="106" s="1"/>
  <c r="Z13" i="106"/>
  <c r="Z14" i="106" s="1"/>
  <c r="O14" i="106"/>
  <c r="I15" i="106"/>
  <c r="L15" i="106"/>
  <c r="O15" i="106"/>
  <c r="Y15" i="106"/>
  <c r="K31" i="106" s="1"/>
  <c r="I16" i="106"/>
  <c r="L16" i="106"/>
  <c r="O16" i="106"/>
  <c r="Y16" i="106"/>
  <c r="I17" i="106"/>
  <c r="L17" i="106"/>
  <c r="O17" i="106"/>
  <c r="Y17" i="106"/>
  <c r="K33" i="106" s="1"/>
  <c r="Z17" i="106"/>
  <c r="K32" i="106"/>
  <c r="I46" i="106"/>
  <c r="J46" i="106"/>
  <c r="M47" i="106"/>
  <c r="L48" i="106"/>
  <c r="M48" i="106"/>
  <c r="P48" i="106"/>
  <c r="L49" i="106"/>
  <c r="M49" i="106"/>
  <c r="J49" i="106"/>
  <c r="P49" i="106"/>
  <c r="L50" i="106"/>
  <c r="J50" i="106"/>
  <c r="O50" i="106"/>
  <c r="M51" i="106"/>
  <c r="M52" i="106"/>
  <c r="L52" i="106"/>
  <c r="M53" i="106"/>
  <c r="L53" i="106"/>
  <c r="L54" i="106"/>
  <c r="J54" i="106"/>
  <c r="M55" i="106"/>
  <c r="L56" i="106"/>
  <c r="M56" i="106"/>
  <c r="J59" i="106"/>
  <c r="M59" i="106"/>
  <c r="P59" i="106"/>
  <c r="C142" i="106"/>
  <c r="N3" i="105"/>
  <c r="P6" i="105"/>
  <c r="H10" i="105"/>
  <c r="H9" i="105" s="1"/>
  <c r="I9" i="105" s="1"/>
  <c r="K10" i="105"/>
  <c r="H11" i="105"/>
  <c r="H57" i="105" s="1"/>
  <c r="K11" i="105"/>
  <c r="K57" i="105" s="1"/>
  <c r="N11" i="105"/>
  <c r="I12" i="105"/>
  <c r="M12" i="105"/>
  <c r="O12" i="105"/>
  <c r="X13" i="105"/>
  <c r="X16" i="105" s="1"/>
  <c r="H32" i="105" s="1"/>
  <c r="Y13" i="105"/>
  <c r="Z13" i="105"/>
  <c r="Z16" i="105" s="1"/>
  <c r="O14" i="105"/>
  <c r="I15" i="105"/>
  <c r="L15" i="105"/>
  <c r="O15" i="105"/>
  <c r="I16" i="105"/>
  <c r="L16" i="105"/>
  <c r="O16" i="105"/>
  <c r="I17" i="105"/>
  <c r="L17" i="105"/>
  <c r="O17" i="105"/>
  <c r="X17" i="105"/>
  <c r="H33" i="105" s="1"/>
  <c r="L46" i="105"/>
  <c r="J46" i="105"/>
  <c r="O47" i="105"/>
  <c r="J47" i="105"/>
  <c r="L47" i="105"/>
  <c r="M47" i="105"/>
  <c r="I48" i="105"/>
  <c r="M48" i="105"/>
  <c r="J48" i="105"/>
  <c r="O49" i="105"/>
  <c r="M49" i="105"/>
  <c r="J50" i="105"/>
  <c r="I51" i="105"/>
  <c r="J51" i="105"/>
  <c r="P51" i="105"/>
  <c r="L52" i="105"/>
  <c r="J52" i="105"/>
  <c r="M52" i="105"/>
  <c r="O53" i="105"/>
  <c r="M53" i="105"/>
  <c r="J54" i="105"/>
  <c r="J55" i="105"/>
  <c r="P55" i="105"/>
  <c r="I56" i="105"/>
  <c r="L56" i="105"/>
  <c r="O56" i="105"/>
  <c r="J59" i="105"/>
  <c r="M59" i="105"/>
  <c r="P59" i="105"/>
  <c r="C142" i="105"/>
  <c r="N3" i="104"/>
  <c r="P6" i="104"/>
  <c r="H10" i="104"/>
  <c r="H9" i="104" s="1"/>
  <c r="I9" i="104" s="1"/>
  <c r="K10" i="104"/>
  <c r="K9" i="104" s="1"/>
  <c r="L9" i="104" s="1"/>
  <c r="H11" i="104"/>
  <c r="K11" i="104"/>
  <c r="K57" i="104" s="1"/>
  <c r="N11" i="104"/>
  <c r="I12" i="104"/>
  <c r="M12" i="104"/>
  <c r="O12" i="104"/>
  <c r="X13" i="104"/>
  <c r="X15" i="104" s="1"/>
  <c r="H31" i="104" s="1"/>
  <c r="Y13" i="104"/>
  <c r="Y16" i="104" s="1"/>
  <c r="Z13" i="104"/>
  <c r="Z14" i="104" s="1"/>
  <c r="I15" i="104"/>
  <c r="L15" i="104"/>
  <c r="O15" i="104"/>
  <c r="Z15" i="104"/>
  <c r="N31" i="104" s="1"/>
  <c r="I16" i="104"/>
  <c r="L16" i="104"/>
  <c r="O16" i="104"/>
  <c r="Z16" i="104"/>
  <c r="I17" i="104"/>
  <c r="L17" i="104"/>
  <c r="O17" i="104"/>
  <c r="Z17" i="104"/>
  <c r="M19" i="104"/>
  <c r="J19" i="104"/>
  <c r="K32" i="104"/>
  <c r="N33" i="104"/>
  <c r="I46" i="104"/>
  <c r="M46" i="104"/>
  <c r="O46" i="104"/>
  <c r="M47" i="104"/>
  <c r="I49" i="104"/>
  <c r="J49" i="104"/>
  <c r="M49" i="104"/>
  <c r="P49" i="104"/>
  <c r="O50" i="104"/>
  <c r="M50" i="104"/>
  <c r="I50" i="104"/>
  <c r="L50" i="104"/>
  <c r="M51" i="104"/>
  <c r="J53" i="104"/>
  <c r="L53" i="104"/>
  <c r="M53" i="104"/>
  <c r="O54" i="104"/>
  <c r="M54" i="104"/>
  <c r="L54" i="104"/>
  <c r="M55" i="104"/>
  <c r="H57" i="104"/>
  <c r="J57" i="104" s="1"/>
  <c r="N57" i="104"/>
  <c r="J59" i="104"/>
  <c r="M59" i="104"/>
  <c r="P59" i="104"/>
  <c r="C142" i="104"/>
  <c r="N3" i="103"/>
  <c r="P6" i="103"/>
  <c r="H10" i="103"/>
  <c r="H9" i="103" s="1"/>
  <c r="I9" i="103" s="1"/>
  <c r="K10" i="103"/>
  <c r="L10" i="103" s="1"/>
  <c r="H11" i="103"/>
  <c r="H57" i="103" s="1"/>
  <c r="K11" i="103"/>
  <c r="K57" i="103" s="1"/>
  <c r="L57" i="103" s="1"/>
  <c r="N11" i="103"/>
  <c r="I12" i="103"/>
  <c r="M12" i="103"/>
  <c r="O12" i="103"/>
  <c r="X13" i="103"/>
  <c r="X16" i="103" s="1"/>
  <c r="H32" i="103" s="1"/>
  <c r="Y13" i="103"/>
  <c r="Z13" i="103"/>
  <c r="Z14" i="103" s="1"/>
  <c r="N30" i="103" s="1"/>
  <c r="O14" i="103"/>
  <c r="Y14" i="103"/>
  <c r="I15" i="103"/>
  <c r="L15" i="103"/>
  <c r="O15" i="103"/>
  <c r="Y15" i="103"/>
  <c r="K31" i="103" s="1"/>
  <c r="Z15" i="103"/>
  <c r="N31" i="103" s="1"/>
  <c r="I16" i="103"/>
  <c r="L16" i="103"/>
  <c r="O16" i="103"/>
  <c r="Y16" i="103"/>
  <c r="I17" i="103"/>
  <c r="L17" i="103"/>
  <c r="O17" i="103"/>
  <c r="Y17" i="103"/>
  <c r="K30" i="103"/>
  <c r="K32" i="103"/>
  <c r="K33" i="103"/>
  <c r="I46" i="103"/>
  <c r="M46" i="103"/>
  <c r="M47" i="103"/>
  <c r="J47" i="103"/>
  <c r="J48" i="103"/>
  <c r="M48" i="103"/>
  <c r="O49" i="103"/>
  <c r="J49" i="103"/>
  <c r="M50" i="103"/>
  <c r="J51" i="103"/>
  <c r="I52" i="103"/>
  <c r="J53" i="103"/>
  <c r="I54" i="103"/>
  <c r="M54" i="103"/>
  <c r="J55" i="103"/>
  <c r="J56" i="103"/>
  <c r="I56" i="103"/>
  <c r="L56" i="103"/>
  <c r="M56" i="103"/>
  <c r="O56" i="103"/>
  <c r="J59" i="103"/>
  <c r="M59" i="103"/>
  <c r="P59" i="103"/>
  <c r="C142" i="103"/>
  <c r="N3" i="102"/>
  <c r="P6" i="102"/>
  <c r="H10" i="102"/>
  <c r="H9" i="102" s="1"/>
  <c r="I9" i="102" s="1"/>
  <c r="K10" i="102"/>
  <c r="K9" i="102" s="1"/>
  <c r="L9" i="102" s="1"/>
  <c r="H11" i="102"/>
  <c r="H57" i="102" s="1"/>
  <c r="K11" i="102"/>
  <c r="N11" i="102"/>
  <c r="N57" i="102" s="1"/>
  <c r="I12" i="102"/>
  <c r="M12" i="102"/>
  <c r="O12" i="102"/>
  <c r="X13" i="102"/>
  <c r="X15" i="102" s="1"/>
  <c r="H31" i="102" s="1"/>
  <c r="Y13" i="102"/>
  <c r="Y16" i="102" s="1"/>
  <c r="K32" i="102" s="1"/>
  <c r="Z13" i="102"/>
  <c r="Z14" i="102"/>
  <c r="I15" i="102"/>
  <c r="L15" i="102"/>
  <c r="O15" i="102"/>
  <c r="Z15" i="102"/>
  <c r="I16" i="102"/>
  <c r="L16" i="102"/>
  <c r="O16" i="102"/>
  <c r="Z16" i="102"/>
  <c r="I17" i="102"/>
  <c r="L17" i="102"/>
  <c r="O17" i="102"/>
  <c r="Z17" i="102"/>
  <c r="M19" i="102"/>
  <c r="N33" i="102"/>
  <c r="J46" i="102"/>
  <c r="M46" i="102"/>
  <c r="O47" i="102"/>
  <c r="M47" i="102"/>
  <c r="L48" i="102"/>
  <c r="J48" i="102"/>
  <c r="I49" i="102"/>
  <c r="J49" i="102"/>
  <c r="O50" i="102"/>
  <c r="J50" i="102"/>
  <c r="M50" i="102"/>
  <c r="O51" i="102"/>
  <c r="M51" i="102"/>
  <c r="J52" i="102"/>
  <c r="M52" i="102"/>
  <c r="P52" i="102"/>
  <c r="M53" i="102"/>
  <c r="I53" i="102"/>
  <c r="L53" i="102"/>
  <c r="O53" i="102"/>
  <c r="J54" i="102"/>
  <c r="O55" i="102"/>
  <c r="M55" i="102"/>
  <c r="I56" i="102"/>
  <c r="J56" i="102"/>
  <c r="K57" i="102"/>
  <c r="L57" i="102" s="1"/>
  <c r="J59" i="102"/>
  <c r="M59" i="102"/>
  <c r="P59" i="102"/>
  <c r="C142" i="102"/>
  <c r="H9" i="101"/>
  <c r="K9" i="101"/>
  <c r="N9" i="101"/>
  <c r="I10" i="101"/>
  <c r="L10" i="101"/>
  <c r="O10" i="101"/>
  <c r="H11" i="101"/>
  <c r="K11" i="101"/>
  <c r="N11" i="101"/>
  <c r="I12" i="101"/>
  <c r="M12" i="101"/>
  <c r="O12" i="101"/>
  <c r="X12" i="101"/>
  <c r="X16" i="101" s="1"/>
  <c r="H31" i="101" s="1"/>
  <c r="Y12" i="101"/>
  <c r="Y13" i="101" s="1"/>
  <c r="K28" i="101" s="1"/>
  <c r="Z12" i="101"/>
  <c r="X13" i="101"/>
  <c r="H28" i="101" s="1"/>
  <c r="I15" i="101"/>
  <c r="L15" i="101"/>
  <c r="O15" i="101"/>
  <c r="X15" i="101"/>
  <c r="H30" i="101" s="1"/>
  <c r="I16" i="101"/>
  <c r="L16" i="101"/>
  <c r="O16" i="101"/>
  <c r="L45" i="101"/>
  <c r="J45" i="101"/>
  <c r="P45" i="101"/>
  <c r="M46" i="101"/>
  <c r="L46" i="101"/>
  <c r="I47" i="101"/>
  <c r="O47" i="101"/>
  <c r="I48" i="101"/>
  <c r="M48" i="101"/>
  <c r="J49" i="101"/>
  <c r="I50" i="101"/>
  <c r="L51" i="101"/>
  <c r="J51" i="101"/>
  <c r="I52" i="101"/>
  <c r="H53" i="101"/>
  <c r="K53" i="101"/>
  <c r="M53" i="101" s="1"/>
  <c r="N53" i="101"/>
  <c r="P53" i="101" s="1"/>
  <c r="P54" i="101"/>
  <c r="J54" i="101"/>
  <c r="I55" i="101"/>
  <c r="J55" i="101"/>
  <c r="I56" i="101"/>
  <c r="M56" i="101"/>
  <c r="J58" i="101"/>
  <c r="M58" i="101"/>
  <c r="P58" i="101"/>
  <c r="H74" i="101"/>
  <c r="K74" i="101"/>
  <c r="N74" i="101"/>
  <c r="C77" i="101"/>
  <c r="B132" i="101"/>
  <c r="B133" i="101" s="1"/>
  <c r="B134" i="101" s="1"/>
  <c r="B135" i="101" s="1"/>
  <c r="B136" i="101" s="1"/>
  <c r="B137" i="101" s="1"/>
  <c r="B138" i="101" s="1"/>
  <c r="B139" i="101" s="1"/>
  <c r="B140" i="101" s="1"/>
  <c r="B141" i="101" s="1"/>
  <c r="B142" i="101" s="1"/>
  <c r="B143" i="101" s="1"/>
  <c r="B144" i="101" s="1"/>
  <c r="B145" i="101" s="1"/>
  <c r="B146" i="101" s="1"/>
  <c r="B147" i="101" s="1"/>
  <c r="B148" i="101" s="1"/>
  <c r="B149" i="101" s="1"/>
  <c r="B150" i="101" s="1"/>
  <c r="B151" i="101" s="1"/>
  <c r="I10" i="102" l="1"/>
  <c r="J7" i="102" s="1"/>
  <c r="I10" i="103"/>
  <c r="I10" i="104"/>
  <c r="Y15" i="101"/>
  <c r="K30" i="101" s="1"/>
  <c r="O20" i="105"/>
  <c r="O21" i="105"/>
  <c r="K71" i="102"/>
  <c r="M70" i="102" s="1"/>
  <c r="X17" i="103"/>
  <c r="H33" i="103" s="1"/>
  <c r="X14" i="103"/>
  <c r="H30" i="103" s="1"/>
  <c r="O20" i="103"/>
  <c r="O21" i="103"/>
  <c r="X17" i="104"/>
  <c r="H33" i="104" s="1"/>
  <c r="Z14" i="105"/>
  <c r="X16" i="102"/>
  <c r="H32" i="102" s="1"/>
  <c r="X15" i="103"/>
  <c r="H31" i="103" s="1"/>
  <c r="Z15" i="106"/>
  <c r="N31" i="106" s="1"/>
  <c r="Y15" i="104"/>
  <c r="K31" i="104" s="1"/>
  <c r="H71" i="104"/>
  <c r="J70" i="104" s="1"/>
  <c r="Z17" i="105"/>
  <c r="Y14" i="101"/>
  <c r="K29" i="101" s="1"/>
  <c r="X14" i="101"/>
  <c r="H29" i="101" s="1"/>
  <c r="N30" i="102"/>
  <c r="O21" i="102"/>
  <c r="O20" i="102"/>
  <c r="Z16" i="103"/>
  <c r="N32" i="103" s="1"/>
  <c r="Z15" i="105"/>
  <c r="I10" i="105"/>
  <c r="X17" i="102"/>
  <c r="H33" i="102" s="1"/>
  <c r="L10" i="102"/>
  <c r="M7" i="102" s="1"/>
  <c r="X16" i="104"/>
  <c r="H32" i="104" s="1"/>
  <c r="Z17" i="103"/>
  <c r="N33" i="103" s="1"/>
  <c r="Z16" i="106"/>
  <c r="N30" i="106"/>
  <c r="O20" i="106"/>
  <c r="O21" i="106"/>
  <c r="X14" i="104"/>
  <c r="H30" i="104" s="1"/>
  <c r="O20" i="104"/>
  <c r="P19" i="104" s="1"/>
  <c r="O21" i="104"/>
  <c r="J19" i="103"/>
  <c r="L46" i="104"/>
  <c r="O46" i="106"/>
  <c r="O56" i="101"/>
  <c r="M55" i="101"/>
  <c r="J53" i="101"/>
  <c r="L50" i="101"/>
  <c r="P49" i="102"/>
  <c r="L47" i="102"/>
  <c r="O52" i="103"/>
  <c r="L49" i="103"/>
  <c r="P47" i="103"/>
  <c r="M55" i="105"/>
  <c r="L51" i="105"/>
  <c r="I49" i="105"/>
  <c r="P48" i="105"/>
  <c r="P56" i="106"/>
  <c r="O54" i="106"/>
  <c r="L46" i="106"/>
  <c r="M19" i="106"/>
  <c r="L49" i="105"/>
  <c r="L55" i="101"/>
  <c r="M54" i="101"/>
  <c r="L52" i="101"/>
  <c r="L55" i="102"/>
  <c r="M54" i="102"/>
  <c r="L49" i="102"/>
  <c r="P56" i="103"/>
  <c r="L54" i="103"/>
  <c r="L52" i="103"/>
  <c r="M51" i="103"/>
  <c r="M19" i="103"/>
  <c r="I54" i="106"/>
  <c r="P53" i="106"/>
  <c r="I51" i="101"/>
  <c r="I50" i="102"/>
  <c r="L53" i="105"/>
  <c r="M19" i="105"/>
  <c r="L14" i="105"/>
  <c r="M13" i="105" s="1"/>
  <c r="I50" i="106"/>
  <c r="P56" i="101"/>
  <c r="O50" i="101"/>
  <c r="P49" i="101"/>
  <c r="L47" i="101"/>
  <c r="L57" i="101"/>
  <c r="L60" i="101" s="1"/>
  <c r="L61" i="101" s="1"/>
  <c r="M49" i="102"/>
  <c r="J57" i="102"/>
  <c r="P51" i="103"/>
  <c r="M49" i="103"/>
  <c r="L14" i="103"/>
  <c r="P57" i="104"/>
  <c r="L49" i="104"/>
  <c r="M51" i="105"/>
  <c r="L48" i="105"/>
  <c r="J53" i="106"/>
  <c r="P52" i="106"/>
  <c r="O51" i="101"/>
  <c r="M45" i="101"/>
  <c r="M42" i="101" s="1"/>
  <c r="L50" i="102"/>
  <c r="O14" i="102"/>
  <c r="P13" i="102" s="1"/>
  <c r="P55" i="103"/>
  <c r="M53" i="103"/>
  <c r="M46" i="105"/>
  <c r="L56" i="101"/>
  <c r="I48" i="103"/>
  <c r="O48" i="103"/>
  <c r="J56" i="105"/>
  <c r="P56" i="105"/>
  <c r="J46" i="101"/>
  <c r="J42" i="101" s="1"/>
  <c r="P46" i="101"/>
  <c r="P42" i="101" s="1"/>
  <c r="J52" i="103"/>
  <c r="P52" i="103"/>
  <c r="L14" i="104"/>
  <c r="M13" i="104" s="1"/>
  <c r="O14" i="104"/>
  <c r="P13" i="104" s="1"/>
  <c r="M56" i="105"/>
  <c r="I55" i="106"/>
  <c r="L55" i="106"/>
  <c r="I47" i="106"/>
  <c r="L47" i="106"/>
  <c r="O54" i="102"/>
  <c r="I54" i="102"/>
  <c r="L54" i="102"/>
  <c r="O46" i="102"/>
  <c r="I46" i="102"/>
  <c r="L46" i="102"/>
  <c r="P13" i="103"/>
  <c r="I49" i="106"/>
  <c r="O49" i="106"/>
  <c r="P55" i="101"/>
  <c r="M51" i="101"/>
  <c r="M49" i="101"/>
  <c r="O55" i="101"/>
  <c r="I46" i="101"/>
  <c r="O46" i="101"/>
  <c r="J53" i="102"/>
  <c r="P53" i="102"/>
  <c r="M52" i="103"/>
  <c r="I50" i="103"/>
  <c r="L50" i="103"/>
  <c r="L48" i="103"/>
  <c r="I56" i="104"/>
  <c r="O56" i="104"/>
  <c r="I55" i="105"/>
  <c r="L55" i="105"/>
  <c r="I53" i="106"/>
  <c r="O53" i="106"/>
  <c r="O53" i="103"/>
  <c r="I53" i="103"/>
  <c r="L53" i="103"/>
  <c r="I57" i="104"/>
  <c r="O57" i="104"/>
  <c r="I53" i="104"/>
  <c r="O53" i="104"/>
  <c r="I52" i="105"/>
  <c r="O52" i="105"/>
  <c r="I46" i="105"/>
  <c r="O46" i="105"/>
  <c r="I51" i="106"/>
  <c r="L51" i="106"/>
  <c r="P57" i="102"/>
  <c r="L51" i="102"/>
  <c r="O49" i="102"/>
  <c r="P48" i="102"/>
  <c r="L14" i="102"/>
  <c r="M13" i="102" s="1"/>
  <c r="M55" i="103"/>
  <c r="I49" i="103"/>
  <c r="P48" i="103"/>
  <c r="L46" i="103"/>
  <c r="I54" i="104"/>
  <c r="P53" i="104"/>
  <c r="O49" i="104"/>
  <c r="I53" i="105"/>
  <c r="P52" i="105"/>
  <c r="M50" i="105"/>
  <c r="O48" i="105"/>
  <c r="P47" i="105"/>
  <c r="I47" i="105"/>
  <c r="P46" i="105"/>
  <c r="J56" i="106"/>
  <c r="J52" i="106"/>
  <c r="J48" i="106"/>
  <c r="M57" i="102"/>
  <c r="M56" i="102"/>
  <c r="M48" i="102"/>
  <c r="J19" i="102"/>
  <c r="M57" i="103"/>
  <c r="M13" i="103"/>
  <c r="I57" i="105"/>
  <c r="M54" i="105"/>
  <c r="J19" i="105"/>
  <c r="P13" i="105"/>
  <c r="L57" i="106"/>
  <c r="P19" i="103"/>
  <c r="R20" i="103"/>
  <c r="M54" i="106"/>
  <c r="M50" i="106"/>
  <c r="M46" i="106"/>
  <c r="L14" i="106"/>
  <c r="M13" i="106" s="1"/>
  <c r="I52" i="102"/>
  <c r="O52" i="102"/>
  <c r="O57" i="102"/>
  <c r="O56" i="102"/>
  <c r="N31" i="102"/>
  <c r="Y15" i="102"/>
  <c r="K31" i="102" s="1"/>
  <c r="J57" i="103"/>
  <c r="I57" i="103"/>
  <c r="M56" i="104"/>
  <c r="J56" i="104"/>
  <c r="P56" i="104"/>
  <c r="M52" i="104"/>
  <c r="J52" i="104"/>
  <c r="M48" i="104"/>
  <c r="J48" i="104"/>
  <c r="I54" i="105"/>
  <c r="O54" i="105"/>
  <c r="L54" i="105"/>
  <c r="I47" i="104"/>
  <c r="L47" i="104"/>
  <c r="O47" i="104"/>
  <c r="L57" i="105"/>
  <c r="M57" i="105"/>
  <c r="I57" i="102"/>
  <c r="L56" i="102"/>
  <c r="I55" i="102"/>
  <c r="P54" i="102"/>
  <c r="L52" i="102"/>
  <c r="I51" i="102"/>
  <c r="P50" i="102"/>
  <c r="I47" i="102"/>
  <c r="P46" i="102"/>
  <c r="Y14" i="102"/>
  <c r="K30" i="102" s="1"/>
  <c r="I55" i="103"/>
  <c r="O55" i="103"/>
  <c r="J54" i="103"/>
  <c r="P54" i="103"/>
  <c r="I51" i="103"/>
  <c r="O51" i="103"/>
  <c r="J50" i="103"/>
  <c r="P50" i="103"/>
  <c r="I47" i="103"/>
  <c r="O47" i="103"/>
  <c r="J46" i="103"/>
  <c r="P46" i="103"/>
  <c r="M57" i="104"/>
  <c r="N10" i="105"/>
  <c r="O10" i="105" s="1"/>
  <c r="N32" i="105"/>
  <c r="N31" i="105"/>
  <c r="N30" i="105"/>
  <c r="N33" i="105"/>
  <c r="I48" i="102"/>
  <c r="O48" i="102"/>
  <c r="N10" i="102"/>
  <c r="O10" i="102" s="1"/>
  <c r="N32" i="102"/>
  <c r="I55" i="104"/>
  <c r="L55" i="104"/>
  <c r="O55" i="104"/>
  <c r="I51" i="104"/>
  <c r="L51" i="104"/>
  <c r="O51" i="104"/>
  <c r="N33" i="106"/>
  <c r="N10" i="106"/>
  <c r="O10" i="106" s="1"/>
  <c r="N32" i="106"/>
  <c r="P56" i="102"/>
  <c r="J55" i="102"/>
  <c r="P55" i="102"/>
  <c r="J51" i="102"/>
  <c r="P51" i="102"/>
  <c r="J47" i="102"/>
  <c r="P47" i="102"/>
  <c r="Y17" i="102"/>
  <c r="K33" i="102" s="1"/>
  <c r="X14" i="102"/>
  <c r="H30" i="102" s="1"/>
  <c r="N9" i="102"/>
  <c r="O9" i="102" s="1"/>
  <c r="L55" i="103"/>
  <c r="L51" i="103"/>
  <c r="L47" i="103"/>
  <c r="J7" i="103"/>
  <c r="H71" i="103"/>
  <c r="J70" i="103" s="1"/>
  <c r="J54" i="104"/>
  <c r="P54" i="104"/>
  <c r="P52" i="104"/>
  <c r="J50" i="104"/>
  <c r="P50" i="104"/>
  <c r="P48" i="104"/>
  <c r="J46" i="104"/>
  <c r="P46" i="104"/>
  <c r="J7" i="104"/>
  <c r="I50" i="105"/>
  <c r="O50" i="105"/>
  <c r="L50" i="105"/>
  <c r="O54" i="103"/>
  <c r="P53" i="103"/>
  <c r="O50" i="103"/>
  <c r="P49" i="103"/>
  <c r="O46" i="103"/>
  <c r="L57" i="104"/>
  <c r="J55" i="104"/>
  <c r="P55" i="104"/>
  <c r="J51" i="104"/>
  <c r="P51" i="104"/>
  <c r="J47" i="104"/>
  <c r="P47" i="104"/>
  <c r="Y17" i="104"/>
  <c r="K33" i="104" s="1"/>
  <c r="K9" i="105"/>
  <c r="L9" i="105" s="1"/>
  <c r="L10" i="105"/>
  <c r="J7" i="105"/>
  <c r="H71" i="105"/>
  <c r="J70" i="105" s="1"/>
  <c r="N10" i="103"/>
  <c r="K9" i="103"/>
  <c r="L9" i="103" s="1"/>
  <c r="I52" i="104"/>
  <c r="O52" i="104"/>
  <c r="I48" i="104"/>
  <c r="O48" i="104"/>
  <c r="N10" i="104"/>
  <c r="O10" i="104" s="1"/>
  <c r="N32" i="104"/>
  <c r="Y16" i="105"/>
  <c r="K32" i="105" s="1"/>
  <c r="Y15" i="105"/>
  <c r="K31" i="105" s="1"/>
  <c r="Y14" i="105"/>
  <c r="K30" i="105" s="1"/>
  <c r="L10" i="106"/>
  <c r="K9" i="106"/>
  <c r="L9" i="106" s="1"/>
  <c r="N57" i="103"/>
  <c r="L56" i="104"/>
  <c r="L52" i="104"/>
  <c r="L48" i="104"/>
  <c r="N30" i="104"/>
  <c r="Y14" i="104"/>
  <c r="K30" i="104" s="1"/>
  <c r="L10" i="104"/>
  <c r="J53" i="105"/>
  <c r="P53" i="105"/>
  <c r="J49" i="105"/>
  <c r="P49" i="105"/>
  <c r="Y17" i="105"/>
  <c r="K33" i="105" s="1"/>
  <c r="N57" i="105"/>
  <c r="J57" i="105"/>
  <c r="O55" i="105"/>
  <c r="P54" i="105"/>
  <c r="O51" i="105"/>
  <c r="P50" i="105"/>
  <c r="X15" i="105"/>
  <c r="H31" i="105" s="1"/>
  <c r="X14" i="105"/>
  <c r="H30" i="105" s="1"/>
  <c r="I56" i="106"/>
  <c r="O56" i="106"/>
  <c r="J55" i="106"/>
  <c r="P55" i="106"/>
  <c r="I52" i="106"/>
  <c r="O52" i="106"/>
  <c r="J51" i="106"/>
  <c r="P51" i="106"/>
  <c r="I48" i="106"/>
  <c r="O48" i="106"/>
  <c r="J47" i="106"/>
  <c r="P47" i="106"/>
  <c r="J19" i="106"/>
  <c r="H57" i="106"/>
  <c r="P13" i="106"/>
  <c r="X16" i="106"/>
  <c r="H32" i="106" s="1"/>
  <c r="X15" i="106"/>
  <c r="H31" i="106" s="1"/>
  <c r="X14" i="106"/>
  <c r="H30" i="106" s="1"/>
  <c r="N57" i="106"/>
  <c r="J7" i="106"/>
  <c r="H71" i="106"/>
  <c r="J70" i="106" s="1"/>
  <c r="O55" i="106"/>
  <c r="P54" i="106"/>
  <c r="O51" i="106"/>
  <c r="P50" i="106"/>
  <c r="O47" i="106"/>
  <c r="P46" i="106"/>
  <c r="I54" i="101"/>
  <c r="O54" i="101"/>
  <c r="O53" i="101"/>
  <c r="I53" i="101"/>
  <c r="L53" i="101"/>
  <c r="J52" i="101"/>
  <c r="P52" i="101"/>
  <c r="Z14" i="101"/>
  <c r="N29" i="101" s="1"/>
  <c r="Z13" i="101"/>
  <c r="N28" i="101" s="1"/>
  <c r="Z16" i="101"/>
  <c r="N31" i="101" s="1"/>
  <c r="M52" i="101"/>
  <c r="I49" i="101"/>
  <c r="O49" i="101"/>
  <c r="L54" i="101"/>
  <c r="L49" i="101"/>
  <c r="J48" i="101"/>
  <c r="P48" i="101"/>
  <c r="I45" i="101"/>
  <c r="O45" i="101"/>
  <c r="Z15" i="101"/>
  <c r="N30" i="101" s="1"/>
  <c r="Y16" i="101"/>
  <c r="K31" i="101" s="1"/>
  <c r="L48" i="101"/>
  <c r="O52" i="101"/>
  <c r="P51" i="101"/>
  <c r="O48" i="101"/>
  <c r="H71" i="102" l="1"/>
  <c r="J70" i="102" s="1"/>
  <c r="I58" i="103"/>
  <c r="I61" i="103" s="1"/>
  <c r="I62" i="103" s="1"/>
  <c r="S20" i="103"/>
  <c r="S20" i="105"/>
  <c r="R20" i="104"/>
  <c r="R20" i="102"/>
  <c r="S20" i="102"/>
  <c r="S20" i="106"/>
  <c r="R20" i="105"/>
  <c r="S20" i="104"/>
  <c r="M43" i="105"/>
  <c r="I57" i="101"/>
  <c r="I60" i="101" s="1"/>
  <c r="I61" i="101" s="1"/>
  <c r="R20" i="106"/>
  <c r="M43" i="102"/>
  <c r="M43" i="103"/>
  <c r="J43" i="104"/>
  <c r="L58" i="106"/>
  <c r="L61" i="106" s="1"/>
  <c r="L62" i="106" s="1"/>
  <c r="L58" i="105"/>
  <c r="L61" i="105" s="1"/>
  <c r="L62" i="105" s="1"/>
  <c r="J43" i="103"/>
  <c r="M43" i="106"/>
  <c r="I58" i="105"/>
  <c r="I61" i="105" s="1"/>
  <c r="I62" i="105" s="1"/>
  <c r="I58" i="104"/>
  <c r="I61" i="104" s="1"/>
  <c r="I62" i="104" s="1"/>
  <c r="P19" i="106"/>
  <c r="M43" i="104"/>
  <c r="O57" i="101"/>
  <c r="O60" i="101" s="1"/>
  <c r="O61" i="101" s="1"/>
  <c r="J43" i="105"/>
  <c r="L58" i="103"/>
  <c r="L61" i="103" s="1"/>
  <c r="L62" i="103" s="1"/>
  <c r="L58" i="102"/>
  <c r="L61" i="102" s="1"/>
  <c r="L62" i="102" s="1"/>
  <c r="T20" i="103"/>
  <c r="J43" i="102"/>
  <c r="O58" i="102"/>
  <c r="O61" i="102" s="1"/>
  <c r="O62" i="102" s="1"/>
  <c r="M7" i="103"/>
  <c r="K71" i="103"/>
  <c r="M70" i="103" s="1"/>
  <c r="M7" i="105"/>
  <c r="K71" i="105"/>
  <c r="M70" i="105" s="1"/>
  <c r="P43" i="104"/>
  <c r="P7" i="102"/>
  <c r="N71" i="102"/>
  <c r="P70" i="102" s="1"/>
  <c r="K71" i="104"/>
  <c r="M70" i="104" s="1"/>
  <c r="I58" i="102"/>
  <c r="I61" i="102" s="1"/>
  <c r="I62" i="102" s="1"/>
  <c r="L58" i="104"/>
  <c r="L61" i="104" s="1"/>
  <c r="L62" i="104" s="1"/>
  <c r="M7" i="104"/>
  <c r="N9" i="103"/>
  <c r="O10" i="103"/>
  <c r="P57" i="105"/>
  <c r="P43" i="105" s="1"/>
  <c r="O57" i="105"/>
  <c r="O58" i="105" s="1"/>
  <c r="O61" i="105" s="1"/>
  <c r="O62" i="105" s="1"/>
  <c r="N9" i="105"/>
  <c r="P19" i="102"/>
  <c r="J57" i="106"/>
  <c r="J43" i="106" s="1"/>
  <c r="I57" i="106"/>
  <c r="I58" i="106" s="1"/>
  <c r="I61" i="106" s="1"/>
  <c r="I62" i="106" s="1"/>
  <c r="O57" i="103"/>
  <c r="O58" i="103" s="1"/>
  <c r="O61" i="103" s="1"/>
  <c r="O62" i="103" s="1"/>
  <c r="P57" i="103"/>
  <c r="P43" i="103" s="1"/>
  <c r="T20" i="104"/>
  <c r="O57" i="106"/>
  <c r="O58" i="106" s="1"/>
  <c r="O61" i="106" s="1"/>
  <c r="O62" i="106" s="1"/>
  <c r="P57" i="106"/>
  <c r="P43" i="106" s="1"/>
  <c r="M7" i="106"/>
  <c r="K71" i="106"/>
  <c r="M70" i="106" s="1"/>
  <c r="N9" i="106"/>
  <c r="P19" i="105"/>
  <c r="P43" i="102"/>
  <c r="O58" i="104"/>
  <c r="O61" i="104" s="1"/>
  <c r="O62" i="104" s="1"/>
  <c r="N9" i="104"/>
  <c r="T20" i="102" l="1"/>
  <c r="T20" i="105"/>
  <c r="T20" i="106"/>
  <c r="O9" i="103"/>
  <c r="O9" i="104"/>
  <c r="O9" i="105"/>
  <c r="O9" i="106"/>
  <c r="P7" i="106" l="1"/>
  <c r="N71" i="106"/>
  <c r="P70" i="106" s="1"/>
  <c r="P7" i="104"/>
  <c r="N71" i="104"/>
  <c r="P70" i="104" s="1"/>
  <c r="P7" i="103"/>
  <c r="N71" i="103"/>
  <c r="P70" i="103" s="1"/>
  <c r="P7" i="105"/>
  <c r="N71" i="105"/>
  <c r="P70" i="105" s="1"/>
  <c r="A28" i="99" l="1"/>
  <c r="A29" i="99"/>
  <c r="A30" i="99"/>
  <c r="A31" i="99"/>
  <c r="A32" i="99"/>
  <c r="A33" i="99"/>
  <c r="A34" i="99"/>
  <c r="A35" i="99"/>
  <c r="A36" i="99"/>
  <c r="A27" i="99"/>
  <c r="A22" i="99"/>
  <c r="A23" i="99"/>
  <c r="A24" i="99"/>
  <c r="A25" i="99"/>
  <c r="A26" i="99"/>
  <c r="A13" i="99"/>
  <c r="A14" i="99"/>
  <c r="A15" i="99"/>
  <c r="A16" i="99"/>
  <c r="A17" i="99"/>
  <c r="A18" i="99"/>
  <c r="A19" i="99"/>
  <c r="A20" i="99"/>
  <c r="A21" i="99"/>
  <c r="A7" i="99"/>
  <c r="A8" i="99"/>
  <c r="A9" i="99"/>
  <c r="A10" i="99"/>
  <c r="A11" i="99"/>
  <c r="A12" i="99"/>
  <c r="A6" i="99"/>
  <c r="B5" i="99"/>
  <c r="I6" i="99"/>
  <c r="K6" i="99" s="1"/>
  <c r="I7" i="99"/>
  <c r="I8" i="99"/>
  <c r="I9" i="99"/>
  <c r="I10" i="99"/>
  <c r="I11" i="99"/>
  <c r="I13" i="99"/>
  <c r="I14" i="99"/>
  <c r="I15" i="99"/>
  <c r="I16" i="99"/>
  <c r="I17" i="99"/>
  <c r="I18" i="99"/>
  <c r="I19" i="99"/>
  <c r="I20" i="99"/>
  <c r="I21" i="99"/>
  <c r="I22" i="99"/>
  <c r="I23" i="99"/>
  <c r="I24" i="99"/>
  <c r="I25" i="99"/>
  <c r="I26" i="99"/>
  <c r="I27" i="99"/>
  <c r="I28" i="99"/>
  <c r="I29" i="99"/>
  <c r="I30" i="99"/>
  <c r="I31" i="99"/>
  <c r="I32" i="99"/>
  <c r="I33" i="99"/>
  <c r="I34" i="99"/>
  <c r="I35" i="99"/>
  <c r="I36" i="99"/>
  <c r="I37" i="99"/>
  <c r="I38" i="99"/>
  <c r="I39" i="99"/>
  <c r="I40" i="99"/>
  <c r="I41" i="99"/>
  <c r="I42" i="99"/>
  <c r="I43" i="99"/>
  <c r="I44" i="99"/>
  <c r="I45" i="99"/>
  <c r="I46" i="99"/>
  <c r="I47" i="99"/>
  <c r="I48" i="99"/>
  <c r="I49" i="99"/>
  <c r="I50" i="99"/>
  <c r="I51" i="99"/>
  <c r="I52" i="99"/>
  <c r="I53" i="99"/>
  <c r="I54" i="99"/>
  <c r="I55" i="99"/>
  <c r="I56" i="99"/>
  <c r="I57" i="99"/>
  <c r="I58" i="99"/>
  <c r="I59" i="99"/>
  <c r="I60" i="99"/>
  <c r="I61" i="99"/>
  <c r="I62" i="99"/>
  <c r="I63" i="99"/>
  <c r="I64" i="99"/>
  <c r="I65" i="99"/>
  <c r="I66" i="99"/>
  <c r="I67" i="99"/>
  <c r="I68" i="99"/>
  <c r="I69" i="99"/>
  <c r="I70" i="99"/>
  <c r="I71" i="99"/>
  <c r="I72" i="99"/>
  <c r="I73" i="99"/>
  <c r="I74" i="99"/>
  <c r="I75" i="99"/>
  <c r="I76" i="99"/>
  <c r="I77" i="99"/>
  <c r="I78" i="99"/>
  <c r="I79" i="99"/>
  <c r="I80" i="99"/>
  <c r="I81" i="99"/>
  <c r="I82" i="99"/>
  <c r="I83" i="99"/>
  <c r="I84" i="99"/>
  <c r="I85" i="99"/>
  <c r="I86" i="99"/>
  <c r="M6" i="96" l="1"/>
  <c r="M8" i="96"/>
  <c r="W8" i="96"/>
  <c r="C99" i="96" s="1"/>
  <c r="M9" i="96"/>
  <c r="F10" i="96"/>
  <c r="M10" i="96"/>
  <c r="W10" i="96"/>
  <c r="F11" i="96"/>
  <c r="T12" i="96"/>
  <c r="T23" i="96"/>
  <c r="P25" i="96"/>
  <c r="T26" i="96"/>
  <c r="W26" i="96"/>
  <c r="Q27" i="96"/>
  <c r="T27" i="96"/>
  <c r="T28" i="96"/>
  <c r="B31" i="96"/>
  <c r="E31" i="96"/>
  <c r="B32" i="96"/>
  <c r="E32" i="96"/>
  <c r="B33" i="96"/>
  <c r="E33" i="96"/>
  <c r="B34" i="96"/>
  <c r="E34" i="96"/>
  <c r="M34" i="96"/>
  <c r="B35" i="96"/>
  <c r="E35" i="96"/>
  <c r="B36" i="96"/>
  <c r="E36" i="96"/>
  <c r="B37" i="96"/>
  <c r="E37" i="96"/>
  <c r="B39" i="96"/>
  <c r="E39" i="96"/>
  <c r="B40" i="96"/>
  <c r="E40" i="96"/>
  <c r="B41" i="96"/>
  <c r="E41" i="96"/>
  <c r="J41" i="96"/>
  <c r="Q42" i="96"/>
  <c r="T42" i="96"/>
  <c r="T45" i="96"/>
  <c r="Q46" i="96"/>
  <c r="T46" i="96"/>
  <c r="T49" i="96"/>
  <c r="T50" i="96"/>
  <c r="Q51" i="96"/>
  <c r="T51" i="96"/>
  <c r="T52" i="96"/>
  <c r="P53" i="96"/>
  <c r="T53" i="96" s="1"/>
  <c r="T54" i="96"/>
  <c r="D57" i="96"/>
  <c r="B64" i="96"/>
  <c r="E64" i="96"/>
  <c r="B65" i="96"/>
  <c r="E65" i="96"/>
  <c r="B66" i="96"/>
  <c r="E66" i="96"/>
  <c r="B67" i="96"/>
  <c r="E67" i="96"/>
  <c r="B68" i="96"/>
  <c r="E68" i="96"/>
  <c r="B69" i="96"/>
  <c r="E69" i="96"/>
  <c r="B71" i="96"/>
  <c r="E71" i="96"/>
  <c r="B72" i="96"/>
  <c r="E72" i="96"/>
  <c r="B73" i="96"/>
  <c r="E73" i="96"/>
  <c r="D77" i="96"/>
  <c r="O77" i="96"/>
  <c r="D82" i="96"/>
  <c r="O82" i="96"/>
  <c r="B86" i="96"/>
  <c r="B87" i="96"/>
  <c r="B89" i="96" s="1"/>
  <c r="B88" i="96"/>
  <c r="D92" i="96"/>
  <c r="O92" i="96"/>
  <c r="T97" i="96"/>
  <c r="K99" i="96"/>
  <c r="D109" i="96" s="1"/>
  <c r="K100" i="96"/>
  <c r="C106" i="96"/>
  <c r="C107" i="96"/>
  <c r="C108" i="96"/>
  <c r="C109" i="96"/>
  <c r="I5" i="95"/>
  <c r="P5" i="95"/>
  <c r="I6" i="95"/>
  <c r="P6" i="95"/>
  <c r="I7" i="95"/>
  <c r="I8" i="95"/>
  <c r="P8" i="95"/>
  <c r="I9" i="95"/>
  <c r="P9" i="95"/>
  <c r="I10" i="95"/>
  <c r="P10" i="95"/>
  <c r="I11" i="95"/>
  <c r="P11" i="95"/>
  <c r="I12" i="95"/>
  <c r="P12" i="95"/>
  <c r="I13" i="95"/>
  <c r="I14" i="95"/>
  <c r="P14" i="95"/>
  <c r="I15" i="95"/>
  <c r="P15" i="95"/>
  <c r="I16" i="95"/>
  <c r="P16" i="95"/>
  <c r="I17" i="95"/>
  <c r="P17" i="95"/>
  <c r="I18" i="95"/>
  <c r="P18" i="95"/>
  <c r="I19" i="95"/>
  <c r="P19" i="95"/>
  <c r="I20" i="95"/>
  <c r="P20" i="95"/>
  <c r="I21" i="95"/>
  <c r="P21" i="95"/>
  <c r="I22" i="95"/>
  <c r="P22" i="95"/>
  <c r="I23" i="95"/>
  <c r="P23" i="95"/>
  <c r="I24" i="95"/>
  <c r="P24" i="95"/>
  <c r="I25" i="95"/>
  <c r="P25" i="95"/>
  <c r="I26" i="95"/>
  <c r="P26" i="95"/>
  <c r="D27" i="95"/>
  <c r="E27" i="95"/>
  <c r="F27" i="95"/>
  <c r="G27" i="95"/>
  <c r="H27" i="95"/>
  <c r="P27" i="95"/>
  <c r="I28" i="95"/>
  <c r="P28" i="95"/>
  <c r="I29" i="95"/>
  <c r="P29" i="95"/>
  <c r="I30" i="95"/>
  <c r="I31" i="95"/>
  <c r="P31" i="95"/>
  <c r="I32" i="95"/>
  <c r="P32" i="95"/>
  <c r="I33" i="95"/>
  <c r="P33" i="95"/>
  <c r="I34" i="95"/>
  <c r="P34" i="95"/>
  <c r="I35" i="95"/>
  <c r="P35" i="95"/>
  <c r="I36" i="95"/>
  <c r="P36" i="95"/>
  <c r="I37" i="95"/>
  <c r="P37" i="95"/>
  <c r="I38" i="95"/>
  <c r="P38" i="95"/>
  <c r="I39" i="95"/>
  <c r="P39" i="95"/>
  <c r="I97" i="95"/>
  <c r="O7" i="95" s="1"/>
  <c r="P7" i="95" s="1"/>
  <c r="I101" i="95"/>
  <c r="O13" i="95" s="1"/>
  <c r="P13" i="95" s="1"/>
  <c r="I104" i="95"/>
  <c r="I109" i="95"/>
  <c r="O30" i="95" s="1"/>
  <c r="P30" i="95" s="1"/>
  <c r="H5" i="94"/>
  <c r="N5" i="94"/>
  <c r="H6" i="94"/>
  <c r="N6" i="94"/>
  <c r="H7" i="94"/>
  <c r="H8" i="94"/>
  <c r="N8" i="94"/>
  <c r="H9" i="94"/>
  <c r="N9" i="94"/>
  <c r="H10" i="94"/>
  <c r="N10" i="94"/>
  <c r="H11" i="94"/>
  <c r="N11" i="94"/>
  <c r="H12" i="94"/>
  <c r="N12" i="94"/>
  <c r="H13" i="94"/>
  <c r="H14" i="94"/>
  <c r="N14" i="94"/>
  <c r="H15" i="94"/>
  <c r="N15" i="94"/>
  <c r="H16" i="94"/>
  <c r="N16" i="94"/>
  <c r="H17" i="94"/>
  <c r="N17" i="94"/>
  <c r="H18" i="94"/>
  <c r="N18" i="94"/>
  <c r="H19" i="94"/>
  <c r="N19" i="94"/>
  <c r="H20" i="94"/>
  <c r="N20" i="94"/>
  <c r="H21" i="94"/>
  <c r="N21" i="94"/>
  <c r="H22" i="94"/>
  <c r="N22" i="94"/>
  <c r="H23" i="94"/>
  <c r="N23" i="94"/>
  <c r="H24" i="94"/>
  <c r="N24" i="94"/>
  <c r="H25" i="94"/>
  <c r="N25" i="94"/>
  <c r="H26" i="94"/>
  <c r="N26" i="94"/>
  <c r="H27" i="94"/>
  <c r="N27" i="94"/>
  <c r="H28" i="94"/>
  <c r="N28" i="94"/>
  <c r="H29" i="94"/>
  <c r="N29" i="94"/>
  <c r="H30" i="94"/>
  <c r="H31" i="94"/>
  <c r="N31" i="94"/>
  <c r="H32" i="94"/>
  <c r="N32" i="94"/>
  <c r="H33" i="94"/>
  <c r="N33" i="94"/>
  <c r="H34" i="94"/>
  <c r="N34" i="94"/>
  <c r="H35" i="94"/>
  <c r="N35" i="94"/>
  <c r="H36" i="94"/>
  <c r="N36" i="94"/>
  <c r="H37" i="94"/>
  <c r="N37" i="94"/>
  <c r="I38" i="94"/>
  <c r="P38" i="94"/>
  <c r="I39" i="94"/>
  <c r="P39" i="94"/>
  <c r="I97" i="94"/>
  <c r="M7" i="94" s="1"/>
  <c r="N7" i="94" s="1"/>
  <c r="I101" i="94"/>
  <c r="M13" i="94" s="1"/>
  <c r="N13" i="94" s="1"/>
  <c r="I109" i="94"/>
  <c r="M30" i="94" s="1"/>
  <c r="N30" i="94" s="1"/>
  <c r="G5" i="93"/>
  <c r="L5" i="93"/>
  <c r="G6" i="93"/>
  <c r="L6" i="93"/>
  <c r="G7" i="93"/>
  <c r="G8" i="93"/>
  <c r="L8" i="93"/>
  <c r="G9" i="93"/>
  <c r="L9" i="93"/>
  <c r="G10" i="93"/>
  <c r="L10" i="93"/>
  <c r="G11" i="93"/>
  <c r="L11" i="93"/>
  <c r="G12" i="93"/>
  <c r="L12" i="93"/>
  <c r="G13" i="93"/>
  <c r="G14" i="93"/>
  <c r="L14" i="93"/>
  <c r="G15" i="93"/>
  <c r="L15" i="93"/>
  <c r="G16" i="93"/>
  <c r="L16" i="93"/>
  <c r="G17" i="93"/>
  <c r="L17" i="93"/>
  <c r="G18" i="93"/>
  <c r="L18" i="93"/>
  <c r="G19" i="93"/>
  <c r="L19" i="93"/>
  <c r="G20" i="93"/>
  <c r="L20" i="93"/>
  <c r="G21" i="93"/>
  <c r="L21" i="93"/>
  <c r="G22" i="93"/>
  <c r="L22" i="93"/>
  <c r="G23" i="93"/>
  <c r="L23" i="93"/>
  <c r="G24" i="93"/>
  <c r="L24" i="93"/>
  <c r="G25" i="93"/>
  <c r="L25" i="93"/>
  <c r="G26" i="93"/>
  <c r="L26" i="93"/>
  <c r="G27" i="93"/>
  <c r="L27" i="93"/>
  <c r="G28" i="93"/>
  <c r="L28" i="93"/>
  <c r="G29" i="93"/>
  <c r="L29" i="93"/>
  <c r="G30" i="93"/>
  <c r="G31" i="93"/>
  <c r="L31" i="93"/>
  <c r="G32" i="93"/>
  <c r="L32" i="93"/>
  <c r="G33" i="93"/>
  <c r="L33" i="93"/>
  <c r="G34" i="93"/>
  <c r="L34" i="93"/>
  <c r="G35" i="93"/>
  <c r="L35" i="93"/>
  <c r="G36" i="93"/>
  <c r="L36" i="93"/>
  <c r="G37" i="93"/>
  <c r="L37" i="93"/>
  <c r="I38" i="93"/>
  <c r="P38" i="93"/>
  <c r="I39" i="93"/>
  <c r="P39" i="93"/>
  <c r="I97" i="93"/>
  <c r="K7" i="93" s="1"/>
  <c r="L7" i="93" s="1"/>
  <c r="I101" i="93"/>
  <c r="K13" i="93" s="1"/>
  <c r="L13" i="93" s="1"/>
  <c r="I109" i="93"/>
  <c r="K30" i="93" s="1"/>
  <c r="L30" i="93" s="1"/>
  <c r="F5" i="92"/>
  <c r="J5" i="92"/>
  <c r="F6" i="92"/>
  <c r="J6" i="92"/>
  <c r="F7" i="92"/>
  <c r="F8" i="92"/>
  <c r="J8" i="92"/>
  <c r="F9" i="92"/>
  <c r="J9" i="92"/>
  <c r="F10" i="92"/>
  <c r="J10" i="92"/>
  <c r="F11" i="92"/>
  <c r="J11" i="92"/>
  <c r="F12" i="92"/>
  <c r="J12" i="92"/>
  <c r="F13" i="92"/>
  <c r="F14" i="92"/>
  <c r="J14" i="92"/>
  <c r="F15" i="92"/>
  <c r="J15" i="92"/>
  <c r="F16" i="92"/>
  <c r="J16" i="92"/>
  <c r="F17" i="92"/>
  <c r="J17" i="92"/>
  <c r="F18" i="92"/>
  <c r="J18" i="92"/>
  <c r="F19" i="92"/>
  <c r="J19" i="92"/>
  <c r="F20" i="92"/>
  <c r="J20" i="92"/>
  <c r="F21" i="92"/>
  <c r="J21" i="92"/>
  <c r="F22" i="92"/>
  <c r="J22" i="92"/>
  <c r="F23" i="92"/>
  <c r="J23" i="92"/>
  <c r="F24" i="92"/>
  <c r="J24" i="92"/>
  <c r="F25" i="92"/>
  <c r="J25" i="92"/>
  <c r="F26" i="92"/>
  <c r="J26" i="92"/>
  <c r="F27" i="92"/>
  <c r="J27" i="92"/>
  <c r="F28" i="92"/>
  <c r="J28" i="92"/>
  <c r="F29" i="92"/>
  <c r="J29" i="92"/>
  <c r="F30" i="92"/>
  <c r="F31" i="92"/>
  <c r="J31" i="92"/>
  <c r="F32" i="92"/>
  <c r="J32" i="92"/>
  <c r="F33" i="92"/>
  <c r="J33" i="92"/>
  <c r="F34" i="92"/>
  <c r="J34" i="92"/>
  <c r="F35" i="92"/>
  <c r="J35" i="92"/>
  <c r="F36" i="92"/>
  <c r="J36" i="92"/>
  <c r="F37" i="92"/>
  <c r="J37" i="92"/>
  <c r="I38" i="92"/>
  <c r="J38" i="92" s="1"/>
  <c r="P38" i="92"/>
  <c r="I39" i="92"/>
  <c r="J39" i="92" s="1"/>
  <c r="P39" i="92"/>
  <c r="I97" i="92"/>
  <c r="I7" i="92" s="1"/>
  <c r="J7" i="92" s="1"/>
  <c r="I101" i="92"/>
  <c r="I13" i="92" s="1"/>
  <c r="J13" i="92" s="1"/>
  <c r="I109" i="92"/>
  <c r="I30" i="92" s="1"/>
  <c r="J30" i="92" s="1"/>
  <c r="I27" i="95" l="1"/>
  <c r="R24" i="95"/>
  <c r="S13" i="95"/>
  <c r="S30" i="95"/>
  <c r="S24" i="95"/>
  <c r="R13" i="95"/>
  <c r="D107" i="96"/>
  <c r="D108" i="96"/>
  <c r="S7" i="95"/>
  <c r="D106" i="96"/>
  <c r="T25" i="96"/>
  <c r="B44" i="96"/>
  <c r="R30" i="95"/>
  <c r="I106" i="96"/>
  <c r="B74" i="96"/>
  <c r="R7" i="95"/>
  <c r="W9" i="96"/>
  <c r="I109" i="96"/>
  <c r="I108" i="96"/>
  <c r="I107" i="96"/>
  <c r="C100" i="96" l="1"/>
  <c r="X10" i="96"/>
  <c r="B91" i="96"/>
  <c r="D13" i="96" l="1"/>
  <c r="P79" i="96" l="1"/>
  <c r="M86" i="96"/>
  <c r="M87" i="96"/>
  <c r="J86" i="96"/>
  <c r="P84" i="96" l="1"/>
  <c r="T84" i="96" s="1"/>
  <c r="T79" i="96"/>
  <c r="N3" i="91" l="1"/>
  <c r="P4" i="91"/>
  <c r="N30" i="91"/>
  <c r="I10" i="91"/>
  <c r="H11" i="91"/>
  <c r="K11" i="91"/>
  <c r="N11" i="91"/>
  <c r="I12" i="91"/>
  <c r="M12" i="91"/>
  <c r="O12" i="91"/>
  <c r="X12" i="91"/>
  <c r="Y12" i="91"/>
  <c r="Z12" i="91"/>
  <c r="L46" i="91"/>
  <c r="M46" i="91"/>
  <c r="M48" i="91"/>
  <c r="I49" i="91"/>
  <c r="M49" i="91"/>
  <c r="I50" i="91"/>
  <c r="M50" i="91"/>
  <c r="L52" i="91"/>
  <c r="M52" i="91"/>
  <c r="I53" i="91"/>
  <c r="J53" i="91"/>
  <c r="I54" i="91"/>
  <c r="M54" i="91"/>
  <c r="N3" i="90"/>
  <c r="P4" i="90"/>
  <c r="H9" i="90"/>
  <c r="DR6" i="21" s="1"/>
  <c r="K9" i="90"/>
  <c r="EO6" i="21" s="1"/>
  <c r="N9" i="90"/>
  <c r="FL6" i="21" s="1"/>
  <c r="I10" i="90"/>
  <c r="L10" i="90"/>
  <c r="O10" i="90"/>
  <c r="H11" i="90"/>
  <c r="K11" i="90"/>
  <c r="N11" i="90"/>
  <c r="M12" i="90"/>
  <c r="X12" i="90"/>
  <c r="Y12" i="90"/>
  <c r="Z12" i="90"/>
  <c r="L46" i="90"/>
  <c r="I47" i="90"/>
  <c r="J47" i="90"/>
  <c r="O48" i="90"/>
  <c r="L49" i="90"/>
  <c r="I51" i="90"/>
  <c r="M51" i="90"/>
  <c r="L52" i="90"/>
  <c r="L53" i="90"/>
  <c r="P54" i="90"/>
  <c r="I56" i="90"/>
  <c r="J56" i="90"/>
  <c r="R68" i="90"/>
  <c r="S68" i="90"/>
  <c r="T68" i="90"/>
  <c r="N3" i="89"/>
  <c r="P4" i="89"/>
  <c r="H9" i="89"/>
  <c r="DS6" i="21" s="1"/>
  <c r="K9" i="89"/>
  <c r="EP6" i="21" s="1"/>
  <c r="N9" i="89"/>
  <c r="FM6" i="21" s="1"/>
  <c r="I10" i="89"/>
  <c r="L10" i="89"/>
  <c r="O10" i="89"/>
  <c r="H11" i="89"/>
  <c r="K11" i="89"/>
  <c r="N11" i="89"/>
  <c r="I12" i="89"/>
  <c r="M12" i="89"/>
  <c r="O12" i="89"/>
  <c r="X12" i="89"/>
  <c r="Y12" i="89"/>
  <c r="Z12" i="89"/>
  <c r="O46" i="89"/>
  <c r="I48" i="89"/>
  <c r="O49" i="89"/>
  <c r="L51" i="89"/>
  <c r="M51" i="89"/>
  <c r="I52" i="89"/>
  <c r="P52" i="89"/>
  <c r="I53" i="89"/>
  <c r="M54" i="89"/>
  <c r="R68" i="89"/>
  <c r="S68" i="89"/>
  <c r="M67" i="89" s="1"/>
  <c r="EP18" i="21" s="1"/>
  <c r="T68" i="89"/>
  <c r="P4" i="87"/>
  <c r="H10" i="87"/>
  <c r="H9" i="87" s="1"/>
  <c r="DP6" i="21" s="1"/>
  <c r="K10" i="87"/>
  <c r="K9" i="87" s="1"/>
  <c r="EM6" i="21" s="1"/>
  <c r="N10" i="87"/>
  <c r="N9" i="87" s="1"/>
  <c r="FJ6" i="21" s="1"/>
  <c r="H11" i="87"/>
  <c r="K11" i="87"/>
  <c r="N11" i="87"/>
  <c r="I12" i="87"/>
  <c r="M12" i="87"/>
  <c r="O12" i="87"/>
  <c r="X12" i="87"/>
  <c r="Y12" i="87"/>
  <c r="Z12" i="87"/>
  <c r="O48" i="87"/>
  <c r="O49" i="87"/>
  <c r="L50" i="87"/>
  <c r="O52" i="87"/>
  <c r="L56" i="87"/>
  <c r="R68" i="87"/>
  <c r="S68" i="87"/>
  <c r="T68" i="87"/>
  <c r="P67" i="87" s="1"/>
  <c r="FJ18" i="21" s="1"/>
  <c r="P4" i="86"/>
  <c r="H9" i="86"/>
  <c r="DN6" i="21" s="1"/>
  <c r="K9" i="86"/>
  <c r="EK6" i="21" s="1"/>
  <c r="N9" i="86"/>
  <c r="FH6" i="21" s="1"/>
  <c r="I10" i="86"/>
  <c r="L10" i="86"/>
  <c r="O10" i="86"/>
  <c r="H11" i="86"/>
  <c r="I64" i="86" s="1"/>
  <c r="J60" i="86" s="1"/>
  <c r="K11" i="86"/>
  <c r="L64" i="86" s="1"/>
  <c r="M60" i="86" s="1"/>
  <c r="N11" i="86"/>
  <c r="O64" i="86" s="1"/>
  <c r="P60" i="86" s="1"/>
  <c r="I12" i="86"/>
  <c r="M12" i="86"/>
  <c r="O12" i="86"/>
  <c r="X12" i="86"/>
  <c r="Y12" i="86"/>
  <c r="Z12" i="86"/>
  <c r="I46" i="86"/>
  <c r="O47" i="86"/>
  <c r="L50" i="86"/>
  <c r="L51" i="86"/>
  <c r="I53" i="86"/>
  <c r="L54" i="86"/>
  <c r="L56" i="86"/>
  <c r="P4" i="85"/>
  <c r="H9" i="85"/>
  <c r="DO6" i="21" s="1"/>
  <c r="K9" i="85"/>
  <c r="EL6" i="21" s="1"/>
  <c r="N9" i="85"/>
  <c r="FI6" i="21" s="1"/>
  <c r="I10" i="85"/>
  <c r="L10" i="85"/>
  <c r="O10" i="85"/>
  <c r="H11" i="85"/>
  <c r="K11" i="85"/>
  <c r="N11" i="85"/>
  <c r="I12" i="85"/>
  <c r="M12" i="85"/>
  <c r="O12" i="85"/>
  <c r="X12" i="85"/>
  <c r="Y12" i="85"/>
  <c r="Z12" i="85"/>
  <c r="I46" i="85"/>
  <c r="L47" i="85"/>
  <c r="I50" i="85"/>
  <c r="I51" i="85"/>
  <c r="O52" i="85"/>
  <c r="L54" i="85"/>
  <c r="I56" i="85"/>
  <c r="J56" i="85"/>
  <c r="P4" i="84"/>
  <c r="J6" i="84"/>
  <c r="P6" i="84"/>
  <c r="K9" i="84"/>
  <c r="EJ6" i="21" s="1"/>
  <c r="I10" i="84"/>
  <c r="L10" i="84"/>
  <c r="O10" i="84"/>
  <c r="H11" i="84"/>
  <c r="H57" i="84" s="1"/>
  <c r="I57" i="84" s="1"/>
  <c r="K11" i="84"/>
  <c r="K57" i="84" s="1"/>
  <c r="L57" i="84" s="1"/>
  <c r="N11" i="84"/>
  <c r="N57" i="84" s="1"/>
  <c r="O57" i="84" s="1"/>
  <c r="I12" i="84"/>
  <c r="M12" i="84"/>
  <c r="O12" i="84"/>
  <c r="X12" i="84"/>
  <c r="Y12" i="84"/>
  <c r="Z12" i="84"/>
  <c r="L46" i="84"/>
  <c r="M46" i="84"/>
  <c r="L47" i="84"/>
  <c r="L48" i="84"/>
  <c r="L49" i="84"/>
  <c r="O53" i="84"/>
  <c r="I54" i="84"/>
  <c r="O56" i="84"/>
  <c r="P56" i="84"/>
  <c r="P4" i="83"/>
  <c r="J6" i="83"/>
  <c r="P6" i="83"/>
  <c r="K9" i="83"/>
  <c r="EI6" i="21" s="1"/>
  <c r="I10" i="83"/>
  <c r="L10" i="83"/>
  <c r="O10" i="83"/>
  <c r="H11" i="83"/>
  <c r="H57" i="83" s="1"/>
  <c r="I57" i="83" s="1"/>
  <c r="K11" i="83"/>
  <c r="K57" i="83" s="1"/>
  <c r="L57" i="83" s="1"/>
  <c r="N11" i="83"/>
  <c r="N57" i="83" s="1"/>
  <c r="O57" i="83" s="1"/>
  <c r="I12" i="83"/>
  <c r="M12" i="83"/>
  <c r="O12" i="83"/>
  <c r="X12" i="83"/>
  <c r="Y12" i="83"/>
  <c r="Z12" i="83"/>
  <c r="L47" i="83"/>
  <c r="L48" i="83"/>
  <c r="I49" i="83"/>
  <c r="L52" i="83"/>
  <c r="L53" i="83"/>
  <c r="L54" i="83"/>
  <c r="J56" i="83"/>
  <c r="P4" i="82"/>
  <c r="J6" i="82"/>
  <c r="P6" i="82"/>
  <c r="K9" i="82"/>
  <c r="EH6" i="21" s="1"/>
  <c r="I10" i="82"/>
  <c r="L10" i="82"/>
  <c r="O10" i="82"/>
  <c r="H11" i="82"/>
  <c r="H57" i="82" s="1"/>
  <c r="I57" i="82" s="1"/>
  <c r="K11" i="82"/>
  <c r="K57" i="82" s="1"/>
  <c r="L57" i="82" s="1"/>
  <c r="N11" i="82"/>
  <c r="N57" i="82" s="1"/>
  <c r="O57" i="82" s="1"/>
  <c r="I12" i="82"/>
  <c r="M12" i="82"/>
  <c r="O12" i="82"/>
  <c r="X12" i="82"/>
  <c r="Y12" i="82"/>
  <c r="Z12" i="82"/>
  <c r="I46" i="82"/>
  <c r="L47" i="82"/>
  <c r="L48" i="82"/>
  <c r="O51" i="82"/>
  <c r="O53" i="82"/>
  <c r="L56" i="82"/>
  <c r="J56" i="82"/>
  <c r="P4" i="81"/>
  <c r="J6" i="81"/>
  <c r="P6" i="81"/>
  <c r="K9" i="81"/>
  <c r="EG6" i="21" s="1"/>
  <c r="I10" i="81"/>
  <c r="L10" i="81"/>
  <c r="O10" i="81"/>
  <c r="H11" i="81"/>
  <c r="H57" i="81" s="1"/>
  <c r="I57" i="81" s="1"/>
  <c r="K11" i="81"/>
  <c r="K57" i="81" s="1"/>
  <c r="L57" i="81" s="1"/>
  <c r="N11" i="81"/>
  <c r="N57" i="81" s="1"/>
  <c r="O57" i="81" s="1"/>
  <c r="I12" i="81"/>
  <c r="M12" i="81"/>
  <c r="O12" i="81"/>
  <c r="S59" i="81"/>
  <c r="T59" i="81"/>
  <c r="U59" i="81"/>
  <c r="V59" i="81"/>
  <c r="N3" i="80"/>
  <c r="P4" i="80"/>
  <c r="J6" i="80"/>
  <c r="P6" i="80"/>
  <c r="K10" i="80"/>
  <c r="K9" i="80" s="1"/>
  <c r="EF6" i="21" s="1"/>
  <c r="K11" i="80"/>
  <c r="K57" i="80" s="1"/>
  <c r="L57" i="80" s="1"/>
  <c r="N11" i="80"/>
  <c r="N57" i="80" s="1"/>
  <c r="O57" i="80" s="1"/>
  <c r="I12" i="80"/>
  <c r="M12" i="80"/>
  <c r="O12" i="80"/>
  <c r="K31" i="80"/>
  <c r="N3" i="79"/>
  <c r="P4" i="79"/>
  <c r="J6" i="79"/>
  <c r="P6" i="79"/>
  <c r="K9" i="79"/>
  <c r="ED6" i="21" s="1"/>
  <c r="I10" i="79"/>
  <c r="L10" i="79"/>
  <c r="O10" i="79"/>
  <c r="H11" i="79"/>
  <c r="H57" i="79" s="1"/>
  <c r="I57" i="79" s="1"/>
  <c r="K11" i="79"/>
  <c r="K57" i="79" s="1"/>
  <c r="L57" i="79" s="1"/>
  <c r="I12" i="79"/>
  <c r="M12" i="79"/>
  <c r="O12" i="79"/>
  <c r="K32" i="79"/>
  <c r="N3" i="78"/>
  <c r="P4" i="78"/>
  <c r="J6" i="78"/>
  <c r="P6" i="78"/>
  <c r="K9" i="78"/>
  <c r="EC6" i="21" s="1"/>
  <c r="I10" i="78"/>
  <c r="L10" i="78"/>
  <c r="O10" i="78"/>
  <c r="H11" i="78"/>
  <c r="H57" i="78" s="1"/>
  <c r="I57" i="78" s="1"/>
  <c r="K11" i="78"/>
  <c r="K57" i="78" s="1"/>
  <c r="L57" i="78" s="1"/>
  <c r="N11" i="78"/>
  <c r="N57" i="78" s="1"/>
  <c r="O57" i="78" s="1"/>
  <c r="M12" i="78"/>
  <c r="K33" i="78"/>
  <c r="N3" i="77"/>
  <c r="P4" i="77"/>
  <c r="J6" i="77"/>
  <c r="P6" i="77"/>
  <c r="N11" i="77" s="1"/>
  <c r="N57" i="77" s="1"/>
  <c r="O57" i="77" s="1"/>
  <c r="EB6" i="21"/>
  <c r="L10" i="77"/>
  <c r="K11" i="77"/>
  <c r="K57" i="77" s="1"/>
  <c r="L57" i="77" s="1"/>
  <c r="Q11" i="77"/>
  <c r="I12" i="77"/>
  <c r="M12" i="77"/>
  <c r="O12" i="77"/>
  <c r="K31" i="77"/>
  <c r="N3" i="76"/>
  <c r="P4" i="76"/>
  <c r="J6" i="76"/>
  <c r="N53" i="76"/>
  <c r="O53" i="76" s="1"/>
  <c r="K9" i="76"/>
  <c r="EA6" i="21" s="1"/>
  <c r="I10" i="76"/>
  <c r="L10" i="76"/>
  <c r="O10" i="76"/>
  <c r="K11" i="76"/>
  <c r="K57" i="76" s="1"/>
  <c r="L57" i="76" s="1"/>
  <c r="N11" i="76"/>
  <c r="I12" i="76"/>
  <c r="O12" i="76"/>
  <c r="N3" i="75"/>
  <c r="P4" i="75"/>
  <c r="J6" i="75"/>
  <c r="K9" i="75"/>
  <c r="DZ6" i="21" s="1"/>
  <c r="N9" i="75"/>
  <c r="EW6" i="21" s="1"/>
  <c r="I10" i="75"/>
  <c r="L10" i="75"/>
  <c r="O10" i="75"/>
  <c r="H11" i="75"/>
  <c r="K11" i="75"/>
  <c r="N11" i="75"/>
  <c r="I12" i="75"/>
  <c r="M12" i="75"/>
  <c r="O12" i="75"/>
  <c r="N3" i="74"/>
  <c r="P4" i="74"/>
  <c r="H52" i="74"/>
  <c r="I52" i="74" s="1"/>
  <c r="K9" i="74"/>
  <c r="DY6" i="21" s="1"/>
  <c r="N9" i="74"/>
  <c r="EV6" i="21" s="1"/>
  <c r="I10" i="74"/>
  <c r="L10" i="74"/>
  <c r="O10" i="74"/>
  <c r="K11" i="74"/>
  <c r="K57" i="74" s="1"/>
  <c r="L57" i="74" s="1"/>
  <c r="N11" i="74"/>
  <c r="N57" i="74" s="1"/>
  <c r="O57" i="74" s="1"/>
  <c r="U11" i="74"/>
  <c r="I12" i="74"/>
  <c r="M12" i="74"/>
  <c r="O12" i="74"/>
  <c r="K31" i="74"/>
  <c r="N33" i="74"/>
  <c r="C210" i="74"/>
  <c r="C211" i="74"/>
  <c r="N3" i="73"/>
  <c r="P4" i="73"/>
  <c r="H9" i="73"/>
  <c r="DA6" i="21" s="1"/>
  <c r="K9" i="73"/>
  <c r="DX6" i="21" s="1"/>
  <c r="N9" i="73"/>
  <c r="EU6" i="21" s="1"/>
  <c r="I10" i="73"/>
  <c r="L10" i="73"/>
  <c r="O10" i="73"/>
  <c r="H11" i="73"/>
  <c r="K11" i="73"/>
  <c r="N11" i="73"/>
  <c r="I12" i="73"/>
  <c r="M12" i="73"/>
  <c r="O12" i="73"/>
  <c r="P4" i="72"/>
  <c r="H9" i="72"/>
  <c r="CZ6" i="21" s="1"/>
  <c r="K9" i="72"/>
  <c r="DW6" i="21" s="1"/>
  <c r="N9" i="72"/>
  <c r="ET6" i="21" s="1"/>
  <c r="I10" i="72"/>
  <c r="L10" i="72"/>
  <c r="O10" i="72"/>
  <c r="H11" i="72"/>
  <c r="K11" i="72"/>
  <c r="N11" i="72"/>
  <c r="I12" i="72"/>
  <c r="M12" i="72"/>
  <c r="O12" i="72"/>
  <c r="L46" i="72"/>
  <c r="O47" i="72"/>
  <c r="O48" i="72"/>
  <c r="L50" i="72"/>
  <c r="I51" i="72"/>
  <c r="O52" i="72"/>
  <c r="M52" i="72"/>
  <c r="L54" i="72"/>
  <c r="M54" i="72"/>
  <c r="I56" i="72"/>
  <c r="J56" i="72"/>
  <c r="S68" i="72"/>
  <c r="T68" i="72"/>
  <c r="P67" i="72" s="1"/>
  <c r="ET18" i="21" s="1"/>
  <c r="N3" i="71"/>
  <c r="P4" i="71"/>
  <c r="H9" i="71"/>
  <c r="CY6" i="21" s="1"/>
  <c r="K9" i="71"/>
  <c r="DV6" i="21" s="1"/>
  <c r="N9" i="71"/>
  <c r="ES6" i="21" s="1"/>
  <c r="I10" i="71"/>
  <c r="L10" i="71"/>
  <c r="O10" i="71"/>
  <c r="H11" i="71"/>
  <c r="K11" i="71"/>
  <c r="N11" i="71"/>
  <c r="I12" i="71"/>
  <c r="M12" i="71"/>
  <c r="O12" i="71"/>
  <c r="X12" i="71"/>
  <c r="Y12" i="71"/>
  <c r="Z12" i="71"/>
  <c r="P4" i="70"/>
  <c r="H9" i="70"/>
  <c r="CX6" i="21" s="1"/>
  <c r="K9" i="70"/>
  <c r="DU6" i="21" s="1"/>
  <c r="N9" i="70"/>
  <c r="ER6" i="21" s="1"/>
  <c r="I10" i="70"/>
  <c r="L10" i="70"/>
  <c r="O10" i="70"/>
  <c r="H11" i="70"/>
  <c r="K11" i="70"/>
  <c r="N11" i="70"/>
  <c r="I12" i="70"/>
  <c r="M12" i="70"/>
  <c r="O12" i="70"/>
  <c r="X12" i="70"/>
  <c r="X16" i="70" s="1"/>
  <c r="H33" i="70" s="1"/>
  <c r="Y12" i="70"/>
  <c r="Z12" i="70"/>
  <c r="Z16" i="70" s="1"/>
  <c r="K25" i="70"/>
  <c r="N25" i="70"/>
  <c r="K26" i="70"/>
  <c r="N26" i="70"/>
  <c r="D27" i="70"/>
  <c r="L46" i="70"/>
  <c r="L47" i="70"/>
  <c r="I48" i="70"/>
  <c r="I49" i="70"/>
  <c r="I52" i="70"/>
  <c r="J52" i="70"/>
  <c r="L53" i="70"/>
  <c r="L54" i="70"/>
  <c r="M54" i="70"/>
  <c r="L56" i="70"/>
  <c r="J56" i="70"/>
  <c r="I57" i="70"/>
  <c r="J57" i="70"/>
  <c r="O3" i="67"/>
  <c r="N13" i="67"/>
  <c r="O13" i="67" s="1"/>
  <c r="O14" i="67"/>
  <c r="O22" i="67"/>
  <c r="O25" i="67"/>
  <c r="C52" i="67"/>
  <c r="C53" i="67" s="1"/>
  <c r="D53" i="67" s="1"/>
  <c r="H55" i="67" s="1"/>
  <c r="D52" i="67"/>
  <c r="F52" i="67"/>
  <c r="B60" i="67"/>
  <c r="B61" i="67"/>
  <c r="B62" i="67"/>
  <c r="B63" i="67"/>
  <c r="B64" i="67"/>
  <c r="B65" i="67"/>
  <c r="B66" i="67"/>
  <c r="B67" i="67"/>
  <c r="B68" i="67"/>
  <c r="B69" i="67"/>
  <c r="B70" i="67"/>
  <c r="B71" i="67"/>
  <c r="B72" i="67"/>
  <c r="B73" i="67"/>
  <c r="B74" i="67"/>
  <c r="F90" i="67"/>
  <c r="F92" i="67" s="1"/>
  <c r="G90" i="67"/>
  <c r="G92" i="67" s="1"/>
  <c r="H90" i="67"/>
  <c r="H92" i="67" s="1"/>
  <c r="J90" i="67"/>
  <c r="J92" i="67" s="1"/>
  <c r="F104" i="67"/>
  <c r="G104" i="67"/>
  <c r="H104" i="67"/>
  <c r="J104" i="67"/>
  <c r="F107" i="67"/>
  <c r="G107" i="67"/>
  <c r="G108" i="67" s="1"/>
  <c r="H107" i="67"/>
  <c r="J107" i="67"/>
  <c r="F121" i="67"/>
  <c r="G121" i="67"/>
  <c r="H121" i="67"/>
  <c r="F122" i="67"/>
  <c r="G122" i="67"/>
  <c r="H122" i="67"/>
  <c r="D123" i="67"/>
  <c r="J127" i="67"/>
  <c r="J128" i="67"/>
  <c r="J131" i="67"/>
  <c r="J132" i="67"/>
  <c r="N4" i="65"/>
  <c r="B7" i="65"/>
  <c r="B8" i="65" s="1"/>
  <c r="B9" i="65" s="1"/>
  <c r="B10" i="65" s="1"/>
  <c r="B11" i="65" s="1"/>
  <c r="B12" i="65" s="1"/>
  <c r="B13" i="65" s="1"/>
  <c r="B14" i="65" s="1"/>
  <c r="B15" i="65" s="1"/>
  <c r="B16" i="65" s="1"/>
  <c r="B17" i="65" s="1"/>
  <c r="B18" i="65" s="1"/>
  <c r="B19" i="65" s="1"/>
  <c r="B20" i="65" s="1"/>
  <c r="B21" i="65" s="1"/>
  <c r="B22" i="65" s="1"/>
  <c r="B23" i="65" s="1"/>
  <c r="B24" i="65" s="1"/>
  <c r="B25" i="65" s="1"/>
  <c r="B26" i="65" s="1"/>
  <c r="B27" i="65" s="1"/>
  <c r="B28" i="65" s="1"/>
  <c r="B29" i="65" s="1"/>
  <c r="B30" i="65" s="1"/>
  <c r="B31" i="65" s="1"/>
  <c r="B32" i="65" s="1"/>
  <c r="K23" i="63"/>
  <c r="M23" i="63"/>
  <c r="K24" i="63"/>
  <c r="M24" i="63"/>
  <c r="K30" i="63"/>
  <c r="M30" i="63"/>
  <c r="K35" i="63"/>
  <c r="K36" i="63"/>
  <c r="M36" i="63"/>
  <c r="U4" i="62"/>
  <c r="F24" i="62"/>
  <c r="F25" i="62"/>
  <c r="E47" i="82" s="1"/>
  <c r="F26" i="62"/>
  <c r="F27" i="62"/>
  <c r="E48" i="109" s="1"/>
  <c r="F28" i="62"/>
  <c r="F29" i="62"/>
  <c r="E49" i="89" s="1"/>
  <c r="F31" i="62"/>
  <c r="E49" i="109" s="1"/>
  <c r="F32" i="62"/>
  <c r="F33" i="62"/>
  <c r="E47" i="85" s="1"/>
  <c r="F34" i="62"/>
  <c r="E48" i="86" s="1"/>
  <c r="F35" i="62"/>
  <c r="F37" i="62"/>
  <c r="F38" i="62"/>
  <c r="F40" i="62"/>
  <c r="F41" i="62"/>
  <c r="E46" i="109" s="1"/>
  <c r="F42" i="62"/>
  <c r="F44" i="62"/>
  <c r="F45" i="62"/>
  <c r="F46" i="62"/>
  <c r="F47" i="62"/>
  <c r="F48" i="62"/>
  <c r="F49" i="62"/>
  <c r="F51" i="62"/>
  <c r="F53" i="62"/>
  <c r="F54" i="62"/>
  <c r="F56" i="62"/>
  <c r="F57" i="62"/>
  <c r="F58" i="62"/>
  <c r="F59" i="62"/>
  <c r="F61" i="62"/>
  <c r="F62" i="62"/>
  <c r="F63" i="62"/>
  <c r="F65" i="62"/>
  <c r="F66" i="62"/>
  <c r="F67" i="62"/>
  <c r="F68" i="62"/>
  <c r="F69" i="62"/>
  <c r="F71" i="62"/>
  <c r="F72" i="62"/>
  <c r="F73" i="62"/>
  <c r="F74" i="62"/>
  <c r="E47" i="87" s="1"/>
  <c r="F75" i="62"/>
  <c r="E50" i="87" s="1"/>
  <c r="F76" i="62"/>
  <c r="F77" i="62"/>
  <c r="F91" i="62"/>
  <c r="F92" i="62"/>
  <c r="J94" i="62"/>
  <c r="J96" i="62"/>
  <c r="J99" i="62"/>
  <c r="F100" i="62"/>
  <c r="J100" i="62"/>
  <c r="F101" i="62"/>
  <c r="J101" i="62"/>
  <c r="D116" i="62"/>
  <c r="G118" i="62" s="1"/>
  <c r="N96" i="62" s="1"/>
  <c r="E130" i="62"/>
  <c r="N97" i="62" s="1"/>
  <c r="F130" i="62"/>
  <c r="N98" i="62" s="1"/>
  <c r="G130" i="62"/>
  <c r="N99" i="62" s="1"/>
  <c r="B139" i="62"/>
  <c r="B140" i="62" s="1"/>
  <c r="B141" i="62" s="1"/>
  <c r="B142" i="62" s="1"/>
  <c r="B143" i="62" s="1"/>
  <c r="B144" i="62" s="1"/>
  <c r="B145" i="62" s="1"/>
  <c r="B146" i="62" s="1"/>
  <c r="B147" i="62" s="1"/>
  <c r="B148" i="62" s="1"/>
  <c r="B149" i="62" s="1"/>
  <c r="B150" i="62" s="1"/>
  <c r="B151" i="62" s="1"/>
  <c r="B152" i="62" s="1"/>
  <c r="B153" i="62" s="1"/>
  <c r="B154" i="62" s="1"/>
  <c r="B155" i="62" s="1"/>
  <c r="B156" i="62" s="1"/>
  <c r="B157" i="62" s="1"/>
  <c r="B158" i="62" s="1"/>
  <c r="D159" i="62"/>
  <c r="D161" i="62"/>
  <c r="AM5" i="60"/>
  <c r="A6" i="60"/>
  <c r="O8" i="60"/>
  <c r="O53" i="60"/>
  <c r="O14" i="60"/>
  <c r="G1" i="58"/>
  <c r="H1" i="58"/>
  <c r="I1" i="58"/>
  <c r="J1" i="58"/>
  <c r="K1" i="58"/>
  <c r="L1" i="58"/>
  <c r="D5" i="58" s="1"/>
  <c r="M1" i="58"/>
  <c r="N1" i="58"/>
  <c r="L4" i="58"/>
  <c r="L8" i="58"/>
  <c r="A2" i="58" s="1"/>
  <c r="M26" i="58"/>
  <c r="N26" i="58"/>
  <c r="N39" i="58"/>
  <c r="N43" i="58"/>
  <c r="N44" i="58"/>
  <c r="N45" i="58"/>
  <c r="N46" i="58"/>
  <c r="N47" i="58"/>
  <c r="G1" i="57"/>
  <c r="I1" i="57"/>
  <c r="J1" i="57"/>
  <c r="Q1" i="57"/>
  <c r="R1" i="57"/>
  <c r="S1" i="57"/>
  <c r="D5" i="57" s="1"/>
  <c r="T1" i="57"/>
  <c r="U1" i="57"/>
  <c r="S4" i="57"/>
  <c r="S8" i="57"/>
  <c r="A2" i="57" s="1"/>
  <c r="U10" i="57"/>
  <c r="T26" i="57"/>
  <c r="U26" i="57"/>
  <c r="U44" i="57"/>
  <c r="U45" i="57"/>
  <c r="U46" i="57"/>
  <c r="U47" i="57"/>
  <c r="U48" i="57"/>
  <c r="N3" i="51"/>
  <c r="P4" i="51"/>
  <c r="H9" i="51"/>
  <c r="AH6" i="21" s="1"/>
  <c r="D43" i="6" s="1"/>
  <c r="K9" i="51"/>
  <c r="N9" i="51"/>
  <c r="CT6" i="21" s="1"/>
  <c r="J43" i="6" s="1"/>
  <c r="I10" i="51"/>
  <c r="L10" i="51"/>
  <c r="O10" i="51"/>
  <c r="H11" i="51"/>
  <c r="K11" i="51"/>
  <c r="N11" i="51"/>
  <c r="I12" i="51"/>
  <c r="M12" i="51"/>
  <c r="O12" i="51"/>
  <c r="X13" i="51"/>
  <c r="Y13" i="51"/>
  <c r="Z13" i="51"/>
  <c r="I15" i="51"/>
  <c r="L15" i="51"/>
  <c r="O15" i="51"/>
  <c r="I16" i="51"/>
  <c r="L16" i="51"/>
  <c r="O16" i="51"/>
  <c r="I17" i="51"/>
  <c r="L17" i="51"/>
  <c r="O17" i="51"/>
  <c r="N25" i="51"/>
  <c r="E30" i="51"/>
  <c r="F30" i="51"/>
  <c r="Z14" i="51" s="1"/>
  <c r="E31" i="51"/>
  <c r="F31" i="51"/>
  <c r="Y15" i="51" s="1"/>
  <c r="E32" i="51"/>
  <c r="F32" i="51"/>
  <c r="Y16" i="51" s="1"/>
  <c r="E33" i="51"/>
  <c r="F33" i="51"/>
  <c r="F46" i="51"/>
  <c r="L46" i="51" s="1"/>
  <c r="F47" i="51"/>
  <c r="L47" i="51" s="1"/>
  <c r="F48" i="51"/>
  <c r="L48" i="51" s="1"/>
  <c r="F49" i="51"/>
  <c r="L49" i="51" s="1"/>
  <c r="E50" i="51"/>
  <c r="F50" i="51"/>
  <c r="G50" i="51"/>
  <c r="E51" i="51"/>
  <c r="F51" i="51"/>
  <c r="L51" i="51" s="1"/>
  <c r="G51" i="51"/>
  <c r="E52" i="51"/>
  <c r="F52" i="51"/>
  <c r="L52" i="51" s="1"/>
  <c r="G52" i="51"/>
  <c r="P52" i="51" s="1"/>
  <c r="E53" i="51"/>
  <c r="F53" i="51"/>
  <c r="L53" i="51" s="1"/>
  <c r="G53" i="51"/>
  <c r="M53" i="51" s="1"/>
  <c r="E54" i="51"/>
  <c r="F54" i="51"/>
  <c r="G54" i="51"/>
  <c r="E55" i="51"/>
  <c r="F55" i="51"/>
  <c r="G55" i="51"/>
  <c r="E56" i="51"/>
  <c r="F56" i="51"/>
  <c r="I56" i="51" s="1"/>
  <c r="G56" i="51"/>
  <c r="J56" i="51" s="1"/>
  <c r="E57" i="51"/>
  <c r="F57" i="51"/>
  <c r="G57" i="51"/>
  <c r="K57" i="51"/>
  <c r="F62" i="51"/>
  <c r="F63" i="51"/>
  <c r="F64" i="51"/>
  <c r="J65" i="51"/>
  <c r="AH17" i="21" s="1"/>
  <c r="M65" i="51"/>
  <c r="BN17" i="21" s="1"/>
  <c r="P65" i="51"/>
  <c r="CT17" i="21" s="1"/>
  <c r="N3" i="50"/>
  <c r="P4" i="50"/>
  <c r="H9" i="50"/>
  <c r="AG6" i="21" s="1"/>
  <c r="K9" i="50"/>
  <c r="N9" i="50"/>
  <c r="CS6" i="21" s="1"/>
  <c r="I10" i="50"/>
  <c r="L10" i="50"/>
  <c r="O10" i="50"/>
  <c r="H11" i="50"/>
  <c r="H57" i="50" s="1"/>
  <c r="K11" i="50"/>
  <c r="K57" i="50" s="1"/>
  <c r="N11" i="50"/>
  <c r="I12" i="50"/>
  <c r="M12" i="50"/>
  <c r="O12" i="50"/>
  <c r="X13" i="50"/>
  <c r="Y13" i="50"/>
  <c r="Z13" i="50"/>
  <c r="L15" i="50"/>
  <c r="O15" i="50"/>
  <c r="I16" i="50"/>
  <c r="L16" i="50"/>
  <c r="O16" i="50"/>
  <c r="I17" i="50"/>
  <c r="L17" i="50"/>
  <c r="O17" i="50"/>
  <c r="K26" i="50"/>
  <c r="N26" i="50"/>
  <c r="E30" i="50"/>
  <c r="F30" i="50"/>
  <c r="E31" i="50"/>
  <c r="F31" i="50"/>
  <c r="E32" i="50"/>
  <c r="F32" i="50"/>
  <c r="Z16" i="50" s="1"/>
  <c r="E33" i="50"/>
  <c r="F33" i="50"/>
  <c r="F46" i="50"/>
  <c r="F47" i="50"/>
  <c r="F48" i="50"/>
  <c r="L48" i="50" s="1"/>
  <c r="E49" i="50"/>
  <c r="F49" i="50"/>
  <c r="L49" i="50" s="1"/>
  <c r="G49" i="50"/>
  <c r="J49" i="50" s="1"/>
  <c r="E50" i="50"/>
  <c r="F50" i="50"/>
  <c r="I50" i="50" s="1"/>
  <c r="G50" i="50"/>
  <c r="M50" i="50" s="1"/>
  <c r="E51" i="50"/>
  <c r="F51" i="50"/>
  <c r="L51" i="50" s="1"/>
  <c r="G51" i="50"/>
  <c r="M51" i="50" s="1"/>
  <c r="E52" i="50"/>
  <c r="F52" i="50"/>
  <c r="G52" i="50"/>
  <c r="P52" i="50" s="1"/>
  <c r="E53" i="50"/>
  <c r="F53" i="50"/>
  <c r="L53" i="50" s="1"/>
  <c r="G53" i="50"/>
  <c r="M53" i="50" s="1"/>
  <c r="E54" i="50"/>
  <c r="F54" i="50"/>
  <c r="G54" i="50"/>
  <c r="M54" i="50" s="1"/>
  <c r="E55" i="50"/>
  <c r="F55" i="50"/>
  <c r="L55" i="50" s="1"/>
  <c r="G55" i="50"/>
  <c r="E56" i="50"/>
  <c r="F56" i="50"/>
  <c r="G56" i="50"/>
  <c r="E57" i="50"/>
  <c r="F57" i="50"/>
  <c r="G57" i="50"/>
  <c r="F62" i="50"/>
  <c r="F63" i="50"/>
  <c r="F64" i="50"/>
  <c r="J65" i="50"/>
  <c r="AG17" i="21" s="1"/>
  <c r="M65" i="50"/>
  <c r="BM17" i="21" s="1"/>
  <c r="P65" i="50"/>
  <c r="CS17" i="21" s="1"/>
  <c r="N3" i="49"/>
  <c r="P4" i="49"/>
  <c r="H9" i="49"/>
  <c r="AE6" i="21" s="1"/>
  <c r="K9" i="49"/>
  <c r="N9" i="49"/>
  <c r="CQ6" i="21" s="1"/>
  <c r="I10" i="49"/>
  <c r="L10" i="49"/>
  <c r="O10" i="49"/>
  <c r="H11" i="49"/>
  <c r="K11" i="49"/>
  <c r="N11" i="49"/>
  <c r="N57" i="49" s="1"/>
  <c r="I12" i="49"/>
  <c r="M12" i="49"/>
  <c r="O12" i="49"/>
  <c r="X13" i="49"/>
  <c r="Y13" i="49"/>
  <c r="Z13" i="49"/>
  <c r="I15" i="49"/>
  <c r="L15" i="49"/>
  <c r="O15" i="49"/>
  <c r="I16" i="49"/>
  <c r="L16" i="49"/>
  <c r="O16" i="49"/>
  <c r="I17" i="49"/>
  <c r="L17" i="49"/>
  <c r="O17" i="49"/>
  <c r="K25" i="49"/>
  <c r="N25" i="49"/>
  <c r="K26" i="49"/>
  <c r="N26" i="49"/>
  <c r="E30" i="49"/>
  <c r="F30" i="49"/>
  <c r="E31" i="49"/>
  <c r="F31" i="49"/>
  <c r="E32" i="49"/>
  <c r="F32" i="49"/>
  <c r="X16" i="49" s="1"/>
  <c r="E33" i="49"/>
  <c r="F33" i="49"/>
  <c r="F46" i="49"/>
  <c r="O46" i="49" s="1"/>
  <c r="F47" i="49"/>
  <c r="F48" i="49"/>
  <c r="F49" i="49"/>
  <c r="O49" i="49" s="1"/>
  <c r="E50" i="49"/>
  <c r="F51" i="49"/>
  <c r="F52" i="49"/>
  <c r="L52" i="49" s="1"/>
  <c r="F53" i="49"/>
  <c r="N53" i="49"/>
  <c r="E54" i="49"/>
  <c r="F54" i="49"/>
  <c r="O54" i="49" s="1"/>
  <c r="G54" i="49"/>
  <c r="M54" i="49" s="1"/>
  <c r="E55" i="49"/>
  <c r="F55" i="49"/>
  <c r="G55" i="49"/>
  <c r="J55" i="49" s="1"/>
  <c r="E56" i="49"/>
  <c r="F56" i="49"/>
  <c r="I56" i="49" s="1"/>
  <c r="G56" i="49"/>
  <c r="E57" i="49"/>
  <c r="F57" i="49"/>
  <c r="G57" i="49"/>
  <c r="K57" i="49"/>
  <c r="F62" i="49"/>
  <c r="F63" i="49"/>
  <c r="F64" i="49"/>
  <c r="J65" i="49"/>
  <c r="AE17" i="21" s="1"/>
  <c r="M65" i="49"/>
  <c r="BK17" i="21" s="1"/>
  <c r="P65" i="49"/>
  <c r="CQ17" i="21" s="1"/>
  <c r="F70" i="49"/>
  <c r="N3" i="48"/>
  <c r="P4" i="48"/>
  <c r="H9" i="48"/>
  <c r="AD6" i="21" s="1"/>
  <c r="K9" i="48"/>
  <c r="BJ6" i="21" s="1"/>
  <c r="G40" i="6" s="1"/>
  <c r="N9" i="48"/>
  <c r="CP6" i="21" s="1"/>
  <c r="J40" i="6" s="1"/>
  <c r="I10" i="48"/>
  <c r="L10" i="48"/>
  <c r="O10" i="48"/>
  <c r="H11" i="48"/>
  <c r="H57" i="48" s="1"/>
  <c r="K11" i="48"/>
  <c r="K57" i="48" s="1"/>
  <c r="N11" i="48"/>
  <c r="N57" i="48" s="1"/>
  <c r="I12" i="48"/>
  <c r="M12" i="48"/>
  <c r="O12" i="48"/>
  <c r="X13" i="48"/>
  <c r="Y13" i="48"/>
  <c r="Z13" i="48"/>
  <c r="I15" i="48"/>
  <c r="L15" i="48"/>
  <c r="O15" i="48"/>
  <c r="I16" i="48"/>
  <c r="L16" i="48"/>
  <c r="O16" i="48"/>
  <c r="I17" i="48"/>
  <c r="L17" i="48"/>
  <c r="O17" i="48"/>
  <c r="K25" i="48"/>
  <c r="N25" i="48"/>
  <c r="K26" i="48"/>
  <c r="N26" i="48"/>
  <c r="E30" i="48"/>
  <c r="F30" i="48"/>
  <c r="E31" i="48"/>
  <c r="F31" i="48"/>
  <c r="E32" i="48"/>
  <c r="F32" i="48"/>
  <c r="E33" i="48"/>
  <c r="F33" i="48"/>
  <c r="F46" i="48"/>
  <c r="I46" i="48" s="1"/>
  <c r="F47" i="48"/>
  <c r="F48" i="48"/>
  <c r="F49" i="48"/>
  <c r="L49" i="48" s="1"/>
  <c r="F50" i="48"/>
  <c r="F51" i="48"/>
  <c r="L51" i="48" s="1"/>
  <c r="F52" i="48"/>
  <c r="H52" i="48"/>
  <c r="K52" i="48"/>
  <c r="N52" i="48"/>
  <c r="E53" i="48"/>
  <c r="F53" i="48"/>
  <c r="I53" i="48" s="1"/>
  <c r="G53" i="48"/>
  <c r="M53" i="48" s="1"/>
  <c r="E54" i="48"/>
  <c r="F54" i="48"/>
  <c r="I54" i="48" s="1"/>
  <c r="G54" i="48"/>
  <c r="M54" i="48" s="1"/>
  <c r="E55" i="48"/>
  <c r="F55" i="48"/>
  <c r="O55" i="48" s="1"/>
  <c r="G55" i="48"/>
  <c r="M55" i="48" s="1"/>
  <c r="E56" i="48"/>
  <c r="F56" i="48"/>
  <c r="G56" i="48"/>
  <c r="M56" i="48" s="1"/>
  <c r="E57" i="48"/>
  <c r="F57" i="48"/>
  <c r="G57" i="48"/>
  <c r="F62" i="48"/>
  <c r="F63" i="48"/>
  <c r="F64" i="48"/>
  <c r="J65" i="48"/>
  <c r="AD17" i="21" s="1"/>
  <c r="M65" i="48"/>
  <c r="BJ17" i="21" s="1"/>
  <c r="P65" i="48"/>
  <c r="CP17" i="21" s="1"/>
  <c r="F70" i="48"/>
  <c r="N3" i="47"/>
  <c r="P4" i="47"/>
  <c r="H9" i="47"/>
  <c r="AC6" i="21" s="1"/>
  <c r="K9" i="47"/>
  <c r="BI6" i="21" s="1"/>
  <c r="N9" i="47"/>
  <c r="CO6" i="21" s="1"/>
  <c r="J39" i="6" s="1"/>
  <c r="I10" i="47"/>
  <c r="L10" i="47"/>
  <c r="O10" i="47"/>
  <c r="H11" i="47"/>
  <c r="K11" i="47"/>
  <c r="N11" i="47"/>
  <c r="I12" i="47"/>
  <c r="M12" i="47"/>
  <c r="O12" i="47"/>
  <c r="X13" i="47"/>
  <c r="Y13" i="47"/>
  <c r="Z13" i="47"/>
  <c r="I15" i="47"/>
  <c r="L15" i="47"/>
  <c r="O15" i="47"/>
  <c r="I16" i="47"/>
  <c r="L16" i="47"/>
  <c r="O16" i="47"/>
  <c r="I17" i="47"/>
  <c r="L17" i="47"/>
  <c r="O17" i="47"/>
  <c r="K25" i="47"/>
  <c r="N25" i="47"/>
  <c r="K26" i="47"/>
  <c r="N26" i="47"/>
  <c r="E30" i="47"/>
  <c r="F30" i="47"/>
  <c r="E31" i="47"/>
  <c r="F31" i="47"/>
  <c r="E32" i="47"/>
  <c r="F32" i="47"/>
  <c r="E33" i="47"/>
  <c r="F33" i="47"/>
  <c r="X17" i="47" s="1"/>
  <c r="F46" i="47"/>
  <c r="O46" i="47" s="1"/>
  <c r="F47" i="47"/>
  <c r="L47" i="47" s="1"/>
  <c r="F48" i="47"/>
  <c r="F49" i="47"/>
  <c r="L49" i="47" s="1"/>
  <c r="E50" i="47"/>
  <c r="E51" i="47"/>
  <c r="F51" i="47"/>
  <c r="L51" i="47" s="1"/>
  <c r="F52" i="47"/>
  <c r="F53" i="47"/>
  <c r="I53" i="47" s="1"/>
  <c r="F54" i="47"/>
  <c r="H54" i="47"/>
  <c r="N54" i="47"/>
  <c r="E55" i="47"/>
  <c r="F55" i="47"/>
  <c r="G55" i="47"/>
  <c r="M55" i="47" s="1"/>
  <c r="E56" i="47"/>
  <c r="F56" i="47"/>
  <c r="G56" i="47"/>
  <c r="E57" i="47"/>
  <c r="F57" i="47"/>
  <c r="G57" i="47"/>
  <c r="H57" i="47"/>
  <c r="N57" i="47"/>
  <c r="F62" i="47"/>
  <c r="F63" i="47"/>
  <c r="F64" i="47"/>
  <c r="J65" i="47"/>
  <c r="AC17" i="21" s="1"/>
  <c r="M65" i="47"/>
  <c r="BI17" i="21" s="1"/>
  <c r="P65" i="47"/>
  <c r="CO17" i="21" s="1"/>
  <c r="F70" i="47"/>
  <c r="N3" i="46"/>
  <c r="P4" i="46"/>
  <c r="H9" i="46"/>
  <c r="AB6" i="21" s="1"/>
  <c r="D38" i="6" s="1"/>
  <c r="K9" i="46"/>
  <c r="BH6" i="21" s="1"/>
  <c r="N9" i="46"/>
  <c r="CN6" i="21" s="1"/>
  <c r="J38" i="6" s="1"/>
  <c r="I10" i="46"/>
  <c r="L10" i="46"/>
  <c r="O10" i="46"/>
  <c r="H11" i="46"/>
  <c r="H57" i="46" s="1"/>
  <c r="K11" i="46"/>
  <c r="N11" i="46"/>
  <c r="I12" i="46"/>
  <c r="M12" i="46"/>
  <c r="O12" i="46"/>
  <c r="X13" i="46"/>
  <c r="Y13" i="46"/>
  <c r="Z13" i="46"/>
  <c r="I15" i="46"/>
  <c r="L15" i="46"/>
  <c r="O15" i="46"/>
  <c r="I16" i="46"/>
  <c r="L16" i="46"/>
  <c r="O16" i="46"/>
  <c r="I17" i="46"/>
  <c r="L17" i="46"/>
  <c r="O17" i="46"/>
  <c r="K25" i="46"/>
  <c r="N25" i="46"/>
  <c r="K26" i="46"/>
  <c r="N26" i="46"/>
  <c r="E30" i="46"/>
  <c r="F30" i="46"/>
  <c r="E31" i="46"/>
  <c r="F31" i="46"/>
  <c r="X15" i="46" s="1"/>
  <c r="E32" i="46"/>
  <c r="F32" i="46"/>
  <c r="X16" i="46" s="1"/>
  <c r="E33" i="46"/>
  <c r="F33" i="46"/>
  <c r="X17" i="46" s="1"/>
  <c r="F46" i="46"/>
  <c r="O46" i="46" s="1"/>
  <c r="F47" i="46"/>
  <c r="L47" i="46" s="1"/>
  <c r="F48" i="46"/>
  <c r="F49" i="46"/>
  <c r="F50" i="46"/>
  <c r="L50" i="46" s="1"/>
  <c r="F51" i="46"/>
  <c r="F52" i="46"/>
  <c r="E53" i="46"/>
  <c r="F53" i="46"/>
  <c r="I53" i="46" s="1"/>
  <c r="G53" i="46"/>
  <c r="E54" i="46"/>
  <c r="F54" i="46"/>
  <c r="G54" i="46"/>
  <c r="M54" i="46" s="1"/>
  <c r="E55" i="46"/>
  <c r="F55" i="46"/>
  <c r="G55" i="46"/>
  <c r="M55" i="46" s="1"/>
  <c r="E56" i="46"/>
  <c r="F56" i="46"/>
  <c r="L56" i="46" s="1"/>
  <c r="G56" i="46"/>
  <c r="E57" i="46"/>
  <c r="F57" i="46"/>
  <c r="G57" i="46"/>
  <c r="N57" i="46"/>
  <c r="F62" i="46"/>
  <c r="F63" i="46"/>
  <c r="F64" i="46"/>
  <c r="J65" i="46"/>
  <c r="AB17" i="21" s="1"/>
  <c r="M65" i="46"/>
  <c r="BH17" i="21" s="1"/>
  <c r="P65" i="46"/>
  <c r="CN17" i="21" s="1"/>
  <c r="F70" i="46"/>
  <c r="N3" i="45"/>
  <c r="P4" i="45"/>
  <c r="H9" i="45"/>
  <c r="AA6" i="21" s="1"/>
  <c r="AA31" i="21" s="1"/>
  <c r="AA43" i="21" s="1"/>
  <c r="K9" i="45"/>
  <c r="BG6" i="21" s="1"/>
  <c r="BG31" i="21" s="1"/>
  <c r="BG43" i="21" s="1"/>
  <c r="N9" i="45"/>
  <c r="CM6" i="21" s="1"/>
  <c r="CM31" i="21" s="1"/>
  <c r="CM43" i="21" s="1"/>
  <c r="H11" i="45"/>
  <c r="K11" i="45"/>
  <c r="K57" i="45" s="1"/>
  <c r="N11" i="45"/>
  <c r="I12" i="45"/>
  <c r="M12" i="45"/>
  <c r="O12" i="45"/>
  <c r="X13" i="45"/>
  <c r="Y13" i="45"/>
  <c r="Z13" i="45"/>
  <c r="I15" i="45"/>
  <c r="L15" i="45"/>
  <c r="O15" i="45"/>
  <c r="I16" i="45"/>
  <c r="L16" i="45"/>
  <c r="O16" i="45"/>
  <c r="I17" i="45"/>
  <c r="L17" i="45"/>
  <c r="O17" i="45"/>
  <c r="K25" i="45"/>
  <c r="N25" i="45"/>
  <c r="K26" i="45"/>
  <c r="N26" i="45"/>
  <c r="E30" i="45"/>
  <c r="F30" i="45"/>
  <c r="E31" i="45"/>
  <c r="F31" i="45"/>
  <c r="E32" i="45"/>
  <c r="F32" i="45"/>
  <c r="X16" i="45" s="1"/>
  <c r="E33" i="45"/>
  <c r="F33" i="45"/>
  <c r="F46" i="45"/>
  <c r="F47" i="45"/>
  <c r="L47" i="45" s="1"/>
  <c r="F48" i="45"/>
  <c r="F49" i="45"/>
  <c r="L49" i="45" s="1"/>
  <c r="F50" i="45"/>
  <c r="L50" i="45" s="1"/>
  <c r="E51" i="45"/>
  <c r="F51" i="45"/>
  <c r="I51" i="45" s="1"/>
  <c r="G51" i="45"/>
  <c r="E52" i="45"/>
  <c r="F52" i="45"/>
  <c r="L52" i="45" s="1"/>
  <c r="G52" i="45"/>
  <c r="M52" i="45" s="1"/>
  <c r="E53" i="45"/>
  <c r="F53" i="45"/>
  <c r="G53" i="45"/>
  <c r="J53" i="45" s="1"/>
  <c r="E54" i="45"/>
  <c r="F54" i="45"/>
  <c r="I54" i="45" s="1"/>
  <c r="G54" i="45"/>
  <c r="J54" i="45" s="1"/>
  <c r="E55" i="45"/>
  <c r="F55" i="45"/>
  <c r="I55" i="45" s="1"/>
  <c r="G55" i="45"/>
  <c r="E56" i="45"/>
  <c r="F56" i="45"/>
  <c r="L56" i="45" s="1"/>
  <c r="G56" i="45"/>
  <c r="E57" i="45"/>
  <c r="F57" i="45"/>
  <c r="G57" i="45"/>
  <c r="N57" i="45"/>
  <c r="F62" i="45"/>
  <c r="F63" i="45"/>
  <c r="F64" i="45"/>
  <c r="J65" i="45"/>
  <c r="AA17" i="21" s="1"/>
  <c r="M65" i="45"/>
  <c r="BG17" i="21" s="1"/>
  <c r="P65" i="45"/>
  <c r="CM17" i="21" s="1"/>
  <c r="F70" i="45"/>
  <c r="H73" i="45"/>
  <c r="N73" i="45"/>
  <c r="P4" i="44"/>
  <c r="H9" i="44"/>
  <c r="Z6" i="21" s="1"/>
  <c r="K9" i="44"/>
  <c r="BF6" i="21" s="1"/>
  <c r="G36" i="6" s="1"/>
  <c r="N9" i="44"/>
  <c r="CL6" i="21" s="1"/>
  <c r="J36" i="6" s="1"/>
  <c r="I10" i="44"/>
  <c r="L10" i="44"/>
  <c r="O10" i="44"/>
  <c r="H11" i="44"/>
  <c r="H57" i="44" s="1"/>
  <c r="K11" i="44"/>
  <c r="N11" i="44"/>
  <c r="I12" i="44"/>
  <c r="M12" i="44"/>
  <c r="O12" i="44"/>
  <c r="X13" i="44"/>
  <c r="Y13" i="44"/>
  <c r="Z13" i="44"/>
  <c r="I15" i="44"/>
  <c r="L15" i="44"/>
  <c r="O15" i="44"/>
  <c r="I16" i="44"/>
  <c r="L16" i="44"/>
  <c r="O16" i="44"/>
  <c r="I17" i="44"/>
  <c r="L17" i="44"/>
  <c r="O17" i="44"/>
  <c r="K26" i="44"/>
  <c r="N26" i="44"/>
  <c r="E30" i="44"/>
  <c r="F30" i="44"/>
  <c r="X14" i="44" s="1"/>
  <c r="E31" i="44"/>
  <c r="F31" i="44"/>
  <c r="X15" i="44" s="1"/>
  <c r="E32" i="44"/>
  <c r="F32" i="44"/>
  <c r="Y16" i="44" s="1"/>
  <c r="E33" i="44"/>
  <c r="F33" i="44"/>
  <c r="F46" i="44"/>
  <c r="F47" i="44"/>
  <c r="F48" i="44"/>
  <c r="F49" i="44"/>
  <c r="L49" i="44" s="1"/>
  <c r="F50" i="44"/>
  <c r="L50" i="44" s="1"/>
  <c r="F51" i="44"/>
  <c r="O51" i="44" s="1"/>
  <c r="E52" i="44"/>
  <c r="F52" i="44"/>
  <c r="I52" i="44" s="1"/>
  <c r="G52" i="44"/>
  <c r="J52" i="44" s="1"/>
  <c r="E53" i="44"/>
  <c r="F53" i="44"/>
  <c r="I53" i="44" s="1"/>
  <c r="G53" i="44"/>
  <c r="M53" i="44" s="1"/>
  <c r="E54" i="44"/>
  <c r="F54" i="44"/>
  <c r="G54" i="44"/>
  <c r="M54" i="44" s="1"/>
  <c r="E55" i="44"/>
  <c r="F55" i="44"/>
  <c r="L55" i="44" s="1"/>
  <c r="G55" i="44"/>
  <c r="E56" i="44"/>
  <c r="F56" i="44"/>
  <c r="G56" i="44"/>
  <c r="M56" i="44" s="1"/>
  <c r="F57" i="44"/>
  <c r="K57" i="44"/>
  <c r="F63" i="44"/>
  <c r="F64" i="44"/>
  <c r="J65" i="44"/>
  <c r="Z17" i="21" s="1"/>
  <c r="M65" i="44"/>
  <c r="BF17" i="21" s="1"/>
  <c r="P65" i="44"/>
  <c r="CL17" i="21" s="1"/>
  <c r="F70" i="44"/>
  <c r="N3" i="43"/>
  <c r="P4" i="43"/>
  <c r="H9" i="43"/>
  <c r="Y6" i="21" s="1"/>
  <c r="K9" i="43"/>
  <c r="BE6" i="21" s="1"/>
  <c r="G35" i="6" s="1"/>
  <c r="N9" i="43"/>
  <c r="CK6" i="21" s="1"/>
  <c r="J35" i="6" s="1"/>
  <c r="I10" i="43"/>
  <c r="L10" i="43"/>
  <c r="O10" i="43"/>
  <c r="H11" i="43"/>
  <c r="K11" i="43"/>
  <c r="K57" i="43" s="1"/>
  <c r="N11" i="43"/>
  <c r="I12" i="43"/>
  <c r="M12" i="43"/>
  <c r="O12" i="43"/>
  <c r="X13" i="43"/>
  <c r="Y13" i="43"/>
  <c r="Z13" i="43"/>
  <c r="I15" i="43"/>
  <c r="L15" i="43"/>
  <c r="O15" i="43"/>
  <c r="I16" i="43"/>
  <c r="L16" i="43"/>
  <c r="O16" i="43"/>
  <c r="I17" i="43"/>
  <c r="L17" i="43"/>
  <c r="O17" i="43"/>
  <c r="K26" i="43"/>
  <c r="N26" i="43"/>
  <c r="E30" i="43"/>
  <c r="F30" i="43"/>
  <c r="E31" i="43"/>
  <c r="F31" i="43"/>
  <c r="Y15" i="43" s="1"/>
  <c r="E32" i="43"/>
  <c r="F32" i="43"/>
  <c r="E33" i="43"/>
  <c r="F33" i="43"/>
  <c r="F46" i="43"/>
  <c r="L46" i="43" s="1"/>
  <c r="F47" i="43"/>
  <c r="L47" i="43" s="1"/>
  <c r="F48" i="43"/>
  <c r="L48" i="43" s="1"/>
  <c r="F49" i="43"/>
  <c r="O49" i="43" s="1"/>
  <c r="F50" i="43"/>
  <c r="I50" i="43" s="1"/>
  <c r="F51" i="43"/>
  <c r="E52" i="43"/>
  <c r="F52" i="43"/>
  <c r="L52" i="43" s="1"/>
  <c r="G52" i="43"/>
  <c r="P52" i="43" s="1"/>
  <c r="E53" i="43"/>
  <c r="F53" i="43"/>
  <c r="I53" i="43" s="1"/>
  <c r="G53" i="43"/>
  <c r="J53" i="43" s="1"/>
  <c r="E54" i="43"/>
  <c r="F54" i="43"/>
  <c r="I54" i="43" s="1"/>
  <c r="G54" i="43"/>
  <c r="M54" i="43" s="1"/>
  <c r="E55" i="43"/>
  <c r="F55" i="43"/>
  <c r="G55" i="43"/>
  <c r="E56" i="43"/>
  <c r="F56" i="43"/>
  <c r="L56" i="43" s="1"/>
  <c r="G56" i="43"/>
  <c r="J56" i="43" s="1"/>
  <c r="F57" i="43"/>
  <c r="F63" i="43"/>
  <c r="F64" i="43"/>
  <c r="J65" i="43"/>
  <c r="Y17" i="21" s="1"/>
  <c r="M65" i="43"/>
  <c r="BE17" i="21" s="1"/>
  <c r="P65" i="43"/>
  <c r="CK17" i="21" s="1"/>
  <c r="F70" i="43"/>
  <c r="N3" i="42"/>
  <c r="P4" i="42"/>
  <c r="H9" i="42"/>
  <c r="X6" i="21" s="1"/>
  <c r="D34" i="6" s="1"/>
  <c r="K9" i="42"/>
  <c r="BD6" i="21" s="1"/>
  <c r="N9" i="42"/>
  <c r="CJ6" i="21" s="1"/>
  <c r="J34" i="6" s="1"/>
  <c r="I10" i="42"/>
  <c r="L10" i="42"/>
  <c r="O10" i="42"/>
  <c r="H11" i="42"/>
  <c r="H57" i="42" s="1"/>
  <c r="K11" i="42"/>
  <c r="N11" i="42"/>
  <c r="N57" i="42" s="1"/>
  <c r="I12" i="42"/>
  <c r="M12" i="42"/>
  <c r="O12" i="42"/>
  <c r="X13" i="42"/>
  <c r="Y13" i="42"/>
  <c r="Z13" i="42"/>
  <c r="L16" i="42"/>
  <c r="O16" i="42"/>
  <c r="I17" i="42"/>
  <c r="L17" i="42"/>
  <c r="O17" i="42"/>
  <c r="K26" i="42"/>
  <c r="N26" i="42"/>
  <c r="E30" i="42"/>
  <c r="F30" i="42"/>
  <c r="E31" i="42"/>
  <c r="F31" i="42"/>
  <c r="Z15" i="42" s="1"/>
  <c r="E32" i="42"/>
  <c r="F32" i="42"/>
  <c r="E33" i="42"/>
  <c r="F33" i="42"/>
  <c r="X17" i="42" s="1"/>
  <c r="F46" i="42"/>
  <c r="F47" i="42"/>
  <c r="L47" i="42" s="1"/>
  <c r="F48" i="42"/>
  <c r="F49" i="42"/>
  <c r="F50" i="42"/>
  <c r="F51" i="42"/>
  <c r="E52" i="42"/>
  <c r="F52" i="42"/>
  <c r="L52" i="42" s="1"/>
  <c r="G52" i="42"/>
  <c r="E53" i="42"/>
  <c r="F53" i="42"/>
  <c r="G53" i="42"/>
  <c r="M53" i="42" s="1"/>
  <c r="E54" i="42"/>
  <c r="F54" i="42"/>
  <c r="I54" i="42" s="1"/>
  <c r="G54" i="42"/>
  <c r="M54" i="42" s="1"/>
  <c r="E55" i="42"/>
  <c r="F55" i="42"/>
  <c r="G55" i="42"/>
  <c r="M55" i="42" s="1"/>
  <c r="E56" i="42"/>
  <c r="F56" i="42"/>
  <c r="L56" i="42" s="1"/>
  <c r="G56" i="42"/>
  <c r="F57" i="42"/>
  <c r="I57" i="42" s="1"/>
  <c r="K57" i="42"/>
  <c r="F63" i="42"/>
  <c r="F64" i="42"/>
  <c r="J65" i="42"/>
  <c r="X17" i="21" s="1"/>
  <c r="M65" i="42"/>
  <c r="BD17" i="21" s="1"/>
  <c r="P65" i="42"/>
  <c r="CJ17" i="21" s="1"/>
  <c r="F70" i="42"/>
  <c r="P4" i="41"/>
  <c r="H9" i="41"/>
  <c r="D33" i="6" s="1"/>
  <c r="K9" i="41"/>
  <c r="G33" i="6" s="1"/>
  <c r="N9" i="41"/>
  <c r="I10" i="41"/>
  <c r="L10" i="41"/>
  <c r="O10" i="41"/>
  <c r="H11" i="41"/>
  <c r="K11" i="41"/>
  <c r="K57" i="41" s="1"/>
  <c r="N11" i="41"/>
  <c r="I12" i="41"/>
  <c r="M12" i="41"/>
  <c r="O12" i="41"/>
  <c r="X13" i="41"/>
  <c r="Y13" i="41"/>
  <c r="Z13" i="41"/>
  <c r="L15" i="41"/>
  <c r="O15" i="41"/>
  <c r="I16" i="41"/>
  <c r="L16" i="41"/>
  <c r="O16" i="41"/>
  <c r="I17" i="41"/>
  <c r="L17" i="41"/>
  <c r="O17" i="41"/>
  <c r="K26" i="41"/>
  <c r="N26" i="41"/>
  <c r="E30" i="41"/>
  <c r="F30" i="41"/>
  <c r="X14" i="41" s="1"/>
  <c r="E31" i="41"/>
  <c r="F31" i="41"/>
  <c r="E32" i="41"/>
  <c r="F32" i="41"/>
  <c r="E33" i="41"/>
  <c r="F33" i="41"/>
  <c r="F46" i="41"/>
  <c r="F47" i="41"/>
  <c r="F48" i="41"/>
  <c r="L48" i="41" s="1"/>
  <c r="F49" i="41"/>
  <c r="I49" i="41" s="1"/>
  <c r="F50" i="41"/>
  <c r="I50" i="41" s="1"/>
  <c r="F51" i="41"/>
  <c r="F52" i="41"/>
  <c r="F53" i="41"/>
  <c r="F54" i="41"/>
  <c r="E55" i="41"/>
  <c r="F55" i="41"/>
  <c r="I55" i="41" s="1"/>
  <c r="G55" i="41"/>
  <c r="M55" i="41" s="1"/>
  <c r="E56" i="41"/>
  <c r="F56" i="41"/>
  <c r="G56" i="41"/>
  <c r="M56" i="41" s="1"/>
  <c r="F57" i="41"/>
  <c r="N57" i="41"/>
  <c r="F63" i="41"/>
  <c r="F64" i="41"/>
  <c r="J65" i="41"/>
  <c r="M65" i="41"/>
  <c r="P65" i="41"/>
  <c r="F70" i="41"/>
  <c r="P4" i="40"/>
  <c r="H9" i="40"/>
  <c r="V6" i="21" s="1"/>
  <c r="K9" i="40"/>
  <c r="BB6" i="21" s="1"/>
  <c r="G32" i="6" s="1"/>
  <c r="N9" i="40"/>
  <c r="CH6" i="21" s="1"/>
  <c r="J32" i="6" s="1"/>
  <c r="I10" i="40"/>
  <c r="L10" i="40"/>
  <c r="O10" i="40"/>
  <c r="H11" i="40"/>
  <c r="K11" i="40"/>
  <c r="N11" i="40"/>
  <c r="I12" i="40"/>
  <c r="M12" i="40"/>
  <c r="O12" i="40"/>
  <c r="X13" i="40"/>
  <c r="Y13" i="40"/>
  <c r="Z13" i="40"/>
  <c r="L15" i="40"/>
  <c r="O15" i="40"/>
  <c r="I16" i="40"/>
  <c r="L16" i="40"/>
  <c r="O16" i="40"/>
  <c r="I17" i="40"/>
  <c r="L17" i="40"/>
  <c r="O17" i="40"/>
  <c r="K26" i="40"/>
  <c r="N26" i="40"/>
  <c r="F30" i="40"/>
  <c r="E31" i="40"/>
  <c r="F31" i="40"/>
  <c r="E32" i="40"/>
  <c r="F32" i="40"/>
  <c r="E33" i="40"/>
  <c r="F33" i="40"/>
  <c r="F46" i="40"/>
  <c r="L46" i="40" s="1"/>
  <c r="F47" i="40"/>
  <c r="L47" i="40" s="1"/>
  <c r="F48" i="40"/>
  <c r="F49" i="40"/>
  <c r="F50" i="40"/>
  <c r="F51" i="40"/>
  <c r="E52" i="40"/>
  <c r="F52" i="40"/>
  <c r="L52" i="40" s="1"/>
  <c r="G52" i="40"/>
  <c r="M52" i="40" s="1"/>
  <c r="E53" i="40"/>
  <c r="F53" i="40"/>
  <c r="I53" i="40" s="1"/>
  <c r="G53" i="40"/>
  <c r="J53" i="40" s="1"/>
  <c r="E54" i="40"/>
  <c r="F54" i="40"/>
  <c r="I54" i="40" s="1"/>
  <c r="G54" i="40"/>
  <c r="M54" i="40" s="1"/>
  <c r="E55" i="40"/>
  <c r="F55" i="40"/>
  <c r="G55" i="40"/>
  <c r="M55" i="40" s="1"/>
  <c r="E56" i="40"/>
  <c r="F56" i="40"/>
  <c r="L56" i="40" s="1"/>
  <c r="G56" i="40"/>
  <c r="F57" i="40"/>
  <c r="H57" i="40"/>
  <c r="K57" i="40"/>
  <c r="F63" i="40"/>
  <c r="F64" i="40"/>
  <c r="J65" i="40"/>
  <c r="V17" i="21" s="1"/>
  <c r="M65" i="40"/>
  <c r="BB17" i="21" s="1"/>
  <c r="P65" i="40"/>
  <c r="CH17" i="21" s="1"/>
  <c r="F70" i="40"/>
  <c r="N3" i="39"/>
  <c r="P4" i="39"/>
  <c r="H9" i="39"/>
  <c r="U6" i="21" s="1"/>
  <c r="D31" i="6" s="1"/>
  <c r="K9" i="39"/>
  <c r="BA6" i="21" s="1"/>
  <c r="N9" i="39"/>
  <c r="CG6" i="21" s="1"/>
  <c r="J31" i="6" s="1"/>
  <c r="I10" i="39"/>
  <c r="L10" i="39"/>
  <c r="O10" i="39"/>
  <c r="H11" i="39"/>
  <c r="K11" i="39"/>
  <c r="K57" i="39" s="1"/>
  <c r="N11" i="39"/>
  <c r="I12" i="39"/>
  <c r="M12" i="39"/>
  <c r="O12" i="39"/>
  <c r="X13" i="39"/>
  <c r="Y13" i="39"/>
  <c r="Z13" i="39"/>
  <c r="I15" i="39"/>
  <c r="L15" i="39"/>
  <c r="O15" i="39"/>
  <c r="I16" i="39"/>
  <c r="L16" i="39"/>
  <c r="O16" i="39"/>
  <c r="I17" i="39"/>
  <c r="L17" i="39"/>
  <c r="O17" i="39"/>
  <c r="K25" i="39"/>
  <c r="N25" i="39"/>
  <c r="K26" i="39"/>
  <c r="N26" i="39"/>
  <c r="E30" i="39"/>
  <c r="F30" i="39"/>
  <c r="Y14" i="39" s="1"/>
  <c r="E31" i="39"/>
  <c r="F31" i="39"/>
  <c r="Z15" i="39" s="1"/>
  <c r="E32" i="39"/>
  <c r="F32" i="39"/>
  <c r="E33" i="39"/>
  <c r="F33" i="39"/>
  <c r="F46" i="39"/>
  <c r="F47" i="39"/>
  <c r="L47" i="39" s="1"/>
  <c r="F48" i="39"/>
  <c r="L48" i="39" s="1"/>
  <c r="F49" i="39"/>
  <c r="O49" i="39" s="1"/>
  <c r="F50" i="39"/>
  <c r="F51" i="39"/>
  <c r="F52" i="39"/>
  <c r="E53" i="39"/>
  <c r="F53" i="39"/>
  <c r="L53" i="39" s="1"/>
  <c r="G53" i="39"/>
  <c r="M53" i="39" s="1"/>
  <c r="E54" i="39"/>
  <c r="F54" i="39"/>
  <c r="G54" i="39"/>
  <c r="E55" i="39"/>
  <c r="F55" i="39"/>
  <c r="L55" i="39" s="1"/>
  <c r="G55" i="39"/>
  <c r="E56" i="39"/>
  <c r="F56" i="39"/>
  <c r="O56" i="39" s="1"/>
  <c r="G56" i="39"/>
  <c r="M56" i="39" s="1"/>
  <c r="F57" i="39"/>
  <c r="F63" i="39"/>
  <c r="F64" i="39"/>
  <c r="J65" i="39"/>
  <c r="U17" i="21" s="1"/>
  <c r="M65" i="39"/>
  <c r="BA17" i="21" s="1"/>
  <c r="P65" i="39"/>
  <c r="CG17" i="21" s="1"/>
  <c r="F70" i="39"/>
  <c r="N3" i="38"/>
  <c r="P4" i="38"/>
  <c r="H9" i="38"/>
  <c r="T6" i="21" s="1"/>
  <c r="K9" i="38"/>
  <c r="AZ6" i="21" s="1"/>
  <c r="N9" i="38"/>
  <c r="CF6" i="21" s="1"/>
  <c r="J30" i="6" s="1"/>
  <c r="I10" i="38"/>
  <c r="L10" i="38"/>
  <c r="O10" i="38"/>
  <c r="H11" i="38"/>
  <c r="K11" i="38"/>
  <c r="N11" i="38"/>
  <c r="I12" i="38"/>
  <c r="M12" i="38"/>
  <c r="O12" i="38"/>
  <c r="X13" i="38"/>
  <c r="Y13" i="38"/>
  <c r="Z13" i="38"/>
  <c r="I15" i="38"/>
  <c r="L15" i="38"/>
  <c r="O15" i="38"/>
  <c r="I16" i="38"/>
  <c r="L16" i="38"/>
  <c r="O16" i="38"/>
  <c r="I17" i="38"/>
  <c r="L17" i="38"/>
  <c r="O17" i="38"/>
  <c r="K25" i="38"/>
  <c r="N25" i="38"/>
  <c r="K26" i="38"/>
  <c r="N26" i="38"/>
  <c r="E30" i="38"/>
  <c r="F30" i="38"/>
  <c r="Z14" i="38" s="1"/>
  <c r="E31" i="38"/>
  <c r="F31" i="38"/>
  <c r="Z15" i="38" s="1"/>
  <c r="E32" i="38"/>
  <c r="F32" i="38"/>
  <c r="Z16" i="38" s="1"/>
  <c r="E33" i="38"/>
  <c r="F33" i="38"/>
  <c r="Z17" i="38" s="1"/>
  <c r="F46" i="38"/>
  <c r="F47" i="38"/>
  <c r="L47" i="38" s="1"/>
  <c r="F48" i="38"/>
  <c r="O48" i="38" s="1"/>
  <c r="F49" i="38"/>
  <c r="O49" i="38" s="1"/>
  <c r="F50" i="38"/>
  <c r="L50" i="38" s="1"/>
  <c r="F51" i="38"/>
  <c r="E52" i="38"/>
  <c r="F52" i="38"/>
  <c r="I52" i="38" s="1"/>
  <c r="G52" i="38"/>
  <c r="J52" i="38" s="1"/>
  <c r="E53" i="38"/>
  <c r="F53" i="38"/>
  <c r="I53" i="38" s="1"/>
  <c r="G53" i="38"/>
  <c r="E54" i="38"/>
  <c r="F54" i="38"/>
  <c r="O54" i="38" s="1"/>
  <c r="G54" i="38"/>
  <c r="M54" i="38" s="1"/>
  <c r="E55" i="38"/>
  <c r="F55" i="38"/>
  <c r="L55" i="38" s="1"/>
  <c r="G55" i="38"/>
  <c r="J55" i="38" s="1"/>
  <c r="E56" i="38"/>
  <c r="F56" i="38"/>
  <c r="L56" i="38" s="1"/>
  <c r="G56" i="38"/>
  <c r="F57" i="38"/>
  <c r="H57" i="38"/>
  <c r="K57" i="38"/>
  <c r="F63" i="38"/>
  <c r="F64" i="38"/>
  <c r="J65" i="38"/>
  <c r="T17" i="21" s="1"/>
  <c r="M65" i="38"/>
  <c r="AZ17" i="21" s="1"/>
  <c r="P65" i="38"/>
  <c r="CF17" i="21" s="1"/>
  <c r="F70" i="38"/>
  <c r="N3" i="37"/>
  <c r="P4" i="37"/>
  <c r="H9" i="37"/>
  <c r="S6" i="21" s="1"/>
  <c r="D29" i="6" s="1"/>
  <c r="K9" i="37"/>
  <c r="AY6" i="21" s="1"/>
  <c r="G29" i="6" s="1"/>
  <c r="N9" i="37"/>
  <c r="CE6" i="21" s="1"/>
  <c r="I10" i="37"/>
  <c r="L10" i="37"/>
  <c r="O10" i="37"/>
  <c r="H11" i="37"/>
  <c r="H57" i="37" s="1"/>
  <c r="K11" i="37"/>
  <c r="N11" i="37"/>
  <c r="N57" i="37" s="1"/>
  <c r="I12" i="37"/>
  <c r="M12" i="37"/>
  <c r="O12" i="37"/>
  <c r="Z13" i="37"/>
  <c r="I15" i="37"/>
  <c r="L15" i="37"/>
  <c r="O15" i="37"/>
  <c r="I16" i="37"/>
  <c r="L16" i="37"/>
  <c r="O16" i="37"/>
  <c r="I17" i="37"/>
  <c r="L17" i="37"/>
  <c r="O17" i="37"/>
  <c r="K25" i="37"/>
  <c r="N25" i="37"/>
  <c r="K26" i="37"/>
  <c r="N26" i="37"/>
  <c r="E30" i="37"/>
  <c r="F30" i="37"/>
  <c r="E31" i="37"/>
  <c r="F31" i="37"/>
  <c r="E32" i="37"/>
  <c r="F32" i="37"/>
  <c r="X16" i="37" s="1"/>
  <c r="E33" i="37"/>
  <c r="F33" i="37"/>
  <c r="F46" i="37"/>
  <c r="F47" i="37"/>
  <c r="I47" i="37" s="1"/>
  <c r="F48" i="37"/>
  <c r="I48" i="37" s="1"/>
  <c r="F49" i="37"/>
  <c r="L49" i="37" s="1"/>
  <c r="F50" i="37"/>
  <c r="F51" i="37"/>
  <c r="E52" i="37"/>
  <c r="F52" i="37"/>
  <c r="I52" i="37" s="1"/>
  <c r="G52" i="37"/>
  <c r="E53" i="37"/>
  <c r="F53" i="37"/>
  <c r="L53" i="37" s="1"/>
  <c r="G53" i="37"/>
  <c r="E54" i="37"/>
  <c r="F54" i="37"/>
  <c r="L54" i="37" s="1"/>
  <c r="G54" i="37"/>
  <c r="M54" i="37" s="1"/>
  <c r="E55" i="37"/>
  <c r="F55" i="37"/>
  <c r="L55" i="37" s="1"/>
  <c r="G55" i="37"/>
  <c r="M55" i="37" s="1"/>
  <c r="E56" i="37"/>
  <c r="F56" i="37"/>
  <c r="O56" i="37" s="1"/>
  <c r="G56" i="37"/>
  <c r="J56" i="37" s="1"/>
  <c r="E57" i="37"/>
  <c r="F57" i="37"/>
  <c r="G57" i="37"/>
  <c r="K57" i="37"/>
  <c r="F63" i="37"/>
  <c r="F64" i="37"/>
  <c r="J65" i="37"/>
  <c r="S17" i="21" s="1"/>
  <c r="M65" i="37"/>
  <c r="AY17" i="21" s="1"/>
  <c r="P65" i="37"/>
  <c r="CE17" i="21" s="1"/>
  <c r="F70" i="37"/>
  <c r="P4" i="36"/>
  <c r="H9" i="36"/>
  <c r="D28" i="6" s="1"/>
  <c r="K9" i="36"/>
  <c r="G28" i="6" s="1"/>
  <c r="N9" i="36"/>
  <c r="J29" i="6" s="1"/>
  <c r="I10" i="36"/>
  <c r="L10" i="36"/>
  <c r="O10" i="36"/>
  <c r="H11" i="36"/>
  <c r="H57" i="36" s="1"/>
  <c r="K11" i="36"/>
  <c r="N11" i="36"/>
  <c r="I12" i="36"/>
  <c r="M12" i="36"/>
  <c r="O12" i="36"/>
  <c r="X13" i="36"/>
  <c r="Y13" i="36"/>
  <c r="Z13" i="36"/>
  <c r="I15" i="36"/>
  <c r="L15" i="36"/>
  <c r="O15" i="36"/>
  <c r="I16" i="36"/>
  <c r="L16" i="36"/>
  <c r="O16" i="36"/>
  <c r="I17" i="36"/>
  <c r="L17" i="36"/>
  <c r="O17" i="36"/>
  <c r="K25" i="36"/>
  <c r="N25" i="36"/>
  <c r="K26" i="36"/>
  <c r="N26" i="36"/>
  <c r="E30" i="36"/>
  <c r="F30" i="36"/>
  <c r="E31" i="36"/>
  <c r="F31" i="36"/>
  <c r="Z15" i="36" s="1"/>
  <c r="E32" i="36"/>
  <c r="F32" i="36"/>
  <c r="X16" i="36" s="1"/>
  <c r="E33" i="36"/>
  <c r="F33" i="36"/>
  <c r="F46" i="36"/>
  <c r="L46" i="36" s="1"/>
  <c r="F47" i="36"/>
  <c r="L47" i="36" s="1"/>
  <c r="F48" i="36"/>
  <c r="L48" i="36" s="1"/>
  <c r="F49" i="36"/>
  <c r="I49" i="36" s="1"/>
  <c r="F50" i="36"/>
  <c r="F51" i="36"/>
  <c r="E52" i="36"/>
  <c r="F52" i="36"/>
  <c r="G52" i="36"/>
  <c r="E53" i="36"/>
  <c r="F53" i="36"/>
  <c r="L53" i="36" s="1"/>
  <c r="G53" i="36"/>
  <c r="M53" i="36" s="1"/>
  <c r="E54" i="36"/>
  <c r="F54" i="36"/>
  <c r="I54" i="36" s="1"/>
  <c r="G54" i="36"/>
  <c r="J54" i="36" s="1"/>
  <c r="E55" i="36"/>
  <c r="F55" i="36"/>
  <c r="O55" i="36" s="1"/>
  <c r="G55" i="36"/>
  <c r="M55" i="36" s="1"/>
  <c r="E56" i="36"/>
  <c r="F56" i="36"/>
  <c r="G56" i="36"/>
  <c r="P56" i="36" s="1"/>
  <c r="E57" i="36"/>
  <c r="F57" i="36"/>
  <c r="G57" i="36"/>
  <c r="F63" i="36"/>
  <c r="F64" i="36"/>
  <c r="J65" i="36"/>
  <c r="M65" i="36"/>
  <c r="P65" i="36"/>
  <c r="S68" i="36"/>
  <c r="M67" i="36" s="1"/>
  <c r="T68" i="36"/>
  <c r="P67" i="36" s="1"/>
  <c r="F70" i="36"/>
  <c r="N3" i="35"/>
  <c r="P4" i="35"/>
  <c r="H9" i="35"/>
  <c r="Q6" i="21" s="1"/>
  <c r="D27" i="6" s="1"/>
  <c r="K9" i="35"/>
  <c r="N9" i="35"/>
  <c r="CC6" i="21" s="1"/>
  <c r="J27" i="6" s="1"/>
  <c r="I10" i="35"/>
  <c r="L10" i="35"/>
  <c r="O10" i="35"/>
  <c r="H11" i="35"/>
  <c r="H57" i="35" s="1"/>
  <c r="K11" i="35"/>
  <c r="N11" i="35"/>
  <c r="I12" i="35"/>
  <c r="M12" i="35"/>
  <c r="O12" i="35"/>
  <c r="X13" i="35"/>
  <c r="Y13" i="35"/>
  <c r="Z13" i="35"/>
  <c r="I15" i="35"/>
  <c r="L15" i="35"/>
  <c r="O15" i="35"/>
  <c r="I16" i="35"/>
  <c r="L16" i="35"/>
  <c r="O16" i="35"/>
  <c r="I17" i="35"/>
  <c r="L17" i="35"/>
  <c r="O17" i="35"/>
  <c r="K26" i="35"/>
  <c r="N26" i="35"/>
  <c r="E30" i="35"/>
  <c r="F30" i="35"/>
  <c r="E31" i="35"/>
  <c r="F31" i="35"/>
  <c r="Z15" i="35" s="1"/>
  <c r="E32" i="35"/>
  <c r="F32" i="35"/>
  <c r="E33" i="35"/>
  <c r="F33" i="35"/>
  <c r="F46" i="35"/>
  <c r="I46" i="35" s="1"/>
  <c r="F47" i="35"/>
  <c r="L47" i="35" s="1"/>
  <c r="F48" i="35"/>
  <c r="F49" i="35"/>
  <c r="L49" i="35" s="1"/>
  <c r="F50" i="35"/>
  <c r="F51" i="35"/>
  <c r="L51" i="35" s="1"/>
  <c r="F52" i="35"/>
  <c r="E53" i="35"/>
  <c r="F53" i="35"/>
  <c r="O53" i="35" s="1"/>
  <c r="G53" i="35"/>
  <c r="M53" i="35" s="1"/>
  <c r="E54" i="35"/>
  <c r="F54" i="35"/>
  <c r="G54" i="35"/>
  <c r="E55" i="35"/>
  <c r="F55" i="35"/>
  <c r="L55" i="35" s="1"/>
  <c r="G55" i="35"/>
  <c r="M55" i="35" s="1"/>
  <c r="E56" i="35"/>
  <c r="F56" i="35"/>
  <c r="I56" i="35" s="1"/>
  <c r="G56" i="35"/>
  <c r="J56" i="35" s="1"/>
  <c r="E57" i="35"/>
  <c r="F57" i="35"/>
  <c r="G57" i="35"/>
  <c r="K57" i="35"/>
  <c r="F62" i="35"/>
  <c r="F63" i="35"/>
  <c r="F64" i="35"/>
  <c r="J65" i="35"/>
  <c r="Q17" i="21" s="1"/>
  <c r="M65" i="35"/>
  <c r="AW17" i="21" s="1"/>
  <c r="P65" i="35"/>
  <c r="CC17" i="21" s="1"/>
  <c r="F70" i="35"/>
  <c r="N3" i="34"/>
  <c r="P4" i="34"/>
  <c r="H9" i="34"/>
  <c r="P6" i="21" s="1"/>
  <c r="K9" i="34"/>
  <c r="AV6" i="21" s="1"/>
  <c r="N9" i="34"/>
  <c r="CB6" i="21" s="1"/>
  <c r="J26" i="6" s="1"/>
  <c r="I10" i="34"/>
  <c r="L10" i="34"/>
  <c r="O10" i="34"/>
  <c r="H11" i="34"/>
  <c r="K11" i="34"/>
  <c r="K57" i="34" s="1"/>
  <c r="N11" i="34"/>
  <c r="I12" i="34"/>
  <c r="M12" i="34"/>
  <c r="O12" i="34"/>
  <c r="X13" i="34"/>
  <c r="Y13" i="34"/>
  <c r="Z13" i="34"/>
  <c r="I15" i="34"/>
  <c r="L15" i="34"/>
  <c r="O15" i="34"/>
  <c r="I16" i="34"/>
  <c r="L16" i="34"/>
  <c r="O16" i="34"/>
  <c r="I17" i="34"/>
  <c r="L17" i="34"/>
  <c r="O17" i="34"/>
  <c r="K25" i="34"/>
  <c r="N25" i="34"/>
  <c r="K26" i="34"/>
  <c r="N26" i="34"/>
  <c r="E30" i="34"/>
  <c r="F30" i="34"/>
  <c r="Y14" i="34" s="1"/>
  <c r="E31" i="34"/>
  <c r="F31" i="34"/>
  <c r="Z15" i="34" s="1"/>
  <c r="E32" i="34"/>
  <c r="F32" i="34"/>
  <c r="Z16" i="34" s="1"/>
  <c r="E33" i="34"/>
  <c r="F33" i="34"/>
  <c r="F46" i="34"/>
  <c r="L46" i="34" s="1"/>
  <c r="F47" i="34"/>
  <c r="F48" i="34"/>
  <c r="F49" i="34"/>
  <c r="L49" i="34" s="1"/>
  <c r="F50" i="34"/>
  <c r="L50" i="34" s="1"/>
  <c r="F51" i="34"/>
  <c r="L51" i="34" s="1"/>
  <c r="F52" i="34"/>
  <c r="E53" i="34"/>
  <c r="F53" i="34"/>
  <c r="G53" i="34"/>
  <c r="J53" i="34" s="1"/>
  <c r="E54" i="34"/>
  <c r="F54" i="34"/>
  <c r="I54" i="34" s="1"/>
  <c r="G54" i="34"/>
  <c r="M54" i="34" s="1"/>
  <c r="E55" i="34"/>
  <c r="F55" i="34"/>
  <c r="L55" i="34" s="1"/>
  <c r="G55" i="34"/>
  <c r="M55" i="34" s="1"/>
  <c r="E56" i="34"/>
  <c r="F56" i="34"/>
  <c r="G56" i="34"/>
  <c r="F57" i="34"/>
  <c r="N57" i="34"/>
  <c r="F63" i="34"/>
  <c r="F64" i="34"/>
  <c r="J65" i="34"/>
  <c r="P17" i="21" s="1"/>
  <c r="M65" i="34"/>
  <c r="AV17" i="21" s="1"/>
  <c r="P65" i="34"/>
  <c r="CB17" i="21" s="1"/>
  <c r="F70" i="34"/>
  <c r="N3" i="33"/>
  <c r="P4" i="33"/>
  <c r="H9" i="33"/>
  <c r="O6" i="21" s="1"/>
  <c r="K9" i="33"/>
  <c r="AU6" i="21" s="1"/>
  <c r="N9" i="33"/>
  <c r="CA6" i="21" s="1"/>
  <c r="I10" i="33"/>
  <c r="L10" i="33"/>
  <c r="O10" i="33"/>
  <c r="H11" i="33"/>
  <c r="H57" i="33" s="1"/>
  <c r="K11" i="33"/>
  <c r="K57" i="33" s="1"/>
  <c r="N11" i="33"/>
  <c r="I12" i="33"/>
  <c r="M12" i="33"/>
  <c r="O12" i="33"/>
  <c r="X13" i="33"/>
  <c r="Y13" i="33"/>
  <c r="Z13" i="33"/>
  <c r="I15" i="33"/>
  <c r="L15" i="33"/>
  <c r="O15" i="33"/>
  <c r="I16" i="33"/>
  <c r="L16" i="33"/>
  <c r="O16" i="33"/>
  <c r="I17" i="33"/>
  <c r="L17" i="33"/>
  <c r="O17" i="33"/>
  <c r="K25" i="33"/>
  <c r="N25" i="33"/>
  <c r="K26" i="33"/>
  <c r="N26" i="33"/>
  <c r="E30" i="33"/>
  <c r="F30" i="33"/>
  <c r="E31" i="33"/>
  <c r="F31" i="33"/>
  <c r="E32" i="33"/>
  <c r="F32" i="33"/>
  <c r="E33" i="33"/>
  <c r="F33" i="33"/>
  <c r="F46" i="33"/>
  <c r="L46" i="33" s="1"/>
  <c r="F47" i="33"/>
  <c r="F48" i="33"/>
  <c r="I48" i="33" s="1"/>
  <c r="F49" i="33"/>
  <c r="I49" i="33" s="1"/>
  <c r="F50" i="33"/>
  <c r="F51" i="33"/>
  <c r="L51" i="33" s="1"/>
  <c r="E52" i="33"/>
  <c r="F52" i="33"/>
  <c r="I52" i="33" s="1"/>
  <c r="G52" i="33"/>
  <c r="E53" i="33"/>
  <c r="F53" i="33"/>
  <c r="L53" i="33" s="1"/>
  <c r="G53" i="33"/>
  <c r="M53" i="33" s="1"/>
  <c r="E54" i="33"/>
  <c r="F54" i="33"/>
  <c r="L54" i="33" s="1"/>
  <c r="G54" i="33"/>
  <c r="E55" i="33"/>
  <c r="F55" i="33"/>
  <c r="G55" i="33"/>
  <c r="E56" i="33"/>
  <c r="F56" i="33"/>
  <c r="I56" i="33" s="1"/>
  <c r="G56" i="33"/>
  <c r="M56" i="33" s="1"/>
  <c r="F57" i="33"/>
  <c r="N57" i="33"/>
  <c r="F63" i="33"/>
  <c r="F64" i="33"/>
  <c r="J65" i="33"/>
  <c r="O17" i="21" s="1"/>
  <c r="M65" i="33"/>
  <c r="AU17" i="21" s="1"/>
  <c r="P65" i="33"/>
  <c r="CA17" i="21" s="1"/>
  <c r="F70" i="33"/>
  <c r="N3" i="32"/>
  <c r="P4" i="32"/>
  <c r="H9" i="32"/>
  <c r="N6" i="21" s="1"/>
  <c r="D24" i="6" s="1"/>
  <c r="K9" i="32"/>
  <c r="AT6" i="21" s="1"/>
  <c r="G24" i="6" s="1"/>
  <c r="N9" i="32"/>
  <c r="BZ6" i="21" s="1"/>
  <c r="J24" i="6" s="1"/>
  <c r="H11" i="32"/>
  <c r="K11" i="32"/>
  <c r="N11" i="32"/>
  <c r="N57" i="32" s="1"/>
  <c r="I12" i="32"/>
  <c r="M12" i="32"/>
  <c r="O12" i="32"/>
  <c r="X13" i="32"/>
  <c r="Y13" i="32"/>
  <c r="Z13" i="32"/>
  <c r="I15" i="32"/>
  <c r="L15" i="32"/>
  <c r="O15" i="32"/>
  <c r="I16" i="32"/>
  <c r="L16" i="32"/>
  <c r="O16" i="32"/>
  <c r="I17" i="32"/>
  <c r="L17" i="32"/>
  <c r="O17" i="32"/>
  <c r="K25" i="32"/>
  <c r="N25" i="32"/>
  <c r="K26" i="32"/>
  <c r="N26" i="32"/>
  <c r="E30" i="32"/>
  <c r="F30" i="32"/>
  <c r="E31" i="32"/>
  <c r="F31" i="32"/>
  <c r="E32" i="32"/>
  <c r="F32" i="32"/>
  <c r="E33" i="32"/>
  <c r="F33" i="32"/>
  <c r="F46" i="32"/>
  <c r="F47" i="32"/>
  <c r="O47" i="32" s="1"/>
  <c r="F48" i="32"/>
  <c r="O48" i="32" s="1"/>
  <c r="F49" i="32"/>
  <c r="L49" i="32" s="1"/>
  <c r="F50" i="32"/>
  <c r="F51" i="32"/>
  <c r="O51" i="32" s="1"/>
  <c r="E52" i="32"/>
  <c r="F52" i="32"/>
  <c r="L52" i="32" s="1"/>
  <c r="G52" i="32"/>
  <c r="M52" i="32" s="1"/>
  <c r="E53" i="32"/>
  <c r="F53" i="32"/>
  <c r="L53" i="32" s="1"/>
  <c r="G53" i="32"/>
  <c r="E54" i="32"/>
  <c r="F54" i="32"/>
  <c r="G54" i="32"/>
  <c r="P54" i="32" s="1"/>
  <c r="E55" i="32"/>
  <c r="F55" i="32"/>
  <c r="I55" i="32" s="1"/>
  <c r="G55" i="32"/>
  <c r="M55" i="32" s="1"/>
  <c r="E56" i="32"/>
  <c r="F56" i="32"/>
  <c r="O56" i="32" s="1"/>
  <c r="G56" i="32"/>
  <c r="M56" i="32" s="1"/>
  <c r="F57" i="32"/>
  <c r="H57" i="32"/>
  <c r="K57" i="32"/>
  <c r="F63" i="32"/>
  <c r="F64" i="32"/>
  <c r="J65" i="32"/>
  <c r="N17" i="21" s="1"/>
  <c r="M65" i="32"/>
  <c r="AT17" i="21" s="1"/>
  <c r="P65" i="32"/>
  <c r="BZ17" i="21" s="1"/>
  <c r="F70" i="32"/>
  <c r="N3" i="31"/>
  <c r="P4" i="31"/>
  <c r="H9" i="31"/>
  <c r="M6" i="21" s="1"/>
  <c r="D23" i="6" s="1"/>
  <c r="K9" i="31"/>
  <c r="AS6" i="21" s="1"/>
  <c r="G23" i="6" s="1"/>
  <c r="N9" i="31"/>
  <c r="BY6" i="21" s="1"/>
  <c r="I10" i="31"/>
  <c r="L10" i="31"/>
  <c r="O10" i="31"/>
  <c r="H11" i="31"/>
  <c r="K11" i="31"/>
  <c r="K57" i="31" s="1"/>
  <c r="N11" i="31"/>
  <c r="N57" i="31" s="1"/>
  <c r="I12" i="31"/>
  <c r="M12" i="31"/>
  <c r="O12" i="31"/>
  <c r="X13" i="31"/>
  <c r="Y13" i="31"/>
  <c r="Z13" i="31"/>
  <c r="I15" i="31"/>
  <c r="L15" i="31"/>
  <c r="O15" i="31"/>
  <c r="I16" i="31"/>
  <c r="L16" i="31"/>
  <c r="O16" i="31"/>
  <c r="I17" i="31"/>
  <c r="L17" i="31"/>
  <c r="O17" i="31"/>
  <c r="K25" i="31"/>
  <c r="N25" i="31"/>
  <c r="K26" i="31"/>
  <c r="N26" i="31"/>
  <c r="E30" i="31"/>
  <c r="F30" i="31"/>
  <c r="E31" i="31"/>
  <c r="F31" i="31"/>
  <c r="Y15" i="31" s="1"/>
  <c r="E32" i="31"/>
  <c r="F32" i="31"/>
  <c r="Y16" i="31" s="1"/>
  <c r="E33" i="31"/>
  <c r="F33" i="31"/>
  <c r="F46" i="31"/>
  <c r="O46" i="31" s="1"/>
  <c r="F47" i="31"/>
  <c r="F48" i="31"/>
  <c r="F49" i="31"/>
  <c r="O49" i="31" s="1"/>
  <c r="F50" i="31"/>
  <c r="L50" i="31" s="1"/>
  <c r="F51" i="31"/>
  <c r="L51" i="31" s="1"/>
  <c r="E52" i="31"/>
  <c r="F52" i="31"/>
  <c r="L52" i="31" s="1"/>
  <c r="G52" i="31"/>
  <c r="M52" i="31" s="1"/>
  <c r="E53" i="31"/>
  <c r="F53" i="31"/>
  <c r="I53" i="31" s="1"/>
  <c r="G53" i="31"/>
  <c r="M53" i="31" s="1"/>
  <c r="E54" i="31"/>
  <c r="F54" i="31"/>
  <c r="I54" i="31" s="1"/>
  <c r="G54" i="31"/>
  <c r="E55" i="31"/>
  <c r="F55" i="31"/>
  <c r="L55" i="31" s="1"/>
  <c r="G55" i="31"/>
  <c r="M55" i="31" s="1"/>
  <c r="E56" i="31"/>
  <c r="F56" i="31"/>
  <c r="L56" i="31" s="1"/>
  <c r="G56" i="31"/>
  <c r="J56" i="31" s="1"/>
  <c r="F57" i="31"/>
  <c r="H57" i="31"/>
  <c r="F63" i="31"/>
  <c r="F64" i="31"/>
  <c r="J65" i="31"/>
  <c r="M17" i="21" s="1"/>
  <c r="M65" i="31"/>
  <c r="AS17" i="21" s="1"/>
  <c r="P65" i="31"/>
  <c r="BY17" i="21" s="1"/>
  <c r="F70" i="31"/>
  <c r="N3" i="30"/>
  <c r="P4" i="30"/>
  <c r="H9" i="30"/>
  <c r="L6" i="21" s="1"/>
  <c r="K9" i="30"/>
  <c r="AR6" i="21" s="1"/>
  <c r="N9" i="30"/>
  <c r="BX6" i="21" s="1"/>
  <c r="J22" i="6" s="1"/>
  <c r="I10" i="30"/>
  <c r="L10" i="30"/>
  <c r="O10" i="30"/>
  <c r="H11" i="30"/>
  <c r="K11" i="30"/>
  <c r="K57" i="30" s="1"/>
  <c r="N11" i="30"/>
  <c r="I12" i="30"/>
  <c r="M12" i="30"/>
  <c r="O12" i="30"/>
  <c r="X13" i="30"/>
  <c r="Y13" i="30"/>
  <c r="Z13" i="30"/>
  <c r="I15" i="30"/>
  <c r="L15" i="30"/>
  <c r="O15" i="30"/>
  <c r="I16" i="30"/>
  <c r="L16" i="30"/>
  <c r="O16" i="30"/>
  <c r="I17" i="30"/>
  <c r="L17" i="30"/>
  <c r="O17" i="30"/>
  <c r="N25" i="30"/>
  <c r="N26" i="30"/>
  <c r="E30" i="30"/>
  <c r="F30" i="30"/>
  <c r="E31" i="30"/>
  <c r="F31" i="30"/>
  <c r="Z15" i="30" s="1"/>
  <c r="E32" i="30"/>
  <c r="F32" i="30"/>
  <c r="X16" i="30" s="1"/>
  <c r="E33" i="30"/>
  <c r="F33" i="30"/>
  <c r="F46" i="30"/>
  <c r="L46" i="30" s="1"/>
  <c r="F47" i="30"/>
  <c r="O47" i="30" s="1"/>
  <c r="F48" i="30"/>
  <c r="L48" i="30" s="1"/>
  <c r="F49" i="30"/>
  <c r="L49" i="30" s="1"/>
  <c r="F50" i="30"/>
  <c r="O50" i="30" s="1"/>
  <c r="F51" i="30"/>
  <c r="O51" i="30" s="1"/>
  <c r="E52" i="30"/>
  <c r="F52" i="30"/>
  <c r="G52" i="30"/>
  <c r="M52" i="30" s="1"/>
  <c r="E53" i="30"/>
  <c r="F53" i="30"/>
  <c r="L53" i="30" s="1"/>
  <c r="G53" i="30"/>
  <c r="J53" i="30" s="1"/>
  <c r="E54" i="30"/>
  <c r="F54" i="30"/>
  <c r="G54" i="30"/>
  <c r="M54" i="30" s="1"/>
  <c r="E55" i="30"/>
  <c r="F55" i="30"/>
  <c r="L55" i="30" s="1"/>
  <c r="G55" i="30"/>
  <c r="M55" i="30" s="1"/>
  <c r="E56" i="30"/>
  <c r="F56" i="30"/>
  <c r="G56" i="30"/>
  <c r="M56" i="30" s="1"/>
  <c r="F57" i="30"/>
  <c r="F63" i="30"/>
  <c r="F64" i="30"/>
  <c r="J65" i="30"/>
  <c r="L17" i="21" s="1"/>
  <c r="M65" i="30"/>
  <c r="AR17" i="21" s="1"/>
  <c r="P65" i="30"/>
  <c r="BX17" i="21" s="1"/>
  <c r="F70" i="30"/>
  <c r="N3" i="29"/>
  <c r="P4" i="29"/>
  <c r="H9" i="29"/>
  <c r="K6" i="21" s="1"/>
  <c r="K9" i="29"/>
  <c r="AQ6" i="21" s="1"/>
  <c r="N9" i="29"/>
  <c r="BW6" i="21" s="1"/>
  <c r="J21" i="6" s="1"/>
  <c r="I10" i="29"/>
  <c r="L10" i="29"/>
  <c r="O10" i="29"/>
  <c r="H11" i="29"/>
  <c r="H57" i="29" s="1"/>
  <c r="K11" i="29"/>
  <c r="K57" i="29" s="1"/>
  <c r="N11" i="29"/>
  <c r="N57" i="29" s="1"/>
  <c r="I12" i="29"/>
  <c r="M12" i="29"/>
  <c r="O12" i="29"/>
  <c r="X13" i="29"/>
  <c r="Y13" i="29"/>
  <c r="Z13" i="29"/>
  <c r="L14" i="29"/>
  <c r="O14" i="29"/>
  <c r="I15" i="29"/>
  <c r="L15" i="29"/>
  <c r="O15" i="29"/>
  <c r="I16" i="29"/>
  <c r="L16" i="29"/>
  <c r="O16" i="29"/>
  <c r="I17" i="29"/>
  <c r="L17" i="29"/>
  <c r="O17" i="29"/>
  <c r="K25" i="29"/>
  <c r="N25" i="29"/>
  <c r="K26" i="29"/>
  <c r="N26" i="29"/>
  <c r="E30" i="29"/>
  <c r="F30" i="29"/>
  <c r="X14" i="29" s="1"/>
  <c r="E31" i="29"/>
  <c r="F31" i="29"/>
  <c r="X15" i="29" s="1"/>
  <c r="E32" i="29"/>
  <c r="F32" i="29"/>
  <c r="E33" i="29"/>
  <c r="F33" i="29"/>
  <c r="F46" i="29"/>
  <c r="L46" i="29" s="1"/>
  <c r="F47" i="29"/>
  <c r="L47" i="29" s="1"/>
  <c r="F48" i="29"/>
  <c r="L48" i="29" s="1"/>
  <c r="F49" i="29"/>
  <c r="F50" i="29"/>
  <c r="H50" i="29"/>
  <c r="K50" i="29"/>
  <c r="N50" i="29"/>
  <c r="F51" i="29"/>
  <c r="L51" i="29" s="1"/>
  <c r="E52" i="29"/>
  <c r="F52" i="29"/>
  <c r="I52" i="29" s="1"/>
  <c r="G52" i="29"/>
  <c r="J52" i="29" s="1"/>
  <c r="E53" i="29"/>
  <c r="F53" i="29"/>
  <c r="L53" i="29" s="1"/>
  <c r="G53" i="29"/>
  <c r="M53" i="29" s="1"/>
  <c r="E54" i="29"/>
  <c r="F54" i="29"/>
  <c r="G54" i="29"/>
  <c r="M54" i="29" s="1"/>
  <c r="E55" i="29"/>
  <c r="F55" i="29"/>
  <c r="L55" i="29" s="1"/>
  <c r="G55" i="29"/>
  <c r="M55" i="29" s="1"/>
  <c r="E56" i="29"/>
  <c r="F56" i="29"/>
  <c r="I56" i="29" s="1"/>
  <c r="G56" i="29"/>
  <c r="J56" i="29" s="1"/>
  <c r="F57" i="29"/>
  <c r="F63" i="29"/>
  <c r="F64" i="29"/>
  <c r="J65" i="29"/>
  <c r="K17" i="21" s="1"/>
  <c r="M65" i="29"/>
  <c r="AQ17" i="21" s="1"/>
  <c r="P65" i="29"/>
  <c r="BW17" i="21" s="1"/>
  <c r="F70" i="29"/>
  <c r="N3" i="28"/>
  <c r="P4" i="28"/>
  <c r="H9" i="28"/>
  <c r="J6" i="21" s="1"/>
  <c r="D20" i="6" s="1"/>
  <c r="K9" i="28"/>
  <c r="AP6" i="21" s="1"/>
  <c r="G20" i="6" s="1"/>
  <c r="N9" i="28"/>
  <c r="BV6" i="21" s="1"/>
  <c r="J20" i="6" s="1"/>
  <c r="I10" i="28"/>
  <c r="L10" i="28"/>
  <c r="O10" i="28"/>
  <c r="H11" i="28"/>
  <c r="K11" i="28"/>
  <c r="K57" i="28" s="1"/>
  <c r="N11" i="28"/>
  <c r="I12" i="28"/>
  <c r="M12" i="28"/>
  <c r="O12" i="28"/>
  <c r="X13" i="28"/>
  <c r="Y13" i="28"/>
  <c r="Z13" i="28"/>
  <c r="I15" i="28"/>
  <c r="L15" i="28"/>
  <c r="O15" i="28"/>
  <c r="I16" i="28"/>
  <c r="L16" i="28"/>
  <c r="O16" i="28"/>
  <c r="I17" i="28"/>
  <c r="L17" i="28"/>
  <c r="O17" i="28"/>
  <c r="K25" i="28"/>
  <c r="K26" i="28"/>
  <c r="N26" i="28"/>
  <c r="E30" i="28"/>
  <c r="F30" i="28"/>
  <c r="E31" i="28"/>
  <c r="F31" i="28"/>
  <c r="E32" i="28"/>
  <c r="F32" i="28"/>
  <c r="Z16" i="28" s="1"/>
  <c r="E33" i="28"/>
  <c r="F33" i="28"/>
  <c r="F46" i="28"/>
  <c r="O46" i="28" s="1"/>
  <c r="F47" i="28"/>
  <c r="F48" i="28"/>
  <c r="F49" i="28"/>
  <c r="I49" i="28" s="1"/>
  <c r="F50" i="28"/>
  <c r="I50" i="28" s="1"/>
  <c r="F51" i="28"/>
  <c r="E52" i="28"/>
  <c r="F52" i="28"/>
  <c r="L52" i="28" s="1"/>
  <c r="G52" i="28"/>
  <c r="M52" i="28" s="1"/>
  <c r="E53" i="28"/>
  <c r="F53" i="28"/>
  <c r="L53" i="28" s="1"/>
  <c r="G53" i="28"/>
  <c r="J53" i="28" s="1"/>
  <c r="E54" i="28"/>
  <c r="F54" i="28"/>
  <c r="G54" i="28"/>
  <c r="J54" i="28" s="1"/>
  <c r="E55" i="28"/>
  <c r="F55" i="28"/>
  <c r="I55" i="28" s="1"/>
  <c r="G55" i="28"/>
  <c r="E56" i="28"/>
  <c r="F56" i="28"/>
  <c r="L56" i="28" s="1"/>
  <c r="G56" i="28"/>
  <c r="M56" i="28" s="1"/>
  <c r="F57" i="28"/>
  <c r="N57" i="28"/>
  <c r="F63" i="28"/>
  <c r="F64" i="28"/>
  <c r="J65" i="28"/>
  <c r="J17" i="21" s="1"/>
  <c r="M65" i="28"/>
  <c r="AP17" i="21" s="1"/>
  <c r="P65" i="28"/>
  <c r="BV17" i="21" s="1"/>
  <c r="F70" i="28"/>
  <c r="N3" i="27"/>
  <c r="P4" i="27"/>
  <c r="H9" i="27"/>
  <c r="I6" i="21" s="1"/>
  <c r="D19" i="6" s="1"/>
  <c r="K9" i="27"/>
  <c r="AO6" i="21" s="1"/>
  <c r="G19" i="6" s="1"/>
  <c r="N9" i="27"/>
  <c r="I10" i="27"/>
  <c r="L10" i="27"/>
  <c r="O10" i="27"/>
  <c r="H11" i="27"/>
  <c r="H57" i="27" s="1"/>
  <c r="K11" i="27"/>
  <c r="N11" i="27"/>
  <c r="N57" i="27" s="1"/>
  <c r="I12" i="27"/>
  <c r="M12" i="27"/>
  <c r="O12" i="27"/>
  <c r="X13" i="27"/>
  <c r="Y13" i="27"/>
  <c r="Z13" i="27"/>
  <c r="K25" i="27"/>
  <c r="N25" i="27"/>
  <c r="K26" i="27"/>
  <c r="N26" i="27"/>
  <c r="E30" i="27"/>
  <c r="F30" i="27"/>
  <c r="E31" i="27"/>
  <c r="F31" i="27"/>
  <c r="X15" i="27" s="1"/>
  <c r="E32" i="27"/>
  <c r="F32" i="27"/>
  <c r="X16" i="27" s="1"/>
  <c r="E33" i="27"/>
  <c r="F33" i="27"/>
  <c r="X17" i="27" s="1"/>
  <c r="F46" i="27"/>
  <c r="F47" i="27"/>
  <c r="F48" i="27"/>
  <c r="F49" i="27"/>
  <c r="L49" i="27" s="1"/>
  <c r="F50" i="27"/>
  <c r="L50" i="27" s="1"/>
  <c r="F51" i="27"/>
  <c r="L51" i="27" s="1"/>
  <c r="F52" i="27"/>
  <c r="L52" i="27" s="1"/>
  <c r="E53" i="27"/>
  <c r="F53" i="27"/>
  <c r="I53" i="27" s="1"/>
  <c r="G53" i="27"/>
  <c r="J53" i="27" s="1"/>
  <c r="E54" i="27"/>
  <c r="F54" i="27"/>
  <c r="I54" i="27" s="1"/>
  <c r="G54" i="27"/>
  <c r="M54" i="27" s="1"/>
  <c r="E55" i="27"/>
  <c r="F55" i="27"/>
  <c r="G55" i="27"/>
  <c r="E56" i="27"/>
  <c r="F56" i="27"/>
  <c r="G56" i="27"/>
  <c r="F57" i="27"/>
  <c r="F63" i="27"/>
  <c r="F64" i="27"/>
  <c r="J65" i="27"/>
  <c r="I17" i="21" s="1"/>
  <c r="M65" i="27"/>
  <c r="AO17" i="21" s="1"/>
  <c r="P65" i="27"/>
  <c r="BU17" i="21" s="1"/>
  <c r="F70" i="27"/>
  <c r="N3" i="26"/>
  <c r="P4" i="26"/>
  <c r="H9" i="26"/>
  <c r="H6" i="21" s="1"/>
  <c r="D18" i="6" s="1"/>
  <c r="K9" i="26"/>
  <c r="N9" i="26"/>
  <c r="BT6" i="21" s="1"/>
  <c r="J18" i="6" s="1"/>
  <c r="I10" i="26"/>
  <c r="L10" i="26"/>
  <c r="O10" i="26"/>
  <c r="H11" i="26"/>
  <c r="K11" i="26"/>
  <c r="K57" i="26" s="1"/>
  <c r="N11" i="26"/>
  <c r="N57" i="26" s="1"/>
  <c r="I12" i="26"/>
  <c r="M12" i="26"/>
  <c r="O12" i="26"/>
  <c r="X13" i="26"/>
  <c r="Y13" i="26"/>
  <c r="Z13" i="26"/>
  <c r="K25" i="26"/>
  <c r="K26" i="26"/>
  <c r="E30" i="26"/>
  <c r="F30" i="26"/>
  <c r="E31" i="26"/>
  <c r="F31" i="26"/>
  <c r="E32" i="26"/>
  <c r="F32" i="26"/>
  <c r="E33" i="26"/>
  <c r="F33" i="26"/>
  <c r="F46" i="26"/>
  <c r="L46" i="26" s="1"/>
  <c r="F47" i="26"/>
  <c r="L47" i="26" s="1"/>
  <c r="F48" i="26"/>
  <c r="L48" i="26" s="1"/>
  <c r="F49" i="26"/>
  <c r="L49" i="26" s="1"/>
  <c r="F50" i="26"/>
  <c r="F51" i="26"/>
  <c r="L51" i="26" s="1"/>
  <c r="F52" i="26"/>
  <c r="E53" i="26"/>
  <c r="F53" i="26"/>
  <c r="G53" i="26"/>
  <c r="E54" i="26"/>
  <c r="F54" i="26"/>
  <c r="G54" i="26"/>
  <c r="P54" i="26" s="1"/>
  <c r="E55" i="26"/>
  <c r="F55" i="26"/>
  <c r="L55" i="26" s="1"/>
  <c r="G55" i="26"/>
  <c r="J55" i="26" s="1"/>
  <c r="E56" i="26"/>
  <c r="F56" i="26"/>
  <c r="I56" i="26" s="1"/>
  <c r="G56" i="26"/>
  <c r="M56" i="26" s="1"/>
  <c r="F57" i="26"/>
  <c r="F63" i="26"/>
  <c r="F64" i="26"/>
  <c r="J65" i="26"/>
  <c r="H17" i="21" s="1"/>
  <c r="M65" i="26"/>
  <c r="AN17" i="21" s="1"/>
  <c r="P65" i="26"/>
  <c r="BT17" i="21" s="1"/>
  <c r="F70" i="26"/>
  <c r="N3" i="25"/>
  <c r="P4" i="25"/>
  <c r="H9" i="25"/>
  <c r="K9" i="25"/>
  <c r="AM6" i="21" s="1"/>
  <c r="G17" i="6" s="1"/>
  <c r="N9" i="25"/>
  <c r="BS6" i="21" s="1"/>
  <c r="J17" i="6" s="1"/>
  <c r="I10" i="25"/>
  <c r="L10" i="25"/>
  <c r="O10" i="25"/>
  <c r="H11" i="25"/>
  <c r="K11" i="25"/>
  <c r="N11" i="25"/>
  <c r="I12" i="25"/>
  <c r="M12" i="25"/>
  <c r="O12" i="25"/>
  <c r="X13" i="25"/>
  <c r="Y13" i="25"/>
  <c r="Z13" i="25"/>
  <c r="I15" i="25"/>
  <c r="L15" i="25"/>
  <c r="O15" i="25"/>
  <c r="I16" i="25"/>
  <c r="L16" i="25"/>
  <c r="O16" i="25"/>
  <c r="I17" i="25"/>
  <c r="L17" i="25"/>
  <c r="O17" i="25"/>
  <c r="K25" i="25"/>
  <c r="N25" i="25"/>
  <c r="K26" i="25"/>
  <c r="N26" i="25"/>
  <c r="E30" i="25"/>
  <c r="F30" i="25"/>
  <c r="E31" i="25"/>
  <c r="F31" i="25"/>
  <c r="E32" i="25"/>
  <c r="F32" i="25"/>
  <c r="E33" i="25"/>
  <c r="F33" i="25"/>
  <c r="F46" i="25"/>
  <c r="F47" i="25"/>
  <c r="F48" i="25"/>
  <c r="F49" i="25"/>
  <c r="F50" i="25"/>
  <c r="H50" i="25"/>
  <c r="K50" i="25"/>
  <c r="N50" i="25"/>
  <c r="F51" i="25"/>
  <c r="L51" i="25" s="1"/>
  <c r="E52" i="25"/>
  <c r="F52" i="25"/>
  <c r="G52" i="25"/>
  <c r="E53" i="25"/>
  <c r="F53" i="25"/>
  <c r="G53" i="25"/>
  <c r="M53" i="25" s="1"/>
  <c r="E54" i="25"/>
  <c r="F54" i="25"/>
  <c r="G54" i="25"/>
  <c r="P54" i="25" s="1"/>
  <c r="E55" i="25"/>
  <c r="F55" i="25"/>
  <c r="L55" i="25" s="1"/>
  <c r="G55" i="25"/>
  <c r="M55" i="25" s="1"/>
  <c r="E56" i="25"/>
  <c r="F56" i="25"/>
  <c r="G56" i="25"/>
  <c r="F57" i="25"/>
  <c r="N57" i="25"/>
  <c r="F63" i="25"/>
  <c r="F64" i="25"/>
  <c r="J65" i="25"/>
  <c r="G17" i="21" s="1"/>
  <c r="M65" i="25"/>
  <c r="AM17" i="21" s="1"/>
  <c r="P65" i="25"/>
  <c r="BS17" i="21" s="1"/>
  <c r="F70" i="25"/>
  <c r="N3" i="24"/>
  <c r="P4" i="24"/>
  <c r="H9" i="24"/>
  <c r="F6" i="21" s="1"/>
  <c r="K9" i="24"/>
  <c r="AL6" i="21" s="1"/>
  <c r="G16" i="6" s="1"/>
  <c r="N9" i="24"/>
  <c r="BR6" i="21" s="1"/>
  <c r="I10" i="24"/>
  <c r="L10" i="24"/>
  <c r="O10" i="24"/>
  <c r="H11" i="24"/>
  <c r="H57" i="24" s="1"/>
  <c r="K11" i="24"/>
  <c r="N11" i="24"/>
  <c r="N57" i="24" s="1"/>
  <c r="I12" i="24"/>
  <c r="M12" i="24"/>
  <c r="O12" i="24"/>
  <c r="X13" i="24"/>
  <c r="Y13" i="24"/>
  <c r="Z13" i="24"/>
  <c r="I15" i="24"/>
  <c r="L15" i="24"/>
  <c r="O15" i="24"/>
  <c r="I16" i="24"/>
  <c r="L16" i="24"/>
  <c r="O16" i="24"/>
  <c r="I17" i="24"/>
  <c r="L17" i="24"/>
  <c r="O17" i="24"/>
  <c r="K25" i="24"/>
  <c r="N25" i="24"/>
  <c r="K26" i="24"/>
  <c r="N26" i="24"/>
  <c r="E30" i="24"/>
  <c r="F30" i="24"/>
  <c r="E31" i="24"/>
  <c r="F31" i="24"/>
  <c r="E32" i="24"/>
  <c r="F32" i="24"/>
  <c r="E33" i="24"/>
  <c r="F33" i="24"/>
  <c r="F46" i="24"/>
  <c r="F47" i="24"/>
  <c r="L47" i="24" s="1"/>
  <c r="F48" i="24"/>
  <c r="L48" i="24" s="1"/>
  <c r="F49" i="24"/>
  <c r="I49" i="24" s="1"/>
  <c r="F50" i="24"/>
  <c r="H50" i="24"/>
  <c r="K50" i="24"/>
  <c r="N50" i="24"/>
  <c r="F51" i="24"/>
  <c r="E52" i="24"/>
  <c r="F52" i="24"/>
  <c r="G52" i="24"/>
  <c r="P52" i="24" s="1"/>
  <c r="E53" i="24"/>
  <c r="F53" i="24"/>
  <c r="I53" i="24" s="1"/>
  <c r="G53" i="24"/>
  <c r="J53" i="24" s="1"/>
  <c r="E54" i="24"/>
  <c r="F54" i="24"/>
  <c r="L54" i="24" s="1"/>
  <c r="G54" i="24"/>
  <c r="M54" i="24" s="1"/>
  <c r="E55" i="24"/>
  <c r="F55" i="24"/>
  <c r="G55" i="24"/>
  <c r="E56" i="24"/>
  <c r="F56" i="24"/>
  <c r="L56" i="24" s="1"/>
  <c r="G56" i="24"/>
  <c r="M56" i="24" s="1"/>
  <c r="F57" i="24"/>
  <c r="F63" i="24"/>
  <c r="F64" i="24"/>
  <c r="J65" i="24"/>
  <c r="F17" i="21" s="1"/>
  <c r="M65" i="24"/>
  <c r="AL17" i="21" s="1"/>
  <c r="P65" i="24"/>
  <c r="BR17" i="21" s="1"/>
  <c r="F70" i="24"/>
  <c r="N3" i="23"/>
  <c r="P4" i="23"/>
  <c r="H9" i="23"/>
  <c r="E6" i="21" s="1"/>
  <c r="D15" i="6" s="1"/>
  <c r="N9" i="23"/>
  <c r="BQ6" i="21" s="1"/>
  <c r="J15" i="6" s="1"/>
  <c r="I10" i="23"/>
  <c r="L10" i="23"/>
  <c r="O10" i="23"/>
  <c r="H11" i="23"/>
  <c r="K11" i="23"/>
  <c r="K57" i="23" s="1"/>
  <c r="N11" i="23"/>
  <c r="N57" i="23" s="1"/>
  <c r="I12" i="23"/>
  <c r="M12" i="23"/>
  <c r="O12" i="23"/>
  <c r="X13" i="23"/>
  <c r="Y13" i="23"/>
  <c r="Z13" i="23"/>
  <c r="I16" i="23"/>
  <c r="L16" i="23"/>
  <c r="O16" i="23"/>
  <c r="I17" i="23"/>
  <c r="L17" i="23"/>
  <c r="O17" i="23"/>
  <c r="K25" i="23"/>
  <c r="N25" i="23"/>
  <c r="K26" i="23"/>
  <c r="N26" i="23"/>
  <c r="E30" i="23"/>
  <c r="F30" i="23"/>
  <c r="E31" i="23"/>
  <c r="F31" i="23"/>
  <c r="E32" i="23"/>
  <c r="F32" i="23"/>
  <c r="E33" i="23"/>
  <c r="F33" i="23"/>
  <c r="F46" i="23"/>
  <c r="F47" i="23"/>
  <c r="L47" i="23" s="1"/>
  <c r="F48" i="23"/>
  <c r="F49" i="23"/>
  <c r="O49" i="23" s="1"/>
  <c r="F50" i="23"/>
  <c r="H50" i="23"/>
  <c r="K50" i="23"/>
  <c r="N50" i="23"/>
  <c r="F51" i="23"/>
  <c r="E52" i="23"/>
  <c r="F52" i="23"/>
  <c r="I52" i="23" s="1"/>
  <c r="G52" i="23"/>
  <c r="M52" i="23" s="1"/>
  <c r="E53" i="23"/>
  <c r="F53" i="23"/>
  <c r="L53" i="23" s="1"/>
  <c r="G53" i="23"/>
  <c r="M53" i="23" s="1"/>
  <c r="E54" i="23"/>
  <c r="F54" i="23"/>
  <c r="I54" i="23" s="1"/>
  <c r="G54" i="23"/>
  <c r="E55" i="23"/>
  <c r="F55" i="23"/>
  <c r="L55" i="23" s="1"/>
  <c r="G55" i="23"/>
  <c r="M55" i="23" s="1"/>
  <c r="E56" i="23"/>
  <c r="F56" i="23"/>
  <c r="L56" i="23" s="1"/>
  <c r="G56" i="23"/>
  <c r="M56" i="23" s="1"/>
  <c r="F57" i="23"/>
  <c r="F63" i="23"/>
  <c r="F64" i="23"/>
  <c r="J65" i="23"/>
  <c r="E17" i="21" s="1"/>
  <c r="M65" i="23"/>
  <c r="AK17" i="21" s="1"/>
  <c r="P65" i="23"/>
  <c r="BQ17" i="21" s="1"/>
  <c r="F70" i="23"/>
  <c r="G114" i="23"/>
  <c r="G116" i="23"/>
  <c r="N3" i="22"/>
  <c r="P4" i="22"/>
  <c r="G4" i="20" s="1"/>
  <c r="H9" i="22"/>
  <c r="K9" i="22"/>
  <c r="N9" i="22"/>
  <c r="BP6" i="21" s="1"/>
  <c r="J14" i="6" s="1"/>
  <c r="I10" i="22"/>
  <c r="L10" i="22"/>
  <c r="O10" i="22"/>
  <c r="H11" i="22"/>
  <c r="H57" i="22" s="1"/>
  <c r="Q57" i="22" s="1"/>
  <c r="K11" i="22"/>
  <c r="K57" i="22" s="1"/>
  <c r="N11" i="22"/>
  <c r="N57" i="22" s="1"/>
  <c r="U11" i="22"/>
  <c r="I12" i="22"/>
  <c r="M12" i="22"/>
  <c r="O12" i="22"/>
  <c r="X13" i="22"/>
  <c r="Y13" i="22"/>
  <c r="Z13" i="22"/>
  <c r="L15" i="22"/>
  <c r="O15" i="22"/>
  <c r="I16" i="22"/>
  <c r="L16" i="22"/>
  <c r="O16" i="22"/>
  <c r="K25" i="22"/>
  <c r="N25" i="22"/>
  <c r="K26" i="22"/>
  <c r="N26" i="22"/>
  <c r="E31" i="22"/>
  <c r="F31" i="22"/>
  <c r="E32" i="22"/>
  <c r="F32" i="22"/>
  <c r="E33" i="22"/>
  <c r="F33" i="22"/>
  <c r="L46" i="22"/>
  <c r="F47" i="22"/>
  <c r="F48" i="22"/>
  <c r="O48" i="22" s="1"/>
  <c r="F49" i="22"/>
  <c r="O49" i="22" s="1"/>
  <c r="F50" i="22"/>
  <c r="F51" i="22"/>
  <c r="L51" i="22" s="1"/>
  <c r="E52" i="22"/>
  <c r="F52" i="22"/>
  <c r="I52" i="22" s="1"/>
  <c r="G52" i="22"/>
  <c r="J52" i="22" s="1"/>
  <c r="E53" i="22"/>
  <c r="F53" i="22"/>
  <c r="L53" i="22" s="1"/>
  <c r="G53" i="22"/>
  <c r="M53" i="22" s="1"/>
  <c r="E54" i="22"/>
  <c r="F54" i="22"/>
  <c r="G54" i="22"/>
  <c r="M54" i="22" s="1"/>
  <c r="E55" i="22"/>
  <c r="F55" i="22"/>
  <c r="I55" i="22" s="1"/>
  <c r="G55" i="22"/>
  <c r="J55" i="22" s="1"/>
  <c r="E56" i="22"/>
  <c r="F56" i="22"/>
  <c r="G56" i="22"/>
  <c r="F57" i="22"/>
  <c r="F63" i="22"/>
  <c r="J65" i="22"/>
  <c r="D17" i="21" s="1"/>
  <c r="M65" i="22"/>
  <c r="AJ17" i="21" s="1"/>
  <c r="P65" i="22"/>
  <c r="BP17" i="21" s="1"/>
  <c r="F70" i="22"/>
  <c r="N146" i="22"/>
  <c r="D22" i="6"/>
  <c r="D25" i="6"/>
  <c r="D26" i="6"/>
  <c r="D30" i="6"/>
  <c r="D32" i="6"/>
  <c r="D35" i="6"/>
  <c r="D36" i="6"/>
  <c r="D39" i="6"/>
  <c r="D40" i="6"/>
  <c r="D41" i="6"/>
  <c r="G21" i="6"/>
  <c r="G25" i="6"/>
  <c r="G30" i="6"/>
  <c r="G31" i="6"/>
  <c r="G38" i="6"/>
  <c r="G39" i="6"/>
  <c r="J23" i="6"/>
  <c r="J25" i="6"/>
  <c r="J33" i="6"/>
  <c r="J41" i="6"/>
  <c r="E2" i="20"/>
  <c r="O69" i="20" s="1"/>
  <c r="D10" i="20"/>
  <c r="D11" i="20" s="1"/>
  <c r="D12" i="20" s="1"/>
  <c r="D13" i="20" s="1"/>
  <c r="D14" i="20" s="1"/>
  <c r="D15" i="20" s="1"/>
  <c r="D16" i="20" s="1"/>
  <c r="D17" i="20" s="1"/>
  <c r="D18" i="20" s="1"/>
  <c r="D19" i="20" s="1"/>
  <c r="D21" i="20" s="1"/>
  <c r="D22" i="20" s="1"/>
  <c r="D23" i="20" s="1"/>
  <c r="D24" i="20" s="1"/>
  <c r="D25" i="20" s="1"/>
  <c r="D26" i="20" s="1"/>
  <c r="D27" i="20" s="1"/>
  <c r="D28" i="20" s="1"/>
  <c r="D29" i="20" s="1"/>
  <c r="D30" i="20" s="1"/>
  <c r="D32" i="20" s="1"/>
  <c r="D34" i="20" s="1"/>
  <c r="D35" i="20" s="1"/>
  <c r="D36" i="20" s="1"/>
  <c r="D37" i="20" s="1"/>
  <c r="D39" i="20" s="1"/>
  <c r="D40" i="20" s="1"/>
  <c r="D41" i="20" s="1"/>
  <c r="D42" i="20" s="1"/>
  <c r="D43" i="20" s="1"/>
  <c r="D44" i="20" s="1"/>
  <c r="D45" i="20" s="1"/>
  <c r="D46" i="20" s="1"/>
  <c r="D48" i="20" s="1"/>
  <c r="D49" i="20" s="1"/>
  <c r="D50" i="20" s="1"/>
  <c r="D51" i="20" s="1"/>
  <c r="D52" i="20" s="1"/>
  <c r="D53" i="20" s="1"/>
  <c r="D54" i="20" s="1"/>
  <c r="D57" i="20" s="1"/>
  <c r="D59" i="20" s="1"/>
  <c r="D62" i="20" s="1"/>
  <c r="D66" i="20" s="1"/>
  <c r="D67" i="20" s="1"/>
  <c r="D68" i="20" s="1"/>
  <c r="D69" i="20" s="1"/>
  <c r="D70" i="20" s="1"/>
  <c r="D71" i="20" s="1"/>
  <c r="D72" i="20" s="1"/>
  <c r="D74" i="20" s="1"/>
  <c r="D75" i="20" s="1"/>
  <c r="D77" i="20" s="1"/>
  <c r="D78" i="20" s="1"/>
  <c r="D83" i="20" s="1"/>
  <c r="D84" i="20" s="1"/>
  <c r="D85" i="20" s="1"/>
  <c r="D86" i="20" s="1"/>
  <c r="D87" i="20" s="1"/>
  <c r="D88" i="20" s="1"/>
  <c r="D89" i="20" s="1"/>
  <c r="E11" i="20"/>
  <c r="F98" i="20"/>
  <c r="F102" i="20"/>
  <c r="I114" i="20"/>
  <c r="K114" i="20"/>
  <c r="M114" i="20"/>
  <c r="O114" i="20"/>
  <c r="Q114" i="20"/>
  <c r="S114" i="20"/>
  <c r="U114" i="20"/>
  <c r="J127" i="20"/>
  <c r="L127" i="20"/>
  <c r="L137" i="20" s="1"/>
  <c r="N127" i="20"/>
  <c r="N137" i="20" s="1"/>
  <c r="P127" i="20"/>
  <c r="P137" i="20" s="1"/>
  <c r="R127" i="20"/>
  <c r="R137" i="20" s="1"/>
  <c r="T127" i="20"/>
  <c r="T137" i="20" s="1"/>
  <c r="V127" i="20"/>
  <c r="V137" i="20" s="1"/>
  <c r="X127" i="20"/>
  <c r="X137" i="20" s="1"/>
  <c r="J128" i="20"/>
  <c r="L128" i="20"/>
  <c r="N128" i="20"/>
  <c r="P128" i="20"/>
  <c r="R128" i="20"/>
  <c r="T128" i="20"/>
  <c r="V128" i="20"/>
  <c r="X128" i="20"/>
  <c r="J129" i="20"/>
  <c r="L129" i="20"/>
  <c r="N129" i="20"/>
  <c r="P129" i="20"/>
  <c r="R129" i="20"/>
  <c r="T129" i="20"/>
  <c r="V129" i="20"/>
  <c r="X129" i="20"/>
  <c r="J130" i="20"/>
  <c r="L130" i="20"/>
  <c r="N130" i="20"/>
  <c r="P130" i="20"/>
  <c r="R130" i="20"/>
  <c r="T130" i="20"/>
  <c r="V130" i="20"/>
  <c r="X130" i="20"/>
  <c r="J131" i="20"/>
  <c r="L131" i="20"/>
  <c r="N131" i="20"/>
  <c r="P131" i="20"/>
  <c r="R131" i="20"/>
  <c r="T131" i="20"/>
  <c r="V131" i="20"/>
  <c r="X131" i="20"/>
  <c r="J132" i="20"/>
  <c r="L132" i="20"/>
  <c r="N132" i="20"/>
  <c r="P132" i="20"/>
  <c r="R132" i="20"/>
  <c r="T132" i="20"/>
  <c r="V132" i="20"/>
  <c r="X132" i="20"/>
  <c r="J133" i="20"/>
  <c r="L133" i="20"/>
  <c r="N133" i="20"/>
  <c r="P133" i="20"/>
  <c r="R133" i="20"/>
  <c r="T133" i="20"/>
  <c r="V133" i="20"/>
  <c r="X133" i="20"/>
  <c r="J134" i="20"/>
  <c r="L134" i="20"/>
  <c r="N134" i="20"/>
  <c r="P134" i="20"/>
  <c r="R134" i="20"/>
  <c r="T134" i="20"/>
  <c r="V134" i="20"/>
  <c r="X134" i="20"/>
  <c r="J135" i="20"/>
  <c r="L135" i="20"/>
  <c r="N135" i="20"/>
  <c r="P135" i="20"/>
  <c r="R135" i="20"/>
  <c r="T135" i="20"/>
  <c r="V135" i="20"/>
  <c r="X135" i="20"/>
  <c r="J136" i="20"/>
  <c r="L136" i="20"/>
  <c r="N136" i="20"/>
  <c r="P136" i="20"/>
  <c r="R136" i="20"/>
  <c r="T136" i="20"/>
  <c r="V136" i="20"/>
  <c r="X136" i="20"/>
  <c r="J137" i="20"/>
  <c r="F234" i="20"/>
  <c r="C14" i="6" s="1"/>
  <c r="F235" i="20"/>
  <c r="C15" i="6" s="1"/>
  <c r="F236" i="20"/>
  <c r="C16" i="6" s="1"/>
  <c r="F237" i="20"/>
  <c r="C17" i="6" s="1"/>
  <c r="F238" i="20"/>
  <c r="C18" i="6" s="1"/>
  <c r="F239" i="20"/>
  <c r="C19" i="6" s="1"/>
  <c r="F240" i="20"/>
  <c r="C20" i="6" s="1"/>
  <c r="F241" i="20"/>
  <c r="C21" i="6" s="1"/>
  <c r="F242" i="20"/>
  <c r="C22" i="6" s="1"/>
  <c r="F243" i="20"/>
  <c r="C23" i="6" s="1"/>
  <c r="F244" i="20"/>
  <c r="C24" i="6" s="1"/>
  <c r="F245" i="20"/>
  <c r="C25" i="6" s="1"/>
  <c r="F246" i="20"/>
  <c r="C26" i="6" s="1"/>
  <c r="F247" i="20"/>
  <c r="C27" i="6" s="1"/>
  <c r="F248" i="20"/>
  <c r="C28" i="6" s="1"/>
  <c r="F249" i="20"/>
  <c r="C29" i="6" s="1"/>
  <c r="F250" i="20"/>
  <c r="C30" i="6" s="1"/>
  <c r="F251" i="20"/>
  <c r="C31" i="6" s="1"/>
  <c r="F252" i="20"/>
  <c r="C32" i="6" s="1"/>
  <c r="F253" i="20"/>
  <c r="C33" i="6" s="1"/>
  <c r="F254" i="20"/>
  <c r="C34" i="6" s="1"/>
  <c r="F255" i="20"/>
  <c r="C35" i="6" s="1"/>
  <c r="F256" i="20"/>
  <c r="C36" i="6" s="1"/>
  <c r="F257" i="20"/>
  <c r="C37" i="6" s="1"/>
  <c r="F258" i="20"/>
  <c r="C38" i="6" s="1"/>
  <c r="F259" i="20"/>
  <c r="C39" i="6" s="1"/>
  <c r="F260" i="20"/>
  <c r="C40" i="6" s="1"/>
  <c r="F261" i="20"/>
  <c r="C41" i="6" s="1"/>
  <c r="F263" i="20"/>
  <c r="C43" i="6" s="1"/>
  <c r="F264" i="20"/>
  <c r="C35" i="18"/>
  <c r="C36" i="18" s="1"/>
  <c r="D36" i="18" s="1"/>
  <c r="D35" i="18"/>
  <c r="F35" i="18"/>
  <c r="H85" i="18"/>
  <c r="J85" i="18" s="1"/>
  <c r="H86" i="18"/>
  <c r="J86" i="18" s="1"/>
  <c r="H87" i="18"/>
  <c r="J87" i="18" s="1"/>
  <c r="J90" i="18"/>
  <c r="B99" i="18"/>
  <c r="B100" i="18"/>
  <c r="B101" i="18"/>
  <c r="I101" i="18"/>
  <c r="B102" i="18"/>
  <c r="I102" i="18"/>
  <c r="B103" i="18"/>
  <c r="I103" i="18"/>
  <c r="B104" i="18"/>
  <c r="I104" i="18"/>
  <c r="B105" i="18"/>
  <c r="I105" i="18"/>
  <c r="B106" i="18"/>
  <c r="I106" i="18"/>
  <c r="B107" i="18"/>
  <c r="I107" i="18"/>
  <c r="B108" i="18"/>
  <c r="I108" i="18"/>
  <c r="B109" i="18"/>
  <c r="I109" i="18"/>
  <c r="B110" i="18"/>
  <c r="I110" i="18"/>
  <c r="B111" i="18"/>
  <c r="I111" i="18"/>
  <c r="B112" i="18"/>
  <c r="I112" i="18"/>
  <c r="B113" i="18"/>
  <c r="I113" i="18"/>
  <c r="B116" i="18"/>
  <c r="F122" i="18"/>
  <c r="F124" i="18" s="1"/>
  <c r="F125" i="18" s="1"/>
  <c r="G122" i="18"/>
  <c r="G124" i="18" s="1"/>
  <c r="G125" i="18" s="1"/>
  <c r="H122" i="18"/>
  <c r="H124" i="18" s="1"/>
  <c r="H125" i="18" s="1"/>
  <c r="J122" i="18"/>
  <c r="J124" i="18" s="1"/>
  <c r="J125" i="18" s="1"/>
  <c r="F136" i="18"/>
  <c r="G136" i="18"/>
  <c r="G140" i="18" s="1"/>
  <c r="H136" i="18"/>
  <c r="J136" i="18"/>
  <c r="F139" i="18"/>
  <c r="F140" i="18" s="1"/>
  <c r="G139" i="18"/>
  <c r="H139" i="18"/>
  <c r="H140" i="18" s="1"/>
  <c r="J139" i="18"/>
  <c r="J140" i="18" s="1"/>
  <c r="F153" i="18"/>
  <c r="H153" i="18"/>
  <c r="F154" i="18"/>
  <c r="H154" i="18"/>
  <c r="D155" i="18"/>
  <c r="J159" i="18"/>
  <c r="J160" i="18"/>
  <c r="J161" i="18" s="1"/>
  <c r="K161" i="18" s="1"/>
  <c r="J164" i="18"/>
  <c r="J166" i="18" s="1"/>
  <c r="K166" i="18" s="1"/>
  <c r="J165" i="18"/>
  <c r="F179" i="18"/>
  <c r="F180" i="18"/>
  <c r="F181" i="18"/>
  <c r="T184" i="18"/>
  <c r="T185" i="18"/>
  <c r="F186" i="18"/>
  <c r="H186" i="18" s="1"/>
  <c r="F187" i="18"/>
  <c r="H187" i="18" s="1"/>
  <c r="B1" i="17"/>
  <c r="C1" i="17"/>
  <c r="D1" i="17"/>
  <c r="E1" i="17"/>
  <c r="F1" i="17"/>
  <c r="G1" i="17"/>
  <c r="H1" i="17"/>
  <c r="I1" i="17"/>
  <c r="J1" i="17"/>
  <c r="K1" i="17"/>
  <c r="L1" i="17"/>
  <c r="M1" i="17"/>
  <c r="N1" i="17"/>
  <c r="O1" i="17"/>
  <c r="P1" i="17"/>
  <c r="Q1" i="17"/>
  <c r="F2" i="17"/>
  <c r="N3" i="15"/>
  <c r="K17" i="15"/>
  <c r="M17" i="15"/>
  <c r="K18" i="15"/>
  <c r="M18" i="15"/>
  <c r="K25" i="15"/>
  <c r="M25" i="15"/>
  <c r="K31" i="15"/>
  <c r="M31" i="15"/>
  <c r="K32" i="15"/>
  <c r="M32" i="15"/>
  <c r="K37" i="15"/>
  <c r="M37" i="15"/>
  <c r="K38" i="15"/>
  <c r="M38" i="15"/>
  <c r="O3" i="14"/>
  <c r="S5" i="14"/>
  <c r="N5" i="14" s="1"/>
  <c r="F24" i="14"/>
  <c r="F25" i="14"/>
  <c r="E51" i="23" s="1"/>
  <c r="F26" i="14"/>
  <c r="F27" i="14"/>
  <c r="E47" i="45" s="1"/>
  <c r="F28" i="14"/>
  <c r="F29" i="14"/>
  <c r="F30" i="14"/>
  <c r="F32" i="14"/>
  <c r="F33" i="14"/>
  <c r="F34" i="14"/>
  <c r="F35" i="14"/>
  <c r="F36" i="14"/>
  <c r="E48" i="45" s="1"/>
  <c r="F37" i="14"/>
  <c r="F38" i="14"/>
  <c r="F39" i="14"/>
  <c r="J39" i="14"/>
  <c r="F40" i="14"/>
  <c r="F41" i="14"/>
  <c r="F42" i="14"/>
  <c r="F43" i="14"/>
  <c r="D44" i="62"/>
  <c r="F44" i="14"/>
  <c r="N44" i="62"/>
  <c r="F46" i="14"/>
  <c r="D47" i="14"/>
  <c r="F47" i="14"/>
  <c r="F48" i="14"/>
  <c r="F49" i="14"/>
  <c r="F50" i="14"/>
  <c r="E50" i="41" s="1"/>
  <c r="F51" i="14"/>
  <c r="F54" i="14"/>
  <c r="D55" i="14"/>
  <c r="F55" i="14"/>
  <c r="D56" i="14"/>
  <c r="F56" i="14"/>
  <c r="D57" i="14"/>
  <c r="F57" i="14"/>
  <c r="F59" i="14"/>
  <c r="F60" i="14"/>
  <c r="F61" i="14"/>
  <c r="F62" i="14"/>
  <c r="F63" i="14"/>
  <c r="F64" i="14"/>
  <c r="F65" i="14"/>
  <c r="J65" i="14"/>
  <c r="F66" i="14"/>
  <c r="J66" i="14"/>
  <c r="F67" i="14"/>
  <c r="F68" i="14"/>
  <c r="F69" i="14"/>
  <c r="F70" i="14"/>
  <c r="F71" i="14"/>
  <c r="F72" i="14"/>
  <c r="F73" i="14"/>
  <c r="F74" i="14"/>
  <c r="F75" i="14"/>
  <c r="F76" i="14"/>
  <c r="F77" i="14"/>
  <c r="D78" i="14"/>
  <c r="F78" i="14"/>
  <c r="D79" i="14"/>
  <c r="D80" i="14"/>
  <c r="D87" i="62" s="1"/>
  <c r="N80" i="14"/>
  <c r="N87" i="62" s="1"/>
  <c r="B93" i="14"/>
  <c r="D145" i="62"/>
  <c r="D147" i="62"/>
  <c r="N3" i="13"/>
  <c r="Q14" i="51"/>
  <c r="I14" i="51" s="1"/>
  <c r="N57" i="13"/>
  <c r="A6" i="12"/>
  <c r="A7" i="12"/>
  <c r="X7" i="12"/>
  <c r="A8" i="12"/>
  <c r="O8" i="12"/>
  <c r="O14" i="12" s="1"/>
  <c r="A9" i="12"/>
  <c r="A10" i="12"/>
  <c r="A11" i="12"/>
  <c r="A12" i="12"/>
  <c r="A13" i="12"/>
  <c r="A14" i="12"/>
  <c r="A15" i="12"/>
  <c r="A16" i="12"/>
  <c r="O16" i="12" s="1"/>
  <c r="A17" i="12"/>
  <c r="O17" i="12" s="1"/>
  <c r="A18" i="12"/>
  <c r="A19" i="12"/>
  <c r="A20" i="12"/>
  <c r="A21" i="12"/>
  <c r="A22" i="12"/>
  <c r="A23" i="12"/>
  <c r="A24" i="12"/>
  <c r="A25" i="12"/>
  <c r="A26" i="12"/>
  <c r="A27" i="12"/>
  <c r="A28" i="12"/>
  <c r="A29" i="12"/>
  <c r="A30" i="12"/>
  <c r="O30" i="12" s="1"/>
  <c r="A31" i="12"/>
  <c r="A32" i="12"/>
  <c r="A33" i="12"/>
  <c r="A34" i="12"/>
  <c r="A35" i="12"/>
  <c r="A36" i="12"/>
  <c r="A37" i="12"/>
  <c r="A38" i="12"/>
  <c r="A39" i="12"/>
  <c r="A40" i="12"/>
  <c r="A41" i="12"/>
  <c r="O41" i="12" s="1"/>
  <c r="A42" i="12"/>
  <c r="A43" i="12"/>
  <c r="A44" i="12"/>
  <c r="A45" i="12"/>
  <c r="A46" i="12"/>
  <c r="A47" i="12"/>
  <c r="A48" i="12"/>
  <c r="A49" i="12"/>
  <c r="A50" i="12"/>
  <c r="A51" i="12"/>
  <c r="A52" i="12"/>
  <c r="O52" i="12" s="1"/>
  <c r="A53" i="12"/>
  <c r="O53" i="12" s="1"/>
  <c r="A54" i="12"/>
  <c r="O54" i="12" s="1"/>
  <c r="A55" i="12"/>
  <c r="O55" i="12" s="1"/>
  <c r="A56" i="12"/>
  <c r="A57" i="12"/>
  <c r="A58" i="12"/>
  <c r="A59" i="12"/>
  <c r="O59" i="12" s="1"/>
  <c r="A60" i="12"/>
  <c r="A61" i="12"/>
  <c r="O61" i="12" s="1"/>
  <c r="D1" i="10"/>
  <c r="E1" i="10"/>
  <c r="F1" i="10"/>
  <c r="G1" i="10"/>
  <c r="H1" i="10"/>
  <c r="I1" i="10"/>
  <c r="D4" i="10"/>
  <c r="J4" i="10"/>
  <c r="L6" i="10"/>
  <c r="J7" i="10"/>
  <c r="A1" i="10" s="1"/>
  <c r="I9" i="10"/>
  <c r="I10" i="10"/>
  <c r="I11" i="10"/>
  <c r="I12" i="10"/>
  <c r="I13" i="10"/>
  <c r="I14" i="10"/>
  <c r="I15" i="10"/>
  <c r="I16" i="10"/>
  <c r="I17" i="10"/>
  <c r="I18" i="10"/>
  <c r="I19" i="10"/>
  <c r="I20" i="10"/>
  <c r="I21" i="10"/>
  <c r="I22" i="10"/>
  <c r="D1" i="8"/>
  <c r="E1" i="8"/>
  <c r="F1" i="8"/>
  <c r="G1" i="8"/>
  <c r="H1" i="8"/>
  <c r="I1" i="8"/>
  <c r="D4" i="8"/>
  <c r="E5" i="8" s="1"/>
  <c r="J4" i="8"/>
  <c r="L6" i="8"/>
  <c r="J7" i="8"/>
  <c r="A1" i="8" s="1"/>
  <c r="O1" i="7"/>
  <c r="L3" i="7"/>
  <c r="K3" i="6"/>
  <c r="D16" i="6"/>
  <c r="G26" i="6"/>
  <c r="G34" i="6"/>
  <c r="J28" i="6"/>
  <c r="F73" i="4"/>
  <c r="F78" i="4" s="1"/>
  <c r="F79" i="4" s="1"/>
  <c r="F80" i="4" s="1"/>
  <c r="F81" i="4" s="1"/>
  <c r="E49" i="35" l="1"/>
  <c r="E49" i="39"/>
  <c r="E51" i="25"/>
  <c r="E52" i="34"/>
  <c r="E49" i="31"/>
  <c r="E51" i="29"/>
  <c r="E51" i="24"/>
  <c r="E51" i="22"/>
  <c r="H10" i="14"/>
  <c r="H17" i="14" s="1"/>
  <c r="M17" i="14"/>
  <c r="O20" i="84"/>
  <c r="O21" i="84"/>
  <c r="DM5" i="21"/>
  <c r="D59" i="6" s="1"/>
  <c r="I20" i="84"/>
  <c r="I21" i="84"/>
  <c r="DL5" i="21"/>
  <c r="D58" i="6" s="1"/>
  <c r="I20" i="83"/>
  <c r="I21" i="83"/>
  <c r="O20" i="83"/>
  <c r="O21" i="83"/>
  <c r="O20" i="82"/>
  <c r="O21" i="82"/>
  <c r="DK5" i="21"/>
  <c r="D57" i="6" s="1"/>
  <c r="I20" i="82"/>
  <c r="I21" i="82"/>
  <c r="O21" i="81"/>
  <c r="O20" i="81"/>
  <c r="DJ5" i="21"/>
  <c r="D56" i="6" s="1"/>
  <c r="I20" i="81"/>
  <c r="I21" i="81"/>
  <c r="DI5" i="21"/>
  <c r="D55" i="6" s="1"/>
  <c r="I20" i="80"/>
  <c r="I21" i="80"/>
  <c r="X12" i="80"/>
  <c r="H11" i="80"/>
  <c r="H57" i="80" s="1"/>
  <c r="I57" i="80" s="1"/>
  <c r="O20" i="80"/>
  <c r="O21" i="80"/>
  <c r="Z12" i="80"/>
  <c r="Z12" i="79"/>
  <c r="O20" i="79"/>
  <c r="O21" i="79"/>
  <c r="I20" i="79"/>
  <c r="I21" i="79"/>
  <c r="O21" i="78"/>
  <c r="O20" i="78"/>
  <c r="I20" i="78"/>
  <c r="I21" i="78"/>
  <c r="I20" i="77"/>
  <c r="I21" i="77"/>
  <c r="H9" i="77"/>
  <c r="X12" i="77"/>
  <c r="H11" i="77"/>
  <c r="H57" i="77" s="1"/>
  <c r="I57" i="77" s="1"/>
  <c r="O20" i="77"/>
  <c r="O21" i="77"/>
  <c r="N9" i="77"/>
  <c r="EY6" i="21" s="1"/>
  <c r="Z12" i="77"/>
  <c r="X12" i="76"/>
  <c r="I20" i="76"/>
  <c r="I21" i="76"/>
  <c r="I20" i="75"/>
  <c r="I21" i="75"/>
  <c r="P67" i="70"/>
  <c r="ER18" i="21" s="1"/>
  <c r="O14" i="51"/>
  <c r="L14" i="51"/>
  <c r="Z14" i="50"/>
  <c r="Y14" i="25"/>
  <c r="Y16" i="25"/>
  <c r="Y15" i="25"/>
  <c r="Z14" i="49"/>
  <c r="Z17" i="49"/>
  <c r="Z15" i="49"/>
  <c r="X17" i="48"/>
  <c r="X16" i="48"/>
  <c r="X15" i="48"/>
  <c r="X15" i="45"/>
  <c r="X14" i="45"/>
  <c r="X17" i="45"/>
  <c r="AW6" i="21"/>
  <c r="G27" i="6" s="1"/>
  <c r="M67" i="35"/>
  <c r="Z17" i="22"/>
  <c r="Y17" i="22"/>
  <c r="X17" i="22"/>
  <c r="Z17" i="26"/>
  <c r="N33" i="26" s="1"/>
  <c r="N57" i="75"/>
  <c r="O57" i="75" s="1"/>
  <c r="O64" i="75"/>
  <c r="P60" i="75" s="1"/>
  <c r="K57" i="75"/>
  <c r="L57" i="75" s="1"/>
  <c r="L64" i="75"/>
  <c r="M60" i="75" s="1"/>
  <c r="H57" i="75"/>
  <c r="I57" i="75" s="1"/>
  <c r="I64" i="75"/>
  <c r="J60" i="75" s="1"/>
  <c r="X15" i="76"/>
  <c r="X16" i="76"/>
  <c r="X13" i="76"/>
  <c r="X14" i="76"/>
  <c r="H31" i="76" s="1"/>
  <c r="H11" i="76"/>
  <c r="H57" i="76" s="1"/>
  <c r="I57" i="76" s="1"/>
  <c r="O60" i="12"/>
  <c r="F9" i="15" s="1"/>
  <c r="K11" i="15" s="1"/>
  <c r="M6" i="57"/>
  <c r="M13" i="57" s="1"/>
  <c r="P6" i="57"/>
  <c r="H6" i="57"/>
  <c r="K6" i="57"/>
  <c r="N6" i="57"/>
  <c r="O6" i="57"/>
  <c r="L6" i="57"/>
  <c r="Z16" i="79"/>
  <c r="Z14" i="79"/>
  <c r="N31" i="79" s="1"/>
  <c r="Z15" i="79"/>
  <c r="Z13" i="79"/>
  <c r="N11" i="79"/>
  <c r="N57" i="79" s="1"/>
  <c r="O57" i="79" s="1"/>
  <c r="DG5" i="21"/>
  <c r="D54" i="6" s="1"/>
  <c r="X12" i="79"/>
  <c r="Y16" i="40"/>
  <c r="K32" i="40" s="1"/>
  <c r="N16" i="13"/>
  <c r="N24" i="13"/>
  <c r="N17" i="13"/>
  <c r="N47" i="13"/>
  <c r="N18" i="13"/>
  <c r="N48" i="13"/>
  <c r="N19" i="13"/>
  <c r="N30" i="13"/>
  <c r="N31" i="13"/>
  <c r="N32" i="13"/>
  <c r="N25" i="13"/>
  <c r="N29" i="13"/>
  <c r="N49" i="13"/>
  <c r="N20" i="13"/>
  <c r="Q16" i="42" s="1"/>
  <c r="I16" i="42" s="1"/>
  <c r="N14" i="13"/>
  <c r="N22" i="13"/>
  <c r="N33" i="13"/>
  <c r="N15" i="13"/>
  <c r="Q15" i="50"/>
  <c r="I15" i="50" s="1"/>
  <c r="N34" i="13"/>
  <c r="M42" i="15"/>
  <c r="Y17" i="40"/>
  <c r="K33" i="40" s="1"/>
  <c r="Y15" i="40"/>
  <c r="K31" i="40" s="1"/>
  <c r="Y16" i="32"/>
  <c r="K32" i="32" s="1"/>
  <c r="Y15" i="32"/>
  <c r="K31" i="32" s="1"/>
  <c r="Y14" i="28"/>
  <c r="K30" i="28" s="1"/>
  <c r="Y17" i="28"/>
  <c r="K33" i="28" s="1"/>
  <c r="J13" i="51"/>
  <c r="H38" i="18"/>
  <c r="H37" i="18"/>
  <c r="E75" i="109"/>
  <c r="CR24" i="21"/>
  <c r="AF24" i="21"/>
  <c r="H35" i="18"/>
  <c r="O51" i="37"/>
  <c r="L57" i="38"/>
  <c r="Y15" i="47"/>
  <c r="K31" i="47" s="1"/>
  <c r="I52" i="48"/>
  <c r="O9" i="50"/>
  <c r="CS8" i="21" s="1"/>
  <c r="CS48" i="21" s="1"/>
  <c r="L57" i="51"/>
  <c r="O9" i="51"/>
  <c r="CT8" i="21" s="1"/>
  <c r="CT48" i="21" s="1"/>
  <c r="E57" i="81"/>
  <c r="E57" i="77"/>
  <c r="E57" i="75"/>
  <c r="E57" i="74"/>
  <c r="E57" i="84"/>
  <c r="E57" i="83"/>
  <c r="E57" i="82"/>
  <c r="E57" i="109"/>
  <c r="E57" i="79"/>
  <c r="E57" i="78"/>
  <c r="E57" i="76"/>
  <c r="E57" i="80"/>
  <c r="N53" i="75"/>
  <c r="O53" i="75" s="1"/>
  <c r="H53" i="75"/>
  <c r="I53" i="75" s="1"/>
  <c r="K53" i="75"/>
  <c r="L53" i="75" s="1"/>
  <c r="DE5" i="21"/>
  <c r="D52" i="6" s="1"/>
  <c r="H53" i="77"/>
  <c r="I53" i="77" s="1"/>
  <c r="M67" i="87"/>
  <c r="EM18" i="21" s="1"/>
  <c r="F155" i="18"/>
  <c r="O57" i="33"/>
  <c r="H108" i="67"/>
  <c r="N57" i="76"/>
  <c r="O57" i="76" s="1"/>
  <c r="DD5" i="21"/>
  <c r="D51" i="6" s="1"/>
  <c r="H53" i="76"/>
  <c r="I53" i="76" s="1"/>
  <c r="N53" i="77"/>
  <c r="O53" i="77" s="1"/>
  <c r="E48" i="87"/>
  <c r="E46" i="70"/>
  <c r="E47" i="109"/>
  <c r="E47" i="86"/>
  <c r="E55" i="109"/>
  <c r="E55" i="86"/>
  <c r="E55" i="78"/>
  <c r="E55" i="79"/>
  <c r="E54" i="75"/>
  <c r="E56" i="81"/>
  <c r="E55" i="82"/>
  <c r="E55" i="84"/>
  <c r="E54" i="83"/>
  <c r="E54" i="76"/>
  <c r="E55" i="77"/>
  <c r="E54" i="80"/>
  <c r="E53" i="74"/>
  <c r="E50" i="83"/>
  <c r="E54" i="81"/>
  <c r="E51" i="87"/>
  <c r="E52" i="87"/>
  <c r="E51" i="109"/>
  <c r="E52" i="81"/>
  <c r="E52" i="109"/>
  <c r="E52" i="79"/>
  <c r="E54" i="85"/>
  <c r="E51" i="82"/>
  <c r="E50" i="72"/>
  <c r="E51" i="84"/>
  <c r="E52" i="78"/>
  <c r="E53" i="81"/>
  <c r="E48" i="85"/>
  <c r="E54" i="109"/>
  <c r="E53" i="76"/>
  <c r="E53" i="80"/>
  <c r="E55" i="85"/>
  <c r="E54" i="84"/>
  <c r="E54" i="86"/>
  <c r="E53" i="75"/>
  <c r="E53" i="77"/>
  <c r="E54" i="78"/>
  <c r="E54" i="82"/>
  <c r="E54" i="79"/>
  <c r="E55" i="81"/>
  <c r="E53" i="83"/>
  <c r="E52" i="74"/>
  <c r="E50" i="89"/>
  <c r="E51" i="72"/>
  <c r="F64" i="101"/>
  <c r="F62" i="109"/>
  <c r="R4" i="62"/>
  <c r="H33" i="22"/>
  <c r="H32" i="27"/>
  <c r="K32" i="25"/>
  <c r="K32" i="51"/>
  <c r="J108" i="67"/>
  <c r="F108" i="67"/>
  <c r="H93" i="67"/>
  <c r="H94" i="67"/>
  <c r="H123" i="67"/>
  <c r="H32" i="46"/>
  <c r="N33" i="38"/>
  <c r="H31" i="46"/>
  <c r="N31" i="39"/>
  <c r="K30" i="39"/>
  <c r="N30" i="38"/>
  <c r="H33" i="45"/>
  <c r="X15" i="40"/>
  <c r="H31" i="40" s="1"/>
  <c r="Z14" i="24"/>
  <c r="N30" i="24" s="1"/>
  <c r="Y16" i="34"/>
  <c r="K32" i="34" s="1"/>
  <c r="Y15" i="38"/>
  <c r="K31" i="38" s="1"/>
  <c r="X16" i="39"/>
  <c r="H32" i="39" s="1"/>
  <c r="Z17" i="45"/>
  <c r="N33" i="45" s="1"/>
  <c r="H32" i="48"/>
  <c r="K32" i="31"/>
  <c r="Z15" i="43"/>
  <c r="N31" i="43" s="1"/>
  <c r="N31" i="49"/>
  <c r="Z15" i="50"/>
  <c r="N31" i="50" s="1"/>
  <c r="Z15" i="27"/>
  <c r="N31" i="27" s="1"/>
  <c r="X16" i="32"/>
  <c r="H32" i="32" s="1"/>
  <c r="X15" i="33"/>
  <c r="H31" i="33" s="1"/>
  <c r="Z17" i="36"/>
  <c r="N33" i="36" s="1"/>
  <c r="Y14" i="41"/>
  <c r="K30" i="41" s="1"/>
  <c r="N30" i="49"/>
  <c r="Z17" i="46"/>
  <c r="N33" i="46" s="1"/>
  <c r="Y17" i="23"/>
  <c r="K33" i="23" s="1"/>
  <c r="X15" i="35"/>
  <c r="X17" i="36"/>
  <c r="H33" i="36" s="1"/>
  <c r="Z16" i="39"/>
  <c r="N32" i="39" s="1"/>
  <c r="X17" i="23"/>
  <c r="H33" i="23" s="1"/>
  <c r="X16" i="25"/>
  <c r="H32" i="25" s="1"/>
  <c r="Y17" i="39"/>
  <c r="K33" i="39" s="1"/>
  <c r="Y14" i="23"/>
  <c r="K30" i="23" s="1"/>
  <c r="Z17" i="23"/>
  <c r="N33" i="23" s="1"/>
  <c r="B2" i="101"/>
  <c r="B2" i="109"/>
  <c r="J37" i="6"/>
  <c r="G93" i="67"/>
  <c r="G94" i="67"/>
  <c r="G6" i="21"/>
  <c r="D17" i="6" s="1"/>
  <c r="X14" i="27"/>
  <c r="H30" i="27" s="1"/>
  <c r="BU6" i="21"/>
  <c r="J19" i="6" s="1"/>
  <c r="O51" i="28"/>
  <c r="Z17" i="30"/>
  <c r="N33" i="30" s="1"/>
  <c r="O57" i="32"/>
  <c r="X15" i="32"/>
  <c r="H31" i="32" s="1"/>
  <c r="I51" i="36"/>
  <c r="Y17" i="36"/>
  <c r="K33" i="36" s="1"/>
  <c r="Z16" i="37"/>
  <c r="N32" i="37" s="1"/>
  <c r="L57" i="39"/>
  <c r="Z16" i="43"/>
  <c r="N32" i="43" s="1"/>
  <c r="X14" i="46"/>
  <c r="H30" i="46" s="1"/>
  <c r="X14" i="48"/>
  <c r="H30" i="48" s="1"/>
  <c r="E49" i="72"/>
  <c r="E51" i="75"/>
  <c r="E51" i="77"/>
  <c r="E51" i="79"/>
  <c r="E51" i="81"/>
  <c r="E51" i="71"/>
  <c r="E48" i="89"/>
  <c r="E51" i="76"/>
  <c r="E51" i="78"/>
  <c r="E51" i="80"/>
  <c r="E51" i="74"/>
  <c r="E51" i="73"/>
  <c r="E51" i="70"/>
  <c r="E48" i="90"/>
  <c r="E47" i="101"/>
  <c r="E46" i="87"/>
  <c r="DC5" i="21"/>
  <c r="D50" i="6" s="1"/>
  <c r="X12" i="75"/>
  <c r="FD5" i="21"/>
  <c r="J56" i="6" s="1"/>
  <c r="N30" i="81"/>
  <c r="Z16" i="82"/>
  <c r="N33" i="82" s="1"/>
  <c r="Z15" i="82"/>
  <c r="Z17" i="82"/>
  <c r="Z14" i="82"/>
  <c r="N31" i="82" s="1"/>
  <c r="J67" i="89"/>
  <c r="DS18" i="21" s="1"/>
  <c r="AJ6" i="21"/>
  <c r="G14" i="6" s="1"/>
  <c r="Y17" i="26"/>
  <c r="K33" i="26" s="1"/>
  <c r="K54" i="47"/>
  <c r="L54" i="47" s="1"/>
  <c r="M57" i="50"/>
  <c r="E49" i="87"/>
  <c r="E53" i="82"/>
  <c r="E53" i="84"/>
  <c r="E53" i="86"/>
  <c r="E51" i="85"/>
  <c r="E56" i="87"/>
  <c r="E52" i="83"/>
  <c r="EX5" i="21"/>
  <c r="J51" i="6" s="1"/>
  <c r="N30" i="76"/>
  <c r="FA5" i="21"/>
  <c r="J54" i="6" s="1"/>
  <c r="N30" i="79"/>
  <c r="Y14" i="82"/>
  <c r="Y16" i="82"/>
  <c r="K33" i="82" s="1"/>
  <c r="Y15" i="82"/>
  <c r="K32" i="82" s="1"/>
  <c r="Y17" i="82"/>
  <c r="Y16" i="22"/>
  <c r="K32" i="22" s="1"/>
  <c r="D6" i="21"/>
  <c r="G8" i="8" s="1"/>
  <c r="O57" i="27"/>
  <c r="Z16" i="30"/>
  <c r="N32" i="30" s="1"/>
  <c r="H30" i="45"/>
  <c r="X14" i="47"/>
  <c r="H30" i="47" s="1"/>
  <c r="H53" i="49"/>
  <c r="L57" i="50"/>
  <c r="N32" i="50"/>
  <c r="E51" i="83"/>
  <c r="E52" i="82"/>
  <c r="E52" i="84"/>
  <c r="E52" i="86"/>
  <c r="E53" i="85"/>
  <c r="E46" i="75"/>
  <c r="E46" i="77"/>
  <c r="E46" i="79"/>
  <c r="E46" i="81"/>
  <c r="E47" i="76"/>
  <c r="E47" i="78"/>
  <c r="E47" i="80"/>
  <c r="E47" i="74"/>
  <c r="E47" i="73"/>
  <c r="E47" i="70"/>
  <c r="E46" i="76"/>
  <c r="E46" i="78"/>
  <c r="E46" i="80"/>
  <c r="E50" i="85"/>
  <c r="E46" i="74"/>
  <c r="E46" i="73"/>
  <c r="E47" i="75"/>
  <c r="E47" i="77"/>
  <c r="E47" i="79"/>
  <c r="E47" i="81"/>
  <c r="E47" i="71"/>
  <c r="E46" i="71"/>
  <c r="FC5" i="21"/>
  <c r="J55" i="6" s="1"/>
  <c r="N30" i="80"/>
  <c r="X17" i="82"/>
  <c r="X14" i="82"/>
  <c r="H31" i="82" s="1"/>
  <c r="X16" i="82"/>
  <c r="X15" i="82"/>
  <c r="H155" i="18"/>
  <c r="AK6" i="21"/>
  <c r="G15" i="6" s="1"/>
  <c r="X16" i="24"/>
  <c r="H32" i="24" s="1"/>
  <c r="X15" i="25"/>
  <c r="H31" i="25" s="1"/>
  <c r="O57" i="26"/>
  <c r="H31" i="29"/>
  <c r="O57" i="31"/>
  <c r="Z14" i="34"/>
  <c r="N30" i="34" s="1"/>
  <c r="J57" i="36"/>
  <c r="L57" i="40"/>
  <c r="L57" i="44"/>
  <c r="K52" i="46"/>
  <c r="L52" i="46" s="1"/>
  <c r="L57" i="48"/>
  <c r="K53" i="49"/>
  <c r="BK6" i="21"/>
  <c r="G41" i="6" s="1"/>
  <c r="X16" i="50"/>
  <c r="H32" i="50" s="1"/>
  <c r="I122" i="67"/>
  <c r="P67" i="73"/>
  <c r="EU18" i="21" s="1"/>
  <c r="L9" i="50"/>
  <c r="BM8" i="21" s="1"/>
  <c r="BM6" i="21"/>
  <c r="L9" i="51"/>
  <c r="BN6" i="21"/>
  <c r="X15" i="22"/>
  <c r="H31" i="22" s="1"/>
  <c r="X14" i="22"/>
  <c r="H30" i="22" s="1"/>
  <c r="Z15" i="23"/>
  <c r="N31" i="23" s="1"/>
  <c r="X15" i="24"/>
  <c r="H31" i="24" s="1"/>
  <c r="Z15" i="26"/>
  <c r="N31" i="26" s="1"/>
  <c r="I50" i="29"/>
  <c r="X14" i="33"/>
  <c r="H30" i="33" s="1"/>
  <c r="Z17" i="34"/>
  <c r="N33" i="34" s="1"/>
  <c r="K30" i="34"/>
  <c r="P57" i="37"/>
  <c r="Z14" i="41"/>
  <c r="N30" i="41" s="1"/>
  <c r="Z14" i="43"/>
  <c r="N30" i="43" s="1"/>
  <c r="Y14" i="43"/>
  <c r="K30" i="43" s="1"/>
  <c r="Y14" i="44"/>
  <c r="K30" i="44" s="1"/>
  <c r="M57" i="45"/>
  <c r="M57" i="49"/>
  <c r="I9" i="50"/>
  <c r="AG8" i="21" s="1"/>
  <c r="AG48" i="21" s="1"/>
  <c r="I9" i="51"/>
  <c r="E49" i="85"/>
  <c r="E50" i="84"/>
  <c r="E50" i="86"/>
  <c r="E50" i="76"/>
  <c r="E50" i="78"/>
  <c r="E50" i="80"/>
  <c r="E50" i="82"/>
  <c r="E48" i="83"/>
  <c r="E50" i="75"/>
  <c r="E50" i="77"/>
  <c r="E50" i="79"/>
  <c r="E50" i="81"/>
  <c r="E50" i="71"/>
  <c r="E50" i="70"/>
  <c r="E50" i="73"/>
  <c r="E50" i="74"/>
  <c r="E46" i="83"/>
  <c r="E46" i="72"/>
  <c r="E47" i="84"/>
  <c r="E48" i="75"/>
  <c r="E48" i="77"/>
  <c r="E48" i="79"/>
  <c r="E48" i="81"/>
  <c r="E48" i="71"/>
  <c r="E48" i="70"/>
  <c r="E46" i="82"/>
  <c r="E46" i="90"/>
  <c r="E48" i="76"/>
  <c r="E48" i="78"/>
  <c r="E48" i="80"/>
  <c r="E48" i="74"/>
  <c r="E48" i="73"/>
  <c r="E46" i="89"/>
  <c r="G123" i="67"/>
  <c r="H31" i="81"/>
  <c r="N30" i="82"/>
  <c r="FE5" i="21"/>
  <c r="J57" i="6" s="1"/>
  <c r="AN6" i="21"/>
  <c r="G18" i="6" s="1"/>
  <c r="X17" i="29"/>
  <c r="H33" i="29" s="1"/>
  <c r="Z14" i="30"/>
  <c r="N30" i="30" s="1"/>
  <c r="E49" i="34"/>
  <c r="Z14" i="35"/>
  <c r="N30" i="35" s="1"/>
  <c r="Z14" i="36"/>
  <c r="N30" i="36" s="1"/>
  <c r="X14" i="36"/>
  <c r="H30" i="36" s="1"/>
  <c r="O57" i="37"/>
  <c r="Z17" i="37"/>
  <c r="N33" i="37" s="1"/>
  <c r="Z17" i="39"/>
  <c r="N33" i="39" s="1"/>
  <c r="L57" i="43"/>
  <c r="X17" i="43"/>
  <c r="H33" i="43" s="1"/>
  <c r="H30" i="44"/>
  <c r="Z17" i="47"/>
  <c r="N33" i="47" s="1"/>
  <c r="L57" i="49"/>
  <c r="E49" i="86"/>
  <c r="E47" i="83"/>
  <c r="E48" i="82"/>
  <c r="E48" i="84"/>
  <c r="E49" i="75"/>
  <c r="E49" i="77"/>
  <c r="E49" i="79"/>
  <c r="E49" i="81"/>
  <c r="E49" i="71"/>
  <c r="E49" i="70"/>
  <c r="E49" i="74"/>
  <c r="E49" i="76"/>
  <c r="E49" i="78"/>
  <c r="E49" i="80"/>
  <c r="E49" i="73"/>
  <c r="E47" i="89"/>
  <c r="E47" i="72"/>
  <c r="H11" i="74"/>
  <c r="H57" i="74" s="1"/>
  <c r="I57" i="74" s="1"/>
  <c r="DB5" i="21"/>
  <c r="D49" i="6" s="1"/>
  <c r="X12" i="74"/>
  <c r="EY5" i="21"/>
  <c r="J52" i="6" s="1"/>
  <c r="N30" i="77"/>
  <c r="EZ5" i="21"/>
  <c r="J53" i="6" s="1"/>
  <c r="Z12" i="78"/>
  <c r="N30" i="78"/>
  <c r="P67" i="89"/>
  <c r="FM18" i="21" s="1"/>
  <c r="F5" i="8"/>
  <c r="Z14" i="23"/>
  <c r="N30" i="23" s="1"/>
  <c r="O57" i="24"/>
  <c r="X14" i="24"/>
  <c r="H30" i="24" s="1"/>
  <c r="Z14" i="26"/>
  <c r="N30" i="26" s="1"/>
  <c r="O57" i="29"/>
  <c r="X17" i="33"/>
  <c r="H33" i="33" s="1"/>
  <c r="Y17" i="34"/>
  <c r="K33" i="34" s="1"/>
  <c r="O57" i="41"/>
  <c r="Y15" i="41"/>
  <c r="K31" i="41" s="1"/>
  <c r="Y17" i="44"/>
  <c r="K33" i="44" s="1"/>
  <c r="X17" i="44"/>
  <c r="H33" i="44" s="1"/>
  <c r="H31" i="48"/>
  <c r="N70" i="50"/>
  <c r="P69" i="50" s="1"/>
  <c r="CS19" i="21" s="1"/>
  <c r="Z17" i="50"/>
  <c r="N33" i="50" s="1"/>
  <c r="P7" i="50"/>
  <c r="P7" i="51"/>
  <c r="E50" i="101"/>
  <c r="E49" i="83"/>
  <c r="E48" i="72"/>
  <c r="E49" i="82"/>
  <c r="E49" i="84"/>
  <c r="E51" i="86"/>
  <c r="E52" i="85"/>
  <c r="E46" i="85"/>
  <c r="E46" i="86"/>
  <c r="DF5" i="21"/>
  <c r="D53" i="6" s="1"/>
  <c r="X12" i="78"/>
  <c r="D59" i="62"/>
  <c r="L40" i="99"/>
  <c r="D57" i="62"/>
  <c r="L38" i="99"/>
  <c r="D42" i="62"/>
  <c r="L28" i="99"/>
  <c r="F64" i="22"/>
  <c r="F64" i="85"/>
  <c r="D72" i="62"/>
  <c r="L50" i="99"/>
  <c r="D58" i="62"/>
  <c r="L39" i="99"/>
  <c r="D41" i="62"/>
  <c r="L27" i="99"/>
  <c r="E48" i="22"/>
  <c r="D86" i="62"/>
  <c r="L64" i="99"/>
  <c r="D82" i="62"/>
  <c r="L60" i="99"/>
  <c r="D46" i="62"/>
  <c r="L30" i="99"/>
  <c r="D31" i="62"/>
  <c r="L19" i="99"/>
  <c r="F62" i="73"/>
  <c r="F62" i="77"/>
  <c r="F62" i="81"/>
  <c r="F62" i="85"/>
  <c r="F62" i="89"/>
  <c r="F62" i="91"/>
  <c r="F62" i="71"/>
  <c r="F62" i="72"/>
  <c r="F62" i="76"/>
  <c r="F62" i="80"/>
  <c r="F62" i="84"/>
  <c r="F62" i="79"/>
  <c r="F62" i="83"/>
  <c r="F62" i="87"/>
  <c r="F62" i="90"/>
  <c r="F62" i="74"/>
  <c r="F62" i="78"/>
  <c r="F62" i="82"/>
  <c r="D83" i="62"/>
  <c r="L61" i="99"/>
  <c r="D32" i="62"/>
  <c r="L20" i="99"/>
  <c r="P53" i="40"/>
  <c r="M54" i="25"/>
  <c r="I55" i="25"/>
  <c r="J55" i="32"/>
  <c r="P56" i="33"/>
  <c r="O55" i="25"/>
  <c r="P52" i="22"/>
  <c r="I48" i="51"/>
  <c r="M53" i="34"/>
  <c r="I55" i="26"/>
  <c r="L49" i="33"/>
  <c r="I56" i="37"/>
  <c r="P55" i="37"/>
  <c r="J52" i="45"/>
  <c r="J52" i="50"/>
  <c r="O55" i="26"/>
  <c r="I50" i="27"/>
  <c r="J54" i="30"/>
  <c r="M56" i="37"/>
  <c r="P52" i="45"/>
  <c r="L46" i="46"/>
  <c r="L56" i="51"/>
  <c r="L57" i="29"/>
  <c r="L57" i="31"/>
  <c r="L53" i="31"/>
  <c r="I50" i="31"/>
  <c r="L55" i="32"/>
  <c r="I49" i="38"/>
  <c r="M52" i="44"/>
  <c r="L53" i="47"/>
  <c r="M52" i="50"/>
  <c r="M56" i="51"/>
  <c r="I46" i="51"/>
  <c r="M53" i="24"/>
  <c r="M55" i="26"/>
  <c r="L49" i="28"/>
  <c r="P56" i="31"/>
  <c r="P53" i="31"/>
  <c r="I56" i="32"/>
  <c r="P55" i="32"/>
  <c r="P54" i="36"/>
  <c r="I53" i="39"/>
  <c r="P52" i="44"/>
  <c r="O49" i="51"/>
  <c r="P54" i="28"/>
  <c r="L53" i="24"/>
  <c r="M52" i="24"/>
  <c r="O54" i="27"/>
  <c r="M53" i="27"/>
  <c r="O49" i="27"/>
  <c r="M54" i="28"/>
  <c r="L50" i="28"/>
  <c r="O55" i="30"/>
  <c r="I49" i="35"/>
  <c r="O46" i="35"/>
  <c r="L54" i="36"/>
  <c r="L48" i="38"/>
  <c r="L53" i="40"/>
  <c r="J52" i="40"/>
  <c r="L53" i="46"/>
  <c r="I49" i="47"/>
  <c r="L46" i="47"/>
  <c r="O52" i="48"/>
  <c r="O55" i="22"/>
  <c r="J53" i="23"/>
  <c r="I47" i="26"/>
  <c r="I55" i="30"/>
  <c r="P54" i="30"/>
  <c r="O52" i="33"/>
  <c r="L48" i="33"/>
  <c r="L56" i="35"/>
  <c r="L57" i="37"/>
  <c r="O53" i="38"/>
  <c r="L50" i="43"/>
  <c r="I53" i="51"/>
  <c r="O48" i="51"/>
  <c r="H32" i="8"/>
  <c r="O50" i="12"/>
  <c r="C2" i="6"/>
  <c r="H2" i="10"/>
  <c r="B2" i="8"/>
  <c r="J6" i="15"/>
  <c r="I2" i="7"/>
  <c r="H32" i="10"/>
  <c r="B2" i="10"/>
  <c r="H2" i="8"/>
  <c r="B3" i="58"/>
  <c r="B3" i="57"/>
  <c r="F5" i="10"/>
  <c r="I5" i="10"/>
  <c r="I5" i="8"/>
  <c r="G5" i="8"/>
  <c r="H5" i="8"/>
  <c r="D5" i="8"/>
  <c r="N40" i="58"/>
  <c r="H31" i="44"/>
  <c r="Z14" i="28"/>
  <c r="N30" i="28" s="1"/>
  <c r="O52" i="37"/>
  <c r="Y16" i="38"/>
  <c r="K32" i="38" s="1"/>
  <c r="O54" i="23"/>
  <c r="J52" i="24"/>
  <c r="J54" i="25"/>
  <c r="J53" i="25"/>
  <c r="K30" i="25"/>
  <c r="I51" i="26"/>
  <c r="Y14" i="26"/>
  <c r="K30" i="26" s="1"/>
  <c r="O50" i="27"/>
  <c r="I49" i="27"/>
  <c r="Y16" i="27"/>
  <c r="K32" i="27" s="1"/>
  <c r="O55" i="28"/>
  <c r="X17" i="30"/>
  <c r="H33" i="30" s="1"/>
  <c r="O55" i="32"/>
  <c r="J56" i="33"/>
  <c r="L52" i="33"/>
  <c r="Z14" i="33"/>
  <c r="N30" i="33" s="1"/>
  <c r="I51" i="35"/>
  <c r="M54" i="36"/>
  <c r="H32" i="36"/>
  <c r="L52" i="37"/>
  <c r="I51" i="37"/>
  <c r="L48" i="37"/>
  <c r="L53" i="38"/>
  <c r="M52" i="38"/>
  <c r="I56" i="39"/>
  <c r="Z14" i="39"/>
  <c r="N30" i="39" s="1"/>
  <c r="X17" i="40"/>
  <c r="H33" i="40" s="1"/>
  <c r="L50" i="41"/>
  <c r="P56" i="43"/>
  <c r="M53" i="43"/>
  <c r="Y15" i="44"/>
  <c r="K31" i="44" s="1"/>
  <c r="O55" i="45"/>
  <c r="M54" i="45"/>
  <c r="P53" i="45"/>
  <c r="I46" i="46"/>
  <c r="I46" i="47"/>
  <c r="X15" i="47"/>
  <c r="H31" i="47" s="1"/>
  <c r="L46" i="48"/>
  <c r="M55" i="49"/>
  <c r="X17" i="49"/>
  <c r="H33" i="49" s="1"/>
  <c r="Z16" i="49"/>
  <c r="N32" i="49" s="1"/>
  <c r="X17" i="50"/>
  <c r="H33" i="50" s="1"/>
  <c r="P56" i="51"/>
  <c r="I49" i="51"/>
  <c r="Z16" i="51"/>
  <c r="N32" i="51" s="1"/>
  <c r="Z16" i="26"/>
  <c r="N32" i="26" s="1"/>
  <c r="Z16" i="27"/>
  <c r="N32" i="27" s="1"/>
  <c r="X15" i="31"/>
  <c r="H31" i="31" s="1"/>
  <c r="Y14" i="51"/>
  <c r="K30" i="51" s="1"/>
  <c r="I53" i="22"/>
  <c r="L54" i="23"/>
  <c r="O52" i="23"/>
  <c r="Y16" i="24"/>
  <c r="K32" i="24" s="1"/>
  <c r="P55" i="26"/>
  <c r="L55" i="28"/>
  <c r="M56" i="29"/>
  <c r="P53" i="30"/>
  <c r="H32" i="30"/>
  <c r="Y17" i="37"/>
  <c r="K33" i="37" s="1"/>
  <c r="L52" i="38"/>
  <c r="Y17" i="38"/>
  <c r="K33" i="38" s="1"/>
  <c r="O46" i="40"/>
  <c r="L55" i="41"/>
  <c r="L54" i="42"/>
  <c r="H33" i="42"/>
  <c r="M56" i="43"/>
  <c r="M53" i="45"/>
  <c r="H33" i="47"/>
  <c r="O56" i="51"/>
  <c r="Z15" i="51"/>
  <c r="N31" i="51" s="1"/>
  <c r="Z16" i="42"/>
  <c r="N32" i="42" s="1"/>
  <c r="Z14" i="27"/>
  <c r="N30" i="27" s="1"/>
  <c r="P55" i="29"/>
  <c r="X16" i="31"/>
  <c r="H32" i="31" s="1"/>
  <c r="Z16" i="35"/>
  <c r="N32" i="35" s="1"/>
  <c r="L49" i="36"/>
  <c r="I46" i="36"/>
  <c r="N31" i="36"/>
  <c r="L51" i="37"/>
  <c r="L47" i="37"/>
  <c r="X17" i="37"/>
  <c r="H33" i="37" s="1"/>
  <c r="X17" i="38"/>
  <c r="H33" i="38" s="1"/>
  <c r="O53" i="39"/>
  <c r="I49" i="39"/>
  <c r="X17" i="39"/>
  <c r="H33" i="39" s="1"/>
  <c r="I46" i="40"/>
  <c r="L49" i="41"/>
  <c r="Z15" i="41"/>
  <c r="N31" i="41" s="1"/>
  <c r="K31" i="43"/>
  <c r="L52" i="44"/>
  <c r="K32" i="44"/>
  <c r="Z14" i="45"/>
  <c r="N30" i="45" s="1"/>
  <c r="Z14" i="46"/>
  <c r="N30" i="46" s="1"/>
  <c r="Y17" i="47"/>
  <c r="K33" i="47" s="1"/>
  <c r="P49" i="50"/>
  <c r="B94" i="14"/>
  <c r="B95" i="14" s="1"/>
  <c r="B96" i="14" s="1"/>
  <c r="B97" i="14" s="1"/>
  <c r="B98" i="14" s="1"/>
  <c r="B99" i="14" s="1"/>
  <c r="B100" i="14" s="1"/>
  <c r="B101" i="14" s="1"/>
  <c r="B102" i="14" s="1"/>
  <c r="B103" i="14" s="1"/>
  <c r="B104" i="14" s="1"/>
  <c r="B105" i="14" s="1"/>
  <c r="B106" i="14" s="1"/>
  <c r="Z16" i="90"/>
  <c r="N33" i="90" s="1"/>
  <c r="Z17" i="90"/>
  <c r="Z14" i="90"/>
  <c r="N31" i="90" s="1"/>
  <c r="Z15" i="90"/>
  <c r="N32" i="90" s="1"/>
  <c r="Y14" i="85"/>
  <c r="K31" i="85" s="1"/>
  <c r="Y16" i="85"/>
  <c r="K33" i="85" s="1"/>
  <c r="Y15" i="85"/>
  <c r="K32" i="85" s="1"/>
  <c r="Y17" i="85"/>
  <c r="Z17" i="87"/>
  <c r="Z15" i="87"/>
  <c r="Z14" i="87"/>
  <c r="N31" i="87" s="1"/>
  <c r="Z16" i="87"/>
  <c r="N33" i="87" s="1"/>
  <c r="Y15" i="90"/>
  <c r="K32" i="90" s="1"/>
  <c r="Y16" i="90"/>
  <c r="K33" i="90" s="1"/>
  <c r="Y17" i="90"/>
  <c r="Y14" i="90"/>
  <c r="K31" i="90" s="1"/>
  <c r="Y15" i="86"/>
  <c r="Y16" i="86"/>
  <c r="Y17" i="86"/>
  <c r="Y14" i="86"/>
  <c r="X15" i="87"/>
  <c r="H32" i="87" s="1"/>
  <c r="X17" i="87"/>
  <c r="X16" i="87"/>
  <c r="X14" i="87"/>
  <c r="H31" i="87" s="1"/>
  <c r="X17" i="89"/>
  <c r="X14" i="89"/>
  <c r="H31" i="89" s="1"/>
  <c r="X15" i="89"/>
  <c r="H32" i="89" s="1"/>
  <c r="X16" i="89"/>
  <c r="H33" i="89" s="1"/>
  <c r="H9" i="91"/>
  <c r="I9" i="91" s="1"/>
  <c r="H70" i="91" s="1"/>
  <c r="J69" i="91" s="1"/>
  <c r="Z15" i="85"/>
  <c r="N32" i="85" s="1"/>
  <c r="Z17" i="85"/>
  <c r="Z16" i="85"/>
  <c r="N33" i="85" s="1"/>
  <c r="Z14" i="85"/>
  <c r="N31" i="85" s="1"/>
  <c r="X14" i="86"/>
  <c r="X15" i="86"/>
  <c r="X16" i="86"/>
  <c r="H33" i="86" s="1"/>
  <c r="X17" i="86"/>
  <c r="Z17" i="91"/>
  <c r="Z14" i="91"/>
  <c r="N31" i="91" s="1"/>
  <c r="Z15" i="91"/>
  <c r="N32" i="91" s="1"/>
  <c r="Z16" i="91"/>
  <c r="N33" i="91" s="1"/>
  <c r="Z15" i="89"/>
  <c r="N32" i="89" s="1"/>
  <c r="Z16" i="89"/>
  <c r="N33" i="89" s="1"/>
  <c r="Z17" i="89"/>
  <c r="Z14" i="89"/>
  <c r="N31" i="89" s="1"/>
  <c r="Y16" i="91"/>
  <c r="K33" i="91" s="1"/>
  <c r="Y14" i="91"/>
  <c r="Y17" i="91"/>
  <c r="Y15" i="91"/>
  <c r="K32" i="91" s="1"/>
  <c r="X17" i="85"/>
  <c r="X15" i="85"/>
  <c r="X14" i="85"/>
  <c r="H31" i="85" s="1"/>
  <c r="X16" i="85"/>
  <c r="Z16" i="86"/>
  <c r="N33" i="86" s="1"/>
  <c r="Z14" i="86"/>
  <c r="N31" i="86" s="1"/>
  <c r="Z17" i="86"/>
  <c r="Z15" i="86"/>
  <c r="Y16" i="87"/>
  <c r="Y14" i="87"/>
  <c r="Y17" i="87"/>
  <c r="Y15" i="87"/>
  <c r="K32" i="87" s="1"/>
  <c r="Y14" i="89"/>
  <c r="K31" i="89" s="1"/>
  <c r="Y16" i="89"/>
  <c r="K33" i="89" s="1"/>
  <c r="Y15" i="89"/>
  <c r="K32" i="89" s="1"/>
  <c r="Y17" i="89"/>
  <c r="X14" i="90"/>
  <c r="H31" i="90" s="1"/>
  <c r="X15" i="90"/>
  <c r="H32" i="90" s="1"/>
  <c r="X16" i="90"/>
  <c r="H33" i="90" s="1"/>
  <c r="X17" i="90"/>
  <c r="FL48" i="21"/>
  <c r="H30" i="91"/>
  <c r="X15" i="91"/>
  <c r="H32" i="91" s="1"/>
  <c r="X17" i="91"/>
  <c r="X16" i="91"/>
  <c r="H33" i="91" s="1"/>
  <c r="X14" i="91"/>
  <c r="H31" i="91" s="1"/>
  <c r="Z17" i="83"/>
  <c r="Z15" i="83"/>
  <c r="Z16" i="83"/>
  <c r="Z14" i="83"/>
  <c r="N31" i="83" s="1"/>
  <c r="H30" i="84"/>
  <c r="X16" i="84"/>
  <c r="X14" i="84"/>
  <c r="H31" i="84" s="1"/>
  <c r="X17" i="84"/>
  <c r="X15" i="84"/>
  <c r="H32" i="84" s="1"/>
  <c r="X15" i="83"/>
  <c r="X14" i="83"/>
  <c r="H31" i="83" s="1"/>
  <c r="X16" i="83"/>
  <c r="H33" i="83" s="1"/>
  <c r="X17" i="83"/>
  <c r="Y17" i="84"/>
  <c r="Y15" i="84"/>
  <c r="Y16" i="84"/>
  <c r="Y14" i="84"/>
  <c r="K31" i="84" s="1"/>
  <c r="N30" i="84"/>
  <c r="FG5" i="21"/>
  <c r="J59" i="6" s="1"/>
  <c r="Y16" i="83"/>
  <c r="K33" i="83" s="1"/>
  <c r="Y17" i="83"/>
  <c r="Y14" i="83"/>
  <c r="K31" i="83" s="1"/>
  <c r="Y15" i="83"/>
  <c r="N30" i="83"/>
  <c r="FF5" i="21"/>
  <c r="J58" i="6" s="1"/>
  <c r="Z14" i="84"/>
  <c r="Z16" i="84"/>
  <c r="N33" i="84" s="1"/>
  <c r="Z15" i="84"/>
  <c r="Z17" i="84"/>
  <c r="D42" i="6"/>
  <c r="E75" i="72"/>
  <c r="E75" i="74"/>
  <c r="E75" i="76"/>
  <c r="E75" i="78"/>
  <c r="E75" i="80"/>
  <c r="E75" i="90"/>
  <c r="E75" i="82"/>
  <c r="E75" i="84"/>
  <c r="E75" i="86"/>
  <c r="E75" i="91"/>
  <c r="E75" i="73"/>
  <c r="E75" i="75"/>
  <c r="E75" i="77"/>
  <c r="E75" i="79"/>
  <c r="E75" i="81"/>
  <c r="E75" i="70"/>
  <c r="E75" i="71"/>
  <c r="E75" i="83"/>
  <c r="E75" i="85"/>
  <c r="E75" i="87"/>
  <c r="E75" i="89"/>
  <c r="M67" i="90"/>
  <c r="EO18" i="21" s="1"/>
  <c r="X15" i="71"/>
  <c r="H32" i="71" s="1"/>
  <c r="X16" i="71"/>
  <c r="H33" i="71" s="1"/>
  <c r="X13" i="71"/>
  <c r="H30" i="71" s="1"/>
  <c r="X14" i="71"/>
  <c r="H31" i="71" s="1"/>
  <c r="Z15" i="71"/>
  <c r="Z16" i="71"/>
  <c r="Z13" i="71"/>
  <c r="Z14" i="71"/>
  <c r="Y15" i="71"/>
  <c r="Y16" i="71"/>
  <c r="Y13" i="71"/>
  <c r="Y14" i="71"/>
  <c r="P67" i="71"/>
  <c r="ES18" i="21" s="1"/>
  <c r="M67" i="71"/>
  <c r="DV18" i="21" s="1"/>
  <c r="O52" i="82"/>
  <c r="I52" i="84"/>
  <c r="M67" i="70"/>
  <c r="DU18" i="21" s="1"/>
  <c r="M67" i="72"/>
  <c r="DW18" i="21" s="1"/>
  <c r="DE6" i="21"/>
  <c r="J67" i="90"/>
  <c r="DR18" i="21" s="1"/>
  <c r="N10" i="80"/>
  <c r="N9" i="80" s="1"/>
  <c r="FC6" i="21" s="1"/>
  <c r="O51" i="83"/>
  <c r="M67" i="73"/>
  <c r="DX18" i="21" s="1"/>
  <c r="N9" i="76"/>
  <c r="EX6" i="21" s="1"/>
  <c r="I51" i="83"/>
  <c r="N9" i="84"/>
  <c r="FG6" i="21" s="1"/>
  <c r="P67" i="90"/>
  <c r="FL18" i="21" s="1"/>
  <c r="J67" i="87"/>
  <c r="DP18" i="21" s="1"/>
  <c r="N32" i="81"/>
  <c r="X14" i="70"/>
  <c r="H31" i="70" s="1"/>
  <c r="N33" i="83"/>
  <c r="Z13" i="70"/>
  <c r="N32" i="87"/>
  <c r="H31" i="86"/>
  <c r="K32" i="83"/>
  <c r="H9" i="83"/>
  <c r="DL6" i="21" s="1"/>
  <c r="L52" i="86"/>
  <c r="N33" i="75"/>
  <c r="N32" i="76"/>
  <c r="K33" i="80"/>
  <c r="N31" i="81"/>
  <c r="N9" i="83"/>
  <c r="FF6" i="21" s="1"/>
  <c r="L52" i="84"/>
  <c r="N31" i="76"/>
  <c r="N32" i="86"/>
  <c r="L9" i="70"/>
  <c r="DU8" i="21" s="1"/>
  <c r="DU48" i="21" s="1"/>
  <c r="N32" i="74"/>
  <c r="N33" i="81"/>
  <c r="H9" i="84"/>
  <c r="DM6" i="21" s="1"/>
  <c r="K31" i="91"/>
  <c r="N33" i="76"/>
  <c r="O57" i="22"/>
  <c r="L55" i="22"/>
  <c r="L52" i="22"/>
  <c r="M55" i="22"/>
  <c r="M52" i="22"/>
  <c r="O53" i="22"/>
  <c r="N31" i="75"/>
  <c r="K33" i="77"/>
  <c r="K31" i="78"/>
  <c r="K31" i="82"/>
  <c r="O9" i="90"/>
  <c r="FL8" i="21" s="1"/>
  <c r="N32" i="75"/>
  <c r="N33" i="79"/>
  <c r="H33" i="82"/>
  <c r="H32" i="83"/>
  <c r="L9" i="71"/>
  <c r="H10" i="80"/>
  <c r="H9" i="80" s="1"/>
  <c r="DI6" i="21" s="1"/>
  <c r="I52" i="82"/>
  <c r="I9" i="71"/>
  <c r="O9" i="73"/>
  <c r="EU8" i="21" s="1"/>
  <c r="EU48" i="21" s="1"/>
  <c r="N31" i="74"/>
  <c r="K32" i="76"/>
  <c r="K31" i="76"/>
  <c r="K33" i="76"/>
  <c r="N32" i="79"/>
  <c r="K31" i="81"/>
  <c r="K33" i="81"/>
  <c r="K32" i="81"/>
  <c r="N9" i="81"/>
  <c r="FD6" i="21" s="1"/>
  <c r="L9" i="73"/>
  <c r="K31" i="75"/>
  <c r="K33" i="75"/>
  <c r="K32" i="75"/>
  <c r="N32" i="82"/>
  <c r="O9" i="71"/>
  <c r="L9" i="72"/>
  <c r="DW8" i="21" s="1"/>
  <c r="DW48" i="21" s="1"/>
  <c r="I12" i="78"/>
  <c r="H33" i="84"/>
  <c r="O9" i="89"/>
  <c r="FM8" i="21" s="1"/>
  <c r="FM48" i="21" s="1"/>
  <c r="L9" i="90"/>
  <c r="EO8" i="21" s="1"/>
  <c r="EO48" i="21" s="1"/>
  <c r="O9" i="72"/>
  <c r="ET8" i="21" s="1"/>
  <c r="ET48" i="21" s="1"/>
  <c r="H9" i="75"/>
  <c r="DC6" i="21" s="1"/>
  <c r="N9" i="82"/>
  <c r="FE6" i="21" s="1"/>
  <c r="H30" i="83"/>
  <c r="K33" i="87"/>
  <c r="K31" i="87"/>
  <c r="L9" i="89"/>
  <c r="EP8" i="21" s="1"/>
  <c r="EP48" i="21" s="1"/>
  <c r="I9" i="90"/>
  <c r="DR8" i="21" s="1"/>
  <c r="DR48" i="21" s="1"/>
  <c r="I9" i="72"/>
  <c r="CZ8" i="21" s="1"/>
  <c r="CZ48" i="21" s="1"/>
  <c r="I9" i="89"/>
  <c r="DS8" i="21" s="1"/>
  <c r="DS48" i="21" s="1"/>
  <c r="I9" i="70"/>
  <c r="CX8" i="21" s="1"/>
  <c r="CX48" i="21" s="1"/>
  <c r="O9" i="70"/>
  <c r="ER8" i="21" s="1"/>
  <c r="ER48" i="21" s="1"/>
  <c r="Z14" i="70"/>
  <c r="Z15" i="70"/>
  <c r="P56" i="24"/>
  <c r="L46" i="24"/>
  <c r="I46" i="24"/>
  <c r="I49" i="25"/>
  <c r="O49" i="25"/>
  <c r="L56" i="26"/>
  <c r="O56" i="26"/>
  <c r="L50" i="26"/>
  <c r="I50" i="26"/>
  <c r="L56" i="29"/>
  <c r="O56" i="29"/>
  <c r="I54" i="30"/>
  <c r="L54" i="30"/>
  <c r="L54" i="31"/>
  <c r="O54" i="31"/>
  <c r="M55" i="33"/>
  <c r="J55" i="33"/>
  <c r="O47" i="34"/>
  <c r="I47" i="34"/>
  <c r="O52" i="35"/>
  <c r="L52" i="35"/>
  <c r="L50" i="35"/>
  <c r="I50" i="35"/>
  <c r="J52" i="36"/>
  <c r="P52" i="36"/>
  <c r="O53" i="37"/>
  <c r="J55" i="39"/>
  <c r="P55" i="39"/>
  <c r="I52" i="39"/>
  <c r="L52" i="39"/>
  <c r="O51" i="45"/>
  <c r="P57" i="46"/>
  <c r="L52" i="47"/>
  <c r="I52" i="47"/>
  <c r="I53" i="50"/>
  <c r="O53" i="50"/>
  <c r="L50" i="50"/>
  <c r="J52" i="51"/>
  <c r="M52" i="51"/>
  <c r="M51" i="51"/>
  <c r="P51" i="51"/>
  <c r="J51" i="51"/>
  <c r="O56" i="23"/>
  <c r="J56" i="24"/>
  <c r="O49" i="24"/>
  <c r="I54" i="28"/>
  <c r="L54" i="28"/>
  <c r="M52" i="29"/>
  <c r="I47" i="29"/>
  <c r="O47" i="29"/>
  <c r="J53" i="31"/>
  <c r="L49" i="31"/>
  <c r="I49" i="31"/>
  <c r="I53" i="33"/>
  <c r="O53" i="33"/>
  <c r="I46" i="33"/>
  <c r="O46" i="33"/>
  <c r="L54" i="34"/>
  <c r="O51" i="34"/>
  <c r="I51" i="34"/>
  <c r="M57" i="35"/>
  <c r="J56" i="36"/>
  <c r="M56" i="36"/>
  <c r="I55" i="36"/>
  <c r="P53" i="36"/>
  <c r="J53" i="36"/>
  <c r="L56" i="37"/>
  <c r="I46" i="38"/>
  <c r="O46" i="38"/>
  <c r="M53" i="40"/>
  <c r="I47" i="42"/>
  <c r="O47" i="42"/>
  <c r="I49" i="43"/>
  <c r="L49" i="43"/>
  <c r="O46" i="43"/>
  <c r="I46" i="43"/>
  <c r="M56" i="45"/>
  <c r="J56" i="45"/>
  <c r="P56" i="45"/>
  <c r="O50" i="45"/>
  <c r="I50" i="45"/>
  <c r="M56" i="46"/>
  <c r="J56" i="46"/>
  <c r="P56" i="48"/>
  <c r="J56" i="48"/>
  <c r="O53" i="48"/>
  <c r="L53" i="48"/>
  <c r="L56" i="49"/>
  <c r="O52" i="49"/>
  <c r="I52" i="49"/>
  <c r="L48" i="49"/>
  <c r="O48" i="49"/>
  <c r="O53" i="51"/>
  <c r="O52" i="22"/>
  <c r="I56" i="23"/>
  <c r="L49" i="24"/>
  <c r="O48" i="24"/>
  <c r="I48" i="24"/>
  <c r="O50" i="25"/>
  <c r="L50" i="25"/>
  <c r="J56" i="27"/>
  <c r="M56" i="27"/>
  <c r="P52" i="31"/>
  <c r="J52" i="31"/>
  <c r="L51" i="32"/>
  <c r="I51" i="32"/>
  <c r="J52" i="33"/>
  <c r="M52" i="33"/>
  <c r="J56" i="38"/>
  <c r="M56" i="38"/>
  <c r="O48" i="39"/>
  <c r="I48" i="39"/>
  <c r="M56" i="40"/>
  <c r="P56" i="40"/>
  <c r="J56" i="40"/>
  <c r="L54" i="40"/>
  <c r="O54" i="40"/>
  <c r="P53" i="42"/>
  <c r="J53" i="42"/>
  <c r="L48" i="44"/>
  <c r="I48" i="44"/>
  <c r="I46" i="45"/>
  <c r="O46" i="45"/>
  <c r="I47" i="49"/>
  <c r="L47" i="49"/>
  <c r="P55" i="22"/>
  <c r="P53" i="23"/>
  <c r="I47" i="23"/>
  <c r="I54" i="25"/>
  <c r="L54" i="25"/>
  <c r="L49" i="25"/>
  <c r="L46" i="25"/>
  <c r="I46" i="25"/>
  <c r="O50" i="26"/>
  <c r="L53" i="27"/>
  <c r="O53" i="27"/>
  <c r="P53" i="28"/>
  <c r="I48" i="29"/>
  <c r="O48" i="29"/>
  <c r="P55" i="33"/>
  <c r="O50" i="34"/>
  <c r="I50" i="34"/>
  <c r="L47" i="34"/>
  <c r="J55" i="35"/>
  <c r="P55" i="35"/>
  <c r="O50" i="35"/>
  <c r="J52" i="37"/>
  <c r="M52" i="37"/>
  <c r="O52" i="39"/>
  <c r="L53" i="43"/>
  <c r="O53" i="43"/>
  <c r="P56" i="44"/>
  <c r="J56" i="44"/>
  <c r="M55" i="44"/>
  <c r="J55" i="44"/>
  <c r="P55" i="44"/>
  <c r="L53" i="44"/>
  <c r="O53" i="44"/>
  <c r="L47" i="44"/>
  <c r="I47" i="44"/>
  <c r="O54" i="45"/>
  <c r="L54" i="45"/>
  <c r="I49" i="45"/>
  <c r="O49" i="45"/>
  <c r="O52" i="47"/>
  <c r="L48" i="48"/>
  <c r="I48" i="48"/>
  <c r="O47" i="26"/>
  <c r="L54" i="27"/>
  <c r="L52" i="29"/>
  <c r="O51" i="35"/>
  <c r="O51" i="36"/>
  <c r="I57" i="40"/>
  <c r="O54" i="43"/>
  <c r="O50" i="43"/>
  <c r="O52" i="44"/>
  <c r="O53" i="47"/>
  <c r="L54" i="48"/>
  <c r="M49" i="50"/>
  <c r="O51" i="26"/>
  <c r="O53" i="31"/>
  <c r="O50" i="31"/>
  <c r="I53" i="35"/>
  <c r="O49" i="35"/>
  <c r="O54" i="36"/>
  <c r="O46" i="36"/>
  <c r="P56" i="37"/>
  <c r="L49" i="39"/>
  <c r="O53" i="40"/>
  <c r="P52" i="40"/>
  <c r="P57" i="45"/>
  <c r="J57" i="46"/>
  <c r="J57" i="48"/>
  <c r="I54" i="49"/>
  <c r="M57" i="51"/>
  <c r="L56" i="33"/>
  <c r="M56" i="35"/>
  <c r="I48" i="47"/>
  <c r="L48" i="47"/>
  <c r="O48" i="47"/>
  <c r="J56" i="49"/>
  <c r="P56" i="49"/>
  <c r="I57" i="22"/>
  <c r="L49" i="22"/>
  <c r="L48" i="22"/>
  <c r="L52" i="23"/>
  <c r="L49" i="23"/>
  <c r="O47" i="23"/>
  <c r="I54" i="24"/>
  <c r="P53" i="24"/>
  <c r="O46" i="24"/>
  <c r="O54" i="25"/>
  <c r="P53" i="25"/>
  <c r="I51" i="25"/>
  <c r="O46" i="25"/>
  <c r="M54" i="26"/>
  <c r="O54" i="28"/>
  <c r="L46" i="28"/>
  <c r="I53" i="29"/>
  <c r="P52" i="29"/>
  <c r="O54" i="30"/>
  <c r="L51" i="30"/>
  <c r="L50" i="30"/>
  <c r="L47" i="30"/>
  <c r="L46" i="31"/>
  <c r="M54" i="32"/>
  <c r="I52" i="32"/>
  <c r="L48" i="32"/>
  <c r="L47" i="32"/>
  <c r="L57" i="33"/>
  <c r="O56" i="33"/>
  <c r="I55" i="34"/>
  <c r="P54" i="34"/>
  <c r="J54" i="34"/>
  <c r="P56" i="35"/>
  <c r="I53" i="37"/>
  <c r="P52" i="37"/>
  <c r="O56" i="38"/>
  <c r="I56" i="38"/>
  <c r="O52" i="38"/>
  <c r="O56" i="41"/>
  <c r="L56" i="41"/>
  <c r="I56" i="41"/>
  <c r="J55" i="41"/>
  <c r="P55" i="41"/>
  <c r="L55" i="42"/>
  <c r="O55" i="42"/>
  <c r="I55" i="42"/>
  <c r="J54" i="42"/>
  <c r="P54" i="42"/>
  <c r="I56" i="44"/>
  <c r="O56" i="44"/>
  <c r="O49" i="46"/>
  <c r="I49" i="46"/>
  <c r="L49" i="46"/>
  <c r="J56" i="47"/>
  <c r="P56" i="47"/>
  <c r="J54" i="48"/>
  <c r="P54" i="48"/>
  <c r="M56" i="49"/>
  <c r="L51" i="49"/>
  <c r="O51" i="49"/>
  <c r="I49" i="50"/>
  <c r="O49" i="50"/>
  <c r="O46" i="50"/>
  <c r="I46" i="50"/>
  <c r="L46" i="50"/>
  <c r="P55" i="51"/>
  <c r="J55" i="51"/>
  <c r="M55" i="51"/>
  <c r="P55" i="23"/>
  <c r="I46" i="39"/>
  <c r="L46" i="39"/>
  <c r="O54" i="41"/>
  <c r="I54" i="41"/>
  <c r="L54" i="50"/>
  <c r="O54" i="50"/>
  <c r="I54" i="50"/>
  <c r="I49" i="22"/>
  <c r="I48" i="22"/>
  <c r="J55" i="23"/>
  <c r="I49" i="23"/>
  <c r="O54" i="24"/>
  <c r="O53" i="24"/>
  <c r="O51" i="25"/>
  <c r="J54" i="26"/>
  <c r="P56" i="27"/>
  <c r="P53" i="27"/>
  <c r="M53" i="28"/>
  <c r="O50" i="28"/>
  <c r="O49" i="28"/>
  <c r="I46" i="28"/>
  <c r="P56" i="29"/>
  <c r="J55" i="29"/>
  <c r="O53" i="29"/>
  <c r="O52" i="29"/>
  <c r="M53" i="30"/>
  <c r="I51" i="30"/>
  <c r="I50" i="30"/>
  <c r="I47" i="30"/>
  <c r="I57" i="31"/>
  <c r="M56" i="31"/>
  <c r="I46" i="31"/>
  <c r="L56" i="32"/>
  <c r="J54" i="32"/>
  <c r="O52" i="32"/>
  <c r="I48" i="32"/>
  <c r="I47" i="32"/>
  <c r="P52" i="33"/>
  <c r="O49" i="33"/>
  <c r="O48" i="33"/>
  <c r="O55" i="34"/>
  <c r="O54" i="34"/>
  <c r="P53" i="34"/>
  <c r="O56" i="35"/>
  <c r="L53" i="35"/>
  <c r="L55" i="36"/>
  <c r="O49" i="36"/>
  <c r="J55" i="37"/>
  <c r="O48" i="37"/>
  <c r="O47" i="37"/>
  <c r="L56" i="39"/>
  <c r="O46" i="39"/>
  <c r="O50" i="40"/>
  <c r="I50" i="40"/>
  <c r="L50" i="40"/>
  <c r="O51" i="42"/>
  <c r="I51" i="42"/>
  <c r="L51" i="42"/>
  <c r="M52" i="43"/>
  <c r="J52" i="43"/>
  <c r="L56" i="44"/>
  <c r="L54" i="46"/>
  <c r="O54" i="46"/>
  <c r="I54" i="46"/>
  <c r="J53" i="46"/>
  <c r="P53" i="46"/>
  <c r="O48" i="46"/>
  <c r="I48" i="46"/>
  <c r="L48" i="46"/>
  <c r="I52" i="51"/>
  <c r="O52" i="51"/>
  <c r="O49" i="40"/>
  <c r="I49" i="40"/>
  <c r="L49" i="40"/>
  <c r="O50" i="42"/>
  <c r="I50" i="42"/>
  <c r="L50" i="42"/>
  <c r="P56" i="50"/>
  <c r="J56" i="50"/>
  <c r="M56" i="50"/>
  <c r="L57" i="22"/>
  <c r="L46" i="35"/>
  <c r="M52" i="36"/>
  <c r="P56" i="38"/>
  <c r="P52" i="38"/>
  <c r="L49" i="38"/>
  <c r="I48" i="38"/>
  <c r="L46" i="38"/>
  <c r="J56" i="39"/>
  <c r="P56" i="39"/>
  <c r="M55" i="39"/>
  <c r="O53" i="41"/>
  <c r="I53" i="41"/>
  <c r="L53" i="41"/>
  <c r="M53" i="46"/>
  <c r="O50" i="48"/>
  <c r="I50" i="48"/>
  <c r="L50" i="48"/>
  <c r="J53" i="50"/>
  <c r="P53" i="50"/>
  <c r="L54" i="43"/>
  <c r="L51" i="44"/>
  <c r="O48" i="44"/>
  <c r="O47" i="44"/>
  <c r="L55" i="45"/>
  <c r="L51" i="45"/>
  <c r="L46" i="45"/>
  <c r="P56" i="46"/>
  <c r="P57" i="47"/>
  <c r="O49" i="47"/>
  <c r="O48" i="48"/>
  <c r="L53" i="49"/>
  <c r="O50" i="50"/>
  <c r="O46" i="51"/>
  <c r="O55" i="41"/>
  <c r="O50" i="41"/>
  <c r="O49" i="41"/>
  <c r="O54" i="42"/>
  <c r="P53" i="43"/>
  <c r="P54" i="45"/>
  <c r="O53" i="46"/>
  <c r="M57" i="48"/>
  <c r="O54" i="48"/>
  <c r="L52" i="48"/>
  <c r="O46" i="48"/>
  <c r="O56" i="49"/>
  <c r="P55" i="49"/>
  <c r="L54" i="49"/>
  <c r="O47" i="49"/>
  <c r="L54" i="41"/>
  <c r="I48" i="49"/>
  <c r="P49" i="91"/>
  <c r="L53" i="91"/>
  <c r="J54" i="72"/>
  <c r="J54" i="90"/>
  <c r="M56" i="82"/>
  <c r="M54" i="90"/>
  <c r="I52" i="90"/>
  <c r="P51" i="90"/>
  <c r="I47" i="83"/>
  <c r="L52" i="87"/>
  <c r="I52" i="87"/>
  <c r="O47" i="83"/>
  <c r="O53" i="70"/>
  <c r="L51" i="72"/>
  <c r="O56" i="86"/>
  <c r="O54" i="86"/>
  <c r="L46" i="89"/>
  <c r="L51" i="90"/>
  <c r="L47" i="90"/>
  <c r="O54" i="91"/>
  <c r="L49" i="91"/>
  <c r="O47" i="90"/>
  <c r="P54" i="72"/>
  <c r="L52" i="82"/>
  <c r="I54" i="86"/>
  <c r="L54" i="91"/>
  <c r="O53" i="91"/>
  <c r="L56" i="72"/>
  <c r="O48" i="83"/>
  <c r="O48" i="84"/>
  <c r="M52" i="89"/>
  <c r="I53" i="70"/>
  <c r="P52" i="70"/>
  <c r="P56" i="82"/>
  <c r="M56" i="83"/>
  <c r="I48" i="83"/>
  <c r="I48" i="84"/>
  <c r="L51" i="85"/>
  <c r="I47" i="85"/>
  <c r="I51" i="86"/>
  <c r="J52" i="89"/>
  <c r="O56" i="90"/>
  <c r="O52" i="90"/>
  <c r="J51" i="90"/>
  <c r="J49" i="91"/>
  <c r="P48" i="91"/>
  <c r="L49" i="70"/>
  <c r="L52" i="85"/>
  <c r="L50" i="85"/>
  <c r="O46" i="85"/>
  <c r="L53" i="86"/>
  <c r="I46" i="89"/>
  <c r="L48" i="90"/>
  <c r="P52" i="91"/>
  <c r="O50" i="91"/>
  <c r="O46" i="82"/>
  <c r="L47" i="86"/>
  <c r="O53" i="89"/>
  <c r="L52" i="89"/>
  <c r="M56" i="90"/>
  <c r="L50" i="91"/>
  <c r="B10" i="58"/>
  <c r="M57" i="70"/>
  <c r="L52" i="70"/>
  <c r="I52" i="72"/>
  <c r="I51" i="82"/>
  <c r="L46" i="82"/>
  <c r="I53" i="83"/>
  <c r="O52" i="83"/>
  <c r="L54" i="84"/>
  <c r="O49" i="84"/>
  <c r="M56" i="85"/>
  <c r="O50" i="86"/>
  <c r="I47" i="86"/>
  <c r="O46" i="86"/>
  <c r="L53" i="89"/>
  <c r="P51" i="89"/>
  <c r="L56" i="90"/>
  <c r="O51" i="90"/>
  <c r="M53" i="91"/>
  <c r="J48" i="91"/>
  <c r="M52" i="70"/>
  <c r="L51" i="82"/>
  <c r="O53" i="83"/>
  <c r="O54" i="84"/>
  <c r="L57" i="70"/>
  <c r="P56" i="70"/>
  <c r="L48" i="70"/>
  <c r="M56" i="72"/>
  <c r="O51" i="72"/>
  <c r="I52" i="83"/>
  <c r="I49" i="84"/>
  <c r="L56" i="85"/>
  <c r="O47" i="85"/>
  <c r="O51" i="86"/>
  <c r="I50" i="86"/>
  <c r="L46" i="86"/>
  <c r="J51" i="89"/>
  <c r="M47" i="90"/>
  <c r="O57" i="70"/>
  <c r="P56" i="72"/>
  <c r="L48" i="72"/>
  <c r="L47" i="72"/>
  <c r="L53" i="82"/>
  <c r="I47" i="82"/>
  <c r="L53" i="84"/>
  <c r="O56" i="85"/>
  <c r="I56" i="86"/>
  <c r="L49" i="87"/>
  <c r="L48" i="87"/>
  <c r="O49" i="91"/>
  <c r="I46" i="91"/>
  <c r="M56" i="70"/>
  <c r="O49" i="70"/>
  <c r="O48" i="70"/>
  <c r="O56" i="72"/>
  <c r="L52" i="72"/>
  <c r="I48" i="72"/>
  <c r="I47" i="72"/>
  <c r="B2" i="77"/>
  <c r="I53" i="82"/>
  <c r="O47" i="82"/>
  <c r="P56" i="83"/>
  <c r="M56" i="84"/>
  <c r="I53" i="84"/>
  <c r="O51" i="85"/>
  <c r="O50" i="85"/>
  <c r="O53" i="86"/>
  <c r="I49" i="87"/>
  <c r="I48" i="87"/>
  <c r="L49" i="89"/>
  <c r="I48" i="90"/>
  <c r="P53" i="91"/>
  <c r="J52" i="91"/>
  <c r="O46" i="91"/>
  <c r="O52" i="89"/>
  <c r="I49" i="89"/>
  <c r="B10" i="57"/>
  <c r="J6" i="63"/>
  <c r="P57" i="70"/>
  <c r="O52" i="70"/>
  <c r="L51" i="83"/>
  <c r="P56" i="85"/>
  <c r="I52" i="85"/>
  <c r="L46" i="85"/>
  <c r="P56" i="90"/>
  <c r="P47" i="90"/>
  <c r="Q6" i="20"/>
  <c r="R6" i="20" s="1"/>
  <c r="O6" i="20"/>
  <c r="P6" i="20" s="1"/>
  <c r="M6" i="20"/>
  <c r="N6" i="20" s="1"/>
  <c r="S6" i="20"/>
  <c r="T6" i="20" s="1"/>
  <c r="K6" i="20"/>
  <c r="L6" i="20" s="1"/>
  <c r="U6" i="20"/>
  <c r="V6" i="20" s="1"/>
  <c r="I6" i="20"/>
  <c r="G37" i="6"/>
  <c r="R6" i="57"/>
  <c r="D37" i="6"/>
  <c r="J42" i="6"/>
  <c r="N72" i="20"/>
  <c r="V69" i="20"/>
  <c r="W72" i="20"/>
  <c r="R69" i="20"/>
  <c r="R72" i="20"/>
  <c r="K69" i="20"/>
  <c r="O72" i="20"/>
  <c r="S69" i="20"/>
  <c r="J69" i="20"/>
  <c r="V72" i="20"/>
  <c r="J72" i="20"/>
  <c r="N69" i="20"/>
  <c r="M13" i="51"/>
  <c r="P13" i="51"/>
  <c r="M13" i="29"/>
  <c r="AQ64" i="21" s="1"/>
  <c r="G42" i="6"/>
  <c r="C42" i="6"/>
  <c r="F94" i="67"/>
  <c r="F93" i="67"/>
  <c r="J129" i="67"/>
  <c r="K129" i="67" s="1"/>
  <c r="J94" i="67"/>
  <c r="J93" i="67"/>
  <c r="E118" i="62"/>
  <c r="N95" i="62" s="1"/>
  <c r="F118" i="62"/>
  <c r="N94" i="62" s="1"/>
  <c r="F123" i="67"/>
  <c r="I121" i="67"/>
  <c r="H52" i="67"/>
  <c r="J6" i="57"/>
  <c r="J133" i="67"/>
  <c r="K133" i="67" s="1"/>
  <c r="I50" i="70"/>
  <c r="O50" i="70"/>
  <c r="L50" i="70"/>
  <c r="H9" i="76"/>
  <c r="DD6" i="21" s="1"/>
  <c r="I47" i="91"/>
  <c r="O47" i="91"/>
  <c r="L47" i="91"/>
  <c r="H54" i="67"/>
  <c r="J53" i="70"/>
  <c r="P53" i="70"/>
  <c r="M53" i="70"/>
  <c r="J53" i="72"/>
  <c r="P53" i="72"/>
  <c r="M53" i="72"/>
  <c r="I50" i="72"/>
  <c r="O50" i="72"/>
  <c r="K32" i="74"/>
  <c r="K33" i="74"/>
  <c r="H30" i="76"/>
  <c r="H32" i="76"/>
  <c r="H33" i="76"/>
  <c r="F6" i="58"/>
  <c r="B2" i="91"/>
  <c r="B2" i="90"/>
  <c r="B2" i="89"/>
  <c r="B2" i="87"/>
  <c r="B2" i="86"/>
  <c r="B2" i="85"/>
  <c r="B2" i="82"/>
  <c r="B2" i="81"/>
  <c r="B2" i="83"/>
  <c r="B2" i="79"/>
  <c r="B2" i="80"/>
  <c r="B2" i="84"/>
  <c r="B2" i="76"/>
  <c r="B2" i="74"/>
  <c r="B2" i="73"/>
  <c r="B2" i="71"/>
  <c r="B2" i="75"/>
  <c r="B2" i="78"/>
  <c r="B2" i="70"/>
  <c r="I53" i="72"/>
  <c r="O53" i="72"/>
  <c r="L53" i="72"/>
  <c r="B2" i="72"/>
  <c r="I51" i="70"/>
  <c r="O51" i="70"/>
  <c r="L51" i="70"/>
  <c r="I54" i="72"/>
  <c r="O54" i="72"/>
  <c r="I9" i="73"/>
  <c r="DA8" i="21" s="1"/>
  <c r="DA48" i="21" s="1"/>
  <c r="Y16" i="70"/>
  <c r="Y13" i="70"/>
  <c r="Y15" i="70"/>
  <c r="Y14" i="70"/>
  <c r="I49" i="72"/>
  <c r="O49" i="72"/>
  <c r="L49" i="72"/>
  <c r="H9" i="78"/>
  <c r="DF6" i="21" s="1"/>
  <c r="L53" i="85"/>
  <c r="I53" i="85"/>
  <c r="O53" i="85"/>
  <c r="I56" i="70"/>
  <c r="O56" i="70"/>
  <c r="J54" i="70"/>
  <c r="P54" i="70"/>
  <c r="I47" i="70"/>
  <c r="O47" i="70"/>
  <c r="X13" i="70"/>
  <c r="H30" i="70" s="1"/>
  <c r="X15" i="70"/>
  <c r="H32" i="70" s="1"/>
  <c r="I46" i="72"/>
  <c r="O46" i="72"/>
  <c r="N32" i="83"/>
  <c r="I54" i="70"/>
  <c r="O54" i="70"/>
  <c r="I46" i="70"/>
  <c r="O46" i="70"/>
  <c r="J52" i="72"/>
  <c r="P52" i="72"/>
  <c r="H9" i="74"/>
  <c r="DB6" i="21" s="1"/>
  <c r="N9" i="78"/>
  <c r="EZ6" i="21" s="1"/>
  <c r="O12" i="78"/>
  <c r="I50" i="84"/>
  <c r="O50" i="84"/>
  <c r="L50" i="84"/>
  <c r="O48" i="86"/>
  <c r="I48" i="86"/>
  <c r="L48" i="86"/>
  <c r="K32" i="78"/>
  <c r="N32" i="84"/>
  <c r="N31" i="84"/>
  <c r="K32" i="77"/>
  <c r="K33" i="79"/>
  <c r="K31" i="79"/>
  <c r="H9" i="79"/>
  <c r="DG6" i="21" s="1"/>
  <c r="K32" i="80"/>
  <c r="O49" i="82"/>
  <c r="I49" i="82"/>
  <c r="I50" i="83"/>
  <c r="O50" i="83"/>
  <c r="L50" i="83"/>
  <c r="I51" i="84"/>
  <c r="O51" i="84"/>
  <c r="L51" i="84"/>
  <c r="O48" i="85"/>
  <c r="I48" i="85"/>
  <c r="L48" i="85"/>
  <c r="H30" i="81"/>
  <c r="H32" i="81"/>
  <c r="H33" i="81"/>
  <c r="H9" i="81"/>
  <c r="DJ6" i="21" s="1"/>
  <c r="I54" i="82"/>
  <c r="O54" i="82"/>
  <c r="L54" i="82"/>
  <c r="I50" i="82"/>
  <c r="O50" i="82"/>
  <c r="L50" i="82"/>
  <c r="I49" i="85"/>
  <c r="O49" i="85"/>
  <c r="L49" i="85"/>
  <c r="I47" i="87"/>
  <c r="O47" i="87"/>
  <c r="L47" i="87"/>
  <c r="N9" i="79"/>
  <c r="FA6" i="21" s="1"/>
  <c r="I56" i="82"/>
  <c r="O56" i="82"/>
  <c r="I46" i="83"/>
  <c r="O46" i="83"/>
  <c r="L46" i="83"/>
  <c r="J53" i="89"/>
  <c r="P53" i="89"/>
  <c r="M53" i="89"/>
  <c r="I48" i="82"/>
  <c r="O48" i="82"/>
  <c r="H30" i="82"/>
  <c r="H32" i="82"/>
  <c r="H9" i="82"/>
  <c r="DK6" i="21" s="1"/>
  <c r="I56" i="83"/>
  <c r="O56" i="83"/>
  <c r="I47" i="84"/>
  <c r="O47" i="84"/>
  <c r="J46" i="84"/>
  <c r="P46" i="84"/>
  <c r="K32" i="84"/>
  <c r="O52" i="84"/>
  <c r="K31" i="86"/>
  <c r="K32" i="86"/>
  <c r="K33" i="86"/>
  <c r="L56" i="83"/>
  <c r="I54" i="83"/>
  <c r="O54" i="83"/>
  <c r="I56" i="84"/>
  <c r="L56" i="84"/>
  <c r="I46" i="84"/>
  <c r="O46" i="84"/>
  <c r="K33" i="84"/>
  <c r="H32" i="85"/>
  <c r="H33" i="85"/>
  <c r="I54" i="85"/>
  <c r="O54" i="85"/>
  <c r="J56" i="86"/>
  <c r="P56" i="86"/>
  <c r="M56" i="86"/>
  <c r="I49" i="86"/>
  <c r="O49" i="86"/>
  <c r="L49" i="86"/>
  <c r="I51" i="87"/>
  <c r="O51" i="87"/>
  <c r="L51" i="87"/>
  <c r="J56" i="89"/>
  <c r="P56" i="89"/>
  <c r="M56" i="89"/>
  <c r="J54" i="89"/>
  <c r="P54" i="89"/>
  <c r="L48" i="89"/>
  <c r="O48" i="89"/>
  <c r="I46" i="87"/>
  <c r="O46" i="87"/>
  <c r="L46" i="87"/>
  <c r="H32" i="86"/>
  <c r="I50" i="87"/>
  <c r="O50" i="87"/>
  <c r="H30" i="87"/>
  <c r="H33" i="87"/>
  <c r="I56" i="89"/>
  <c r="O56" i="89"/>
  <c r="L56" i="89"/>
  <c r="I47" i="89"/>
  <c r="O47" i="89"/>
  <c r="L47" i="89"/>
  <c r="O52" i="86"/>
  <c r="I56" i="87"/>
  <c r="O56" i="87"/>
  <c r="I50" i="89"/>
  <c r="L50" i="89"/>
  <c r="O50" i="89"/>
  <c r="I54" i="89"/>
  <c r="L54" i="89"/>
  <c r="J52" i="90"/>
  <c r="P52" i="90"/>
  <c r="I50" i="90"/>
  <c r="O50" i="90"/>
  <c r="L50" i="90"/>
  <c r="O54" i="89"/>
  <c r="J53" i="90"/>
  <c r="P53" i="90"/>
  <c r="M53" i="90"/>
  <c r="M52" i="90"/>
  <c r="I51" i="89"/>
  <c r="O51" i="89"/>
  <c r="I54" i="90"/>
  <c r="O54" i="90"/>
  <c r="L54" i="90"/>
  <c r="I56" i="91"/>
  <c r="O56" i="91"/>
  <c r="L56" i="91"/>
  <c r="I48" i="91"/>
  <c r="O48" i="91"/>
  <c r="L48" i="91"/>
  <c r="J49" i="90"/>
  <c r="P49" i="90"/>
  <c r="M49" i="90"/>
  <c r="J51" i="91"/>
  <c r="P51" i="91"/>
  <c r="M51" i="91"/>
  <c r="I53" i="90"/>
  <c r="O53" i="90"/>
  <c r="I49" i="90"/>
  <c r="O49" i="90"/>
  <c r="I46" i="90"/>
  <c r="O46" i="90"/>
  <c r="I51" i="91"/>
  <c r="O51" i="91"/>
  <c r="L51" i="91"/>
  <c r="J56" i="91"/>
  <c r="P56" i="91"/>
  <c r="M56" i="91"/>
  <c r="I52" i="91"/>
  <c r="O52" i="91"/>
  <c r="J47" i="91"/>
  <c r="P47" i="91"/>
  <c r="M47" i="91"/>
  <c r="J7" i="91"/>
  <c r="J54" i="91"/>
  <c r="P54" i="91"/>
  <c r="J50" i="91"/>
  <c r="P50" i="91"/>
  <c r="J46" i="91"/>
  <c r="P46" i="91"/>
  <c r="L10" i="91"/>
  <c r="K9" i="91"/>
  <c r="F8" i="10"/>
  <c r="F12" i="10"/>
  <c r="E75" i="51"/>
  <c r="E75" i="49"/>
  <c r="E75" i="48"/>
  <c r="E75" i="50"/>
  <c r="E75" i="47"/>
  <c r="E75" i="46"/>
  <c r="E75" i="45"/>
  <c r="E75" i="42"/>
  <c r="E75" i="41"/>
  <c r="E75" i="43"/>
  <c r="E75" i="44"/>
  <c r="E75" i="39"/>
  <c r="E75" i="38"/>
  <c r="E75" i="32"/>
  <c r="E75" i="37"/>
  <c r="E75" i="34"/>
  <c r="E75" i="30"/>
  <c r="E75" i="28"/>
  <c r="E75" i="40"/>
  <c r="E75" i="26"/>
  <c r="E75" i="33"/>
  <c r="E75" i="25"/>
  <c r="E75" i="36"/>
  <c r="E75" i="35"/>
  <c r="E75" i="31"/>
  <c r="E75" i="27"/>
  <c r="E75" i="24"/>
  <c r="E75" i="23"/>
  <c r="E75" i="22"/>
  <c r="E75" i="29"/>
  <c r="G12" i="8"/>
  <c r="G151" i="18"/>
  <c r="D126" i="18"/>
  <c r="H126" i="18" s="1"/>
  <c r="H127" i="18" s="1"/>
  <c r="H128" i="18" s="1"/>
  <c r="H142" i="18" s="1"/>
  <c r="F27" i="15"/>
  <c r="F34" i="15"/>
  <c r="F20" i="15"/>
  <c r="H12" i="8"/>
  <c r="E48" i="41"/>
  <c r="E48" i="39"/>
  <c r="E48" i="35"/>
  <c r="E48" i="26"/>
  <c r="E48" i="27"/>
  <c r="E8" i="8"/>
  <c r="G5" i="10"/>
  <c r="B2" i="50"/>
  <c r="B2" i="51"/>
  <c r="B2" i="48"/>
  <c r="B2" i="47"/>
  <c r="B2" i="49"/>
  <c r="B2" i="46"/>
  <c r="B2" i="45"/>
  <c r="B2" i="43"/>
  <c r="B2" i="44"/>
  <c r="B2" i="41"/>
  <c r="B2" i="38"/>
  <c r="B2" i="42"/>
  <c r="B2" i="36"/>
  <c r="B2" i="37"/>
  <c r="B2" i="34"/>
  <c r="B2" i="32"/>
  <c r="B2" i="28"/>
  <c r="B2" i="39"/>
  <c r="B2" i="35"/>
  <c r="B2" i="31"/>
  <c r="B2" i="30"/>
  <c r="B2" i="40"/>
  <c r="B2" i="25"/>
  <c r="B2" i="22"/>
  <c r="B2" i="33"/>
  <c r="B2" i="27"/>
  <c r="B2" i="24"/>
  <c r="B2" i="23"/>
  <c r="B2" i="29"/>
  <c r="B2" i="26"/>
  <c r="E49" i="26"/>
  <c r="E49" i="27"/>
  <c r="I47" i="33"/>
  <c r="O47" i="33"/>
  <c r="L47" i="33"/>
  <c r="F8" i="8"/>
  <c r="F12" i="8"/>
  <c r="E47" i="50"/>
  <c r="E47" i="51"/>
  <c r="E48" i="44"/>
  <c r="E47" i="46"/>
  <c r="E48" i="42"/>
  <c r="E48" i="43"/>
  <c r="E48" i="38"/>
  <c r="E48" i="37"/>
  <c r="E48" i="40"/>
  <c r="E48" i="32"/>
  <c r="E48" i="34"/>
  <c r="E48" i="30"/>
  <c r="E48" i="36"/>
  <c r="E47" i="25"/>
  <c r="E49" i="41"/>
  <c r="E47" i="29"/>
  <c r="E47" i="24"/>
  <c r="E48" i="33"/>
  <c r="E48" i="28"/>
  <c r="E47" i="22"/>
  <c r="E48" i="31"/>
  <c r="E47" i="23"/>
  <c r="Y16" i="29"/>
  <c r="K32" i="29" s="1"/>
  <c r="X16" i="29"/>
  <c r="H32" i="29" s="1"/>
  <c r="Y14" i="31"/>
  <c r="K30" i="31" s="1"/>
  <c r="X14" i="31"/>
  <c r="H30" i="31" s="1"/>
  <c r="E46" i="51"/>
  <c r="E46" i="49"/>
  <c r="E46" i="50"/>
  <c r="E46" i="48"/>
  <c r="E46" i="46"/>
  <c r="E47" i="42"/>
  <c r="E47" i="43"/>
  <c r="E47" i="41"/>
  <c r="E46" i="47"/>
  <c r="E47" i="40"/>
  <c r="E47" i="35"/>
  <c r="E47" i="37"/>
  <c r="E47" i="34"/>
  <c r="E47" i="30"/>
  <c r="E46" i="45"/>
  <c r="E47" i="31"/>
  <c r="E47" i="28"/>
  <c r="E47" i="44"/>
  <c r="E47" i="32"/>
  <c r="E47" i="26"/>
  <c r="E47" i="36"/>
  <c r="E47" i="33"/>
  <c r="E46" i="22"/>
  <c r="E47" i="27"/>
  <c r="E47" i="38"/>
  <c r="O13" i="14"/>
  <c r="J24" i="14" s="1"/>
  <c r="O15" i="14"/>
  <c r="O17" i="14"/>
  <c r="N14" i="14"/>
  <c r="D5" i="10"/>
  <c r="H5" i="10"/>
  <c r="F50" i="47"/>
  <c r="F50" i="49"/>
  <c r="M16" i="14"/>
  <c r="I52" i="25"/>
  <c r="O52" i="25"/>
  <c r="L52" i="25"/>
  <c r="I9" i="8"/>
  <c r="F62" i="41"/>
  <c r="F62" i="39"/>
  <c r="F62" i="38"/>
  <c r="F62" i="37"/>
  <c r="E51" i="42"/>
  <c r="E51" i="43"/>
  <c r="E51" i="44"/>
  <c r="E51" i="40"/>
  <c r="E54" i="41"/>
  <c r="E51" i="38"/>
  <c r="E51" i="36"/>
  <c r="E52" i="35"/>
  <c r="E51" i="34"/>
  <c r="E51" i="30"/>
  <c r="E51" i="31"/>
  <c r="E51" i="28"/>
  <c r="E52" i="39"/>
  <c r="E50" i="25"/>
  <c r="E51" i="37"/>
  <c r="E52" i="26"/>
  <c r="E50" i="24"/>
  <c r="E50" i="23"/>
  <c r="E50" i="22"/>
  <c r="E50" i="29"/>
  <c r="E52" i="27"/>
  <c r="E51" i="33"/>
  <c r="E51" i="32"/>
  <c r="E49" i="51"/>
  <c r="E48" i="50"/>
  <c r="E47" i="39"/>
  <c r="E48" i="51"/>
  <c r="E51" i="41"/>
  <c r="N17" i="14"/>
  <c r="M12" i="14"/>
  <c r="E12" i="8"/>
  <c r="E5" i="10"/>
  <c r="E49" i="49"/>
  <c r="E49" i="46"/>
  <c r="E49" i="48"/>
  <c r="E49" i="47"/>
  <c r="E48" i="46"/>
  <c r="E48" i="47"/>
  <c r="E46" i="44"/>
  <c r="E46" i="39"/>
  <c r="E46" i="38"/>
  <c r="E46" i="43"/>
  <c r="E46" i="37"/>
  <c r="E46" i="33"/>
  <c r="E46" i="42"/>
  <c r="E46" i="32"/>
  <c r="E46" i="29"/>
  <c r="E46" i="27"/>
  <c r="E46" i="30"/>
  <c r="E46" i="24"/>
  <c r="E46" i="41"/>
  <c r="E46" i="40"/>
  <c r="E46" i="23"/>
  <c r="E46" i="36"/>
  <c r="E46" i="35"/>
  <c r="E46" i="34"/>
  <c r="E46" i="26"/>
  <c r="E46" i="28"/>
  <c r="E46" i="31"/>
  <c r="E46" i="25"/>
  <c r="N13" i="14"/>
  <c r="F182" i="18"/>
  <c r="F184" i="18"/>
  <c r="J56" i="34"/>
  <c r="P56" i="34"/>
  <c r="M56" i="34"/>
  <c r="J95" i="18"/>
  <c r="L50" i="23"/>
  <c r="I50" i="23"/>
  <c r="O50" i="23"/>
  <c r="Z15" i="25"/>
  <c r="N31" i="25" s="1"/>
  <c r="Z14" i="25"/>
  <c r="N30" i="25" s="1"/>
  <c r="Z17" i="25"/>
  <c r="N33" i="25" s="1"/>
  <c r="Z16" i="25"/>
  <c r="N32" i="25" s="1"/>
  <c r="I53" i="26"/>
  <c r="O53" i="26"/>
  <c r="L53" i="26"/>
  <c r="O46" i="27"/>
  <c r="I46" i="27"/>
  <c r="L46" i="27"/>
  <c r="X16" i="28"/>
  <c r="H32" i="28" s="1"/>
  <c r="X15" i="28"/>
  <c r="H31" i="28" s="1"/>
  <c r="X17" i="28"/>
  <c r="H33" i="28" s="1"/>
  <c r="X14" i="28"/>
  <c r="H30" i="28" s="1"/>
  <c r="I49" i="29"/>
  <c r="O49" i="29"/>
  <c r="L49" i="29"/>
  <c r="F62" i="36"/>
  <c r="F62" i="34"/>
  <c r="F62" i="30"/>
  <c r="F62" i="28"/>
  <c r="F62" i="31"/>
  <c r="F62" i="32"/>
  <c r="F62" i="25"/>
  <c r="F62" i="33"/>
  <c r="F62" i="27"/>
  <c r="F62" i="24"/>
  <c r="F62" i="23"/>
  <c r="F62" i="26"/>
  <c r="F62" i="22"/>
  <c r="E53" i="49"/>
  <c r="E54" i="47"/>
  <c r="E52" i="46"/>
  <c r="E52" i="48"/>
  <c r="E48" i="49"/>
  <c r="E48" i="48"/>
  <c r="E57" i="44"/>
  <c r="E57" i="39"/>
  <c r="E57" i="43"/>
  <c r="E57" i="42"/>
  <c r="E57" i="38"/>
  <c r="E57" i="33"/>
  <c r="E57" i="29"/>
  <c r="E57" i="41"/>
  <c r="E57" i="32"/>
  <c r="E57" i="28"/>
  <c r="E57" i="40"/>
  <c r="E57" i="26"/>
  <c r="E57" i="27"/>
  <c r="E57" i="24"/>
  <c r="E57" i="30"/>
  <c r="E57" i="31"/>
  <c r="E57" i="23"/>
  <c r="E57" i="25"/>
  <c r="E57" i="22"/>
  <c r="E52" i="49"/>
  <c r="E53" i="47"/>
  <c r="E51" i="46"/>
  <c r="E50" i="43"/>
  <c r="E50" i="44"/>
  <c r="E50" i="40"/>
  <c r="E51" i="48"/>
  <c r="E50" i="45"/>
  <c r="E52" i="41"/>
  <c r="E50" i="38"/>
  <c r="E50" i="42"/>
  <c r="E50" i="36"/>
  <c r="E51" i="35"/>
  <c r="E50" i="31"/>
  <c r="E50" i="28"/>
  <c r="E50" i="37"/>
  <c r="E50" i="33"/>
  <c r="E49" i="29"/>
  <c r="E50" i="34"/>
  <c r="E51" i="26"/>
  <c r="E49" i="24"/>
  <c r="E49" i="22"/>
  <c r="E50" i="32"/>
  <c r="E50" i="30"/>
  <c r="E51" i="27"/>
  <c r="E51" i="39"/>
  <c r="E49" i="23"/>
  <c r="E47" i="49"/>
  <c r="E47" i="47"/>
  <c r="E47" i="48"/>
  <c r="I57" i="24"/>
  <c r="I52" i="24"/>
  <c r="O52" i="24"/>
  <c r="L52" i="24"/>
  <c r="I54" i="26"/>
  <c r="O54" i="26"/>
  <c r="L54" i="26"/>
  <c r="H57" i="26"/>
  <c r="Y15" i="28"/>
  <c r="K31" i="28" s="1"/>
  <c r="Z15" i="28"/>
  <c r="N31" i="28" s="1"/>
  <c r="Y16" i="30"/>
  <c r="K32" i="30" s="1"/>
  <c r="Y15" i="30"/>
  <c r="K31" i="30" s="1"/>
  <c r="Y14" i="30"/>
  <c r="K30" i="30" s="1"/>
  <c r="Y17" i="30"/>
  <c r="K33" i="30" s="1"/>
  <c r="Z15" i="31"/>
  <c r="N31" i="31" s="1"/>
  <c r="Z14" i="31"/>
  <c r="N30" i="31" s="1"/>
  <c r="Z17" i="31"/>
  <c r="N33" i="31" s="1"/>
  <c r="Z16" i="31"/>
  <c r="N32" i="31" s="1"/>
  <c r="X16" i="22"/>
  <c r="H32" i="22" s="1"/>
  <c r="J55" i="24"/>
  <c r="P55" i="24"/>
  <c r="M55" i="24"/>
  <c r="E49" i="25"/>
  <c r="I48" i="27"/>
  <c r="O48" i="27"/>
  <c r="L48" i="27"/>
  <c r="F62" i="29"/>
  <c r="E57" i="34"/>
  <c r="I53" i="34"/>
  <c r="O53" i="34"/>
  <c r="L53" i="34"/>
  <c r="F62" i="43"/>
  <c r="F62" i="42"/>
  <c r="F62" i="40"/>
  <c r="F62" i="44"/>
  <c r="E51" i="49"/>
  <c r="E52" i="47"/>
  <c r="E50" i="46"/>
  <c r="E50" i="48"/>
  <c r="E49" i="45"/>
  <c r="E49" i="44"/>
  <c r="E53" i="41"/>
  <c r="E49" i="38"/>
  <c r="E49" i="43"/>
  <c r="E50" i="39"/>
  <c r="E49" i="42"/>
  <c r="E49" i="37"/>
  <c r="E49" i="33"/>
  <c r="E48" i="29"/>
  <c r="E49" i="40"/>
  <c r="E49" i="36"/>
  <c r="E49" i="32"/>
  <c r="E49" i="30"/>
  <c r="E50" i="27"/>
  <c r="E50" i="35"/>
  <c r="E48" i="23"/>
  <c r="E49" i="28"/>
  <c r="E50" i="26"/>
  <c r="E48" i="24"/>
  <c r="S72" i="20"/>
  <c r="K72" i="20"/>
  <c r="W69" i="20"/>
  <c r="I54" i="22"/>
  <c r="O54" i="22"/>
  <c r="L54" i="22"/>
  <c r="O57" i="23"/>
  <c r="L57" i="23"/>
  <c r="J54" i="23"/>
  <c r="P54" i="23"/>
  <c r="M54" i="23"/>
  <c r="I48" i="23"/>
  <c r="O48" i="23"/>
  <c r="L48" i="23"/>
  <c r="X17" i="24"/>
  <c r="H33" i="24" s="1"/>
  <c r="Y17" i="24"/>
  <c r="K33" i="24" s="1"/>
  <c r="Z17" i="24"/>
  <c r="N33" i="24" s="1"/>
  <c r="I53" i="25"/>
  <c r="O53" i="25"/>
  <c r="L53" i="25"/>
  <c r="E48" i="25"/>
  <c r="I55" i="27"/>
  <c r="O55" i="27"/>
  <c r="L55" i="27"/>
  <c r="I50" i="36"/>
  <c r="L50" i="36"/>
  <c r="O50" i="36"/>
  <c r="H69" i="20"/>
  <c r="L69" i="20"/>
  <c r="P69" i="20"/>
  <c r="T69" i="20"/>
  <c r="X69" i="20"/>
  <c r="H72" i="20"/>
  <c r="L72" i="20"/>
  <c r="P72" i="20"/>
  <c r="T72" i="20"/>
  <c r="X72" i="20"/>
  <c r="I69" i="20"/>
  <c r="M69" i="20"/>
  <c r="Q69" i="20"/>
  <c r="U69" i="20"/>
  <c r="I72" i="20"/>
  <c r="M72" i="20"/>
  <c r="Q72" i="20"/>
  <c r="U72" i="20"/>
  <c r="Y15" i="22"/>
  <c r="K31" i="22" s="1"/>
  <c r="Y14" i="22"/>
  <c r="K30" i="22" s="1"/>
  <c r="K33" i="22"/>
  <c r="I51" i="24"/>
  <c r="O51" i="24"/>
  <c r="L51" i="24"/>
  <c r="J56" i="25"/>
  <c r="P56" i="25"/>
  <c r="M56" i="25"/>
  <c r="X14" i="25"/>
  <c r="H30" i="25" s="1"/>
  <c r="X15" i="26"/>
  <c r="H31" i="26" s="1"/>
  <c r="X14" i="26"/>
  <c r="H30" i="26" s="1"/>
  <c r="X16" i="26"/>
  <c r="H32" i="26" s="1"/>
  <c r="X17" i="26"/>
  <c r="H33" i="26" s="1"/>
  <c r="I56" i="27"/>
  <c r="O56" i="27"/>
  <c r="L56" i="27"/>
  <c r="I48" i="28"/>
  <c r="O48" i="28"/>
  <c r="L48" i="28"/>
  <c r="P13" i="29"/>
  <c r="BW64" i="21" s="1"/>
  <c r="Y15" i="29"/>
  <c r="K31" i="29" s="1"/>
  <c r="Y14" i="29"/>
  <c r="K30" i="29" s="1"/>
  <c r="Y17" i="29"/>
  <c r="K33" i="29" s="1"/>
  <c r="J54" i="31"/>
  <c r="P54" i="31"/>
  <c r="M54" i="31"/>
  <c r="J54" i="33"/>
  <c r="P54" i="33"/>
  <c r="M54" i="33"/>
  <c r="I57" i="37"/>
  <c r="J57" i="37"/>
  <c r="J53" i="37"/>
  <c r="P53" i="37"/>
  <c r="M53" i="37"/>
  <c r="J56" i="22"/>
  <c r="P56" i="22"/>
  <c r="M56" i="22"/>
  <c r="I51" i="23"/>
  <c r="O51" i="23"/>
  <c r="L51" i="23"/>
  <c r="I46" i="23"/>
  <c r="O46" i="23"/>
  <c r="L46" i="23"/>
  <c r="X15" i="23"/>
  <c r="H31" i="23" s="1"/>
  <c r="X14" i="23"/>
  <c r="H30" i="23" s="1"/>
  <c r="X16" i="23"/>
  <c r="H32" i="23" s="1"/>
  <c r="I55" i="24"/>
  <c r="O55" i="24"/>
  <c r="L55" i="24"/>
  <c r="L50" i="24"/>
  <c r="I50" i="24"/>
  <c r="O50" i="24"/>
  <c r="I56" i="25"/>
  <c r="O56" i="25"/>
  <c r="L56" i="25"/>
  <c r="I47" i="25"/>
  <c r="O47" i="25"/>
  <c r="L47" i="25"/>
  <c r="X17" i="25"/>
  <c r="H33" i="25" s="1"/>
  <c r="Y17" i="25"/>
  <c r="K33" i="25" s="1"/>
  <c r="L52" i="26"/>
  <c r="I52" i="26"/>
  <c r="O52" i="26"/>
  <c r="I57" i="27"/>
  <c r="H31" i="27"/>
  <c r="I47" i="28"/>
  <c r="O47" i="28"/>
  <c r="L47" i="28"/>
  <c r="I54" i="29"/>
  <c r="O54" i="29"/>
  <c r="L54" i="29"/>
  <c r="I56" i="30"/>
  <c r="O56" i="30"/>
  <c r="L56" i="30"/>
  <c r="I55" i="33"/>
  <c r="O55" i="33"/>
  <c r="L55" i="33"/>
  <c r="I50" i="33"/>
  <c r="O50" i="33"/>
  <c r="L50" i="33"/>
  <c r="Y15" i="34"/>
  <c r="K31" i="34" s="1"/>
  <c r="X16" i="34"/>
  <c r="H32" i="34" s="1"/>
  <c r="X15" i="34"/>
  <c r="H31" i="34" s="1"/>
  <c r="X14" i="34"/>
  <c r="H30" i="34" s="1"/>
  <c r="X17" i="34"/>
  <c r="H33" i="34" s="1"/>
  <c r="J54" i="35"/>
  <c r="P54" i="35"/>
  <c r="M54" i="35"/>
  <c r="I48" i="35"/>
  <c r="O48" i="35"/>
  <c r="L48" i="35"/>
  <c r="I52" i="36"/>
  <c r="O52" i="36"/>
  <c r="L52" i="36"/>
  <c r="Y14" i="37"/>
  <c r="K30" i="37" s="1"/>
  <c r="Z14" i="37"/>
  <c r="N30" i="37" s="1"/>
  <c r="X14" i="37"/>
  <c r="H30" i="37" s="1"/>
  <c r="H57" i="43"/>
  <c r="I56" i="22"/>
  <c r="O56" i="22"/>
  <c r="L56" i="22"/>
  <c r="I50" i="22"/>
  <c r="O50" i="22"/>
  <c r="L50" i="22"/>
  <c r="I47" i="22"/>
  <c r="O47" i="22"/>
  <c r="L47" i="22"/>
  <c r="Z16" i="22"/>
  <c r="N32" i="22" s="1"/>
  <c r="Z15" i="22"/>
  <c r="N31" i="22" s="1"/>
  <c r="Z14" i="22"/>
  <c r="N30" i="22" s="1"/>
  <c r="N33" i="22"/>
  <c r="J52" i="23"/>
  <c r="P52" i="23"/>
  <c r="H57" i="23"/>
  <c r="I57" i="23" s="1"/>
  <c r="I56" i="24"/>
  <c r="O56" i="24"/>
  <c r="K57" i="24"/>
  <c r="O57" i="25"/>
  <c r="J52" i="25"/>
  <c r="P52" i="25"/>
  <c r="M52" i="25"/>
  <c r="I48" i="25"/>
  <c r="O48" i="25"/>
  <c r="L48" i="25"/>
  <c r="K31" i="25"/>
  <c r="J53" i="26"/>
  <c r="P53" i="26"/>
  <c r="M53" i="26"/>
  <c r="J55" i="27"/>
  <c r="P55" i="27"/>
  <c r="M55" i="27"/>
  <c r="I47" i="27"/>
  <c r="O47" i="27"/>
  <c r="L47" i="27"/>
  <c r="H30" i="29"/>
  <c r="J56" i="32"/>
  <c r="P56" i="32"/>
  <c r="I54" i="32"/>
  <c r="O54" i="32"/>
  <c r="L54" i="32"/>
  <c r="I46" i="32"/>
  <c r="O46" i="32"/>
  <c r="L46" i="32"/>
  <c r="I57" i="33"/>
  <c r="X16" i="33"/>
  <c r="H32" i="33" s="1"/>
  <c r="Y16" i="33"/>
  <c r="K32" i="33" s="1"/>
  <c r="I52" i="34"/>
  <c r="O52" i="34"/>
  <c r="L52" i="34"/>
  <c r="I54" i="35"/>
  <c r="O54" i="35"/>
  <c r="L54" i="35"/>
  <c r="I56" i="36"/>
  <c r="O56" i="36"/>
  <c r="L56" i="36"/>
  <c r="Z16" i="41"/>
  <c r="N32" i="41" s="1"/>
  <c r="Y16" i="41"/>
  <c r="K32" i="41" s="1"/>
  <c r="J53" i="22"/>
  <c r="P53" i="22"/>
  <c r="O46" i="22"/>
  <c r="J56" i="23"/>
  <c r="P56" i="23"/>
  <c r="I53" i="23"/>
  <c r="O53" i="23"/>
  <c r="Z16" i="23"/>
  <c r="N32" i="23" s="1"/>
  <c r="I47" i="24"/>
  <c r="O47" i="24"/>
  <c r="Z16" i="24"/>
  <c r="N32" i="24" s="1"/>
  <c r="Z15" i="24"/>
  <c r="N31" i="24" s="1"/>
  <c r="L57" i="26"/>
  <c r="I57" i="26"/>
  <c r="I49" i="26"/>
  <c r="O49" i="26"/>
  <c r="I46" i="26"/>
  <c r="O46" i="26"/>
  <c r="I52" i="27"/>
  <c r="O52" i="27"/>
  <c r="Y14" i="27"/>
  <c r="K30" i="27" s="1"/>
  <c r="Y15" i="27"/>
  <c r="K31" i="27" s="1"/>
  <c r="Y17" i="27"/>
  <c r="K33" i="27" s="1"/>
  <c r="J55" i="28"/>
  <c r="P55" i="28"/>
  <c r="M55" i="28"/>
  <c r="N57" i="30"/>
  <c r="O57" i="30" s="1"/>
  <c r="I47" i="31"/>
  <c r="O47" i="31"/>
  <c r="L47" i="31"/>
  <c r="X17" i="31"/>
  <c r="H33" i="31" s="1"/>
  <c r="Y17" i="31"/>
  <c r="K33" i="31" s="1"/>
  <c r="J52" i="32"/>
  <c r="P52" i="32"/>
  <c r="Z15" i="32"/>
  <c r="N31" i="32" s="1"/>
  <c r="Z14" i="32"/>
  <c r="N30" i="32" s="1"/>
  <c r="Z16" i="32"/>
  <c r="N32" i="32" s="1"/>
  <c r="Z17" i="32"/>
  <c r="N33" i="32" s="1"/>
  <c r="Y17" i="33"/>
  <c r="K33" i="33" s="1"/>
  <c r="Z16" i="33"/>
  <c r="N32" i="33" s="1"/>
  <c r="Z15" i="33"/>
  <c r="N31" i="33" s="1"/>
  <c r="Z17" i="33"/>
  <c r="N33" i="33" s="1"/>
  <c r="I56" i="34"/>
  <c r="O56" i="34"/>
  <c r="L56" i="34"/>
  <c r="I48" i="34"/>
  <c r="O48" i="34"/>
  <c r="L48" i="34"/>
  <c r="N32" i="34"/>
  <c r="H57" i="34"/>
  <c r="I57" i="34" s="1"/>
  <c r="L57" i="35"/>
  <c r="I55" i="35"/>
  <c r="O55" i="35"/>
  <c r="Y15" i="35"/>
  <c r="K31" i="35" s="1"/>
  <c r="Y17" i="35"/>
  <c r="K33" i="35" s="1"/>
  <c r="Y14" i="35"/>
  <c r="K30" i="35" s="1"/>
  <c r="Y16" i="35"/>
  <c r="K32" i="35" s="1"/>
  <c r="X15" i="36"/>
  <c r="H31" i="36" s="1"/>
  <c r="N57" i="36"/>
  <c r="P57" i="36" s="1"/>
  <c r="I46" i="37"/>
  <c r="O46" i="37"/>
  <c r="L46" i="37"/>
  <c r="J53" i="38"/>
  <c r="P53" i="38"/>
  <c r="M53" i="38"/>
  <c r="I51" i="44"/>
  <c r="J54" i="22"/>
  <c r="P54" i="22"/>
  <c r="I51" i="22"/>
  <c r="O51" i="22"/>
  <c r="I55" i="23"/>
  <c r="O55" i="23"/>
  <c r="Y16" i="23"/>
  <c r="K32" i="23" s="1"/>
  <c r="Y15" i="23"/>
  <c r="K31" i="23" s="1"/>
  <c r="J54" i="24"/>
  <c r="P54" i="24"/>
  <c r="Y15" i="24"/>
  <c r="K31" i="24" s="1"/>
  <c r="Y14" i="24"/>
  <c r="K30" i="24" s="1"/>
  <c r="J55" i="25"/>
  <c r="P55" i="25"/>
  <c r="I50" i="25"/>
  <c r="K57" i="25"/>
  <c r="L57" i="25" s="1"/>
  <c r="J56" i="26"/>
  <c r="P56" i="26"/>
  <c r="I48" i="26"/>
  <c r="O48" i="26"/>
  <c r="Y16" i="26"/>
  <c r="K32" i="26" s="1"/>
  <c r="Y15" i="26"/>
  <c r="K31" i="26" s="1"/>
  <c r="J54" i="27"/>
  <c r="P54" i="27"/>
  <c r="I51" i="27"/>
  <c r="O51" i="27"/>
  <c r="H33" i="27"/>
  <c r="N32" i="28"/>
  <c r="H57" i="28"/>
  <c r="Z16" i="29"/>
  <c r="N32" i="29" s="1"/>
  <c r="Z15" i="29"/>
  <c r="N31" i="29" s="1"/>
  <c r="Z14" i="29"/>
  <c r="N30" i="29" s="1"/>
  <c r="Z17" i="29"/>
  <c r="N33" i="29" s="1"/>
  <c r="I52" i="30"/>
  <c r="O52" i="30"/>
  <c r="L52" i="30"/>
  <c r="I48" i="31"/>
  <c r="O48" i="31"/>
  <c r="L48" i="31"/>
  <c r="K31" i="31"/>
  <c r="J53" i="32"/>
  <c r="P53" i="32"/>
  <c r="M53" i="32"/>
  <c r="I50" i="32"/>
  <c r="O50" i="32"/>
  <c r="L50" i="32"/>
  <c r="Y14" i="32"/>
  <c r="K30" i="32" s="1"/>
  <c r="X14" i="32"/>
  <c r="H30" i="32" s="1"/>
  <c r="J53" i="33"/>
  <c r="P53" i="33"/>
  <c r="O57" i="34"/>
  <c r="L57" i="34"/>
  <c r="X14" i="35"/>
  <c r="H30" i="35" s="1"/>
  <c r="X16" i="35"/>
  <c r="H32" i="35" s="1"/>
  <c r="X17" i="35"/>
  <c r="H33" i="35" s="1"/>
  <c r="N57" i="35"/>
  <c r="I48" i="36"/>
  <c r="O48" i="36"/>
  <c r="I50" i="37"/>
  <c r="O50" i="37"/>
  <c r="L50" i="37"/>
  <c r="Y15" i="37"/>
  <c r="K31" i="37" s="1"/>
  <c r="Z15" i="37"/>
  <c r="N31" i="37" s="1"/>
  <c r="M55" i="38"/>
  <c r="P55" i="38"/>
  <c r="H57" i="39"/>
  <c r="I51" i="40"/>
  <c r="O51" i="40"/>
  <c r="L51" i="40"/>
  <c r="I46" i="41"/>
  <c r="L46" i="41"/>
  <c r="O46" i="41"/>
  <c r="H57" i="25"/>
  <c r="K57" i="27"/>
  <c r="Z17" i="27"/>
  <c r="N33" i="27" s="1"/>
  <c r="O57" i="28"/>
  <c r="L57" i="28"/>
  <c r="J56" i="28"/>
  <c r="P56" i="28"/>
  <c r="I53" i="28"/>
  <c r="O53" i="28"/>
  <c r="J52" i="28"/>
  <c r="P52" i="28"/>
  <c r="I57" i="29"/>
  <c r="J53" i="29"/>
  <c r="P53" i="29"/>
  <c r="I46" i="29"/>
  <c r="O46" i="29"/>
  <c r="J55" i="30"/>
  <c r="P55" i="30"/>
  <c r="I49" i="30"/>
  <c r="O49" i="30"/>
  <c r="I46" i="30"/>
  <c r="O46" i="30"/>
  <c r="X15" i="30"/>
  <c r="H31" i="30" s="1"/>
  <c r="X14" i="30"/>
  <c r="H30" i="30" s="1"/>
  <c r="I56" i="31"/>
  <c r="O56" i="31"/>
  <c r="J55" i="31"/>
  <c r="P55" i="31"/>
  <c r="I52" i="31"/>
  <c r="O52" i="31"/>
  <c r="I53" i="32"/>
  <c r="O53" i="32"/>
  <c r="I49" i="32"/>
  <c r="O49" i="32"/>
  <c r="I54" i="33"/>
  <c r="O54" i="33"/>
  <c r="Y15" i="33"/>
  <c r="K31" i="33" s="1"/>
  <c r="Y14" i="33"/>
  <c r="K30" i="33" s="1"/>
  <c r="N31" i="34"/>
  <c r="I57" i="35"/>
  <c r="J57" i="35"/>
  <c r="I57" i="36"/>
  <c r="I53" i="36"/>
  <c r="O53" i="36"/>
  <c r="Z16" i="36"/>
  <c r="N32" i="36" s="1"/>
  <c r="H57" i="41"/>
  <c r="I56" i="28"/>
  <c r="O56" i="28"/>
  <c r="I52" i="28"/>
  <c r="O52" i="28"/>
  <c r="L51" i="28"/>
  <c r="I51" i="28"/>
  <c r="Y16" i="28"/>
  <c r="K32" i="28" s="1"/>
  <c r="I55" i="29"/>
  <c r="O55" i="29"/>
  <c r="J54" i="29"/>
  <c r="P54" i="29"/>
  <c r="I51" i="29"/>
  <c r="O51" i="29"/>
  <c r="O50" i="29"/>
  <c r="L50" i="29"/>
  <c r="L57" i="30"/>
  <c r="J56" i="30"/>
  <c r="P56" i="30"/>
  <c r="I53" i="30"/>
  <c r="O53" i="30"/>
  <c r="J52" i="30"/>
  <c r="P52" i="30"/>
  <c r="I48" i="30"/>
  <c r="O48" i="30"/>
  <c r="N31" i="30"/>
  <c r="H57" i="30"/>
  <c r="I57" i="30" s="1"/>
  <c r="I55" i="31"/>
  <c r="O55" i="31"/>
  <c r="I51" i="31"/>
  <c r="O51" i="31"/>
  <c r="L57" i="32"/>
  <c r="I57" i="32"/>
  <c r="X17" i="32"/>
  <c r="H33" i="32" s="1"/>
  <c r="Y17" i="32"/>
  <c r="K33" i="32" s="1"/>
  <c r="I51" i="33"/>
  <c r="O51" i="33"/>
  <c r="J55" i="34"/>
  <c r="P55" i="34"/>
  <c r="I49" i="34"/>
  <c r="O49" i="34"/>
  <c r="I46" i="34"/>
  <c r="O46" i="34"/>
  <c r="J53" i="35"/>
  <c r="P53" i="35"/>
  <c r="I52" i="35"/>
  <c r="O47" i="35"/>
  <c r="I47" i="35"/>
  <c r="Y15" i="36"/>
  <c r="K31" i="36" s="1"/>
  <c r="Y14" i="36"/>
  <c r="K30" i="36" s="1"/>
  <c r="Y16" i="36"/>
  <c r="K32" i="36" s="1"/>
  <c r="I55" i="39"/>
  <c r="O55" i="39"/>
  <c r="I48" i="40"/>
  <c r="O48" i="40"/>
  <c r="L48" i="40"/>
  <c r="Y17" i="41"/>
  <c r="K33" i="41" s="1"/>
  <c r="Z17" i="41"/>
  <c r="N33" i="41" s="1"/>
  <c r="Y17" i="43"/>
  <c r="K33" i="43" s="1"/>
  <c r="Z17" i="43"/>
  <c r="N33" i="43" s="1"/>
  <c r="Z17" i="28"/>
  <c r="N33" i="28" s="1"/>
  <c r="Z17" i="35"/>
  <c r="N33" i="35" s="1"/>
  <c r="J55" i="36"/>
  <c r="P55" i="36"/>
  <c r="L51" i="36"/>
  <c r="I55" i="37"/>
  <c r="O55" i="37"/>
  <c r="J54" i="37"/>
  <c r="P54" i="37"/>
  <c r="I49" i="37"/>
  <c r="O49" i="37"/>
  <c r="I57" i="38"/>
  <c r="J54" i="38"/>
  <c r="P54" i="38"/>
  <c r="J54" i="39"/>
  <c r="P54" i="39"/>
  <c r="M54" i="39"/>
  <c r="I50" i="39"/>
  <c r="O50" i="39"/>
  <c r="L50" i="39"/>
  <c r="I55" i="40"/>
  <c r="O55" i="40"/>
  <c r="L55" i="40"/>
  <c r="N57" i="40"/>
  <c r="O57" i="40" s="1"/>
  <c r="I52" i="41"/>
  <c r="O52" i="41"/>
  <c r="L52" i="41"/>
  <c r="I49" i="42"/>
  <c r="O49" i="42"/>
  <c r="L49" i="42"/>
  <c r="I56" i="43"/>
  <c r="O56" i="43"/>
  <c r="I55" i="46"/>
  <c r="L55" i="46"/>
  <c r="O55" i="46"/>
  <c r="H31" i="35"/>
  <c r="N31" i="35"/>
  <c r="I47" i="36"/>
  <c r="O47" i="36"/>
  <c r="M57" i="37"/>
  <c r="I54" i="37"/>
  <c r="O54" i="37"/>
  <c r="I54" i="38"/>
  <c r="L54" i="38"/>
  <c r="I51" i="38"/>
  <c r="O51" i="38"/>
  <c r="L51" i="38"/>
  <c r="I54" i="39"/>
  <c r="O54" i="39"/>
  <c r="L54" i="39"/>
  <c r="I51" i="39"/>
  <c r="O51" i="39"/>
  <c r="L51" i="39"/>
  <c r="N57" i="39"/>
  <c r="Z14" i="40"/>
  <c r="N30" i="40" s="1"/>
  <c r="Z15" i="40"/>
  <c r="N31" i="40" s="1"/>
  <c r="Z17" i="40"/>
  <c r="N33" i="40" s="1"/>
  <c r="Z16" i="40"/>
  <c r="N32" i="40" s="1"/>
  <c r="O51" i="41"/>
  <c r="I51" i="41"/>
  <c r="L51" i="41"/>
  <c r="I47" i="41"/>
  <c r="L47" i="41"/>
  <c r="O47" i="41"/>
  <c r="L57" i="42"/>
  <c r="O57" i="42"/>
  <c r="J52" i="42"/>
  <c r="P52" i="42"/>
  <c r="M52" i="42"/>
  <c r="I48" i="42"/>
  <c r="O48" i="42"/>
  <c r="L48" i="42"/>
  <c r="Z17" i="42"/>
  <c r="N33" i="42" s="1"/>
  <c r="Y17" i="42"/>
  <c r="K33" i="42" s="1"/>
  <c r="Y14" i="42"/>
  <c r="K30" i="42" s="1"/>
  <c r="Z14" i="42"/>
  <c r="N30" i="42" s="1"/>
  <c r="I51" i="43"/>
  <c r="O51" i="43"/>
  <c r="L51" i="43"/>
  <c r="O57" i="45"/>
  <c r="L57" i="45"/>
  <c r="J55" i="45"/>
  <c r="P55" i="45"/>
  <c r="M55" i="45"/>
  <c r="I53" i="45"/>
  <c r="O53" i="45"/>
  <c r="L53" i="45"/>
  <c r="J51" i="45"/>
  <c r="P51" i="45"/>
  <c r="M51" i="45"/>
  <c r="I51" i="46"/>
  <c r="O51" i="46"/>
  <c r="L51" i="46"/>
  <c r="K57" i="36"/>
  <c r="Y16" i="37"/>
  <c r="K32" i="37" s="1"/>
  <c r="I55" i="38"/>
  <c r="O55" i="38"/>
  <c r="I50" i="38"/>
  <c r="O50" i="38"/>
  <c r="N32" i="38"/>
  <c r="Y14" i="38"/>
  <c r="K30" i="38" s="1"/>
  <c r="X16" i="38"/>
  <c r="H32" i="38" s="1"/>
  <c r="X15" i="38"/>
  <c r="H31" i="38" s="1"/>
  <c r="I47" i="39"/>
  <c r="O47" i="39"/>
  <c r="Y16" i="39"/>
  <c r="K32" i="39" s="1"/>
  <c r="Y15" i="39"/>
  <c r="K31" i="39" s="1"/>
  <c r="J54" i="40"/>
  <c r="P54" i="40"/>
  <c r="I47" i="40"/>
  <c r="O47" i="40"/>
  <c r="X14" i="40"/>
  <c r="H30" i="40" s="1"/>
  <c r="Y14" i="40"/>
  <c r="K30" i="40" s="1"/>
  <c r="X16" i="41"/>
  <c r="H32" i="41" s="1"/>
  <c r="X15" i="41"/>
  <c r="H31" i="41" s="1"/>
  <c r="X17" i="41"/>
  <c r="H33" i="41" s="1"/>
  <c r="J55" i="42"/>
  <c r="P55" i="42"/>
  <c r="I53" i="42"/>
  <c r="O53" i="42"/>
  <c r="L53" i="42"/>
  <c r="X15" i="42"/>
  <c r="H31" i="42" s="1"/>
  <c r="X14" i="42"/>
  <c r="H30" i="42" s="1"/>
  <c r="X16" i="42"/>
  <c r="H32" i="42" s="1"/>
  <c r="J55" i="43"/>
  <c r="P55" i="43"/>
  <c r="M55" i="43"/>
  <c r="I52" i="43"/>
  <c r="O52" i="43"/>
  <c r="Y16" i="43"/>
  <c r="K32" i="43" s="1"/>
  <c r="Z14" i="44"/>
  <c r="N30" i="44" s="1"/>
  <c r="Z15" i="44"/>
  <c r="N31" i="44" s="1"/>
  <c r="Z17" i="44"/>
  <c r="N33" i="44" s="1"/>
  <c r="Z16" i="44"/>
  <c r="N32" i="44" s="1"/>
  <c r="I48" i="45"/>
  <c r="O48" i="45"/>
  <c r="L48" i="45"/>
  <c r="H57" i="45"/>
  <c r="J57" i="45" s="1"/>
  <c r="K57" i="46"/>
  <c r="M57" i="46" s="1"/>
  <c r="I57" i="47"/>
  <c r="J57" i="47"/>
  <c r="H32" i="37"/>
  <c r="X15" i="37"/>
  <c r="H31" i="37" s="1"/>
  <c r="I47" i="38"/>
  <c r="O47" i="38"/>
  <c r="N31" i="38"/>
  <c r="X14" i="38"/>
  <c r="H30" i="38" s="1"/>
  <c r="N57" i="38"/>
  <c r="J53" i="39"/>
  <c r="P53" i="39"/>
  <c r="X15" i="39"/>
  <c r="H31" i="39" s="1"/>
  <c r="X14" i="39"/>
  <c r="H30" i="39" s="1"/>
  <c r="I56" i="40"/>
  <c r="O56" i="40"/>
  <c r="J55" i="40"/>
  <c r="P55" i="40"/>
  <c r="I52" i="40"/>
  <c r="O52" i="40"/>
  <c r="L57" i="41"/>
  <c r="I57" i="41"/>
  <c r="H30" i="41"/>
  <c r="J56" i="42"/>
  <c r="P56" i="42"/>
  <c r="M56" i="42"/>
  <c r="I46" i="42"/>
  <c r="O46" i="42"/>
  <c r="L46" i="42"/>
  <c r="N31" i="42"/>
  <c r="I55" i="43"/>
  <c r="O55" i="43"/>
  <c r="L55" i="43"/>
  <c r="X16" i="43"/>
  <c r="H32" i="43" s="1"/>
  <c r="X15" i="43"/>
  <c r="H31" i="43" s="1"/>
  <c r="X14" i="43"/>
  <c r="H30" i="43" s="1"/>
  <c r="I54" i="44"/>
  <c r="O54" i="44"/>
  <c r="L54" i="44"/>
  <c r="I46" i="44"/>
  <c r="O46" i="44"/>
  <c r="L46" i="44"/>
  <c r="H32" i="45"/>
  <c r="Y15" i="45"/>
  <c r="K31" i="45" s="1"/>
  <c r="Y14" i="45"/>
  <c r="K30" i="45" s="1"/>
  <c r="Y16" i="45"/>
  <c r="K32" i="45" s="1"/>
  <c r="Y17" i="45"/>
  <c r="K33" i="45" s="1"/>
  <c r="X16" i="40"/>
  <c r="H32" i="40" s="1"/>
  <c r="J56" i="41"/>
  <c r="P56" i="41"/>
  <c r="I48" i="41"/>
  <c r="O48" i="41"/>
  <c r="I56" i="42"/>
  <c r="O56" i="42"/>
  <c r="I52" i="42"/>
  <c r="O52" i="42"/>
  <c r="I48" i="43"/>
  <c r="O48" i="43"/>
  <c r="N57" i="43"/>
  <c r="O57" i="43" s="1"/>
  <c r="I57" i="44"/>
  <c r="J53" i="44"/>
  <c r="P53" i="44"/>
  <c r="I50" i="44"/>
  <c r="O50" i="44"/>
  <c r="N52" i="46"/>
  <c r="Y16" i="47"/>
  <c r="K32" i="47" s="1"/>
  <c r="X16" i="47"/>
  <c r="H32" i="47" s="1"/>
  <c r="P57" i="48"/>
  <c r="O57" i="48"/>
  <c r="Y16" i="48"/>
  <c r="K32" i="48" s="1"/>
  <c r="Y15" i="48"/>
  <c r="K31" i="48" s="1"/>
  <c r="Y14" i="48"/>
  <c r="K30" i="48" s="1"/>
  <c r="Y17" i="48"/>
  <c r="K33" i="48" s="1"/>
  <c r="O57" i="49"/>
  <c r="P57" i="49"/>
  <c r="Y16" i="42"/>
  <c r="K32" i="42" s="1"/>
  <c r="Y15" i="42"/>
  <c r="K31" i="42" s="1"/>
  <c r="J54" i="43"/>
  <c r="P54" i="43"/>
  <c r="I47" i="43"/>
  <c r="O47" i="43"/>
  <c r="I55" i="44"/>
  <c r="O55" i="44"/>
  <c r="J54" i="44"/>
  <c r="P54" i="44"/>
  <c r="I49" i="44"/>
  <c r="O49" i="44"/>
  <c r="N57" i="44"/>
  <c r="O47" i="45"/>
  <c r="I47" i="45"/>
  <c r="I47" i="48"/>
  <c r="O47" i="48"/>
  <c r="L47" i="48"/>
  <c r="I55" i="49"/>
  <c r="O55" i="49"/>
  <c r="L55" i="49"/>
  <c r="X16" i="44"/>
  <c r="H32" i="44" s="1"/>
  <c r="H31" i="45"/>
  <c r="I57" i="46"/>
  <c r="J54" i="46"/>
  <c r="P54" i="46"/>
  <c r="H52" i="46"/>
  <c r="I56" i="45"/>
  <c r="O56" i="45"/>
  <c r="I52" i="45"/>
  <c r="O52" i="45"/>
  <c r="Z16" i="45"/>
  <c r="N32" i="45" s="1"/>
  <c r="Z15" i="45"/>
  <c r="N31" i="45" s="1"/>
  <c r="J55" i="46"/>
  <c r="P55" i="46"/>
  <c r="Y15" i="46"/>
  <c r="K31" i="46" s="1"/>
  <c r="Y14" i="46"/>
  <c r="K30" i="46" s="1"/>
  <c r="Y16" i="46"/>
  <c r="K32" i="46" s="1"/>
  <c r="Y17" i="46"/>
  <c r="K33" i="46" s="1"/>
  <c r="I56" i="47"/>
  <c r="O56" i="47"/>
  <c r="L56" i="47"/>
  <c r="O55" i="47"/>
  <c r="I55" i="47"/>
  <c r="L55" i="47"/>
  <c r="I51" i="47"/>
  <c r="O51" i="47"/>
  <c r="K57" i="47"/>
  <c r="I56" i="48"/>
  <c r="O56" i="48"/>
  <c r="L56" i="48"/>
  <c r="J55" i="48"/>
  <c r="P55" i="48"/>
  <c r="M7" i="50"/>
  <c r="K70" i="50"/>
  <c r="M69" i="50" s="1"/>
  <c r="BM19" i="21" s="1"/>
  <c r="I56" i="46"/>
  <c r="O56" i="46"/>
  <c r="I50" i="46"/>
  <c r="O50" i="46"/>
  <c r="M56" i="47"/>
  <c r="Z15" i="47"/>
  <c r="N31" i="47" s="1"/>
  <c r="Z14" i="47"/>
  <c r="N30" i="47" s="1"/>
  <c r="Z16" i="47"/>
  <c r="N32" i="47" s="1"/>
  <c r="I55" i="48"/>
  <c r="L55" i="48"/>
  <c r="H33" i="48"/>
  <c r="J55" i="50"/>
  <c r="P55" i="50"/>
  <c r="M55" i="50"/>
  <c r="X16" i="51"/>
  <c r="H32" i="51" s="1"/>
  <c r="X15" i="51"/>
  <c r="H31" i="51" s="1"/>
  <c r="X14" i="51"/>
  <c r="H30" i="51" s="1"/>
  <c r="X17" i="51"/>
  <c r="H33" i="51" s="1"/>
  <c r="O57" i="46"/>
  <c r="I47" i="46"/>
  <c r="O47" i="46"/>
  <c r="H33" i="46"/>
  <c r="Z16" i="46"/>
  <c r="N32" i="46" s="1"/>
  <c r="Z15" i="46"/>
  <c r="N31" i="46" s="1"/>
  <c r="O54" i="47"/>
  <c r="I49" i="48"/>
  <c r="O49" i="48"/>
  <c r="Z16" i="48"/>
  <c r="N32" i="48" s="1"/>
  <c r="Z15" i="48"/>
  <c r="N31" i="48" s="1"/>
  <c r="Z14" i="48"/>
  <c r="N30" i="48" s="1"/>
  <c r="Z17" i="48"/>
  <c r="N33" i="48" s="1"/>
  <c r="I53" i="49"/>
  <c r="O57" i="47"/>
  <c r="I54" i="47"/>
  <c r="I47" i="47"/>
  <c r="O47" i="47"/>
  <c r="Y14" i="47"/>
  <c r="K30" i="47" s="1"/>
  <c r="J53" i="48"/>
  <c r="P53" i="48"/>
  <c r="J54" i="49"/>
  <c r="P54" i="49"/>
  <c r="L49" i="49"/>
  <c r="I49" i="49"/>
  <c r="I46" i="49"/>
  <c r="L46" i="49"/>
  <c r="J57" i="50"/>
  <c r="I57" i="50"/>
  <c r="I56" i="50"/>
  <c r="O56" i="50"/>
  <c r="L56" i="50"/>
  <c r="I55" i="51"/>
  <c r="O55" i="51"/>
  <c r="L55" i="51"/>
  <c r="J50" i="51"/>
  <c r="P50" i="51"/>
  <c r="M50" i="51"/>
  <c r="J55" i="47"/>
  <c r="P55" i="47"/>
  <c r="I57" i="48"/>
  <c r="I51" i="48"/>
  <c r="O51" i="48"/>
  <c r="Y16" i="49"/>
  <c r="K32" i="49" s="1"/>
  <c r="Y15" i="49"/>
  <c r="K31" i="49" s="1"/>
  <c r="Y17" i="49"/>
  <c r="K33" i="49" s="1"/>
  <c r="Y14" i="49"/>
  <c r="K30" i="49" s="1"/>
  <c r="I51" i="49"/>
  <c r="H57" i="49"/>
  <c r="J50" i="50"/>
  <c r="P50" i="50"/>
  <c r="Y16" i="50"/>
  <c r="K32" i="50" s="1"/>
  <c r="Y15" i="50"/>
  <c r="K31" i="50" s="1"/>
  <c r="Y14" i="50"/>
  <c r="K30" i="50" s="1"/>
  <c r="Y17" i="50"/>
  <c r="K33" i="50" s="1"/>
  <c r="I50" i="51"/>
  <c r="O50" i="51"/>
  <c r="L50" i="51"/>
  <c r="H57" i="51"/>
  <c r="N33" i="49"/>
  <c r="J54" i="50"/>
  <c r="P54" i="50"/>
  <c r="I52" i="50"/>
  <c r="O52" i="50"/>
  <c r="L52" i="50"/>
  <c r="J51" i="50"/>
  <c r="P51" i="50"/>
  <c r="I47" i="50"/>
  <c r="O47" i="50"/>
  <c r="L47" i="50"/>
  <c r="N57" i="50"/>
  <c r="P57" i="50" s="1"/>
  <c r="Y17" i="51"/>
  <c r="K33" i="51" s="1"/>
  <c r="Z17" i="51"/>
  <c r="N33" i="51" s="1"/>
  <c r="O53" i="49"/>
  <c r="H32" i="49"/>
  <c r="X15" i="49"/>
  <c r="H31" i="49" s="1"/>
  <c r="X14" i="49"/>
  <c r="H30" i="49" s="1"/>
  <c r="I55" i="50"/>
  <c r="O55" i="50"/>
  <c r="I51" i="50"/>
  <c r="O51" i="50"/>
  <c r="J54" i="51"/>
  <c r="P54" i="51"/>
  <c r="M54" i="51"/>
  <c r="I51" i="51"/>
  <c r="O51" i="51"/>
  <c r="K31" i="51"/>
  <c r="N57" i="51"/>
  <c r="I48" i="50"/>
  <c r="O48" i="50"/>
  <c r="N30" i="50"/>
  <c r="I54" i="51"/>
  <c r="O54" i="51"/>
  <c r="L54" i="51"/>
  <c r="M7" i="51"/>
  <c r="X15" i="50"/>
  <c r="H31" i="50" s="1"/>
  <c r="X14" i="50"/>
  <c r="H30" i="50" s="1"/>
  <c r="J7" i="50"/>
  <c r="N30" i="51"/>
  <c r="J53" i="51"/>
  <c r="P53" i="51"/>
  <c r="I47" i="51"/>
  <c r="O47" i="51"/>
  <c r="N70" i="51"/>
  <c r="P69" i="51" s="1"/>
  <c r="CT19" i="21" s="1"/>
  <c r="H12" i="14" l="1"/>
  <c r="Q46" i="15"/>
  <c r="Q47" i="15"/>
  <c r="X15" i="80"/>
  <c r="H32" i="80" s="1"/>
  <c r="X16" i="80"/>
  <c r="H33" i="80" s="1"/>
  <c r="X13" i="80"/>
  <c r="H30" i="80" s="1"/>
  <c r="X14" i="80"/>
  <c r="H31" i="80" s="1"/>
  <c r="Z13" i="80"/>
  <c r="Z15" i="80"/>
  <c r="N32" i="80" s="1"/>
  <c r="Z16" i="80"/>
  <c r="N33" i="80" s="1"/>
  <c r="Z14" i="80"/>
  <c r="N31" i="80" s="1"/>
  <c r="Z16" i="77"/>
  <c r="N33" i="77" s="1"/>
  <c r="Z15" i="77"/>
  <c r="N32" i="77" s="1"/>
  <c r="Z13" i="77"/>
  <c r="Z14" i="77"/>
  <c r="N31" i="77" s="1"/>
  <c r="X16" i="77"/>
  <c r="H33" i="77" s="1"/>
  <c r="X15" i="77"/>
  <c r="H32" i="77" s="1"/>
  <c r="X13" i="77"/>
  <c r="H30" i="77" s="1"/>
  <c r="X14" i="77"/>
  <c r="H31" i="77" s="1"/>
  <c r="N10" i="77"/>
  <c r="H10" i="77"/>
  <c r="M9" i="57"/>
  <c r="I123" i="67"/>
  <c r="J123" i="67" s="1"/>
  <c r="K123" i="67" s="1"/>
  <c r="K14" i="15"/>
  <c r="K12" i="15"/>
  <c r="K15" i="15"/>
  <c r="K13" i="15"/>
  <c r="Q15" i="79"/>
  <c r="Q15" i="87"/>
  <c r="Q15" i="83"/>
  <c r="I15" i="83" s="1"/>
  <c r="Q15" i="109"/>
  <c r="Q15" i="78"/>
  <c r="Q15" i="81"/>
  <c r="Q15" i="86"/>
  <c r="Q15" i="84"/>
  <c r="Q15" i="42"/>
  <c r="I15" i="22"/>
  <c r="Q15" i="27"/>
  <c r="Q15" i="41"/>
  <c r="I15" i="41" s="1"/>
  <c r="Q15" i="26"/>
  <c r="Q15" i="23"/>
  <c r="P13" i="57"/>
  <c r="P9" i="57"/>
  <c r="H13" i="57"/>
  <c r="H9" i="57"/>
  <c r="L9" i="57"/>
  <c r="L13" i="57"/>
  <c r="O9" i="57"/>
  <c r="O13" i="57"/>
  <c r="N9" i="57"/>
  <c r="N13" i="57"/>
  <c r="K9" i="57"/>
  <c r="K13" i="57"/>
  <c r="X16" i="79"/>
  <c r="H33" i="79" s="1"/>
  <c r="X15" i="79"/>
  <c r="H32" i="79" s="1"/>
  <c r="X14" i="79"/>
  <c r="H31" i="79" s="1"/>
  <c r="X13" i="79"/>
  <c r="H30" i="79" s="1"/>
  <c r="Q14" i="23"/>
  <c r="L134" i="67"/>
  <c r="Q16" i="101"/>
  <c r="Q14" i="101"/>
  <c r="Q15" i="101"/>
  <c r="Q14" i="85"/>
  <c r="I14" i="85" s="1"/>
  <c r="J13" i="85" s="1"/>
  <c r="Q15" i="33"/>
  <c r="Q15" i="40"/>
  <c r="I15" i="40" s="1"/>
  <c r="Q15" i="82"/>
  <c r="Q15" i="30"/>
  <c r="Q15" i="34"/>
  <c r="Q14" i="91"/>
  <c r="I14" i="91" s="1"/>
  <c r="J13" i="91" s="1"/>
  <c r="Q14" i="71"/>
  <c r="I14" i="71" s="1"/>
  <c r="Q14" i="72"/>
  <c r="I14" i="72" s="1"/>
  <c r="Q14" i="73"/>
  <c r="I14" i="73" s="1"/>
  <c r="I14" i="77"/>
  <c r="Q14" i="79"/>
  <c r="I14" i="79" s="1"/>
  <c r="Q15" i="80"/>
  <c r="Q15" i="75"/>
  <c r="Q15" i="76"/>
  <c r="Q14" i="109"/>
  <c r="I14" i="109" s="1"/>
  <c r="Q14" i="84"/>
  <c r="I14" i="84" s="1"/>
  <c r="Q14" i="82"/>
  <c r="I14" i="82" s="1"/>
  <c r="Q14" i="83"/>
  <c r="I14" i="83" s="1"/>
  <c r="Q14" i="87"/>
  <c r="I14" i="87" s="1"/>
  <c r="Q14" i="90"/>
  <c r="I14" i="90" s="1"/>
  <c r="Q14" i="70"/>
  <c r="I14" i="70" s="1"/>
  <c r="Q14" i="74"/>
  <c r="I14" i="74" s="1"/>
  <c r="Q14" i="78"/>
  <c r="I14" i="78" s="1"/>
  <c r="Q14" i="81"/>
  <c r="I14" i="81" s="1"/>
  <c r="Q14" i="86"/>
  <c r="I14" i="86" s="1"/>
  <c r="Q15" i="90"/>
  <c r="Q15" i="70"/>
  <c r="Q15" i="74"/>
  <c r="Q15" i="71"/>
  <c r="Q15" i="72"/>
  <c r="Q15" i="73"/>
  <c r="Q15" i="77"/>
  <c r="Q14" i="80"/>
  <c r="I14" i="80" s="1"/>
  <c r="Q14" i="75"/>
  <c r="I14" i="75" s="1"/>
  <c r="Q14" i="76"/>
  <c r="I14" i="76" s="1"/>
  <c r="V29" i="20"/>
  <c r="T29" i="20"/>
  <c r="P29" i="20"/>
  <c r="P56" i="76"/>
  <c r="O56" i="76"/>
  <c r="CR59" i="21"/>
  <c r="CR25" i="21"/>
  <c r="I57" i="45"/>
  <c r="I58" i="45" s="1"/>
  <c r="I59" i="45" s="1"/>
  <c r="AA27" i="21" s="1"/>
  <c r="Q14" i="25"/>
  <c r="Q14" i="27"/>
  <c r="Q14" i="29"/>
  <c r="I14" i="29" s="1"/>
  <c r="J13" i="29" s="1"/>
  <c r="K64" i="21" s="1"/>
  <c r="Q14" i="31"/>
  <c r="Q14" i="33"/>
  <c r="Q14" i="35"/>
  <c r="Q14" i="37"/>
  <c r="Q14" i="39"/>
  <c r="Q14" i="41"/>
  <c r="Q14" i="43"/>
  <c r="Q14" i="45"/>
  <c r="Q14" i="47"/>
  <c r="Q14" i="49"/>
  <c r="Q14" i="107"/>
  <c r="I14" i="107" s="1"/>
  <c r="J13" i="107" s="1"/>
  <c r="Q14" i="24"/>
  <c r="Q14" i="26"/>
  <c r="Q14" i="28"/>
  <c r="Q14" i="30"/>
  <c r="Q14" i="32"/>
  <c r="Q14" i="34"/>
  <c r="Q14" i="36"/>
  <c r="Q14" i="38"/>
  <c r="Q14" i="40"/>
  <c r="Q14" i="42"/>
  <c r="Q14" i="44"/>
  <c r="Q14" i="46"/>
  <c r="Q14" i="48"/>
  <c r="Q14" i="50"/>
  <c r="I14" i="50" s="1"/>
  <c r="J13" i="50" s="1"/>
  <c r="Q14" i="89"/>
  <c r="I14" i="89" s="1"/>
  <c r="J13" i="89" s="1"/>
  <c r="N29" i="20"/>
  <c r="R29" i="20"/>
  <c r="BM48" i="21"/>
  <c r="D14" i="6"/>
  <c r="AF59" i="21"/>
  <c r="AF25" i="21"/>
  <c r="L29" i="20"/>
  <c r="I58" i="72"/>
  <c r="F53" i="87"/>
  <c r="L53" i="87" s="1"/>
  <c r="F54" i="87"/>
  <c r="O14" i="14"/>
  <c r="H95" i="67"/>
  <c r="H96" i="67" s="1"/>
  <c r="H110" i="67" s="1"/>
  <c r="G95" i="67"/>
  <c r="G96" i="67" s="1"/>
  <c r="G110" i="67" s="1"/>
  <c r="H70" i="71"/>
  <c r="J69" i="71" s="1"/>
  <c r="CY19" i="21" s="1"/>
  <c r="CY8" i="21"/>
  <c r="CY48" i="21" s="1"/>
  <c r="X13" i="78"/>
  <c r="X14" i="78"/>
  <c r="X15" i="78"/>
  <c r="X16" i="78"/>
  <c r="G43" i="6"/>
  <c r="X16" i="75"/>
  <c r="H33" i="75" s="1"/>
  <c r="X14" i="75"/>
  <c r="H31" i="75" s="1"/>
  <c r="X13" i="75"/>
  <c r="H30" i="75" s="1"/>
  <c r="X15" i="75"/>
  <c r="H32" i="75" s="1"/>
  <c r="O57" i="36"/>
  <c r="O58" i="36" s="1"/>
  <c r="O59" i="36" s="1"/>
  <c r="J7" i="51"/>
  <c r="AH8" i="21"/>
  <c r="AH48" i="21" s="1"/>
  <c r="H70" i="51"/>
  <c r="J69" i="51" s="1"/>
  <c r="AH19" i="21" s="1"/>
  <c r="K70" i="51"/>
  <c r="M69" i="51" s="1"/>
  <c r="BN19" i="21" s="1"/>
  <c r="BN8" i="21"/>
  <c r="BN48" i="21" s="1"/>
  <c r="L57" i="46"/>
  <c r="L58" i="46" s="1"/>
  <c r="L59" i="46" s="1"/>
  <c r="BH27" i="21" s="1"/>
  <c r="K70" i="73"/>
  <c r="M69" i="73" s="1"/>
  <c r="DX19" i="21" s="1"/>
  <c r="DX8" i="21"/>
  <c r="DX48" i="21" s="1"/>
  <c r="Z15" i="78"/>
  <c r="Z13" i="78"/>
  <c r="Z14" i="78"/>
  <c r="Z16" i="78"/>
  <c r="K70" i="71"/>
  <c r="M69" i="71" s="1"/>
  <c r="DV19" i="21" s="1"/>
  <c r="DV8" i="21"/>
  <c r="DV48" i="21" s="1"/>
  <c r="H70" i="50"/>
  <c r="J69" i="50" s="1"/>
  <c r="AG19" i="21" s="1"/>
  <c r="N70" i="71"/>
  <c r="P69" i="71" s="1"/>
  <c r="ES19" i="21" s="1"/>
  <c r="ES8" i="21"/>
  <c r="ES48" i="21" s="1"/>
  <c r="M45" i="63"/>
  <c r="X13" i="74"/>
  <c r="H30" i="74" s="1"/>
  <c r="X15" i="74"/>
  <c r="H32" i="74" s="1"/>
  <c r="X14" i="74"/>
  <c r="H31" i="74" s="1"/>
  <c r="X16" i="74"/>
  <c r="H33" i="74" s="1"/>
  <c r="N12" i="14"/>
  <c r="M13" i="14"/>
  <c r="M14" i="14"/>
  <c r="N4" i="62"/>
  <c r="N16" i="14"/>
  <c r="J64" i="14" s="1"/>
  <c r="M15" i="14"/>
  <c r="J30" i="14" s="1"/>
  <c r="N15" i="14"/>
  <c r="J27" i="14" s="1"/>
  <c r="J49" i="14"/>
  <c r="O16" i="14"/>
  <c r="O12" i="14"/>
  <c r="L58" i="51"/>
  <c r="L59" i="51" s="1"/>
  <c r="BN27" i="21" s="1"/>
  <c r="N9" i="20"/>
  <c r="T173" i="20" s="1"/>
  <c r="O5" i="20"/>
  <c r="F9" i="58"/>
  <c r="F13" i="58"/>
  <c r="H8" i="8"/>
  <c r="D12" i="8"/>
  <c r="D8" i="8"/>
  <c r="I12" i="8"/>
  <c r="I10" i="8"/>
  <c r="R13" i="57"/>
  <c r="R9" i="57"/>
  <c r="J13" i="57"/>
  <c r="J9" i="57"/>
  <c r="O38" i="33"/>
  <c r="M43" i="91"/>
  <c r="P43" i="91"/>
  <c r="H70" i="89"/>
  <c r="J69" i="89" s="1"/>
  <c r="DS19" i="21" s="1"/>
  <c r="J43" i="91"/>
  <c r="O52" i="63"/>
  <c r="O54" i="63"/>
  <c r="G126" i="18"/>
  <c r="G127" i="18" s="1"/>
  <c r="G128" i="18" s="1"/>
  <c r="G142" i="18" s="1"/>
  <c r="F126" i="18"/>
  <c r="F127" i="18" s="1"/>
  <c r="F128" i="18" s="1"/>
  <c r="F142" i="18" s="1"/>
  <c r="L58" i="70"/>
  <c r="K70" i="89"/>
  <c r="M69" i="89" s="1"/>
  <c r="EP19" i="21" s="1"/>
  <c r="P7" i="72"/>
  <c r="N70" i="72"/>
  <c r="P69" i="72" s="1"/>
  <c r="ET19" i="21" s="1"/>
  <c r="N70" i="89"/>
  <c r="P69" i="89" s="1"/>
  <c r="FM19" i="21" s="1"/>
  <c r="J7" i="70"/>
  <c r="H70" i="70"/>
  <c r="J69" i="70" s="1"/>
  <c r="CX19" i="21" s="1"/>
  <c r="N70" i="73"/>
  <c r="P69" i="73" s="1"/>
  <c r="O58" i="70"/>
  <c r="H70" i="73"/>
  <c r="J69" i="73" s="1"/>
  <c r="DA19" i="21" s="1"/>
  <c r="K70" i="90"/>
  <c r="M69" i="90" s="1"/>
  <c r="EO19" i="21" s="1"/>
  <c r="K70" i="72"/>
  <c r="M69" i="72" s="1"/>
  <c r="N70" i="90"/>
  <c r="P69" i="90" s="1"/>
  <c r="FL19" i="21" s="1"/>
  <c r="K70" i="70"/>
  <c r="M69" i="70" s="1"/>
  <c r="DU19" i="21" s="1"/>
  <c r="I58" i="70"/>
  <c r="N70" i="70"/>
  <c r="P69" i="70" s="1"/>
  <c r="ER19" i="21" s="1"/>
  <c r="J7" i="72"/>
  <c r="H70" i="72"/>
  <c r="J69" i="72" s="1"/>
  <c r="CZ19" i="21" s="1"/>
  <c r="H70" i="90"/>
  <c r="J69" i="90" s="1"/>
  <c r="DR19" i="21" s="1"/>
  <c r="P7" i="71"/>
  <c r="J7" i="90"/>
  <c r="M7" i="90"/>
  <c r="M7" i="89"/>
  <c r="J7" i="71"/>
  <c r="P7" i="90"/>
  <c r="M7" i="72"/>
  <c r="P7" i="89"/>
  <c r="M7" i="70"/>
  <c r="P7" i="73"/>
  <c r="M7" i="71"/>
  <c r="V10" i="20"/>
  <c r="J7" i="89"/>
  <c r="M7" i="73"/>
  <c r="P7" i="70"/>
  <c r="I58" i="33"/>
  <c r="I59" i="33" s="1"/>
  <c r="O27" i="21" s="1"/>
  <c r="O58" i="28"/>
  <c r="O59" i="28" s="1"/>
  <c r="BV27" i="21" s="1"/>
  <c r="O58" i="33"/>
  <c r="O59" i="33" s="1"/>
  <c r="CA27" i="21" s="1"/>
  <c r="L58" i="38"/>
  <c r="L59" i="38" s="1"/>
  <c r="AZ27" i="21" s="1"/>
  <c r="O58" i="25"/>
  <c r="O59" i="25" s="1"/>
  <c r="BS27" i="21" s="1"/>
  <c r="O58" i="45"/>
  <c r="O59" i="45" s="1"/>
  <c r="CM27" i="21" s="1"/>
  <c r="I58" i="38"/>
  <c r="I59" i="38" s="1"/>
  <c r="T27" i="21" s="1"/>
  <c r="I58" i="36"/>
  <c r="I59" i="36" s="1"/>
  <c r="L58" i="29"/>
  <c r="L59" i="29" s="1"/>
  <c r="AQ27" i="21" s="1"/>
  <c r="L58" i="34"/>
  <c r="L59" i="34" s="1"/>
  <c r="AV27" i="21" s="1"/>
  <c r="I58" i="48"/>
  <c r="I59" i="48" s="1"/>
  <c r="AD27" i="21" s="1"/>
  <c r="O58" i="43"/>
  <c r="O59" i="43" s="1"/>
  <c r="CK27" i="21" s="1"/>
  <c r="I58" i="34"/>
  <c r="I59" i="34" s="1"/>
  <c r="P27" i="21" s="1"/>
  <c r="I58" i="24"/>
  <c r="I59" i="24" s="1"/>
  <c r="F27" i="21" s="1"/>
  <c r="L58" i="35"/>
  <c r="L59" i="35" s="1"/>
  <c r="AW27" i="21" s="1"/>
  <c r="L58" i="22"/>
  <c r="L59" i="22" s="1"/>
  <c r="AJ27" i="21" s="1"/>
  <c r="L58" i="45"/>
  <c r="L59" i="45" s="1"/>
  <c r="BG27" i="21" s="1"/>
  <c r="O58" i="40"/>
  <c r="O59" i="40" s="1"/>
  <c r="CH27" i="21" s="1"/>
  <c r="L58" i="40"/>
  <c r="L59" i="40" s="1"/>
  <c r="BB27" i="21" s="1"/>
  <c r="O58" i="31"/>
  <c r="O59" i="31" s="1"/>
  <c r="BY27" i="21" s="1"/>
  <c r="I58" i="29"/>
  <c r="I59" i="29" s="1"/>
  <c r="K27" i="21" s="1"/>
  <c r="I58" i="50"/>
  <c r="I59" i="50" s="1"/>
  <c r="AG27" i="21" s="1"/>
  <c r="L58" i="44"/>
  <c r="L59" i="44" s="1"/>
  <c r="BF27" i="21" s="1"/>
  <c r="I58" i="40"/>
  <c r="I59" i="40" s="1"/>
  <c r="V27" i="21" s="1"/>
  <c r="L58" i="26"/>
  <c r="L59" i="26" s="1"/>
  <c r="AN27" i="21" s="1"/>
  <c r="L58" i="43"/>
  <c r="L59" i="43" s="1"/>
  <c r="BE27" i="21" s="1"/>
  <c r="L58" i="39"/>
  <c r="L59" i="39" s="1"/>
  <c r="BA27" i="21" s="1"/>
  <c r="I58" i="35"/>
  <c r="I59" i="35" s="1"/>
  <c r="Q27" i="21" s="1"/>
  <c r="O58" i="24"/>
  <c r="O59" i="24" s="1"/>
  <c r="BR27" i="21" s="1"/>
  <c r="G4" i="62"/>
  <c r="I57" i="90"/>
  <c r="L57" i="90"/>
  <c r="I57" i="85"/>
  <c r="L57" i="89"/>
  <c r="L57" i="85"/>
  <c r="L57" i="91"/>
  <c r="L58" i="91" s="1"/>
  <c r="O57" i="89"/>
  <c r="O57" i="90"/>
  <c r="O57" i="85"/>
  <c r="O57" i="86"/>
  <c r="P10" i="20"/>
  <c r="P9" i="20"/>
  <c r="U173" i="20" s="1"/>
  <c r="R10" i="20"/>
  <c r="R9" i="20"/>
  <c r="V173" i="20" s="1"/>
  <c r="V9" i="20"/>
  <c r="X173" i="20" s="1"/>
  <c r="T9" i="20"/>
  <c r="W173" i="20" s="1"/>
  <c r="T10" i="20"/>
  <c r="M5" i="20"/>
  <c r="M4" i="20"/>
  <c r="N10" i="20"/>
  <c r="Q44" i="20"/>
  <c r="Q60" i="20" s="1"/>
  <c r="P14" i="20"/>
  <c r="O4" i="20"/>
  <c r="S4" i="20"/>
  <c r="S5" i="20"/>
  <c r="Q4" i="20"/>
  <c r="Q5" i="20"/>
  <c r="R14" i="20"/>
  <c r="U4" i="20"/>
  <c r="U5" i="20"/>
  <c r="K5" i="20"/>
  <c r="L14" i="20"/>
  <c r="L9" i="20"/>
  <c r="S173" i="20" s="1"/>
  <c r="L10" i="20"/>
  <c r="E6" i="58"/>
  <c r="D6" i="58"/>
  <c r="Q6" i="57"/>
  <c r="D6" i="57"/>
  <c r="K6" i="58"/>
  <c r="J6" i="58"/>
  <c r="G6" i="57"/>
  <c r="E6" i="57"/>
  <c r="I6" i="57"/>
  <c r="F6" i="57"/>
  <c r="J126" i="18"/>
  <c r="J127" i="18" s="1"/>
  <c r="J128" i="18" s="1"/>
  <c r="J142" i="18" s="1"/>
  <c r="L57" i="86"/>
  <c r="N31" i="78"/>
  <c r="N33" i="78"/>
  <c r="N32" i="78"/>
  <c r="L136" i="67"/>
  <c r="I6" i="58"/>
  <c r="O57" i="91"/>
  <c r="O58" i="91" s="1"/>
  <c r="I57" i="86"/>
  <c r="H30" i="78"/>
  <c r="H32" i="78"/>
  <c r="H31" i="78"/>
  <c r="H33" i="78"/>
  <c r="J7" i="73"/>
  <c r="H6" i="58"/>
  <c r="G6" i="58"/>
  <c r="N9" i="91"/>
  <c r="O10" i="91"/>
  <c r="L9" i="91"/>
  <c r="K70" i="91" s="1"/>
  <c r="M69" i="91" s="1"/>
  <c r="I57" i="91"/>
  <c r="I58" i="91" s="1"/>
  <c r="I57" i="89"/>
  <c r="J95" i="67"/>
  <c r="J96" i="67" s="1"/>
  <c r="J110" i="67" s="1"/>
  <c r="F95" i="67"/>
  <c r="F96" i="67" s="1"/>
  <c r="F110" i="67" s="1"/>
  <c r="I58" i="41"/>
  <c r="I59" i="41" s="1"/>
  <c r="J16" i="6"/>
  <c r="O50" i="47"/>
  <c r="O58" i="47" s="1"/>
  <c r="O59" i="47" s="1"/>
  <c r="CO27" i="21" s="1"/>
  <c r="L50" i="47"/>
  <c r="I50" i="47"/>
  <c r="I58" i="47" s="1"/>
  <c r="I59" i="47" s="1"/>
  <c r="AC27" i="21" s="1"/>
  <c r="H8" i="10"/>
  <c r="H12" i="10"/>
  <c r="L58" i="33"/>
  <c r="L59" i="33" s="1"/>
  <c r="AU27" i="21" s="1"/>
  <c r="I57" i="51"/>
  <c r="I58" i="51" s="1"/>
  <c r="I59" i="51" s="1"/>
  <c r="AH27" i="21" s="1"/>
  <c r="J57" i="51"/>
  <c r="L58" i="31"/>
  <c r="L59" i="31" s="1"/>
  <c r="AS27" i="21" s="1"/>
  <c r="I58" i="23"/>
  <c r="I59" i="23" s="1"/>
  <c r="E27" i="21" s="1"/>
  <c r="E12" i="10"/>
  <c r="E8" i="10"/>
  <c r="K30" i="15"/>
  <c r="K29" i="15"/>
  <c r="I57" i="49"/>
  <c r="J57" i="49"/>
  <c r="L58" i="48"/>
  <c r="L59" i="48" s="1"/>
  <c r="BJ27" i="21" s="1"/>
  <c r="O57" i="44"/>
  <c r="O58" i="44" s="1"/>
  <c r="O59" i="44" s="1"/>
  <c r="CL27" i="21" s="1"/>
  <c r="I58" i="44"/>
  <c r="I59" i="44" s="1"/>
  <c r="Z27" i="21" s="1"/>
  <c r="L58" i="42"/>
  <c r="L59" i="42" s="1"/>
  <c r="BD27" i="21" s="1"/>
  <c r="O57" i="38"/>
  <c r="O58" i="38" s="1"/>
  <c r="O59" i="38" s="1"/>
  <c r="CF27" i="21" s="1"/>
  <c r="O58" i="30"/>
  <c r="O59" i="30" s="1"/>
  <c r="BX27" i="21" s="1"/>
  <c r="O58" i="41"/>
  <c r="O59" i="41" s="1"/>
  <c r="O57" i="35"/>
  <c r="O58" i="35" s="1"/>
  <c r="O59" i="35" s="1"/>
  <c r="CC27" i="21" s="1"/>
  <c r="P57" i="35"/>
  <c r="L58" i="37"/>
  <c r="L59" i="37" s="1"/>
  <c r="AY27" i="21" s="1"/>
  <c r="O58" i="26"/>
  <c r="O59" i="26" s="1"/>
  <c r="BT27" i="21" s="1"/>
  <c r="O58" i="22"/>
  <c r="O59" i="22" s="1"/>
  <c r="BP27" i="21" s="1"/>
  <c r="O58" i="32"/>
  <c r="O59" i="32" s="1"/>
  <c r="BZ27" i="21" s="1"/>
  <c r="S44" i="20"/>
  <c r="S60" i="20" s="1"/>
  <c r="L58" i="25"/>
  <c r="L59" i="25" s="1"/>
  <c r="AM27" i="21" s="1"/>
  <c r="I38" i="34"/>
  <c r="L38" i="34"/>
  <c r="O38" i="34"/>
  <c r="D21" i="6"/>
  <c r="I58" i="27"/>
  <c r="I59" i="27" s="1"/>
  <c r="I27" i="21" s="1"/>
  <c r="H184" i="18"/>
  <c r="J37" i="14"/>
  <c r="J57" i="14"/>
  <c r="J68" i="14"/>
  <c r="J36" i="14"/>
  <c r="J60" i="14"/>
  <c r="J35" i="14"/>
  <c r="J69" i="14"/>
  <c r="J63" i="14"/>
  <c r="G8" i="10"/>
  <c r="G12" i="10"/>
  <c r="I52" i="46"/>
  <c r="I58" i="46" s="1"/>
  <c r="I59" i="46" s="1"/>
  <c r="AB27" i="21" s="1"/>
  <c r="I58" i="42"/>
  <c r="I59" i="42" s="1"/>
  <c r="X27" i="21" s="1"/>
  <c r="O57" i="39"/>
  <c r="O58" i="39" s="1"/>
  <c r="O59" i="39" s="1"/>
  <c r="CG27" i="21" s="1"/>
  <c r="L57" i="27"/>
  <c r="L58" i="27" s="1"/>
  <c r="L59" i="27" s="1"/>
  <c r="I58" i="37"/>
  <c r="I59" i="37" s="1"/>
  <c r="S27" i="21" s="1"/>
  <c r="I57" i="43"/>
  <c r="I58" i="43" s="1"/>
  <c r="I59" i="43" s="1"/>
  <c r="Y27" i="21" s="1"/>
  <c r="O58" i="23"/>
  <c r="O59" i="23" s="1"/>
  <c r="BQ27" i="21" s="1"/>
  <c r="J32" i="14"/>
  <c r="J33" i="14"/>
  <c r="D185" i="18"/>
  <c r="F185" i="18" s="1"/>
  <c r="H185" i="18" s="1"/>
  <c r="K36" i="15"/>
  <c r="O57" i="50"/>
  <c r="O58" i="50" s="1"/>
  <c r="O59" i="50" s="1"/>
  <c r="CS27" i="21" s="1"/>
  <c r="I57" i="39"/>
  <c r="I58" i="39" s="1"/>
  <c r="I59" i="39" s="1"/>
  <c r="U27" i="21" s="1"/>
  <c r="L58" i="32"/>
  <c r="L59" i="32" s="1"/>
  <c r="AT27" i="21" s="1"/>
  <c r="L58" i="28"/>
  <c r="L59" i="28" s="1"/>
  <c r="AP27" i="21" s="1"/>
  <c r="G22" i="6"/>
  <c r="D8" i="10"/>
  <c r="D12" i="10"/>
  <c r="O57" i="51"/>
  <c r="O58" i="51" s="1"/>
  <c r="O59" i="51" s="1"/>
  <c r="CT27" i="21" s="1"/>
  <c r="P57" i="51"/>
  <c r="L58" i="50"/>
  <c r="L59" i="50" s="1"/>
  <c r="BM27" i="21" s="1"/>
  <c r="M57" i="47"/>
  <c r="L57" i="47"/>
  <c r="O58" i="48"/>
  <c r="O59" i="48" s="1"/>
  <c r="CP27" i="21" s="1"/>
  <c r="O58" i="42"/>
  <c r="O59" i="42" s="1"/>
  <c r="CJ27" i="21" s="1"/>
  <c r="M57" i="36"/>
  <c r="L57" i="36"/>
  <c r="L58" i="36" s="1"/>
  <c r="L59" i="36" s="1"/>
  <c r="O52" i="46"/>
  <c r="O58" i="46" s="1"/>
  <c r="O59" i="46" s="1"/>
  <c r="CN27" i="21" s="1"/>
  <c r="O58" i="34"/>
  <c r="O59" i="34" s="1"/>
  <c r="CB27" i="21" s="1"/>
  <c r="I58" i="30"/>
  <c r="I59" i="30" s="1"/>
  <c r="L27" i="21" s="1"/>
  <c r="O58" i="29"/>
  <c r="O59" i="29" s="1"/>
  <c r="BW27" i="21" s="1"/>
  <c r="L58" i="41"/>
  <c r="L59" i="41" s="1"/>
  <c r="L58" i="30"/>
  <c r="L59" i="30" s="1"/>
  <c r="AR27" i="21" s="1"/>
  <c r="I57" i="28"/>
  <c r="I58" i="28" s="1"/>
  <c r="I59" i="28" s="1"/>
  <c r="J27" i="21" s="1"/>
  <c r="O58" i="37"/>
  <c r="O59" i="37" s="1"/>
  <c r="CE27" i="21" s="1"/>
  <c r="I58" i="31"/>
  <c r="I59" i="31" s="1"/>
  <c r="M27" i="21" s="1"/>
  <c r="I58" i="26"/>
  <c r="I59" i="26" s="1"/>
  <c r="H27" i="21" s="1"/>
  <c r="I58" i="22"/>
  <c r="I59" i="22" s="1"/>
  <c r="D27" i="21" s="1"/>
  <c r="I58" i="32"/>
  <c r="I59" i="32" s="1"/>
  <c r="N27" i="21" s="1"/>
  <c r="I57" i="25"/>
  <c r="I58" i="25" s="1"/>
  <c r="I59" i="25" s="1"/>
  <c r="G27" i="21" s="1"/>
  <c r="L57" i="24"/>
  <c r="L58" i="24" s="1"/>
  <c r="L59" i="24" s="1"/>
  <c r="AL27" i="21" s="1"/>
  <c r="L58" i="23"/>
  <c r="L59" i="23" s="1"/>
  <c r="AK27" i="21" s="1"/>
  <c r="O58" i="27"/>
  <c r="O59" i="27" s="1"/>
  <c r="BU27" i="21" s="1"/>
  <c r="J51" i="14"/>
  <c r="J72" i="14"/>
  <c r="J77" i="14"/>
  <c r="J80" i="14"/>
  <c r="J73" i="14"/>
  <c r="J34" i="14"/>
  <c r="J70" i="14"/>
  <c r="L50" i="49"/>
  <c r="L58" i="49" s="1"/>
  <c r="L59" i="49" s="1"/>
  <c r="BK27" i="21" s="1"/>
  <c r="I50" i="49"/>
  <c r="O50" i="49"/>
  <c r="O58" i="49" s="1"/>
  <c r="O59" i="49" s="1"/>
  <c r="CQ27" i="21" s="1"/>
  <c r="J26" i="14"/>
  <c r="J28" i="14"/>
  <c r="J38" i="14"/>
  <c r="J25" i="14"/>
  <c r="J62" i="14"/>
  <c r="H16" i="14"/>
  <c r="H15" i="14"/>
  <c r="H14" i="14"/>
  <c r="H13" i="14"/>
  <c r="K23" i="15"/>
  <c r="K22" i="15"/>
  <c r="K24" i="15"/>
  <c r="G154" i="18"/>
  <c r="I154" i="18" s="1"/>
  <c r="G153" i="18"/>
  <c r="L71" i="96" l="1"/>
  <c r="L39" i="96"/>
  <c r="F71" i="96"/>
  <c r="F39" i="96"/>
  <c r="J61" i="14"/>
  <c r="J29" i="14"/>
  <c r="Z13" i="90"/>
  <c r="Y13" i="90"/>
  <c r="X13" i="90"/>
  <c r="H30" i="90" s="1"/>
  <c r="I10" i="77"/>
  <c r="H73" i="77"/>
  <c r="O10" i="77"/>
  <c r="N73" i="77"/>
  <c r="J67" i="77"/>
  <c r="DE18" i="21" s="1"/>
  <c r="P67" i="77"/>
  <c r="EY18" i="21" s="1"/>
  <c r="I14" i="39"/>
  <c r="J13" i="39" s="1"/>
  <c r="U64" i="21" s="1"/>
  <c r="O14" i="39"/>
  <c r="P13" i="39" s="1"/>
  <c r="CG64" i="21" s="1"/>
  <c r="L14" i="39"/>
  <c r="M13" i="39" s="1"/>
  <c r="BA64" i="21" s="1"/>
  <c r="L14" i="25"/>
  <c r="M13" i="25" s="1"/>
  <c r="AM64" i="21" s="1"/>
  <c r="O14" i="25"/>
  <c r="P13" i="25" s="1"/>
  <c r="BS64" i="21" s="1"/>
  <c r="L14" i="24"/>
  <c r="M13" i="24" s="1"/>
  <c r="AL64" i="21" s="1"/>
  <c r="O14" i="24"/>
  <c r="P13" i="24" s="1"/>
  <c r="BR64" i="21" s="1"/>
  <c r="I14" i="49"/>
  <c r="J13" i="49" s="1"/>
  <c r="AE64" i="21" s="1"/>
  <c r="L14" i="49"/>
  <c r="M13" i="49" s="1"/>
  <c r="BK64" i="21" s="1"/>
  <c r="O14" i="49"/>
  <c r="P13" i="49" s="1"/>
  <c r="CQ64" i="21" s="1"/>
  <c r="I14" i="48"/>
  <c r="J13" i="48" s="1"/>
  <c r="AD64" i="21" s="1"/>
  <c r="L14" i="48"/>
  <c r="M13" i="48" s="1"/>
  <c r="BJ64" i="21" s="1"/>
  <c r="O14" i="48"/>
  <c r="P13" i="48" s="1"/>
  <c r="CP64" i="21" s="1"/>
  <c r="I14" i="47"/>
  <c r="J13" i="47" s="1"/>
  <c r="AC64" i="21" s="1"/>
  <c r="O14" i="47"/>
  <c r="P13" i="47" s="1"/>
  <c r="CO64" i="21" s="1"/>
  <c r="L14" i="47"/>
  <c r="M13" i="47" s="1"/>
  <c r="BI64" i="21" s="1"/>
  <c r="I14" i="46"/>
  <c r="J13" i="46" s="1"/>
  <c r="AB64" i="21" s="1"/>
  <c r="L14" i="46"/>
  <c r="M13" i="46" s="1"/>
  <c r="BH64" i="21" s="1"/>
  <c r="O14" i="46"/>
  <c r="P13" i="46" s="1"/>
  <c r="CN64" i="21" s="1"/>
  <c r="I14" i="45"/>
  <c r="J13" i="45" s="1"/>
  <c r="AA64" i="21" s="1"/>
  <c r="L14" i="45"/>
  <c r="O14" i="45"/>
  <c r="P13" i="45" s="1"/>
  <c r="CM64" i="21" s="1"/>
  <c r="I14" i="44"/>
  <c r="J13" i="44" s="1"/>
  <c r="Z64" i="21" s="1"/>
  <c r="L14" i="44"/>
  <c r="M13" i="44" s="1"/>
  <c r="BF64" i="21" s="1"/>
  <c r="O14" i="44"/>
  <c r="P13" i="44" s="1"/>
  <c r="CL64" i="21" s="1"/>
  <c r="I14" i="43"/>
  <c r="J13" i="43" s="1"/>
  <c r="Y64" i="21" s="1"/>
  <c r="L14" i="43"/>
  <c r="M13" i="43" s="1"/>
  <c r="BE64" i="21" s="1"/>
  <c r="O14" i="43"/>
  <c r="P13" i="43" s="1"/>
  <c r="CK64" i="21" s="1"/>
  <c r="I15" i="42"/>
  <c r="O15" i="42"/>
  <c r="L15" i="42"/>
  <c r="I14" i="42"/>
  <c r="J13" i="42" s="1"/>
  <c r="X64" i="21" s="1"/>
  <c r="L14" i="42"/>
  <c r="M13" i="42" s="1"/>
  <c r="BD64" i="21" s="1"/>
  <c r="O14" i="42"/>
  <c r="P13" i="42" s="1"/>
  <c r="CJ64" i="21" s="1"/>
  <c r="I14" i="41"/>
  <c r="L14" i="41"/>
  <c r="M13" i="41" s="1"/>
  <c r="O14" i="41"/>
  <c r="P13" i="41" s="1"/>
  <c r="I14" i="40"/>
  <c r="J13" i="40" s="1"/>
  <c r="V64" i="21" s="1"/>
  <c r="L14" i="40"/>
  <c r="M13" i="40" s="1"/>
  <c r="BB64" i="21" s="1"/>
  <c r="O14" i="40"/>
  <c r="P13" i="40" s="1"/>
  <c r="CH64" i="21" s="1"/>
  <c r="I14" i="38"/>
  <c r="J13" i="38" s="1"/>
  <c r="T64" i="21" s="1"/>
  <c r="L14" i="38"/>
  <c r="M13" i="38" s="1"/>
  <c r="AZ64" i="21" s="1"/>
  <c r="O14" i="38"/>
  <c r="P13" i="38" s="1"/>
  <c r="CF64" i="21" s="1"/>
  <c r="I14" i="37"/>
  <c r="J13" i="37" s="1"/>
  <c r="S64" i="21" s="1"/>
  <c r="L14" i="37"/>
  <c r="M13" i="37" s="1"/>
  <c r="AY64" i="21" s="1"/>
  <c r="O14" i="37"/>
  <c r="P13" i="37" s="1"/>
  <c r="CE64" i="21" s="1"/>
  <c r="I14" i="36"/>
  <c r="J13" i="36" s="1"/>
  <c r="L14" i="36"/>
  <c r="M13" i="36" s="1"/>
  <c r="O14" i="36"/>
  <c r="P13" i="36" s="1"/>
  <c r="I14" i="34"/>
  <c r="J13" i="34" s="1"/>
  <c r="P64" i="21" s="1"/>
  <c r="L14" i="34"/>
  <c r="M13" i="34" s="1"/>
  <c r="AV64" i="21" s="1"/>
  <c r="O14" i="34"/>
  <c r="P13" i="34" s="1"/>
  <c r="CB64" i="21" s="1"/>
  <c r="I14" i="35"/>
  <c r="J13" i="35" s="1"/>
  <c r="Q64" i="21" s="1"/>
  <c r="L14" i="35"/>
  <c r="M13" i="35" s="1"/>
  <c r="AW64" i="21" s="1"/>
  <c r="O14" i="35"/>
  <c r="P13" i="35" s="1"/>
  <c r="CC64" i="21" s="1"/>
  <c r="I14" i="33"/>
  <c r="J13" i="33" s="1"/>
  <c r="O64" i="21" s="1"/>
  <c r="O14" i="33"/>
  <c r="P13" i="33" s="1"/>
  <c r="CA64" i="21" s="1"/>
  <c r="L14" i="33"/>
  <c r="M13" i="33" s="1"/>
  <c r="AU64" i="21" s="1"/>
  <c r="I14" i="32"/>
  <c r="J13" i="32" s="1"/>
  <c r="N64" i="21" s="1"/>
  <c r="L14" i="32"/>
  <c r="M13" i="32" s="1"/>
  <c r="AT64" i="21" s="1"/>
  <c r="O14" i="32"/>
  <c r="P13" i="32" s="1"/>
  <c r="BZ64" i="21" s="1"/>
  <c r="I14" i="31"/>
  <c r="J13" i="31" s="1"/>
  <c r="M64" i="21" s="1"/>
  <c r="L14" i="31"/>
  <c r="M13" i="31" s="1"/>
  <c r="AS64" i="21" s="1"/>
  <c r="O14" i="31"/>
  <c r="P13" i="31" s="1"/>
  <c r="BY64" i="21" s="1"/>
  <c r="I14" i="30"/>
  <c r="J13" i="30" s="1"/>
  <c r="L64" i="21" s="1"/>
  <c r="O14" i="30"/>
  <c r="P13" i="30" s="1"/>
  <c r="BX64" i="21" s="1"/>
  <c r="L14" i="30"/>
  <c r="M13" i="30" s="1"/>
  <c r="AR64" i="21" s="1"/>
  <c r="I14" i="28"/>
  <c r="J13" i="28" s="1"/>
  <c r="J64" i="21" s="1"/>
  <c r="O14" i="28"/>
  <c r="P13" i="28" s="1"/>
  <c r="BV64" i="21" s="1"/>
  <c r="L14" i="28"/>
  <c r="M13" i="28" s="1"/>
  <c r="AP64" i="21" s="1"/>
  <c r="I14" i="27"/>
  <c r="O14" i="27"/>
  <c r="L14" i="27"/>
  <c r="I15" i="27"/>
  <c r="L15" i="27"/>
  <c r="O15" i="27"/>
  <c r="I14" i="26"/>
  <c r="L14" i="26"/>
  <c r="O14" i="26"/>
  <c r="I15" i="26"/>
  <c r="J13" i="26" s="1"/>
  <c r="H64" i="21" s="1"/>
  <c r="L15" i="26"/>
  <c r="O15" i="26"/>
  <c r="I15" i="23"/>
  <c r="L15" i="23"/>
  <c r="O15" i="23"/>
  <c r="J13" i="41"/>
  <c r="J48" i="14"/>
  <c r="J75" i="14"/>
  <c r="J40" i="14"/>
  <c r="O16" i="60"/>
  <c r="G9" i="74" s="1"/>
  <c r="O45" i="60"/>
  <c r="O47" i="60"/>
  <c r="O46" i="60"/>
  <c r="O48" i="60"/>
  <c r="J13" i="83"/>
  <c r="J13" i="27"/>
  <c r="I64" i="21" s="1"/>
  <c r="O15" i="80"/>
  <c r="L15" i="80"/>
  <c r="I15" i="80"/>
  <c r="J13" i="80" s="1"/>
  <c r="O15" i="86"/>
  <c r="L15" i="86"/>
  <c r="I15" i="86"/>
  <c r="J13" i="86" s="1"/>
  <c r="DN64" i="21" s="1"/>
  <c r="I14" i="24"/>
  <c r="J13" i="24" s="1"/>
  <c r="F64" i="21" s="1"/>
  <c r="I15" i="81"/>
  <c r="J13" i="81" s="1"/>
  <c r="L15" i="81"/>
  <c r="O15" i="81"/>
  <c r="AF64" i="21"/>
  <c r="R19" i="107"/>
  <c r="AF37" i="21" s="1"/>
  <c r="AF55" i="21" s="1"/>
  <c r="AF56" i="21" s="1"/>
  <c r="J1" i="107"/>
  <c r="K1" i="107" s="1"/>
  <c r="O15" i="90"/>
  <c r="L15" i="90"/>
  <c r="I15" i="90"/>
  <c r="J13" i="90" s="1"/>
  <c r="O15" i="78"/>
  <c r="L15" i="78"/>
  <c r="I15" i="78"/>
  <c r="J13" i="78" s="1"/>
  <c r="L14" i="22"/>
  <c r="M13" i="22" s="1"/>
  <c r="AJ64" i="21" s="1"/>
  <c r="I14" i="22"/>
  <c r="J13" i="22" s="1"/>
  <c r="O15" i="109"/>
  <c r="L15" i="109"/>
  <c r="I15" i="109"/>
  <c r="J13" i="109" s="1"/>
  <c r="L14" i="23"/>
  <c r="M13" i="23" s="1"/>
  <c r="AK64" i="21" s="1"/>
  <c r="I14" i="23"/>
  <c r="O15" i="87"/>
  <c r="L15" i="87"/>
  <c r="I15" i="87"/>
  <c r="J13" i="87" s="1"/>
  <c r="O15" i="79"/>
  <c r="L15" i="79"/>
  <c r="I15" i="79"/>
  <c r="J13" i="79" s="1"/>
  <c r="I14" i="25"/>
  <c r="J13" i="25" s="1"/>
  <c r="G64" i="21" s="1"/>
  <c r="O15" i="84"/>
  <c r="L15" i="84"/>
  <c r="I15" i="84"/>
  <c r="J13" i="84" s="1"/>
  <c r="Q9" i="57"/>
  <c r="Q13" i="57"/>
  <c r="AI11" i="60"/>
  <c r="O24" i="60"/>
  <c r="G9" i="83" s="1"/>
  <c r="DL7" i="21" s="1"/>
  <c r="O37" i="60"/>
  <c r="O49" i="60"/>
  <c r="G10" i="80" s="1"/>
  <c r="L10" i="80" s="1"/>
  <c r="O29" i="60"/>
  <c r="O22" i="60"/>
  <c r="G9" i="80" s="1"/>
  <c r="O55" i="60"/>
  <c r="O21" i="60"/>
  <c r="G9" i="109" s="1"/>
  <c r="O27" i="60"/>
  <c r="G9" i="77" s="1"/>
  <c r="O50" i="60"/>
  <c r="O28" i="60"/>
  <c r="O30" i="60"/>
  <c r="G9" i="84" s="1"/>
  <c r="O19" i="60"/>
  <c r="O51" i="60"/>
  <c r="O18" i="60"/>
  <c r="G9" i="76" s="1"/>
  <c r="DD7" i="21" s="1"/>
  <c r="O20" i="60"/>
  <c r="G9" i="79" s="1"/>
  <c r="I9" i="79" s="1"/>
  <c r="DG8" i="21" s="1"/>
  <c r="O57" i="60"/>
  <c r="O23" i="60"/>
  <c r="G9" i="82" s="1"/>
  <c r="O9" i="82" s="1"/>
  <c r="FE8" i="21" s="1"/>
  <c r="FE48" i="21" s="1"/>
  <c r="O33" i="60"/>
  <c r="O36" i="60"/>
  <c r="O32" i="60"/>
  <c r="G9" i="101" s="1"/>
  <c r="O9" i="101" s="1"/>
  <c r="N70" i="101" s="1"/>
  <c r="P69" i="101" s="1"/>
  <c r="O56" i="60"/>
  <c r="D31" i="109" s="1"/>
  <c r="O17" i="60"/>
  <c r="G9" i="75" s="1"/>
  <c r="EW7" i="21" s="1"/>
  <c r="O31" i="60"/>
  <c r="O41" i="60"/>
  <c r="G10" i="87" s="1"/>
  <c r="L10" i="87" s="1"/>
  <c r="O58" i="60"/>
  <c r="D33" i="109" s="1"/>
  <c r="O40" i="60"/>
  <c r="O26" i="60"/>
  <c r="G9" i="81" s="1"/>
  <c r="FD7" i="21" s="1"/>
  <c r="O15" i="82"/>
  <c r="L15" i="82"/>
  <c r="I15" i="82"/>
  <c r="J13" i="82" s="1"/>
  <c r="O53" i="87"/>
  <c r="I53" i="87"/>
  <c r="J54" i="14"/>
  <c r="J47" i="14"/>
  <c r="J46" i="14"/>
  <c r="J44" i="14"/>
  <c r="J41" i="14"/>
  <c r="J50" i="14"/>
  <c r="L14" i="50"/>
  <c r="M13" i="50" s="1"/>
  <c r="BM64" i="21" s="1"/>
  <c r="AG64" i="21"/>
  <c r="O14" i="50"/>
  <c r="P13" i="50" s="1"/>
  <c r="CS64" i="21" s="1"/>
  <c r="O14" i="22"/>
  <c r="P13" i="22" s="1"/>
  <c r="BP64" i="21" s="1"/>
  <c r="L14" i="76"/>
  <c r="O14" i="76"/>
  <c r="O14" i="80"/>
  <c r="P13" i="80" s="1"/>
  <c r="FC64" i="21" s="1"/>
  <c r="L14" i="80"/>
  <c r="O15" i="73"/>
  <c r="I15" i="73"/>
  <c r="J13" i="73" s="1"/>
  <c r="L15" i="73"/>
  <c r="O15" i="71"/>
  <c r="I15" i="71"/>
  <c r="J13" i="71" s="1"/>
  <c r="CY64" i="21" s="1"/>
  <c r="L15" i="71"/>
  <c r="L15" i="70"/>
  <c r="O15" i="70"/>
  <c r="I15" i="70"/>
  <c r="J13" i="70" s="1"/>
  <c r="CX64" i="21" s="1"/>
  <c r="O14" i="86"/>
  <c r="L14" i="86"/>
  <c r="O14" i="78"/>
  <c r="L14" i="78"/>
  <c r="O14" i="70"/>
  <c r="L14" i="70"/>
  <c r="O14" i="87"/>
  <c r="L14" i="87"/>
  <c r="O14" i="82"/>
  <c r="L14" i="82"/>
  <c r="O14" i="109"/>
  <c r="L14" i="109"/>
  <c r="L15" i="75"/>
  <c r="O15" i="75"/>
  <c r="I15" i="75"/>
  <c r="J13" i="75" s="1"/>
  <c r="L14" i="77"/>
  <c r="O14" i="77"/>
  <c r="L14" i="72"/>
  <c r="O14" i="72"/>
  <c r="O14" i="91"/>
  <c r="P13" i="91" s="1"/>
  <c r="L14" i="91"/>
  <c r="M13" i="91" s="1"/>
  <c r="O14" i="89"/>
  <c r="P13" i="89" s="1"/>
  <c r="FM64" i="21" s="1"/>
  <c r="T14" i="20" s="1"/>
  <c r="L14" i="89"/>
  <c r="M13" i="89" s="1"/>
  <c r="O14" i="23"/>
  <c r="L14" i="75"/>
  <c r="O14" i="75"/>
  <c r="O15" i="77"/>
  <c r="I15" i="77"/>
  <c r="J13" i="77" s="1"/>
  <c r="DE64" i="21" s="1"/>
  <c r="L15" i="77"/>
  <c r="O15" i="72"/>
  <c r="I15" i="72"/>
  <c r="J13" i="72" s="1"/>
  <c r="L15" i="72"/>
  <c r="L15" i="74"/>
  <c r="O15" i="74"/>
  <c r="I15" i="74"/>
  <c r="J13" i="74" s="1"/>
  <c r="O14" i="81"/>
  <c r="P13" i="81" s="1"/>
  <c r="L14" i="81"/>
  <c r="O14" i="74"/>
  <c r="L14" i="74"/>
  <c r="O14" i="90"/>
  <c r="L14" i="90"/>
  <c r="L14" i="83"/>
  <c r="M13" i="83" s="1"/>
  <c r="O14" i="83"/>
  <c r="P13" i="83" s="1"/>
  <c r="O14" i="84"/>
  <c r="L14" i="84"/>
  <c r="L15" i="76"/>
  <c r="O15" i="76"/>
  <c r="I15" i="76"/>
  <c r="J13" i="76" s="1"/>
  <c r="O14" i="85"/>
  <c r="P13" i="85" s="1"/>
  <c r="FI64" i="21" s="1"/>
  <c r="L14" i="85"/>
  <c r="M13" i="85" s="1"/>
  <c r="EL64" i="21" s="1"/>
  <c r="O14" i="79"/>
  <c r="L14" i="79"/>
  <c r="O14" i="73"/>
  <c r="L14" i="73"/>
  <c r="O14" i="71"/>
  <c r="L14" i="71"/>
  <c r="O54" i="87"/>
  <c r="L54" i="87"/>
  <c r="L57" i="87" s="1"/>
  <c r="L58" i="87" s="1"/>
  <c r="L59" i="87" s="1"/>
  <c r="EM27" i="21" s="1"/>
  <c r="I54" i="87"/>
  <c r="DS64" i="21"/>
  <c r="D24" i="109"/>
  <c r="D35" i="109"/>
  <c r="F20" i="63"/>
  <c r="K22" i="63" s="1"/>
  <c r="F9" i="63"/>
  <c r="K14" i="63" s="1"/>
  <c r="E76" i="104"/>
  <c r="FE33" i="21"/>
  <c r="FM30" i="21"/>
  <c r="DH30" i="21"/>
  <c r="O89" i="62"/>
  <c r="O81" i="62"/>
  <c r="O85" i="62"/>
  <c r="O90" i="62"/>
  <c r="O71" i="62"/>
  <c r="O45" i="62"/>
  <c r="O84" i="62"/>
  <c r="J79" i="14"/>
  <c r="J71" i="14"/>
  <c r="J67" i="14"/>
  <c r="J76" i="14"/>
  <c r="O15" i="62"/>
  <c r="O14" i="62"/>
  <c r="O19" i="62"/>
  <c r="O13" i="62"/>
  <c r="O16" i="62"/>
  <c r="O12" i="62"/>
  <c r="J24" i="62" s="1"/>
  <c r="M13" i="62"/>
  <c r="N13" i="62"/>
  <c r="J37" i="62" s="1"/>
  <c r="H9" i="62"/>
  <c r="M12" i="62"/>
  <c r="M11" i="62"/>
  <c r="N14" i="62"/>
  <c r="O11" i="62"/>
  <c r="N11" i="62"/>
  <c r="N15" i="62"/>
  <c r="J67" i="62" s="1"/>
  <c r="M16" i="62"/>
  <c r="M15" i="62"/>
  <c r="J36" i="62" s="1"/>
  <c r="N12" i="62"/>
  <c r="J64" i="62" s="1"/>
  <c r="O64" i="62" s="1"/>
  <c r="N16" i="62"/>
  <c r="M14" i="62"/>
  <c r="J42" i="14"/>
  <c r="J78" i="14"/>
  <c r="J43" i="14"/>
  <c r="J59" i="14"/>
  <c r="J55" i="14"/>
  <c r="J56" i="14"/>
  <c r="J74" i="14"/>
  <c r="I38" i="33"/>
  <c r="T142" i="20"/>
  <c r="L38" i="33"/>
  <c r="D35" i="82"/>
  <c r="D35" i="90"/>
  <c r="D35" i="84"/>
  <c r="D35" i="85"/>
  <c r="D35" i="86"/>
  <c r="D35" i="87"/>
  <c r="D35" i="89"/>
  <c r="D35" i="91"/>
  <c r="D35" i="83"/>
  <c r="D35" i="76"/>
  <c r="D35" i="78"/>
  <c r="D35" i="79"/>
  <c r="D35" i="74"/>
  <c r="D35" i="75"/>
  <c r="D35" i="73"/>
  <c r="D35" i="77"/>
  <c r="D35" i="80"/>
  <c r="D35" i="81"/>
  <c r="D35" i="72"/>
  <c r="D35" i="71"/>
  <c r="D24" i="84"/>
  <c r="D24" i="91"/>
  <c r="D24" i="89"/>
  <c r="D24" i="83"/>
  <c r="D24" i="85"/>
  <c r="D24" i="86"/>
  <c r="D24" i="87"/>
  <c r="D24" i="90"/>
  <c r="D24" i="82"/>
  <c r="D24" i="78"/>
  <c r="D24" i="74"/>
  <c r="D24" i="76"/>
  <c r="D24" i="80"/>
  <c r="D24" i="81"/>
  <c r="D24" i="75"/>
  <c r="D24" i="79"/>
  <c r="D24" i="77"/>
  <c r="D24" i="73"/>
  <c r="D24" i="72"/>
  <c r="D24" i="71"/>
  <c r="K13" i="58"/>
  <c r="E13" i="58"/>
  <c r="G9" i="58"/>
  <c r="G13" i="58"/>
  <c r="J9" i="58"/>
  <c r="J13" i="58"/>
  <c r="D9" i="58"/>
  <c r="D13" i="58"/>
  <c r="D11" i="58"/>
  <c r="D10" i="58"/>
  <c r="H9" i="58"/>
  <c r="H13" i="58"/>
  <c r="I9" i="58"/>
  <c r="I13" i="58"/>
  <c r="E9" i="58"/>
  <c r="K9" i="58"/>
  <c r="I9" i="57"/>
  <c r="I13" i="57"/>
  <c r="G9" i="57"/>
  <c r="G13" i="57"/>
  <c r="E13" i="57"/>
  <c r="E9" i="57"/>
  <c r="F13" i="57"/>
  <c r="F9" i="57"/>
  <c r="D11" i="57"/>
  <c r="D9" i="57"/>
  <c r="D13" i="57"/>
  <c r="D10" i="57"/>
  <c r="AO27" i="21"/>
  <c r="EU19" i="21"/>
  <c r="DW19" i="21"/>
  <c r="L58" i="72"/>
  <c r="L59" i="72" s="1"/>
  <c r="DW27" i="21" s="1"/>
  <c r="O58" i="75"/>
  <c r="O59" i="75" s="1"/>
  <c r="EW27" i="21" s="1"/>
  <c r="O58" i="78"/>
  <c r="O59" i="78" s="1"/>
  <c r="EZ27" i="21" s="1"/>
  <c r="O58" i="72"/>
  <c r="O59" i="72" s="1"/>
  <c r="ET27" i="21" s="1"/>
  <c r="L58" i="78"/>
  <c r="L59" i="78" s="1"/>
  <c r="EC27" i="21" s="1"/>
  <c r="I59" i="72"/>
  <c r="CZ27" i="21" s="1"/>
  <c r="L58" i="90"/>
  <c r="L59" i="90" s="1"/>
  <c r="EO27" i="21" s="1"/>
  <c r="I58" i="86"/>
  <c r="I59" i="86" s="1"/>
  <c r="DN27" i="21" s="1"/>
  <c r="O58" i="85"/>
  <c r="O59" i="85" s="1"/>
  <c r="FI27" i="21" s="1"/>
  <c r="L58" i="74"/>
  <c r="L59" i="74" s="1"/>
  <c r="DY27" i="21" s="1"/>
  <c r="O58" i="83"/>
  <c r="O59" i="83" s="1"/>
  <c r="FF27" i="21" s="1"/>
  <c r="L58" i="76"/>
  <c r="L59" i="76" s="1"/>
  <c r="EA27" i="21" s="1"/>
  <c r="I58" i="90"/>
  <c r="I59" i="90" s="1"/>
  <c r="DR27" i="21" s="1"/>
  <c r="O58" i="82"/>
  <c r="O59" i="82" s="1"/>
  <c r="FE27" i="21" s="1"/>
  <c r="I58" i="74"/>
  <c r="I59" i="74" s="1"/>
  <c r="DB27" i="21" s="1"/>
  <c r="L58" i="83"/>
  <c r="L59" i="83" s="1"/>
  <c r="EI27" i="21" s="1"/>
  <c r="O58" i="77"/>
  <c r="O59" i="77" s="1"/>
  <c r="EY27" i="21" s="1"/>
  <c r="I58" i="73"/>
  <c r="I59" i="73" s="1"/>
  <c r="DA27" i="21" s="1"/>
  <c r="I58" i="84"/>
  <c r="I59" i="84" s="1"/>
  <c r="DM27" i="21" s="1"/>
  <c r="I58" i="75"/>
  <c r="I59" i="75" s="1"/>
  <c r="DC27" i="21" s="1"/>
  <c r="O58" i="84"/>
  <c r="O59" i="84" s="1"/>
  <c r="FG27" i="21" s="1"/>
  <c r="L58" i="77"/>
  <c r="L59" i="77" s="1"/>
  <c r="EB27" i="21" s="1"/>
  <c r="L58" i="89"/>
  <c r="L59" i="89" s="1"/>
  <c r="EP27" i="21" s="1"/>
  <c r="O58" i="86"/>
  <c r="O59" i="86" s="1"/>
  <c r="FH27" i="21" s="1"/>
  <c r="I58" i="77"/>
  <c r="I59" i="77" s="1"/>
  <c r="DE27" i="21" s="1"/>
  <c r="I58" i="89"/>
  <c r="I59" i="89" s="1"/>
  <c r="DS27" i="21" s="1"/>
  <c r="I58" i="80"/>
  <c r="I59" i="80" s="1"/>
  <c r="DI27" i="21" s="1"/>
  <c r="L58" i="82"/>
  <c r="L59" i="82" s="1"/>
  <c r="EH27" i="21" s="1"/>
  <c r="O58" i="73"/>
  <c r="O59" i="73" s="1"/>
  <c r="EU27" i="21" s="1"/>
  <c r="L58" i="73"/>
  <c r="L59" i="73" s="1"/>
  <c r="DX27" i="21" s="1"/>
  <c r="O58" i="89"/>
  <c r="O59" i="89" s="1"/>
  <c r="FM27" i="21" s="1"/>
  <c r="I58" i="85"/>
  <c r="I59" i="85" s="1"/>
  <c r="DO27" i="21" s="1"/>
  <c r="L58" i="84"/>
  <c r="L59" i="84" s="1"/>
  <c r="EJ27" i="21" s="1"/>
  <c r="I58" i="79"/>
  <c r="I59" i="79" s="1"/>
  <c r="DG27" i="21" s="1"/>
  <c r="I58" i="83"/>
  <c r="I59" i="83" s="1"/>
  <c r="DL27" i="21" s="1"/>
  <c r="I58" i="78"/>
  <c r="I59" i="78" s="1"/>
  <c r="DF27" i="21" s="1"/>
  <c r="L58" i="75"/>
  <c r="L59" i="75" s="1"/>
  <c r="DZ27" i="21" s="1"/>
  <c r="L58" i="81"/>
  <c r="L59" i="81" s="1"/>
  <c r="EG27" i="21" s="1"/>
  <c r="O58" i="74"/>
  <c r="O59" i="74" s="1"/>
  <c r="EV27" i="21" s="1"/>
  <c r="O58" i="76"/>
  <c r="O59" i="76" s="1"/>
  <c r="EX27" i="21" s="1"/>
  <c r="L58" i="80"/>
  <c r="L59" i="80" s="1"/>
  <c r="EF27" i="21" s="1"/>
  <c r="O58" i="81"/>
  <c r="O59" i="81" s="1"/>
  <c r="FD27" i="21" s="1"/>
  <c r="L58" i="86"/>
  <c r="L59" i="86" s="1"/>
  <c r="EK27" i="21" s="1"/>
  <c r="L58" i="85"/>
  <c r="L59" i="85" s="1"/>
  <c r="EL27" i="21" s="1"/>
  <c r="O58" i="79"/>
  <c r="O59" i="79" s="1"/>
  <c r="FA27" i="21" s="1"/>
  <c r="I58" i="76"/>
  <c r="I59" i="76" s="1"/>
  <c r="DD27" i="21" s="1"/>
  <c r="O58" i="80"/>
  <c r="O59" i="80" s="1"/>
  <c r="FC27" i="21" s="1"/>
  <c r="O58" i="90"/>
  <c r="O59" i="90" s="1"/>
  <c r="FL27" i="21" s="1"/>
  <c r="I58" i="81"/>
  <c r="I59" i="81" s="1"/>
  <c r="DJ27" i="21" s="1"/>
  <c r="L58" i="79"/>
  <c r="L59" i="79" s="1"/>
  <c r="ED27" i="21" s="1"/>
  <c r="I58" i="82"/>
  <c r="I59" i="82" s="1"/>
  <c r="DK27" i="21" s="1"/>
  <c r="O59" i="70"/>
  <c r="ER27" i="21" s="1"/>
  <c r="O59" i="91"/>
  <c r="I59" i="91"/>
  <c r="L59" i="91"/>
  <c r="I59" i="70"/>
  <c r="CX27" i="21" s="1"/>
  <c r="L59" i="70"/>
  <c r="DU27" i="21" s="1"/>
  <c r="L58" i="47"/>
  <c r="L59" i="47" s="1"/>
  <c r="BI27" i="21" s="1"/>
  <c r="I58" i="49"/>
  <c r="I59" i="49" s="1"/>
  <c r="AE27" i="21" s="1"/>
  <c r="AI10" i="60"/>
  <c r="AI12" i="60"/>
  <c r="AI9" i="60"/>
  <c r="D73" i="102"/>
  <c r="D73" i="104"/>
  <c r="D73" i="105"/>
  <c r="D73" i="103"/>
  <c r="D72" i="101"/>
  <c r="D73" i="106"/>
  <c r="H51" i="63"/>
  <c r="O15" i="60"/>
  <c r="D24" i="102"/>
  <c r="D24" i="103"/>
  <c r="D24" i="104"/>
  <c r="D22" i="101"/>
  <c r="D24" i="105"/>
  <c r="D24" i="70"/>
  <c r="D24" i="106"/>
  <c r="O54" i="60"/>
  <c r="T69" i="105"/>
  <c r="P68" i="105" s="1"/>
  <c r="R68" i="101"/>
  <c r="S69" i="102"/>
  <c r="M68" i="102" s="1"/>
  <c r="T69" i="104"/>
  <c r="P68" i="104" s="1"/>
  <c r="T69" i="106"/>
  <c r="P68" i="106" s="1"/>
  <c r="D35" i="102"/>
  <c r="T69" i="103"/>
  <c r="P68" i="103" s="1"/>
  <c r="M67" i="86"/>
  <c r="EK18" i="21" s="1"/>
  <c r="P67" i="82"/>
  <c r="FE18" i="21" s="1"/>
  <c r="J67" i="83"/>
  <c r="DL18" i="21" s="1"/>
  <c r="J67" i="79"/>
  <c r="DG18" i="21" s="1"/>
  <c r="M67" i="82"/>
  <c r="EH18" i="21" s="1"/>
  <c r="P67" i="78"/>
  <c r="EZ18" i="21" s="1"/>
  <c r="D35" i="70"/>
  <c r="D64" i="106"/>
  <c r="R69" i="105"/>
  <c r="J68" i="105" s="1"/>
  <c r="R69" i="104"/>
  <c r="J68" i="104" s="1"/>
  <c r="T68" i="101"/>
  <c r="P67" i="85"/>
  <c r="FI18" i="21" s="1"/>
  <c r="J67" i="85"/>
  <c r="DO18" i="21" s="1"/>
  <c r="J67" i="78"/>
  <c r="DF18" i="21" s="1"/>
  <c r="F6" i="63"/>
  <c r="D35" i="105"/>
  <c r="D35" i="103"/>
  <c r="D35" i="106"/>
  <c r="D64" i="104"/>
  <c r="S69" i="104"/>
  <c r="M68" i="104" s="1"/>
  <c r="S69" i="106"/>
  <c r="M68" i="106" s="1"/>
  <c r="R69" i="106"/>
  <c r="J68" i="106" s="1"/>
  <c r="R69" i="102"/>
  <c r="J68" i="102" s="1"/>
  <c r="S69" i="105"/>
  <c r="M68" i="105" s="1"/>
  <c r="T69" i="102"/>
  <c r="P68" i="102" s="1"/>
  <c r="D33" i="101"/>
  <c r="R68" i="91"/>
  <c r="J67" i="91" s="1"/>
  <c r="T68" i="91"/>
  <c r="P67" i="91" s="1"/>
  <c r="J67" i="84"/>
  <c r="DM18" i="21" s="1"/>
  <c r="P67" i="86"/>
  <c r="FH18" i="21" s="1"/>
  <c r="J67" i="82"/>
  <c r="DK18" i="21" s="1"/>
  <c r="M67" i="78"/>
  <c r="EC18" i="21" s="1"/>
  <c r="P67" i="79"/>
  <c r="FA18" i="21" s="1"/>
  <c r="R69" i="103"/>
  <c r="J68" i="103" s="1"/>
  <c r="D64" i="105"/>
  <c r="S68" i="101"/>
  <c r="D63" i="101"/>
  <c r="J67" i="86"/>
  <c r="DN18" i="21" s="1"/>
  <c r="M67" i="85"/>
  <c r="EL18" i="21" s="1"/>
  <c r="M67" i="83"/>
  <c r="EI18" i="21" s="1"/>
  <c r="D64" i="102"/>
  <c r="D35" i="104"/>
  <c r="D64" i="103"/>
  <c r="S69" i="103"/>
  <c r="M68" i="103" s="1"/>
  <c r="M67" i="84"/>
  <c r="EJ18" i="21" s="1"/>
  <c r="P67" i="84"/>
  <c r="FG18" i="21" s="1"/>
  <c r="S68" i="91"/>
  <c r="M67" i="91" s="1"/>
  <c r="M67" i="79"/>
  <c r="ED18" i="21" s="1"/>
  <c r="P67" i="83"/>
  <c r="FF18" i="21" s="1"/>
  <c r="W142" i="20"/>
  <c r="U142" i="20"/>
  <c r="V142" i="20"/>
  <c r="S142" i="20"/>
  <c r="X142" i="20"/>
  <c r="U93" i="20"/>
  <c r="N14" i="20"/>
  <c r="U117" i="20"/>
  <c r="U127" i="20"/>
  <c r="M7" i="91"/>
  <c r="O9" i="91"/>
  <c r="N70" i="91" s="1"/>
  <c r="P69" i="91" s="1"/>
  <c r="DO64" i="21"/>
  <c r="G52" i="27"/>
  <c r="G52" i="35"/>
  <c r="G52" i="26"/>
  <c r="L40" i="32"/>
  <c r="O40" i="32"/>
  <c r="I40" i="32"/>
  <c r="S117" i="20"/>
  <c r="S93" i="20"/>
  <c r="S127" i="20"/>
  <c r="I153" i="18"/>
  <c r="G155" i="18"/>
  <c r="I155" i="18" s="1"/>
  <c r="J155" i="18" s="1"/>
  <c r="K155" i="18" s="1"/>
  <c r="L167" i="18" s="1"/>
  <c r="L169" i="18" s="1"/>
  <c r="EP67" i="21"/>
  <c r="P13" i="23" l="1"/>
  <c r="BQ64" i="21" s="1"/>
  <c r="J13" i="23"/>
  <c r="E64" i="21" s="1"/>
  <c r="M13" i="27"/>
  <c r="AO64" i="21" s="1"/>
  <c r="P13" i="27"/>
  <c r="BU64" i="21" s="1"/>
  <c r="P13" i="26"/>
  <c r="BT64" i="21" s="1"/>
  <c r="M13" i="26"/>
  <c r="AN64" i="21" s="1"/>
  <c r="M13" i="80"/>
  <c r="EF64" i="21" s="1"/>
  <c r="P13" i="73"/>
  <c r="M13" i="70"/>
  <c r="FD30" i="21"/>
  <c r="FL30" i="21"/>
  <c r="M13" i="109"/>
  <c r="EE64" i="21" s="1"/>
  <c r="M13" i="73"/>
  <c r="M13" i="79"/>
  <c r="ED64" i="21" s="1"/>
  <c r="P13" i="78"/>
  <c r="EZ64" i="21" s="1"/>
  <c r="M13" i="81"/>
  <c r="EG64" i="21" s="1"/>
  <c r="P13" i="79"/>
  <c r="P13" i="86"/>
  <c r="FH64" i="21" s="1"/>
  <c r="M13" i="82"/>
  <c r="EH64" i="21" s="1"/>
  <c r="M13" i="71"/>
  <c r="DV64" i="21" s="1"/>
  <c r="P13" i="77"/>
  <c r="EY64" i="21" s="1"/>
  <c r="P13" i="84"/>
  <c r="FG64" i="21" s="1"/>
  <c r="P13" i="74"/>
  <c r="P13" i="72"/>
  <c r="ET64" i="21" s="1"/>
  <c r="P13" i="71"/>
  <c r="ES64" i="21" s="1"/>
  <c r="M13" i="78"/>
  <c r="M13" i="86"/>
  <c r="EK64" i="21" s="1"/>
  <c r="M13" i="87"/>
  <c r="P13" i="90"/>
  <c r="P13" i="75"/>
  <c r="P13" i="82"/>
  <c r="FE64" i="21" s="1"/>
  <c r="M13" i="90"/>
  <c r="M13" i="84"/>
  <c r="EJ64" i="21" s="1"/>
  <c r="P13" i="87"/>
  <c r="FJ64" i="21" s="1"/>
  <c r="P13" i="109"/>
  <c r="FB64" i="21" s="1"/>
  <c r="FM33" i="21"/>
  <c r="FF30" i="21"/>
  <c r="FI30" i="21"/>
  <c r="EB30" i="21"/>
  <c r="DU30" i="21"/>
  <c r="EC30" i="21"/>
  <c r="EA30" i="21"/>
  <c r="DZ30" i="21"/>
  <c r="EW30" i="21"/>
  <c r="EI30" i="21"/>
  <c r="DR30" i="21"/>
  <c r="EK30" i="21"/>
  <c r="EH30" i="21"/>
  <c r="DX30" i="21"/>
  <c r="EM30" i="21"/>
  <c r="EJ30" i="21"/>
  <c r="EO30" i="21"/>
  <c r="EL30" i="21"/>
  <c r="EG30" i="21"/>
  <c r="ER30" i="21"/>
  <c r="FA30" i="21"/>
  <c r="EX30" i="21"/>
  <c r="EP30" i="21"/>
  <c r="ET30" i="21"/>
  <c r="EV30" i="21"/>
  <c r="DW30" i="21"/>
  <c r="FG30" i="21"/>
  <c r="EU30" i="21"/>
  <c r="FC30" i="21"/>
  <c r="EZ30" i="21"/>
  <c r="FJ30" i="21"/>
  <c r="EY30" i="21"/>
  <c r="DV30" i="21"/>
  <c r="FE30" i="21"/>
  <c r="ES30" i="21"/>
  <c r="DS30" i="21"/>
  <c r="DY30" i="21"/>
  <c r="FH30" i="21"/>
  <c r="ED30" i="21"/>
  <c r="P13" i="70"/>
  <c r="M13" i="74"/>
  <c r="M13" i="75"/>
  <c r="I57" i="87"/>
  <c r="I58" i="87" s="1"/>
  <c r="I59" i="87" s="1"/>
  <c r="DP27" i="21" s="1"/>
  <c r="D30" i="109"/>
  <c r="L30" i="109" s="1"/>
  <c r="D30" i="74"/>
  <c r="D30" i="105"/>
  <c r="I30" i="105" s="1"/>
  <c r="O57" i="87"/>
  <c r="O58" i="87" s="1"/>
  <c r="O59" i="87" s="1"/>
  <c r="FJ27" i="21" s="1"/>
  <c r="M13" i="77"/>
  <c r="EB64" i="21" s="1"/>
  <c r="M13" i="72"/>
  <c r="DW64" i="21" s="1"/>
  <c r="DE30" i="21"/>
  <c r="D33" i="106"/>
  <c r="L33" i="106" s="1"/>
  <c r="CX30" i="21"/>
  <c r="DB30" i="21"/>
  <c r="DF30" i="21"/>
  <c r="P13" i="76"/>
  <c r="L31" i="109"/>
  <c r="O31" i="109"/>
  <c r="I31" i="109"/>
  <c r="L33" i="109"/>
  <c r="O33" i="109"/>
  <c r="I33" i="109"/>
  <c r="CZ64" i="21"/>
  <c r="DH64" i="21"/>
  <c r="D64" i="21"/>
  <c r="D31" i="104"/>
  <c r="I31" i="104" s="1"/>
  <c r="D32" i="105"/>
  <c r="O32" i="105" s="1"/>
  <c r="D32" i="109"/>
  <c r="J50" i="62"/>
  <c r="J43" i="62"/>
  <c r="O43" i="62" s="1"/>
  <c r="DA64" i="21"/>
  <c r="DD64" i="21"/>
  <c r="M13" i="76"/>
  <c r="EA64" i="21" s="1"/>
  <c r="Q39" i="20"/>
  <c r="M39" i="20"/>
  <c r="O39" i="20"/>
  <c r="EP64" i="21"/>
  <c r="R19" i="89"/>
  <c r="DS23" i="21" s="1"/>
  <c r="S19" i="89"/>
  <c r="EP37" i="21" s="1"/>
  <c r="EP55" i="21" s="1"/>
  <c r="EP56" i="21" s="1"/>
  <c r="FI33" i="21"/>
  <c r="DK33" i="21"/>
  <c r="FG33" i="21"/>
  <c r="CX33" i="21"/>
  <c r="DO33" i="21"/>
  <c r="DC30" i="21"/>
  <c r="DD30" i="21"/>
  <c r="DJ30" i="21"/>
  <c r="DG30" i="21"/>
  <c r="DI30" i="21"/>
  <c r="DN30" i="21"/>
  <c r="DL30" i="21"/>
  <c r="DM30" i="21"/>
  <c r="DA30" i="21"/>
  <c r="DP30" i="21"/>
  <c r="DK30" i="21"/>
  <c r="DO30" i="21"/>
  <c r="CY30" i="21"/>
  <c r="CZ30" i="21"/>
  <c r="CY33" i="21"/>
  <c r="FC33" i="21"/>
  <c r="DN33" i="21"/>
  <c r="DG33" i="21"/>
  <c r="EW33" i="21"/>
  <c r="EC33" i="21"/>
  <c r="DD33" i="21"/>
  <c r="DR33" i="21"/>
  <c r="EH33" i="21"/>
  <c r="DZ33" i="21"/>
  <c r="EP33" i="21"/>
  <c r="ED33" i="21"/>
  <c r="FF33" i="21"/>
  <c r="FL33" i="21"/>
  <c r="EM33" i="21"/>
  <c r="DA33" i="21"/>
  <c r="DB33" i="21"/>
  <c r="DC33" i="21"/>
  <c r="EL33" i="21"/>
  <c r="DF33" i="21"/>
  <c r="CZ33" i="21"/>
  <c r="EI33" i="21"/>
  <c r="DJ33" i="21"/>
  <c r="EJ33" i="21"/>
  <c r="DS33" i="21"/>
  <c r="DL33" i="21"/>
  <c r="EU33" i="21"/>
  <c r="DX33" i="21"/>
  <c r="DI33" i="21"/>
  <c r="ER33" i="21"/>
  <c r="EA33" i="21"/>
  <c r="FA33" i="21"/>
  <c r="EB33" i="21"/>
  <c r="DP33" i="21"/>
  <c r="EY33" i="21"/>
  <c r="EG33" i="21"/>
  <c r="DM33" i="21"/>
  <c r="EV33" i="21"/>
  <c r="ES33" i="21"/>
  <c r="DE33" i="21"/>
  <c r="EO33" i="21"/>
  <c r="DU33" i="21"/>
  <c r="FD33" i="21"/>
  <c r="EK33" i="21"/>
  <c r="EZ33" i="21"/>
  <c r="FJ33" i="21"/>
  <c r="DW33" i="21"/>
  <c r="EX33" i="21"/>
  <c r="DY33" i="21"/>
  <c r="FH33" i="21"/>
  <c r="ET33" i="21"/>
  <c r="DV33" i="21"/>
  <c r="EF33" i="21"/>
  <c r="DH33" i="21"/>
  <c r="EE33" i="21"/>
  <c r="FB33" i="21"/>
  <c r="FB30" i="21"/>
  <c r="EE30" i="21"/>
  <c r="EF30" i="21"/>
  <c r="DI7" i="21"/>
  <c r="EF7" i="21"/>
  <c r="G11" i="102"/>
  <c r="L11" i="102" s="1"/>
  <c r="G11" i="109"/>
  <c r="G42" i="109"/>
  <c r="G39" i="109"/>
  <c r="G40" i="109"/>
  <c r="G37" i="109"/>
  <c r="G36" i="109"/>
  <c r="G41" i="109"/>
  <c r="G38" i="109"/>
  <c r="G9" i="78"/>
  <c r="O9" i="78" s="1"/>
  <c r="EZ8" i="21" s="1"/>
  <c r="G26" i="109"/>
  <c r="G25" i="109"/>
  <c r="J79" i="62"/>
  <c r="O79" i="62" s="1"/>
  <c r="J86" i="62"/>
  <c r="O86" i="62" s="1"/>
  <c r="J48" i="62"/>
  <c r="J72" i="62"/>
  <c r="J76" i="62"/>
  <c r="J38" i="62"/>
  <c r="J26" i="62"/>
  <c r="J28" i="62"/>
  <c r="J65" i="62"/>
  <c r="J25" i="62"/>
  <c r="J16" i="63"/>
  <c r="J17" i="63"/>
  <c r="J18" i="63"/>
  <c r="J83" i="62"/>
  <c r="O83" i="62" s="1"/>
  <c r="J61" i="62"/>
  <c r="J41" i="62"/>
  <c r="J42" i="62"/>
  <c r="J57" i="62"/>
  <c r="J58" i="62"/>
  <c r="FF64" i="21"/>
  <c r="J63" i="62"/>
  <c r="J68" i="62"/>
  <c r="FD64" i="21"/>
  <c r="S17" i="20" s="1"/>
  <c r="J40" i="62"/>
  <c r="J49" i="62"/>
  <c r="J44" i="62"/>
  <c r="J54" i="62"/>
  <c r="J46" i="62"/>
  <c r="J56" i="62"/>
  <c r="J80" i="62"/>
  <c r="O80" i="62" s="1"/>
  <c r="J27" i="62"/>
  <c r="J47" i="62"/>
  <c r="J78" i="62"/>
  <c r="O78" i="62" s="1"/>
  <c r="J82" i="62"/>
  <c r="O82" i="62" s="1"/>
  <c r="J87" i="62"/>
  <c r="O87" i="62" s="1"/>
  <c r="J51" i="62"/>
  <c r="J77" i="62"/>
  <c r="J33" i="62"/>
  <c r="J75" i="62"/>
  <c r="J31" i="62"/>
  <c r="J32" i="62"/>
  <c r="J69" i="62"/>
  <c r="J53" i="62"/>
  <c r="J59" i="62"/>
  <c r="J62" i="62"/>
  <c r="J73" i="62"/>
  <c r="J29" i="62"/>
  <c r="J74" i="62"/>
  <c r="J34" i="62"/>
  <c r="J66" i="62"/>
  <c r="J35" i="62"/>
  <c r="O24" i="62"/>
  <c r="O67" i="62"/>
  <c r="U39" i="20"/>
  <c r="K11" i="63"/>
  <c r="H15" i="62"/>
  <c r="H14" i="62"/>
  <c r="H16" i="62"/>
  <c r="H13" i="62"/>
  <c r="H12" i="62"/>
  <c r="H11" i="62"/>
  <c r="J92" i="62"/>
  <c r="J91" i="62"/>
  <c r="O23" i="62"/>
  <c r="K12" i="63"/>
  <c r="E76" i="103"/>
  <c r="K13" i="63"/>
  <c r="E75" i="101"/>
  <c r="K15" i="63"/>
  <c r="E76" i="106"/>
  <c r="F32" i="63"/>
  <c r="K34" i="63" s="1"/>
  <c r="F26" i="63"/>
  <c r="K28" i="63" s="1"/>
  <c r="E76" i="102"/>
  <c r="E76" i="105"/>
  <c r="O9" i="75"/>
  <c r="EW8" i="21" s="1"/>
  <c r="EW48" i="21" s="1"/>
  <c r="S39" i="20"/>
  <c r="DM7" i="21"/>
  <c r="FG7" i="21"/>
  <c r="I9" i="74"/>
  <c r="DB8" i="21" s="1"/>
  <c r="DB48" i="21" s="1"/>
  <c r="DY7" i="21"/>
  <c r="EV7" i="21"/>
  <c r="O9" i="74"/>
  <c r="EV8" i="21" s="1"/>
  <c r="EV48" i="21" s="1"/>
  <c r="DB7" i="21"/>
  <c r="EY7" i="21"/>
  <c r="DE7" i="21"/>
  <c r="L9" i="77"/>
  <c r="EB7" i="21"/>
  <c r="O9" i="77"/>
  <c r="I9" i="77"/>
  <c r="L9" i="74"/>
  <c r="DY8" i="21" s="1"/>
  <c r="DC7" i="21"/>
  <c r="EA7" i="21"/>
  <c r="K10" i="57" s="1"/>
  <c r="FC7" i="21"/>
  <c r="G11" i="84"/>
  <c r="L11" i="84" s="1"/>
  <c r="S10" i="84" s="1"/>
  <c r="EJ9" i="21" s="1"/>
  <c r="O12" i="57" s="1"/>
  <c r="I9" i="76"/>
  <c r="DD8" i="21" s="1"/>
  <c r="DD48" i="21" s="1"/>
  <c r="I9" i="84"/>
  <c r="H70" i="84" s="1"/>
  <c r="J69" i="84" s="1"/>
  <c r="DM19" i="21" s="1"/>
  <c r="D30" i="106"/>
  <c r="O30" i="106" s="1"/>
  <c r="G11" i="91"/>
  <c r="O11" i="91" s="1"/>
  <c r="T10" i="91" s="1"/>
  <c r="G11" i="106"/>
  <c r="O11" i="106" s="1"/>
  <c r="G11" i="76"/>
  <c r="L11" i="76" s="1"/>
  <c r="S10" i="76" s="1"/>
  <c r="EA9" i="21" s="1"/>
  <c r="K12" i="57" s="1"/>
  <c r="G11" i="80"/>
  <c r="L11" i="80" s="1"/>
  <c r="S10" i="80" s="1"/>
  <c r="EF9" i="21" s="1"/>
  <c r="G11" i="103"/>
  <c r="I11" i="103" s="1"/>
  <c r="G11" i="71"/>
  <c r="I11" i="71" s="1"/>
  <c r="R10" i="71" s="1"/>
  <c r="CY9" i="21" s="1"/>
  <c r="CY11" i="21" s="1"/>
  <c r="G11" i="86"/>
  <c r="O11" i="86" s="1"/>
  <c r="T10" i="86" s="1"/>
  <c r="FH9" i="21" s="1"/>
  <c r="O10" i="87"/>
  <c r="O10" i="80"/>
  <c r="G11" i="75"/>
  <c r="O11" i="75" s="1"/>
  <c r="T10" i="75" s="1"/>
  <c r="EW9" i="21" s="1"/>
  <c r="G11" i="83"/>
  <c r="I11" i="83" s="1"/>
  <c r="R10" i="83" s="1"/>
  <c r="DL9" i="21" s="1"/>
  <c r="G11" i="89"/>
  <c r="O11" i="89" s="1"/>
  <c r="I10" i="87"/>
  <c r="O9" i="84"/>
  <c r="FG8" i="21" s="1"/>
  <c r="FG48" i="21" s="1"/>
  <c r="G11" i="105"/>
  <c r="O11" i="105" s="1"/>
  <c r="G11" i="74"/>
  <c r="I11" i="74" s="1"/>
  <c r="G11" i="85"/>
  <c r="I11" i="85" s="1"/>
  <c r="R10" i="85" s="1"/>
  <c r="DO9" i="21" s="1"/>
  <c r="O9" i="76"/>
  <c r="EX8" i="21" s="1"/>
  <c r="EX48" i="21" s="1"/>
  <c r="L9" i="84"/>
  <c r="EJ8" i="21" s="1"/>
  <c r="O11" i="57" s="1"/>
  <c r="I9" i="101"/>
  <c r="J7" i="101" s="1"/>
  <c r="EJ7" i="21"/>
  <c r="O10" i="57" s="1"/>
  <c r="G11" i="73"/>
  <c r="L11" i="73" s="1"/>
  <c r="S10" i="73" s="1"/>
  <c r="DX9" i="21" s="1"/>
  <c r="G11" i="70"/>
  <c r="I11" i="70" s="1"/>
  <c r="G11" i="78"/>
  <c r="O11" i="78" s="1"/>
  <c r="T10" i="78" s="1"/>
  <c r="EZ9" i="21" s="1"/>
  <c r="G11" i="81"/>
  <c r="I11" i="81" s="1"/>
  <c r="R10" i="81" s="1"/>
  <c r="DJ9" i="21" s="1"/>
  <c r="G11" i="87"/>
  <c r="O11" i="87" s="1"/>
  <c r="G11" i="90"/>
  <c r="I11" i="90" s="1"/>
  <c r="P7" i="101"/>
  <c r="G11" i="101"/>
  <c r="L11" i="101" s="1"/>
  <c r="S10" i="101" s="1"/>
  <c r="EX7" i="21"/>
  <c r="G11" i="77"/>
  <c r="L11" i="77" s="1"/>
  <c r="G11" i="72"/>
  <c r="L11" i="72" s="1"/>
  <c r="S10" i="72" s="1"/>
  <c r="DW9" i="21" s="1"/>
  <c r="DW11" i="21" s="1"/>
  <c r="G11" i="79"/>
  <c r="O11" i="79" s="1"/>
  <c r="T10" i="79" s="1"/>
  <c r="FA9" i="21" s="1"/>
  <c r="G11" i="82"/>
  <c r="L11" i="82" s="1"/>
  <c r="L9" i="76"/>
  <c r="EA8" i="21" s="1"/>
  <c r="K11" i="57" s="1"/>
  <c r="G11" i="104"/>
  <c r="O11" i="104" s="1"/>
  <c r="L9" i="101"/>
  <c r="M7" i="101" s="1"/>
  <c r="L9" i="75"/>
  <c r="DZ8" i="21" s="1"/>
  <c r="DZ48" i="21" s="1"/>
  <c r="O9" i="83"/>
  <c r="FF8" i="21" s="1"/>
  <c r="FF48" i="21" s="1"/>
  <c r="DG7" i="21"/>
  <c r="L9" i="80"/>
  <c r="EF8" i="21" s="1"/>
  <c r="EI7" i="21"/>
  <c r="N10" i="57" s="1"/>
  <c r="FE7" i="21"/>
  <c r="O9" i="80"/>
  <c r="FC8" i="21" s="1"/>
  <c r="FC48" i="21" s="1"/>
  <c r="DZ7" i="21"/>
  <c r="I9" i="80"/>
  <c r="DI8" i="21" s="1"/>
  <c r="DI48" i="21" s="1"/>
  <c r="I9" i="75"/>
  <c r="DC8" i="21" s="1"/>
  <c r="DC48" i="21" s="1"/>
  <c r="I9" i="82"/>
  <c r="DK8" i="21" s="1"/>
  <c r="DK48" i="21" s="1"/>
  <c r="L9" i="83"/>
  <c r="EI8" i="21" s="1"/>
  <c r="F53" i="67"/>
  <c r="H53" i="67" s="1"/>
  <c r="H56" i="67" s="1"/>
  <c r="L9" i="79"/>
  <c r="ED8" i="21" s="1"/>
  <c r="I9" i="83"/>
  <c r="DL8" i="21" s="1"/>
  <c r="DL48" i="21" s="1"/>
  <c r="D32" i="106"/>
  <c r="I32" i="106" s="1"/>
  <c r="FF7" i="21"/>
  <c r="EG7" i="21"/>
  <c r="P10" i="57" s="1"/>
  <c r="ED7" i="21"/>
  <c r="L9" i="81"/>
  <c r="EG8" i="21" s="1"/>
  <c r="P11" i="57" s="1"/>
  <c r="DJ7" i="21"/>
  <c r="DK7" i="21"/>
  <c r="O9" i="79"/>
  <c r="FA8" i="21" s="1"/>
  <c r="FA48" i="21" s="1"/>
  <c r="O9" i="81"/>
  <c r="FD8" i="21" s="1"/>
  <c r="I9" i="81"/>
  <c r="DJ8" i="21" s="1"/>
  <c r="DJ48" i="21" s="1"/>
  <c r="EH7" i="21"/>
  <c r="M10" i="57" s="1"/>
  <c r="FA7" i="21"/>
  <c r="L9" i="82"/>
  <c r="EH8" i="21" s="1"/>
  <c r="D31" i="70"/>
  <c r="I10" i="80"/>
  <c r="D30" i="104"/>
  <c r="I30" i="104" s="1"/>
  <c r="D32" i="70"/>
  <c r="O32" i="70" s="1"/>
  <c r="D33" i="103"/>
  <c r="O33" i="103" s="1"/>
  <c r="D33" i="70"/>
  <c r="O33" i="70" s="1"/>
  <c r="G26" i="79"/>
  <c r="G25" i="79"/>
  <c r="G26" i="86"/>
  <c r="G25" i="86"/>
  <c r="G25" i="91"/>
  <c r="G26" i="91"/>
  <c r="G36" i="81"/>
  <c r="G37" i="81"/>
  <c r="G38" i="81"/>
  <c r="G40" i="81"/>
  <c r="G41" i="81"/>
  <c r="G39" i="81"/>
  <c r="G42" i="81"/>
  <c r="G38" i="75"/>
  <c r="G36" i="75"/>
  <c r="G40" i="75"/>
  <c r="G41" i="75"/>
  <c r="G42" i="75"/>
  <c r="G39" i="75"/>
  <c r="G37" i="75"/>
  <c r="G37" i="76"/>
  <c r="G42" i="76"/>
  <c r="G36" i="76"/>
  <c r="G39" i="76"/>
  <c r="G40" i="76"/>
  <c r="G38" i="76"/>
  <c r="G41" i="76"/>
  <c r="D31" i="84"/>
  <c r="D31" i="85"/>
  <c r="D31" i="86"/>
  <c r="D31" i="87"/>
  <c r="D31" i="91"/>
  <c r="D31" i="83"/>
  <c r="D31" i="89"/>
  <c r="D31" i="82"/>
  <c r="D31" i="90"/>
  <c r="D31" i="77"/>
  <c r="D31" i="81"/>
  <c r="D31" i="78"/>
  <c r="D31" i="74"/>
  <c r="D31" i="76"/>
  <c r="D31" i="80"/>
  <c r="D31" i="75"/>
  <c r="D31" i="79"/>
  <c r="D31" i="73"/>
  <c r="D31" i="71"/>
  <c r="D31" i="72"/>
  <c r="D33" i="102"/>
  <c r="I33" i="102" s="1"/>
  <c r="D29" i="101"/>
  <c r="O29" i="101" s="1"/>
  <c r="G26" i="73"/>
  <c r="G25" i="73"/>
  <c r="G25" i="74"/>
  <c r="G26" i="74"/>
  <c r="G25" i="84"/>
  <c r="G26" i="84"/>
  <c r="G41" i="74"/>
  <c r="G40" i="74"/>
  <c r="G37" i="74"/>
  <c r="G36" i="74"/>
  <c r="G39" i="74"/>
  <c r="G42" i="74"/>
  <c r="G38" i="74"/>
  <c r="G42" i="83"/>
  <c r="G39" i="83"/>
  <c r="G40" i="83"/>
  <c r="G41" i="83"/>
  <c r="G38" i="83"/>
  <c r="G37" i="83"/>
  <c r="G36" i="83"/>
  <c r="G42" i="87"/>
  <c r="G37" i="87"/>
  <c r="G40" i="87"/>
  <c r="G41" i="87"/>
  <c r="G39" i="87"/>
  <c r="G38" i="87"/>
  <c r="G36" i="87"/>
  <c r="D33" i="105"/>
  <c r="L33" i="105" s="1"/>
  <c r="D31" i="103"/>
  <c r="L31" i="103" s="1"/>
  <c r="D31" i="106"/>
  <c r="I31" i="106" s="1"/>
  <c r="D32" i="103"/>
  <c r="I32" i="103" s="1"/>
  <c r="G25" i="71"/>
  <c r="G26" i="71"/>
  <c r="G26" i="81"/>
  <c r="G25" i="81"/>
  <c r="G25" i="78"/>
  <c r="G26" i="78"/>
  <c r="G26" i="83"/>
  <c r="G25" i="83"/>
  <c r="G41" i="71"/>
  <c r="G37" i="71"/>
  <c r="G38" i="71"/>
  <c r="G36" i="71"/>
  <c r="G42" i="71"/>
  <c r="G40" i="71"/>
  <c r="G39" i="71"/>
  <c r="G36" i="77"/>
  <c r="G40" i="77"/>
  <c r="G42" i="77"/>
  <c r="G41" i="77"/>
  <c r="G38" i="77"/>
  <c r="G37" i="77"/>
  <c r="G39" i="77"/>
  <c r="G39" i="79"/>
  <c r="G38" i="79"/>
  <c r="G40" i="79"/>
  <c r="G41" i="79"/>
  <c r="G37" i="79"/>
  <c r="G36" i="79"/>
  <c r="G42" i="79"/>
  <c r="G42" i="91"/>
  <c r="G37" i="91"/>
  <c r="G39" i="91"/>
  <c r="G38" i="91"/>
  <c r="G36" i="91"/>
  <c r="G41" i="91"/>
  <c r="G40" i="91"/>
  <c r="G42" i="86"/>
  <c r="G37" i="86"/>
  <c r="G41" i="86"/>
  <c r="G39" i="86"/>
  <c r="G36" i="86"/>
  <c r="G40" i="86"/>
  <c r="G38" i="86"/>
  <c r="G39" i="82"/>
  <c r="G37" i="82"/>
  <c r="G36" i="82"/>
  <c r="G38" i="82"/>
  <c r="G42" i="82"/>
  <c r="G41" i="82"/>
  <c r="G40" i="82"/>
  <c r="D33" i="84"/>
  <c r="D33" i="85"/>
  <c r="D33" i="87"/>
  <c r="D33" i="83"/>
  <c r="D33" i="89"/>
  <c r="D33" i="86"/>
  <c r="D33" i="91"/>
  <c r="D33" i="90"/>
  <c r="D33" i="82"/>
  <c r="D33" i="75"/>
  <c r="D33" i="79"/>
  <c r="D33" i="77"/>
  <c r="D33" i="81"/>
  <c r="D33" i="78"/>
  <c r="D33" i="74"/>
  <c r="D33" i="73"/>
  <c r="D33" i="76"/>
  <c r="D33" i="80"/>
  <c r="D33" i="71"/>
  <c r="D33" i="72"/>
  <c r="G26" i="76"/>
  <c r="G25" i="76"/>
  <c r="G41" i="84"/>
  <c r="G37" i="84"/>
  <c r="G39" i="84"/>
  <c r="G40" i="84"/>
  <c r="G38" i="84"/>
  <c r="G36" i="84"/>
  <c r="G42" i="84"/>
  <c r="D31" i="102"/>
  <c r="O31" i="102" s="1"/>
  <c r="D32" i="83"/>
  <c r="D32" i="82"/>
  <c r="D32" i="84"/>
  <c r="D32" i="85"/>
  <c r="D32" i="86"/>
  <c r="D32" i="87"/>
  <c r="D32" i="90"/>
  <c r="D32" i="89"/>
  <c r="D32" i="91"/>
  <c r="D32" i="76"/>
  <c r="D32" i="80"/>
  <c r="D32" i="77"/>
  <c r="D32" i="81"/>
  <c r="D32" i="75"/>
  <c r="D32" i="79"/>
  <c r="D32" i="78"/>
  <c r="D32" i="74"/>
  <c r="D32" i="73"/>
  <c r="D32" i="72"/>
  <c r="D32" i="71"/>
  <c r="G25" i="75"/>
  <c r="G26" i="75"/>
  <c r="G25" i="90"/>
  <c r="G26" i="90"/>
  <c r="G26" i="85"/>
  <c r="G25" i="85"/>
  <c r="G38" i="80"/>
  <c r="G39" i="80"/>
  <c r="G36" i="80"/>
  <c r="G41" i="80"/>
  <c r="G42" i="80"/>
  <c r="G40" i="80"/>
  <c r="G37" i="80"/>
  <c r="G39" i="90"/>
  <c r="G42" i="90"/>
  <c r="G37" i="90"/>
  <c r="G40" i="90"/>
  <c r="G38" i="90"/>
  <c r="G36" i="90"/>
  <c r="G41" i="90"/>
  <c r="D31" i="101"/>
  <c r="O31" i="101" s="1"/>
  <c r="D33" i="104"/>
  <c r="O33" i="104" s="1"/>
  <c r="D31" i="105"/>
  <c r="L31" i="105" s="1"/>
  <c r="D32" i="104"/>
  <c r="L32" i="104" s="1"/>
  <c r="D32" i="102"/>
  <c r="I32" i="102" s="1"/>
  <c r="D30" i="103"/>
  <c r="I30" i="103" s="1"/>
  <c r="D30" i="82"/>
  <c r="D30" i="91"/>
  <c r="D30" i="85"/>
  <c r="D30" i="90"/>
  <c r="D30" i="89"/>
  <c r="D30" i="84"/>
  <c r="D30" i="83"/>
  <c r="D30" i="86"/>
  <c r="D30" i="87"/>
  <c r="D30" i="76"/>
  <c r="D30" i="80"/>
  <c r="D30" i="78"/>
  <c r="D30" i="75"/>
  <c r="D30" i="79"/>
  <c r="D30" i="77"/>
  <c r="D30" i="81"/>
  <c r="D30" i="73"/>
  <c r="D30" i="71"/>
  <c r="I30" i="71" s="1"/>
  <c r="D30" i="72"/>
  <c r="G25" i="72"/>
  <c r="G26" i="72"/>
  <c r="G26" i="77"/>
  <c r="G25" i="77"/>
  <c r="G26" i="80"/>
  <c r="G25" i="80"/>
  <c r="G25" i="82"/>
  <c r="G26" i="82"/>
  <c r="G25" i="87"/>
  <c r="G26" i="87"/>
  <c r="G25" i="89"/>
  <c r="G26" i="89"/>
  <c r="G40" i="72"/>
  <c r="G42" i="72"/>
  <c r="G37" i="72"/>
  <c r="G36" i="72"/>
  <c r="G39" i="72"/>
  <c r="G41" i="72"/>
  <c r="G38" i="72"/>
  <c r="G39" i="73"/>
  <c r="G38" i="73"/>
  <c r="G37" i="73"/>
  <c r="G41" i="73"/>
  <c r="G36" i="73"/>
  <c r="G40" i="73"/>
  <c r="G42" i="73"/>
  <c r="G42" i="78"/>
  <c r="G36" i="78"/>
  <c r="G39" i="78"/>
  <c r="G37" i="78"/>
  <c r="G38" i="78"/>
  <c r="G40" i="78"/>
  <c r="G41" i="78"/>
  <c r="G37" i="89"/>
  <c r="G41" i="89"/>
  <c r="G39" i="89"/>
  <c r="G40" i="89"/>
  <c r="G36" i="89"/>
  <c r="G42" i="89"/>
  <c r="G38" i="89"/>
  <c r="G39" i="85"/>
  <c r="G42" i="85"/>
  <c r="G37" i="85"/>
  <c r="G36" i="85"/>
  <c r="G41" i="85"/>
  <c r="G40" i="85"/>
  <c r="G38" i="85"/>
  <c r="DK64" i="21"/>
  <c r="EI64" i="21"/>
  <c r="DF64" i="21"/>
  <c r="DC64" i="21"/>
  <c r="DG48" i="21"/>
  <c r="DG64" i="21"/>
  <c r="M17" i="20" s="1"/>
  <c r="DJ64" i="21"/>
  <c r="V14" i="20"/>
  <c r="DI64" i="21"/>
  <c r="DB64" i="21"/>
  <c r="EB18" i="21"/>
  <c r="DP64" i="21"/>
  <c r="R19" i="90"/>
  <c r="DR64" i="21"/>
  <c r="DL64" i="21"/>
  <c r="DM64" i="21"/>
  <c r="T19" i="89"/>
  <c r="N70" i="82"/>
  <c r="P69" i="82" s="1"/>
  <c r="H70" i="79"/>
  <c r="J69" i="79" s="1"/>
  <c r="D28" i="101"/>
  <c r="O28" i="101" s="1"/>
  <c r="D30" i="70"/>
  <c r="D30" i="102"/>
  <c r="O30" i="102" s="1"/>
  <c r="D30" i="101"/>
  <c r="G66" i="103"/>
  <c r="G67" i="103"/>
  <c r="G65" i="103"/>
  <c r="G38" i="105"/>
  <c r="G41" i="105"/>
  <c r="G36" i="105"/>
  <c r="G39" i="105"/>
  <c r="G42" i="105"/>
  <c r="G40" i="105"/>
  <c r="G37" i="105"/>
  <c r="G67" i="105"/>
  <c r="G66" i="105"/>
  <c r="G65" i="105"/>
  <c r="G42" i="103"/>
  <c r="G37" i="103"/>
  <c r="G39" i="103"/>
  <c r="G36" i="103"/>
  <c r="G41" i="103"/>
  <c r="G40" i="103"/>
  <c r="G38" i="103"/>
  <c r="G66" i="106"/>
  <c r="G65" i="106"/>
  <c r="G67" i="106"/>
  <c r="G38" i="70"/>
  <c r="G40" i="70"/>
  <c r="G39" i="70"/>
  <c r="G36" i="70"/>
  <c r="G37" i="70"/>
  <c r="G41" i="70"/>
  <c r="G42" i="70"/>
  <c r="G24" i="101"/>
  <c r="G23" i="101"/>
  <c r="O74" i="101"/>
  <c r="I73" i="101"/>
  <c r="O73" i="101"/>
  <c r="L73" i="101"/>
  <c r="I74" i="101"/>
  <c r="L74" i="101"/>
  <c r="I75" i="103"/>
  <c r="O74" i="103"/>
  <c r="I74" i="103"/>
  <c r="L74" i="103"/>
  <c r="L75" i="103"/>
  <c r="O75" i="103"/>
  <c r="I75" i="102"/>
  <c r="O74" i="102"/>
  <c r="L75" i="102"/>
  <c r="O75" i="102"/>
  <c r="L74" i="102"/>
  <c r="I74" i="102"/>
  <c r="G25" i="105"/>
  <c r="G26" i="105"/>
  <c r="G26" i="103"/>
  <c r="G25" i="103"/>
  <c r="L75" i="106"/>
  <c r="I75" i="106"/>
  <c r="O74" i="106"/>
  <c r="O75" i="106"/>
  <c r="L74" i="106"/>
  <c r="I74" i="106"/>
  <c r="I74" i="104"/>
  <c r="L74" i="104"/>
  <c r="O74" i="104"/>
  <c r="L75" i="104"/>
  <c r="O75" i="104"/>
  <c r="I75" i="104"/>
  <c r="G42" i="104"/>
  <c r="G39" i="104"/>
  <c r="G41" i="104"/>
  <c r="G37" i="104"/>
  <c r="G40" i="104"/>
  <c r="G36" i="104"/>
  <c r="G38" i="104"/>
  <c r="G65" i="101"/>
  <c r="G66" i="101"/>
  <c r="G64" i="101"/>
  <c r="G34" i="101"/>
  <c r="G36" i="101"/>
  <c r="G37" i="101"/>
  <c r="G41" i="101"/>
  <c r="G38" i="101"/>
  <c r="G35" i="101"/>
  <c r="G39" i="101"/>
  <c r="G40" i="101"/>
  <c r="G66" i="104"/>
  <c r="G65" i="104"/>
  <c r="G67" i="104"/>
  <c r="J22" i="63"/>
  <c r="M22" i="63" s="1"/>
  <c r="O19" i="63" s="1"/>
  <c r="J35" i="63"/>
  <c r="M35" i="63" s="1"/>
  <c r="J34" i="63"/>
  <c r="J15" i="63"/>
  <c r="J36" i="63"/>
  <c r="J12" i="63"/>
  <c r="J14" i="63"/>
  <c r="M14" i="63" s="1"/>
  <c r="J23" i="63"/>
  <c r="J13" i="63"/>
  <c r="J30" i="63"/>
  <c r="J11" i="63"/>
  <c r="J28" i="63"/>
  <c r="J24" i="63"/>
  <c r="J29" i="63"/>
  <c r="G25" i="106"/>
  <c r="G26" i="106"/>
  <c r="M19" i="75"/>
  <c r="J19" i="75"/>
  <c r="P19" i="75"/>
  <c r="O74" i="105"/>
  <c r="L75" i="105"/>
  <c r="L74" i="105"/>
  <c r="I75" i="105"/>
  <c r="O75" i="105"/>
  <c r="I74" i="105"/>
  <c r="G66" i="102"/>
  <c r="G65" i="102"/>
  <c r="G67" i="102"/>
  <c r="G39" i="106"/>
  <c r="G37" i="106"/>
  <c r="G42" i="106"/>
  <c r="G36" i="106"/>
  <c r="G40" i="106"/>
  <c r="G38" i="106"/>
  <c r="G41" i="106"/>
  <c r="G39" i="102"/>
  <c r="G38" i="102"/>
  <c r="G42" i="102"/>
  <c r="G37" i="102"/>
  <c r="G36" i="102"/>
  <c r="G40" i="102"/>
  <c r="G41" i="102"/>
  <c r="M67" i="101"/>
  <c r="P67" i="101"/>
  <c r="J67" i="101"/>
  <c r="G25" i="70"/>
  <c r="G26" i="70"/>
  <c r="G25" i="104"/>
  <c r="G26" i="104"/>
  <c r="G25" i="102"/>
  <c r="G26" i="102"/>
  <c r="P7" i="82"/>
  <c r="M93" i="20"/>
  <c r="M127" i="20"/>
  <c r="M117" i="20"/>
  <c r="N41" i="58"/>
  <c r="P7" i="91"/>
  <c r="J7" i="79"/>
  <c r="N42" i="58"/>
  <c r="O127" i="20"/>
  <c r="O93" i="20"/>
  <c r="O117" i="20"/>
  <c r="J52" i="26"/>
  <c r="P52" i="26"/>
  <c r="M52" i="26"/>
  <c r="M52" i="27"/>
  <c r="P52" i="27"/>
  <c r="J52" i="27"/>
  <c r="P52" i="35"/>
  <c r="M52" i="35"/>
  <c r="J52" i="35"/>
  <c r="K10" i="58" l="1"/>
  <c r="J10" i="58"/>
  <c r="K11" i="58"/>
  <c r="J11" i="58"/>
  <c r="EO64" i="21"/>
  <c r="T19" i="90"/>
  <c r="FL37" i="21" s="1"/>
  <c r="FL55" i="21" s="1"/>
  <c r="FL56" i="21" s="1"/>
  <c r="EU64" i="21"/>
  <c r="DX64" i="21"/>
  <c r="DU64" i="21"/>
  <c r="ER64" i="21"/>
  <c r="FA64" i="21"/>
  <c r="DS37" i="21"/>
  <c r="DS55" i="21" s="1"/>
  <c r="DS56" i="21" s="1"/>
  <c r="S19" i="90"/>
  <c r="EO37" i="21" s="1"/>
  <c r="EO55" i="21" s="1"/>
  <c r="EO56" i="21" s="1"/>
  <c r="EV64" i="21"/>
  <c r="EC64" i="21"/>
  <c r="FL64" i="21"/>
  <c r="EM64" i="21"/>
  <c r="EW64" i="21"/>
  <c r="DZ64" i="21"/>
  <c r="DY64" i="21"/>
  <c r="E11" i="57"/>
  <c r="L11" i="57"/>
  <c r="L32" i="105"/>
  <c r="E10" i="57"/>
  <c r="L10" i="57"/>
  <c r="EH48" i="21"/>
  <c r="M11" i="57"/>
  <c r="EI48" i="21"/>
  <c r="N11" i="57"/>
  <c r="O33" i="106"/>
  <c r="I33" i="106"/>
  <c r="O30" i="105"/>
  <c r="L30" i="105"/>
  <c r="I30" i="109"/>
  <c r="O30" i="109"/>
  <c r="FD48" i="21"/>
  <c r="I32" i="105"/>
  <c r="EX64" i="21"/>
  <c r="O31" i="104"/>
  <c r="L31" i="104"/>
  <c r="EP23" i="21"/>
  <c r="EP51" i="21" s="1"/>
  <c r="EP52" i="21" s="1"/>
  <c r="O31" i="70"/>
  <c r="I31" i="70"/>
  <c r="L32" i="109"/>
  <c r="M27" i="109" s="1"/>
  <c r="EE13" i="21" s="1"/>
  <c r="H17" i="57" s="1"/>
  <c r="I32" i="109"/>
  <c r="O32" i="109"/>
  <c r="G46" i="70"/>
  <c r="G55" i="87"/>
  <c r="G53" i="87"/>
  <c r="DR37" i="21"/>
  <c r="DR55" i="21" s="1"/>
  <c r="DR56" i="21" s="1"/>
  <c r="DR23" i="21"/>
  <c r="DR51" i="21" s="1"/>
  <c r="DR52" i="21" s="1"/>
  <c r="L9" i="78"/>
  <c r="EC8" i="21" s="1"/>
  <c r="EC48" i="21" s="1"/>
  <c r="EZ7" i="21"/>
  <c r="I9" i="78"/>
  <c r="DF8" i="21" s="1"/>
  <c r="DF48" i="21" s="1"/>
  <c r="I11" i="102"/>
  <c r="R10" i="102" s="1"/>
  <c r="O11" i="102"/>
  <c r="T10" i="102" s="1"/>
  <c r="G11" i="58"/>
  <c r="EC7" i="21"/>
  <c r="I10" i="58" s="1"/>
  <c r="DF7" i="21"/>
  <c r="EE7" i="21"/>
  <c r="FB7" i="21"/>
  <c r="DH7" i="21"/>
  <c r="G10" i="57"/>
  <c r="EF11" i="21"/>
  <c r="EF48" i="21"/>
  <c r="DH29" i="21"/>
  <c r="EF29" i="21"/>
  <c r="EE29" i="21"/>
  <c r="FB29" i="21"/>
  <c r="O36" i="109"/>
  <c r="L36" i="109"/>
  <c r="I36" i="109"/>
  <c r="L41" i="109"/>
  <c r="I41" i="109"/>
  <c r="O41" i="109"/>
  <c r="L37" i="109"/>
  <c r="O37" i="109"/>
  <c r="I37" i="109"/>
  <c r="L25" i="109"/>
  <c r="O25" i="109"/>
  <c r="I25" i="109"/>
  <c r="L40" i="109"/>
  <c r="I40" i="109"/>
  <c r="O40" i="109"/>
  <c r="J72" i="106"/>
  <c r="I26" i="109"/>
  <c r="L26" i="109"/>
  <c r="O26" i="109"/>
  <c r="O39" i="109"/>
  <c r="I39" i="109"/>
  <c r="L39" i="109"/>
  <c r="L9" i="109"/>
  <c r="EE8" i="21" s="1"/>
  <c r="H11" i="57" s="1"/>
  <c r="I9" i="109"/>
  <c r="DH8" i="21" s="1"/>
  <c r="O9" i="109"/>
  <c r="FB8" i="21" s="1"/>
  <c r="FB48" i="21" s="1"/>
  <c r="I42" i="109"/>
  <c r="O42" i="109"/>
  <c r="L42" i="109"/>
  <c r="M11" i="63"/>
  <c r="L11" i="109"/>
  <c r="S10" i="109" s="1"/>
  <c r="EE9" i="21" s="1"/>
  <c r="H12" i="57" s="1"/>
  <c r="I11" i="109"/>
  <c r="R10" i="109" s="1"/>
  <c r="DH9" i="21" s="1"/>
  <c r="O11" i="109"/>
  <c r="T10" i="109" s="1"/>
  <c r="FB9" i="21" s="1"/>
  <c r="O38" i="109"/>
  <c r="L38" i="109"/>
  <c r="I38" i="109"/>
  <c r="EA48" i="21"/>
  <c r="G54" i="87"/>
  <c r="O47" i="62"/>
  <c r="O41" i="62"/>
  <c r="O91" i="62"/>
  <c r="O62" i="62"/>
  <c r="O59" i="62"/>
  <c r="O46" i="62"/>
  <c r="G52" i="87" s="1"/>
  <c r="O54" i="62"/>
  <c r="O38" i="62"/>
  <c r="O31" i="62"/>
  <c r="O76" i="62"/>
  <c r="O27" i="62"/>
  <c r="G47" i="86" s="1"/>
  <c r="O42" i="62"/>
  <c r="O29" i="62"/>
  <c r="O25" i="62"/>
  <c r="G47" i="82" s="1"/>
  <c r="O72" i="62"/>
  <c r="O61" i="62"/>
  <c r="O69" i="62"/>
  <c r="O49" i="62"/>
  <c r="O44" i="62"/>
  <c r="O65" i="62"/>
  <c r="O28" i="62"/>
  <c r="O77" i="62"/>
  <c r="O63" i="62"/>
  <c r="O57" i="62"/>
  <c r="O53" i="62"/>
  <c r="O66" i="62"/>
  <c r="O74" i="62"/>
  <c r="G47" i="87" s="1"/>
  <c r="J47" i="87" s="1"/>
  <c r="O56" i="62"/>
  <c r="O40" i="62"/>
  <c r="O26" i="62"/>
  <c r="G50" i="90" s="1"/>
  <c r="O32" i="62"/>
  <c r="O48" i="62"/>
  <c r="O51" i="62"/>
  <c r="O33" i="62"/>
  <c r="G47" i="85" s="1"/>
  <c r="O58" i="62"/>
  <c r="O35" i="62"/>
  <c r="O73" i="62"/>
  <c r="O92" i="62"/>
  <c r="O75" i="62"/>
  <c r="O68" i="62"/>
  <c r="O37" i="62"/>
  <c r="O34" i="62"/>
  <c r="M13" i="63"/>
  <c r="M34" i="63"/>
  <c r="O31" i="63" s="1"/>
  <c r="M12" i="63"/>
  <c r="K29" i="63"/>
  <c r="M29" i="63" s="1"/>
  <c r="M15" i="63"/>
  <c r="P7" i="75"/>
  <c r="H70" i="74"/>
  <c r="J69" i="74" s="1"/>
  <c r="DB19" i="21" s="1"/>
  <c r="N70" i="75"/>
  <c r="P69" i="75" s="1"/>
  <c r="EW19" i="21" s="1"/>
  <c r="EW11" i="21"/>
  <c r="DY48" i="21"/>
  <c r="K70" i="74"/>
  <c r="M69" i="74" s="1"/>
  <c r="DY19" i="21" s="1"/>
  <c r="N70" i="74"/>
  <c r="P69" i="74" s="1"/>
  <c r="EV19" i="21" s="1"/>
  <c r="J7" i="84"/>
  <c r="I11" i="84"/>
  <c r="R10" i="84" s="1"/>
  <c r="DM9" i="21" s="1"/>
  <c r="EB8" i="21"/>
  <c r="EB48" i="21" s="1"/>
  <c r="K70" i="77"/>
  <c r="M69" i="77" s="1"/>
  <c r="EB19" i="21" s="1"/>
  <c r="M7" i="77"/>
  <c r="EY8" i="21"/>
  <c r="EY48" i="21" s="1"/>
  <c r="N70" i="77"/>
  <c r="P69" i="77" s="1"/>
  <c r="EY19" i="21" s="1"/>
  <c r="P7" i="77"/>
  <c r="DE8" i="21"/>
  <c r="DE48" i="21" s="1"/>
  <c r="J7" i="77"/>
  <c r="H70" i="77"/>
  <c r="J69" i="77" s="1"/>
  <c r="DE19" i="21" s="1"/>
  <c r="I11" i="89"/>
  <c r="L11" i="90"/>
  <c r="S10" i="90" s="1"/>
  <c r="EO9" i="21" s="1"/>
  <c r="EO11" i="21" s="1"/>
  <c r="I11" i="91"/>
  <c r="R10" i="91" s="1"/>
  <c r="H10" i="58"/>
  <c r="I11" i="76"/>
  <c r="R10" i="76" s="1"/>
  <c r="DD9" i="21" s="1"/>
  <c r="DD11" i="21" s="1"/>
  <c r="L30" i="106"/>
  <c r="L11" i="71"/>
  <c r="S10" i="71" s="1"/>
  <c r="DV9" i="21" s="1"/>
  <c r="G11" i="57"/>
  <c r="F11" i="58"/>
  <c r="H70" i="101"/>
  <c r="J69" i="101" s="1"/>
  <c r="EG48" i="21"/>
  <c r="O11" i="80"/>
  <c r="T10" i="80" s="1"/>
  <c r="FC9" i="21" s="1"/>
  <c r="FC11" i="21" s="1"/>
  <c r="O11" i="84"/>
  <c r="T10" i="84" s="1"/>
  <c r="FG9" i="21" s="1"/>
  <c r="FG11" i="21" s="1"/>
  <c r="L11" i="78"/>
  <c r="S10" i="78" s="1"/>
  <c r="EC9" i="21" s="1"/>
  <c r="L11" i="75"/>
  <c r="S10" i="75" s="1"/>
  <c r="DZ9" i="21" s="1"/>
  <c r="DZ11" i="21" s="1"/>
  <c r="O11" i="72"/>
  <c r="T10" i="72" s="1"/>
  <c r="ET9" i="21" s="1"/>
  <c r="ET11" i="21" s="1"/>
  <c r="I30" i="106"/>
  <c r="I11" i="82"/>
  <c r="R10" i="82" s="1"/>
  <c r="DK9" i="21" s="1"/>
  <c r="DK11" i="21" s="1"/>
  <c r="L11" i="91"/>
  <c r="S10" i="91" s="1"/>
  <c r="L11" i="106"/>
  <c r="S10" i="106" s="1"/>
  <c r="K70" i="101"/>
  <c r="M69" i="101" s="1"/>
  <c r="I11" i="87"/>
  <c r="R10" i="87" s="1"/>
  <c r="DP9" i="21" s="1"/>
  <c r="I11" i="106"/>
  <c r="R10" i="106" s="1"/>
  <c r="P7" i="76"/>
  <c r="O11" i="73"/>
  <c r="T10" i="73" s="1"/>
  <c r="EU9" i="21" s="1"/>
  <c r="EU11" i="21" s="1"/>
  <c r="O11" i="103"/>
  <c r="T10" i="103" s="1"/>
  <c r="L11" i="89"/>
  <c r="O11" i="82"/>
  <c r="T10" i="82" s="1"/>
  <c r="FE9" i="21" s="1"/>
  <c r="FE11" i="21" s="1"/>
  <c r="L11" i="87"/>
  <c r="S10" i="87" s="1"/>
  <c r="EM9" i="21" s="1"/>
  <c r="I11" i="73"/>
  <c r="R10" i="73" s="1"/>
  <c r="DA9" i="21" s="1"/>
  <c r="DA11" i="21" s="1"/>
  <c r="J7" i="76"/>
  <c r="J7" i="82"/>
  <c r="N70" i="76"/>
  <c r="P69" i="76" s="1"/>
  <c r="EX19" i="21" s="1"/>
  <c r="P7" i="80"/>
  <c r="I11" i="86"/>
  <c r="R10" i="86" s="1"/>
  <c r="DN9" i="21" s="1"/>
  <c r="H70" i="76"/>
  <c r="J69" i="76" s="1"/>
  <c r="DD19" i="21" s="1"/>
  <c r="K70" i="76"/>
  <c r="M69" i="76" s="1"/>
  <c r="EA19" i="21" s="1"/>
  <c r="H11" i="58"/>
  <c r="EA11" i="21"/>
  <c r="O11" i="83"/>
  <c r="T10" i="83" s="1"/>
  <c r="FF9" i="21" s="1"/>
  <c r="FF11" i="21" s="1"/>
  <c r="O11" i="70"/>
  <c r="T10" i="70" s="1"/>
  <c r="ER9" i="21" s="1"/>
  <c r="ER11" i="21" s="1"/>
  <c r="I11" i="105"/>
  <c r="R10" i="105" s="1"/>
  <c r="DM8" i="21"/>
  <c r="DM48" i="21" s="1"/>
  <c r="O11" i="76"/>
  <c r="T10" i="76" s="1"/>
  <c r="EX9" i="21" s="1"/>
  <c r="EX11" i="21" s="1"/>
  <c r="L11" i="103"/>
  <c r="S10" i="103" s="1"/>
  <c r="I11" i="78"/>
  <c r="R10" i="78" s="1"/>
  <c r="DF9" i="21" s="1"/>
  <c r="M7" i="76"/>
  <c r="I11" i="80"/>
  <c r="R10" i="80" s="1"/>
  <c r="DI9" i="21" s="1"/>
  <c r="DI11" i="21" s="1"/>
  <c r="N70" i="84"/>
  <c r="P69" i="84" s="1"/>
  <c r="FG19" i="21" s="1"/>
  <c r="O11" i="74"/>
  <c r="T10" i="74" s="1"/>
  <c r="EV9" i="21" s="1"/>
  <c r="EV11" i="21" s="1"/>
  <c r="I11" i="75"/>
  <c r="R10" i="75" s="1"/>
  <c r="DC9" i="21" s="1"/>
  <c r="DC11" i="21" s="1"/>
  <c r="L11" i="86"/>
  <c r="S10" i="86" s="1"/>
  <c r="EK9" i="21" s="1"/>
  <c r="Q12" i="57" s="1"/>
  <c r="M7" i="75"/>
  <c r="L11" i="74"/>
  <c r="S10" i="74" s="1"/>
  <c r="DY9" i="21" s="1"/>
  <c r="I11" i="72"/>
  <c r="R10" i="72" s="1"/>
  <c r="CZ9" i="21" s="1"/>
  <c r="CZ11" i="21" s="1"/>
  <c r="P7" i="84"/>
  <c r="O11" i="71"/>
  <c r="T10" i="71" s="1"/>
  <c r="ES9" i="21" s="1"/>
  <c r="ES11" i="21" s="1"/>
  <c r="P7" i="81"/>
  <c r="L11" i="83"/>
  <c r="S10" i="83" s="1"/>
  <c r="EI9" i="21" s="1"/>
  <c r="M7" i="80"/>
  <c r="P7" i="83"/>
  <c r="K70" i="80"/>
  <c r="M69" i="80" s="1"/>
  <c r="EF19" i="21" s="1"/>
  <c r="K70" i="84"/>
  <c r="M69" i="84" s="1"/>
  <c r="EJ19" i="21" s="1"/>
  <c r="O11" i="85"/>
  <c r="T10" i="85" s="1"/>
  <c r="FI9" i="21" s="1"/>
  <c r="O11" i="81"/>
  <c r="T10" i="81" s="1"/>
  <c r="FD9" i="21" s="1"/>
  <c r="FD11" i="21" s="1"/>
  <c r="T10" i="87"/>
  <c r="FJ9" i="21" s="1"/>
  <c r="L11" i="105"/>
  <c r="S10" i="105" s="1"/>
  <c r="L11" i="85"/>
  <c r="S10" i="85" s="1"/>
  <c r="EL9" i="21" s="1"/>
  <c r="O11" i="90"/>
  <c r="L11" i="79"/>
  <c r="S10" i="79" s="1"/>
  <c r="ED9" i="21" s="1"/>
  <c r="ED11" i="21" s="1"/>
  <c r="I11" i="77"/>
  <c r="R10" i="77" s="1"/>
  <c r="DE9" i="21" s="1"/>
  <c r="H70" i="83"/>
  <c r="J69" i="83" s="1"/>
  <c r="DL19" i="21" s="1"/>
  <c r="M7" i="84"/>
  <c r="L11" i="70"/>
  <c r="S10" i="70" s="1"/>
  <c r="DU9" i="21" s="1"/>
  <c r="DU11" i="21" s="1"/>
  <c r="I11" i="104"/>
  <c r="R10" i="104" s="1"/>
  <c r="I11" i="101"/>
  <c r="R10" i="101" s="1"/>
  <c r="EJ48" i="21"/>
  <c r="L11" i="81"/>
  <c r="S10" i="81" s="1"/>
  <c r="EG9" i="21" s="1"/>
  <c r="I11" i="79"/>
  <c r="R10" i="79" s="1"/>
  <c r="DG9" i="21" s="1"/>
  <c r="DG11" i="21" s="1"/>
  <c r="O11" i="77"/>
  <c r="T10" i="77" s="1"/>
  <c r="EY9" i="21" s="1"/>
  <c r="L11" i="104"/>
  <c r="S10" i="104" s="1"/>
  <c r="O11" i="101"/>
  <c r="T10" i="101" s="1"/>
  <c r="N70" i="83"/>
  <c r="P69" i="83" s="1"/>
  <c r="FF19" i="21" s="1"/>
  <c r="H70" i="75"/>
  <c r="J69" i="75" s="1"/>
  <c r="DC19" i="21" s="1"/>
  <c r="ED48" i="21"/>
  <c r="J7" i="75"/>
  <c r="N70" i="80"/>
  <c r="P69" i="80" s="1"/>
  <c r="FC19" i="21" s="1"/>
  <c r="K70" i="81"/>
  <c r="M69" i="81" s="1"/>
  <c r="EG19" i="21" s="1"/>
  <c r="H70" i="82"/>
  <c r="J69" i="82" s="1"/>
  <c r="DK19" i="21" s="1"/>
  <c r="K70" i="75"/>
  <c r="M69" i="75" s="1"/>
  <c r="DZ19" i="21" s="1"/>
  <c r="H70" i="81"/>
  <c r="J69" i="81" s="1"/>
  <c r="DJ19" i="21" s="1"/>
  <c r="J7" i="80"/>
  <c r="FA11" i="21"/>
  <c r="K70" i="83"/>
  <c r="M69" i="83" s="1"/>
  <c r="EI19" i="21" s="1"/>
  <c r="M7" i="79"/>
  <c r="O32" i="106"/>
  <c r="M7" i="83"/>
  <c r="P7" i="79"/>
  <c r="L32" i="106"/>
  <c r="H70" i="80"/>
  <c r="J69" i="80" s="1"/>
  <c r="DI19" i="21" s="1"/>
  <c r="DL11" i="21"/>
  <c r="J7" i="83"/>
  <c r="K70" i="79"/>
  <c r="M69" i="79" s="1"/>
  <c r="ED19" i="21" s="1"/>
  <c r="L33" i="104"/>
  <c r="N70" i="79"/>
  <c r="P69" i="79" s="1"/>
  <c r="FA19" i="21" s="1"/>
  <c r="J11" i="57"/>
  <c r="G10" i="58"/>
  <c r="L31" i="70"/>
  <c r="L32" i="70"/>
  <c r="N70" i="81"/>
  <c r="P69" i="81" s="1"/>
  <c r="FD19" i="21" s="1"/>
  <c r="M7" i="81"/>
  <c r="M7" i="82"/>
  <c r="K70" i="82"/>
  <c r="M69" i="82" s="1"/>
  <c r="EH19" i="21" s="1"/>
  <c r="I31" i="102"/>
  <c r="J7" i="81"/>
  <c r="DJ11" i="21"/>
  <c r="L30" i="104"/>
  <c r="O30" i="104"/>
  <c r="I33" i="103"/>
  <c r="I31" i="103"/>
  <c r="L31" i="106"/>
  <c r="L30" i="103"/>
  <c r="P72" i="104"/>
  <c r="O30" i="103"/>
  <c r="I33" i="104"/>
  <c r="I31" i="105"/>
  <c r="O31" i="106"/>
  <c r="O33" i="102"/>
  <c r="O31" i="105"/>
  <c r="I32" i="70"/>
  <c r="I29" i="101"/>
  <c r="L33" i="103"/>
  <c r="O33" i="105"/>
  <c r="L33" i="70"/>
  <c r="L31" i="101"/>
  <c r="O31" i="103"/>
  <c r="I33" i="70"/>
  <c r="L31" i="102"/>
  <c r="M72" i="106"/>
  <c r="I31" i="101"/>
  <c r="O32" i="102"/>
  <c r="L30" i="102"/>
  <c r="L32" i="102"/>
  <c r="O38" i="85"/>
  <c r="L38" i="85"/>
  <c r="I38" i="85"/>
  <c r="I42" i="89"/>
  <c r="O42" i="89"/>
  <c r="L42" i="89"/>
  <c r="O38" i="78"/>
  <c r="L38" i="78"/>
  <c r="I38" i="78"/>
  <c r="L41" i="73"/>
  <c r="O41" i="73"/>
  <c r="I41" i="73"/>
  <c r="L37" i="72"/>
  <c r="I37" i="72"/>
  <c r="O37" i="72"/>
  <c r="I25" i="82"/>
  <c r="L25" i="82"/>
  <c r="O25" i="82"/>
  <c r="O30" i="72"/>
  <c r="L30" i="72"/>
  <c r="I30" i="72"/>
  <c r="L30" i="77"/>
  <c r="O30" i="77"/>
  <c r="I30" i="77"/>
  <c r="L30" i="87"/>
  <c r="O30" i="87"/>
  <c r="I30" i="87"/>
  <c r="O30" i="82"/>
  <c r="L30" i="82"/>
  <c r="I30" i="82"/>
  <c r="O37" i="80"/>
  <c r="L37" i="80"/>
  <c r="I37" i="80"/>
  <c r="I26" i="85"/>
  <c r="O26" i="85"/>
  <c r="L26" i="85"/>
  <c r="I32" i="74"/>
  <c r="L32" i="74"/>
  <c r="O32" i="74"/>
  <c r="L32" i="91"/>
  <c r="O32" i="91"/>
  <c r="I32" i="91"/>
  <c r="I32" i="82"/>
  <c r="L32" i="82"/>
  <c r="O32" i="82"/>
  <c r="O39" i="84"/>
  <c r="L39" i="84"/>
  <c r="I39" i="84"/>
  <c r="I33" i="76"/>
  <c r="O33" i="76"/>
  <c r="L33" i="76"/>
  <c r="O33" i="81"/>
  <c r="L33" i="81"/>
  <c r="I33" i="81"/>
  <c r="I33" i="86"/>
  <c r="O33" i="86"/>
  <c r="L33" i="86"/>
  <c r="O41" i="82"/>
  <c r="L41" i="82"/>
  <c r="I41" i="82"/>
  <c r="I37" i="82"/>
  <c r="O37" i="82"/>
  <c r="L37" i="82"/>
  <c r="O42" i="86"/>
  <c r="L42" i="86"/>
  <c r="I42" i="86"/>
  <c r="I42" i="79"/>
  <c r="O42" i="79"/>
  <c r="L42" i="79"/>
  <c r="I37" i="77"/>
  <c r="O37" i="77"/>
  <c r="L37" i="77"/>
  <c r="L42" i="71"/>
  <c r="I42" i="71"/>
  <c r="O42" i="71"/>
  <c r="L36" i="83"/>
  <c r="O36" i="83"/>
  <c r="I36" i="83"/>
  <c r="O42" i="74"/>
  <c r="L42" i="74"/>
  <c r="I42" i="74"/>
  <c r="O26" i="74"/>
  <c r="I26" i="74"/>
  <c r="L26" i="74"/>
  <c r="L31" i="73"/>
  <c r="I31" i="73"/>
  <c r="O31" i="73"/>
  <c r="L31" i="77"/>
  <c r="O31" i="77"/>
  <c r="I31" i="77"/>
  <c r="L31" i="87"/>
  <c r="O31" i="87"/>
  <c r="I31" i="87"/>
  <c r="L42" i="76"/>
  <c r="I42" i="76"/>
  <c r="O42" i="76"/>
  <c r="O38" i="75"/>
  <c r="L38" i="75"/>
  <c r="I38" i="75"/>
  <c r="O40" i="81"/>
  <c r="L40" i="81"/>
  <c r="I40" i="81"/>
  <c r="O26" i="91"/>
  <c r="L26" i="91"/>
  <c r="I26" i="91"/>
  <c r="O40" i="85"/>
  <c r="L40" i="85"/>
  <c r="I40" i="85"/>
  <c r="O36" i="89"/>
  <c r="I36" i="89"/>
  <c r="L36" i="89"/>
  <c r="I37" i="78"/>
  <c r="O37" i="78"/>
  <c r="L37" i="78"/>
  <c r="I37" i="73"/>
  <c r="L37" i="73"/>
  <c r="O37" i="73"/>
  <c r="I42" i="72"/>
  <c r="O42" i="72"/>
  <c r="L42" i="72"/>
  <c r="I25" i="80"/>
  <c r="L25" i="80"/>
  <c r="O25" i="80"/>
  <c r="O30" i="71"/>
  <c r="L30" i="71"/>
  <c r="L30" i="80"/>
  <c r="O30" i="80"/>
  <c r="I30" i="80"/>
  <c r="O30" i="86"/>
  <c r="L30" i="86"/>
  <c r="O41" i="90"/>
  <c r="L41" i="90"/>
  <c r="I41" i="90"/>
  <c r="L40" i="80"/>
  <c r="O40" i="80"/>
  <c r="I40" i="80"/>
  <c r="O26" i="90"/>
  <c r="I26" i="90"/>
  <c r="L26" i="90"/>
  <c r="I32" i="77"/>
  <c r="O32" i="77"/>
  <c r="L32" i="77"/>
  <c r="L32" i="86"/>
  <c r="I32" i="86"/>
  <c r="O32" i="86"/>
  <c r="L37" i="84"/>
  <c r="I37" i="84"/>
  <c r="O37" i="84"/>
  <c r="L33" i="72"/>
  <c r="I33" i="72"/>
  <c r="O33" i="72"/>
  <c r="L33" i="73"/>
  <c r="I33" i="73"/>
  <c r="O33" i="73"/>
  <c r="O33" i="90"/>
  <c r="L33" i="90"/>
  <c r="I33" i="90"/>
  <c r="I33" i="89"/>
  <c r="O33" i="89"/>
  <c r="L33" i="89"/>
  <c r="I33" i="84"/>
  <c r="O33" i="84"/>
  <c r="L33" i="84"/>
  <c r="I42" i="82"/>
  <c r="O42" i="82"/>
  <c r="L42" i="82"/>
  <c r="O39" i="86"/>
  <c r="I39" i="86"/>
  <c r="L39" i="86"/>
  <c r="I40" i="91"/>
  <c r="L40" i="91"/>
  <c r="O40" i="91"/>
  <c r="I39" i="91"/>
  <c r="L39" i="91"/>
  <c r="O39" i="91"/>
  <c r="L36" i="79"/>
  <c r="I36" i="79"/>
  <c r="O36" i="79"/>
  <c r="I38" i="79"/>
  <c r="O38" i="79"/>
  <c r="L38" i="79"/>
  <c r="L38" i="77"/>
  <c r="O38" i="77"/>
  <c r="I38" i="77"/>
  <c r="O36" i="77"/>
  <c r="L36" i="77"/>
  <c r="I36" i="77"/>
  <c r="I36" i="71"/>
  <c r="L36" i="71"/>
  <c r="O36" i="71"/>
  <c r="I25" i="83"/>
  <c r="L25" i="83"/>
  <c r="O25" i="83"/>
  <c r="L26" i="78"/>
  <c r="O26" i="78"/>
  <c r="I26" i="78"/>
  <c r="I26" i="71"/>
  <c r="L26" i="71"/>
  <c r="O26" i="71"/>
  <c r="O36" i="87"/>
  <c r="I36" i="87"/>
  <c r="L36" i="87"/>
  <c r="I40" i="87"/>
  <c r="O40" i="87"/>
  <c r="L40" i="87"/>
  <c r="L37" i="83"/>
  <c r="O37" i="83"/>
  <c r="I37" i="83"/>
  <c r="I39" i="83"/>
  <c r="O39" i="83"/>
  <c r="L39" i="83"/>
  <c r="I39" i="74"/>
  <c r="L39" i="74"/>
  <c r="O39" i="74"/>
  <c r="I41" i="74"/>
  <c r="L41" i="74"/>
  <c r="O41" i="74"/>
  <c r="I25" i="74"/>
  <c r="L25" i="74"/>
  <c r="O25" i="74"/>
  <c r="I31" i="79"/>
  <c r="L31" i="79"/>
  <c r="O31" i="79"/>
  <c r="L31" i="74"/>
  <c r="O31" i="74"/>
  <c r="I31" i="74"/>
  <c r="O31" i="90"/>
  <c r="I31" i="90"/>
  <c r="L31" i="90"/>
  <c r="I31" i="86"/>
  <c r="L31" i="86"/>
  <c r="O31" i="86"/>
  <c r="L40" i="76"/>
  <c r="O40" i="76"/>
  <c r="I40" i="76"/>
  <c r="O37" i="76"/>
  <c r="I37" i="76"/>
  <c r="L37" i="76"/>
  <c r="O41" i="75"/>
  <c r="L41" i="75"/>
  <c r="I41" i="75"/>
  <c r="I42" i="81"/>
  <c r="O42" i="81"/>
  <c r="L42" i="81"/>
  <c r="L38" i="81"/>
  <c r="I38" i="81"/>
  <c r="O38" i="81"/>
  <c r="I30" i="102"/>
  <c r="L33" i="102"/>
  <c r="O32" i="104"/>
  <c r="L32" i="103"/>
  <c r="I32" i="104"/>
  <c r="P72" i="106"/>
  <c r="O41" i="85"/>
  <c r="I41" i="85"/>
  <c r="L41" i="85"/>
  <c r="I39" i="85"/>
  <c r="O39" i="85"/>
  <c r="L39" i="85"/>
  <c r="O40" i="89"/>
  <c r="I40" i="89"/>
  <c r="L40" i="89"/>
  <c r="I41" i="78"/>
  <c r="O41" i="78"/>
  <c r="L41" i="78"/>
  <c r="I39" i="78"/>
  <c r="L39" i="78"/>
  <c r="O39" i="78"/>
  <c r="I40" i="73"/>
  <c r="O40" i="73"/>
  <c r="L40" i="73"/>
  <c r="L38" i="73"/>
  <c r="O38" i="73"/>
  <c r="I38" i="73"/>
  <c r="L39" i="72"/>
  <c r="O39" i="72"/>
  <c r="I39" i="72"/>
  <c r="I40" i="72"/>
  <c r="O40" i="72"/>
  <c r="L40" i="72"/>
  <c r="I25" i="87"/>
  <c r="L25" i="87"/>
  <c r="O25" i="87"/>
  <c r="L26" i="80"/>
  <c r="O26" i="80"/>
  <c r="I26" i="80"/>
  <c r="I25" i="72"/>
  <c r="L25" i="72"/>
  <c r="O25" i="72"/>
  <c r="O30" i="73"/>
  <c r="L30" i="73"/>
  <c r="I30" i="73"/>
  <c r="L30" i="75"/>
  <c r="O30" i="75"/>
  <c r="I30" i="75"/>
  <c r="L30" i="76"/>
  <c r="O30" i="76"/>
  <c r="I30" i="76"/>
  <c r="L30" i="83"/>
  <c r="I30" i="83"/>
  <c r="O30" i="83"/>
  <c r="L30" i="85"/>
  <c r="O30" i="85"/>
  <c r="O36" i="90"/>
  <c r="I36" i="90"/>
  <c r="L36" i="90"/>
  <c r="O42" i="90"/>
  <c r="L42" i="90"/>
  <c r="I42" i="90"/>
  <c r="I42" i="80"/>
  <c r="L42" i="80"/>
  <c r="O42" i="80"/>
  <c r="L38" i="80"/>
  <c r="O38" i="80"/>
  <c r="I38" i="80"/>
  <c r="O25" i="90"/>
  <c r="I25" i="90"/>
  <c r="L25" i="90"/>
  <c r="I32" i="72"/>
  <c r="O32" i="72"/>
  <c r="L32" i="72"/>
  <c r="L32" i="79"/>
  <c r="O32" i="79"/>
  <c r="I32" i="79"/>
  <c r="L32" i="80"/>
  <c r="O32" i="80"/>
  <c r="I32" i="80"/>
  <c r="O32" i="90"/>
  <c r="I32" i="90"/>
  <c r="L32" i="90"/>
  <c r="L32" i="85"/>
  <c r="O32" i="85"/>
  <c r="I32" i="85"/>
  <c r="I32" i="83"/>
  <c r="O32" i="83"/>
  <c r="L32" i="83"/>
  <c r="O38" i="84"/>
  <c r="L38" i="84"/>
  <c r="I38" i="84"/>
  <c r="O41" i="84"/>
  <c r="L41" i="84"/>
  <c r="I41" i="84"/>
  <c r="O33" i="74"/>
  <c r="I33" i="74"/>
  <c r="L33" i="74"/>
  <c r="I33" i="79"/>
  <c r="O33" i="79"/>
  <c r="L33" i="79"/>
  <c r="I33" i="91"/>
  <c r="L33" i="91"/>
  <c r="O33" i="91"/>
  <c r="O33" i="83"/>
  <c r="L33" i="83"/>
  <c r="I33" i="83"/>
  <c r="I38" i="82"/>
  <c r="L38" i="82"/>
  <c r="O38" i="82"/>
  <c r="O38" i="86"/>
  <c r="L38" i="86"/>
  <c r="I38" i="86"/>
  <c r="I41" i="86"/>
  <c r="O41" i="86"/>
  <c r="L41" i="86"/>
  <c r="O41" i="91"/>
  <c r="L41" i="91"/>
  <c r="I41" i="91"/>
  <c r="O37" i="91"/>
  <c r="L37" i="91"/>
  <c r="I37" i="91"/>
  <c r="O37" i="79"/>
  <c r="L37" i="79"/>
  <c r="I37" i="79"/>
  <c r="L39" i="79"/>
  <c r="O39" i="79"/>
  <c r="I39" i="79"/>
  <c r="O41" i="77"/>
  <c r="I41" i="77"/>
  <c r="L41" i="77"/>
  <c r="O39" i="71"/>
  <c r="I39" i="71"/>
  <c r="L39" i="71"/>
  <c r="I38" i="71"/>
  <c r="L38" i="71"/>
  <c r="O38" i="71"/>
  <c r="I26" i="83"/>
  <c r="L26" i="83"/>
  <c r="O26" i="83"/>
  <c r="I25" i="78"/>
  <c r="L25" i="78"/>
  <c r="O25" i="78"/>
  <c r="I25" i="71"/>
  <c r="O25" i="71"/>
  <c r="L25" i="71"/>
  <c r="I38" i="87"/>
  <c r="L38" i="87"/>
  <c r="O38" i="87"/>
  <c r="I37" i="87"/>
  <c r="O37" i="87"/>
  <c r="L37" i="87"/>
  <c r="O38" i="83"/>
  <c r="I38" i="83"/>
  <c r="L38" i="83"/>
  <c r="I42" i="83"/>
  <c r="O42" i="83"/>
  <c r="L42" i="83"/>
  <c r="O36" i="74"/>
  <c r="L36" i="74"/>
  <c r="I36" i="74"/>
  <c r="O26" i="84"/>
  <c r="L26" i="84"/>
  <c r="I26" i="84"/>
  <c r="I25" i="73"/>
  <c r="O25" i="73"/>
  <c r="L25" i="73"/>
  <c r="I31" i="72"/>
  <c r="L31" i="72"/>
  <c r="O31" i="72"/>
  <c r="I31" i="75"/>
  <c r="O31" i="75"/>
  <c r="L31" i="75"/>
  <c r="L31" i="78"/>
  <c r="O31" i="78"/>
  <c r="I31" i="78"/>
  <c r="I31" i="82"/>
  <c r="O31" i="82"/>
  <c r="L31" i="82"/>
  <c r="L31" i="91"/>
  <c r="I31" i="91"/>
  <c r="O31" i="91"/>
  <c r="L31" i="85"/>
  <c r="I31" i="85"/>
  <c r="O31" i="85"/>
  <c r="L39" i="76"/>
  <c r="O39" i="76"/>
  <c r="I39" i="76"/>
  <c r="O37" i="75"/>
  <c r="L37" i="75"/>
  <c r="I37" i="75"/>
  <c r="O40" i="75"/>
  <c r="L40" i="75"/>
  <c r="I40" i="75"/>
  <c r="I39" i="81"/>
  <c r="O39" i="81"/>
  <c r="L39" i="81"/>
  <c r="L37" i="81"/>
  <c r="O37" i="81"/>
  <c r="I37" i="81"/>
  <c r="O25" i="86"/>
  <c r="I25" i="86"/>
  <c r="L25" i="86"/>
  <c r="O25" i="79"/>
  <c r="L25" i="79"/>
  <c r="I25" i="79"/>
  <c r="O37" i="85"/>
  <c r="L37" i="85"/>
  <c r="I37" i="85"/>
  <c r="I41" i="89"/>
  <c r="O41" i="89"/>
  <c r="L41" i="89"/>
  <c r="I42" i="78"/>
  <c r="O42" i="78"/>
  <c r="L42" i="78"/>
  <c r="O38" i="72"/>
  <c r="L38" i="72"/>
  <c r="I38" i="72"/>
  <c r="I25" i="89"/>
  <c r="O25" i="89"/>
  <c r="L25" i="89"/>
  <c r="I26" i="77"/>
  <c r="L26" i="77"/>
  <c r="O26" i="77"/>
  <c r="L30" i="78"/>
  <c r="O30" i="78"/>
  <c r="I30" i="78"/>
  <c r="L30" i="89"/>
  <c r="O30" i="89"/>
  <c r="I30" i="89"/>
  <c r="L40" i="90"/>
  <c r="I40" i="90"/>
  <c r="O40" i="90"/>
  <c r="I36" i="80"/>
  <c r="L36" i="80"/>
  <c r="O36" i="80"/>
  <c r="O25" i="75"/>
  <c r="I25" i="75"/>
  <c r="L25" i="75"/>
  <c r="O32" i="81"/>
  <c r="L32" i="81"/>
  <c r="I32" i="81"/>
  <c r="L32" i="87"/>
  <c r="O32" i="87"/>
  <c r="I32" i="87"/>
  <c r="I42" i="84"/>
  <c r="O42" i="84"/>
  <c r="L42" i="84"/>
  <c r="L26" i="76"/>
  <c r="O26" i="76"/>
  <c r="I26" i="76"/>
  <c r="L33" i="82"/>
  <c r="I33" i="82"/>
  <c r="O33" i="82"/>
  <c r="I33" i="85"/>
  <c r="O33" i="85"/>
  <c r="L33" i="85"/>
  <c r="O36" i="86"/>
  <c r="L36" i="86"/>
  <c r="I36" i="86"/>
  <c r="O38" i="91"/>
  <c r="I38" i="91"/>
  <c r="L38" i="91"/>
  <c r="I40" i="79"/>
  <c r="O40" i="79"/>
  <c r="L40" i="79"/>
  <c r="O40" i="77"/>
  <c r="I40" i="77"/>
  <c r="L40" i="77"/>
  <c r="I41" i="71"/>
  <c r="L41" i="71"/>
  <c r="O41" i="71"/>
  <c r="I26" i="81"/>
  <c r="O26" i="81"/>
  <c r="L26" i="81"/>
  <c r="I41" i="87"/>
  <c r="L41" i="87"/>
  <c r="O41" i="87"/>
  <c r="L40" i="83"/>
  <c r="O40" i="83"/>
  <c r="I40" i="83"/>
  <c r="O40" i="74"/>
  <c r="I40" i="74"/>
  <c r="L40" i="74"/>
  <c r="I31" i="76"/>
  <c r="L31" i="76"/>
  <c r="O31" i="76"/>
  <c r="O31" i="83"/>
  <c r="I31" i="83"/>
  <c r="L31" i="83"/>
  <c r="L38" i="76"/>
  <c r="O38" i="76"/>
  <c r="I38" i="76"/>
  <c r="O42" i="75"/>
  <c r="I42" i="75"/>
  <c r="L42" i="75"/>
  <c r="I33" i="105"/>
  <c r="L29" i="101"/>
  <c r="O42" i="85"/>
  <c r="I42" i="85"/>
  <c r="L42" i="85"/>
  <c r="L37" i="89"/>
  <c r="O37" i="89"/>
  <c r="I37" i="89"/>
  <c r="I42" i="73"/>
  <c r="L42" i="73"/>
  <c r="O42" i="73"/>
  <c r="L41" i="72"/>
  <c r="O41" i="72"/>
  <c r="I41" i="72"/>
  <c r="I26" i="87"/>
  <c r="O26" i="87"/>
  <c r="L26" i="87"/>
  <c r="I26" i="72"/>
  <c r="L26" i="72"/>
  <c r="O26" i="72"/>
  <c r="L30" i="79"/>
  <c r="O30" i="79"/>
  <c r="I30" i="79"/>
  <c r="O30" i="90"/>
  <c r="I30" i="90"/>
  <c r="L30" i="90"/>
  <c r="I37" i="90"/>
  <c r="O37" i="90"/>
  <c r="L37" i="90"/>
  <c r="I39" i="80"/>
  <c r="O39" i="80"/>
  <c r="L39" i="80"/>
  <c r="L32" i="78"/>
  <c r="I32" i="78"/>
  <c r="O32" i="78"/>
  <c r="I32" i="89"/>
  <c r="L32" i="89"/>
  <c r="O32" i="89"/>
  <c r="O36" i="84"/>
  <c r="L36" i="84"/>
  <c r="I36" i="84"/>
  <c r="I33" i="77"/>
  <c r="O33" i="77"/>
  <c r="L33" i="77"/>
  <c r="L39" i="82"/>
  <c r="I39" i="82"/>
  <c r="O39" i="82"/>
  <c r="I25" i="91"/>
  <c r="L25" i="91"/>
  <c r="O25" i="91"/>
  <c r="I28" i="101"/>
  <c r="O32" i="103"/>
  <c r="I36" i="85"/>
  <c r="O36" i="85"/>
  <c r="L36" i="85"/>
  <c r="I38" i="89"/>
  <c r="L38" i="89"/>
  <c r="O38" i="89"/>
  <c r="I39" i="89"/>
  <c r="L39" i="89"/>
  <c r="O39" i="89"/>
  <c r="L40" i="78"/>
  <c r="O40" i="78"/>
  <c r="I40" i="78"/>
  <c r="L36" i="78"/>
  <c r="I36" i="78"/>
  <c r="O36" i="78"/>
  <c r="L36" i="73"/>
  <c r="O36" i="73"/>
  <c r="I36" i="73"/>
  <c r="I39" i="73"/>
  <c r="O39" i="73"/>
  <c r="L39" i="73"/>
  <c r="O36" i="72"/>
  <c r="L36" i="72"/>
  <c r="I36" i="72"/>
  <c r="I26" i="89"/>
  <c r="O26" i="89"/>
  <c r="L26" i="89"/>
  <c r="O26" i="82"/>
  <c r="I26" i="82"/>
  <c r="L26" i="82"/>
  <c r="L25" i="77"/>
  <c r="O25" i="77"/>
  <c r="I25" i="77"/>
  <c r="O30" i="81"/>
  <c r="L30" i="81"/>
  <c r="I30" i="81"/>
  <c r="O30" i="74"/>
  <c r="L30" i="74"/>
  <c r="I30" i="74"/>
  <c r="L30" i="84"/>
  <c r="O30" i="84"/>
  <c r="I30" i="84"/>
  <c r="L30" i="91"/>
  <c r="O30" i="91"/>
  <c r="I30" i="91"/>
  <c r="O38" i="90"/>
  <c r="L38" i="90"/>
  <c r="I38" i="90"/>
  <c r="L39" i="90"/>
  <c r="O39" i="90"/>
  <c r="I39" i="90"/>
  <c r="O41" i="80"/>
  <c r="L41" i="80"/>
  <c r="I41" i="80"/>
  <c r="L25" i="85"/>
  <c r="O25" i="85"/>
  <c r="I25" i="85"/>
  <c r="I26" i="75"/>
  <c r="O26" i="75"/>
  <c r="L26" i="75"/>
  <c r="I32" i="73"/>
  <c r="L32" i="73"/>
  <c r="O32" i="73"/>
  <c r="I32" i="75"/>
  <c r="L32" i="75"/>
  <c r="O32" i="75"/>
  <c r="L32" i="76"/>
  <c r="I32" i="76"/>
  <c r="O32" i="76"/>
  <c r="I32" i="84"/>
  <c r="O32" i="84"/>
  <c r="L32" i="84"/>
  <c r="L40" i="84"/>
  <c r="O40" i="84"/>
  <c r="I40" i="84"/>
  <c r="I25" i="76"/>
  <c r="O25" i="76"/>
  <c r="L25" i="76"/>
  <c r="O33" i="80"/>
  <c r="I33" i="80"/>
  <c r="L33" i="80"/>
  <c r="L33" i="78"/>
  <c r="O33" i="78"/>
  <c r="I33" i="78"/>
  <c r="O33" i="75"/>
  <c r="I33" i="75"/>
  <c r="L33" i="75"/>
  <c r="O33" i="87"/>
  <c r="L33" i="87"/>
  <c r="I33" i="87"/>
  <c r="O40" i="82"/>
  <c r="L40" i="82"/>
  <c r="I40" i="82"/>
  <c r="L36" i="82"/>
  <c r="I36" i="82"/>
  <c r="O36" i="82"/>
  <c r="O40" i="86"/>
  <c r="I40" i="86"/>
  <c r="L40" i="86"/>
  <c r="L37" i="86"/>
  <c r="O37" i="86"/>
  <c r="I37" i="86"/>
  <c r="I36" i="91"/>
  <c r="O36" i="91"/>
  <c r="L36" i="91"/>
  <c r="I42" i="91"/>
  <c r="O42" i="91"/>
  <c r="L42" i="91"/>
  <c r="O41" i="79"/>
  <c r="L41" i="79"/>
  <c r="I41" i="79"/>
  <c r="L39" i="77"/>
  <c r="I39" i="77"/>
  <c r="O39" i="77"/>
  <c r="L42" i="77"/>
  <c r="O42" i="77"/>
  <c r="I42" i="77"/>
  <c r="I40" i="71"/>
  <c r="O40" i="71"/>
  <c r="L40" i="71"/>
  <c r="O37" i="71"/>
  <c r="L37" i="71"/>
  <c r="I37" i="71"/>
  <c r="I25" i="81"/>
  <c r="O25" i="81"/>
  <c r="L25" i="81"/>
  <c r="L39" i="87"/>
  <c r="O39" i="87"/>
  <c r="I39" i="87"/>
  <c r="L42" i="87"/>
  <c r="I42" i="87"/>
  <c r="O42" i="87"/>
  <c r="O41" i="83"/>
  <c r="L41" i="83"/>
  <c r="I41" i="83"/>
  <c r="O38" i="74"/>
  <c r="L38" i="74"/>
  <c r="I38" i="74"/>
  <c r="I37" i="74"/>
  <c r="O37" i="74"/>
  <c r="L37" i="74"/>
  <c r="O25" i="84"/>
  <c r="I25" i="84"/>
  <c r="L25" i="84"/>
  <c r="I26" i="73"/>
  <c r="L26" i="73"/>
  <c r="O26" i="73"/>
  <c r="L31" i="80"/>
  <c r="I31" i="80"/>
  <c r="O31" i="80"/>
  <c r="I31" i="81"/>
  <c r="O31" i="81"/>
  <c r="L31" i="81"/>
  <c r="I31" i="89"/>
  <c r="O31" i="89"/>
  <c r="L31" i="89"/>
  <c r="O31" i="84"/>
  <c r="I31" i="84"/>
  <c r="L31" i="84"/>
  <c r="L41" i="76"/>
  <c r="O41" i="76"/>
  <c r="I41" i="76"/>
  <c r="I36" i="76"/>
  <c r="O36" i="76"/>
  <c r="L36" i="76"/>
  <c r="O39" i="75"/>
  <c r="L39" i="75"/>
  <c r="I39" i="75"/>
  <c r="I36" i="75"/>
  <c r="O36" i="75"/>
  <c r="L36" i="75"/>
  <c r="I41" i="81"/>
  <c r="L41" i="81"/>
  <c r="O41" i="81"/>
  <c r="I36" i="81"/>
  <c r="O36" i="81"/>
  <c r="L36" i="81"/>
  <c r="O26" i="86"/>
  <c r="L26" i="86"/>
  <c r="I26" i="86"/>
  <c r="I26" i="79"/>
  <c r="L26" i="79"/>
  <c r="O26" i="79"/>
  <c r="DX11" i="21"/>
  <c r="M72" i="104"/>
  <c r="I11" i="58"/>
  <c r="EJ11" i="21"/>
  <c r="G12" i="58"/>
  <c r="EZ48" i="21"/>
  <c r="EZ11" i="21"/>
  <c r="FE19" i="21"/>
  <c r="Q17" i="20"/>
  <c r="J72" i="102"/>
  <c r="P72" i="102"/>
  <c r="J71" i="101"/>
  <c r="DG19" i="21"/>
  <c r="K17" i="20"/>
  <c r="O17" i="20"/>
  <c r="FM37" i="21"/>
  <c r="FM55" i="21" s="1"/>
  <c r="FM56" i="21" s="1"/>
  <c r="FM23" i="21"/>
  <c r="DS51" i="21"/>
  <c r="DS52" i="21" s="1"/>
  <c r="FG29" i="21"/>
  <c r="FC29" i="21"/>
  <c r="EX29" i="21"/>
  <c r="ET29" i="21"/>
  <c r="EO29" i="21"/>
  <c r="EK29" i="21"/>
  <c r="EG29" i="21"/>
  <c r="EB29" i="21"/>
  <c r="DX29" i="21"/>
  <c r="DS29" i="21"/>
  <c r="DN29" i="21"/>
  <c r="DJ29" i="21"/>
  <c r="DE29" i="21"/>
  <c r="DA29" i="21"/>
  <c r="FM29" i="21"/>
  <c r="FE29" i="21"/>
  <c r="FJ29" i="21"/>
  <c r="FF29" i="21"/>
  <c r="FA29" i="21"/>
  <c r="EW29" i="21"/>
  <c r="ES29" i="21"/>
  <c r="EJ29" i="21"/>
  <c r="EA29" i="21"/>
  <c r="DW29" i="21"/>
  <c r="DM29" i="21"/>
  <c r="DI29" i="21"/>
  <c r="DD29" i="21"/>
  <c r="CZ29" i="21"/>
  <c r="FI29" i="21"/>
  <c r="EZ29" i="21"/>
  <c r="EY29" i="21"/>
  <c r="EP29" i="21"/>
  <c r="EH29" i="21"/>
  <c r="DY29" i="21"/>
  <c r="DO29" i="21"/>
  <c r="DF29" i="21"/>
  <c r="CX29" i="21"/>
  <c r="FL29" i="21"/>
  <c r="EV29" i="21"/>
  <c r="EM29" i="21"/>
  <c r="ED29" i="21"/>
  <c r="DV29" i="21"/>
  <c r="DL29" i="21"/>
  <c r="DC29" i="21"/>
  <c r="FH29" i="21"/>
  <c r="EU29" i="21"/>
  <c r="EL29" i="21"/>
  <c r="EC29" i="21"/>
  <c r="DU29" i="21"/>
  <c r="DK29" i="21"/>
  <c r="DB29" i="21"/>
  <c r="FD29" i="21"/>
  <c r="ER29" i="21"/>
  <c r="EI29" i="21"/>
  <c r="DZ29" i="21"/>
  <c r="DG29" i="21"/>
  <c r="CY29" i="21"/>
  <c r="DP29" i="21"/>
  <c r="M28" i="63"/>
  <c r="U17" i="20"/>
  <c r="N70" i="78"/>
  <c r="P69" i="78" s="1"/>
  <c r="L28" i="101"/>
  <c r="L30" i="101"/>
  <c r="O30" i="101"/>
  <c r="P25" i="101" s="1"/>
  <c r="I30" i="101"/>
  <c r="P71" i="101"/>
  <c r="I26" i="104"/>
  <c r="O26" i="104"/>
  <c r="L26" i="104"/>
  <c r="L38" i="106"/>
  <c r="I38" i="106"/>
  <c r="O38" i="106"/>
  <c r="I67" i="102"/>
  <c r="O67" i="102"/>
  <c r="L67" i="102"/>
  <c r="I38" i="101"/>
  <c r="L38" i="101"/>
  <c r="O38" i="101"/>
  <c r="L40" i="104"/>
  <c r="I40" i="104"/>
  <c r="O40" i="104"/>
  <c r="L39" i="70"/>
  <c r="O39" i="70"/>
  <c r="I39" i="70"/>
  <c r="O65" i="106"/>
  <c r="L65" i="106"/>
  <c r="I65" i="106"/>
  <c r="L41" i="103"/>
  <c r="O41" i="103"/>
  <c r="I41" i="103"/>
  <c r="L42" i="103"/>
  <c r="O42" i="103"/>
  <c r="I42" i="103"/>
  <c r="I39" i="105"/>
  <c r="O39" i="105"/>
  <c r="L39" i="105"/>
  <c r="L25" i="102"/>
  <c r="O25" i="102"/>
  <c r="I25" i="102"/>
  <c r="O42" i="102"/>
  <c r="I42" i="102"/>
  <c r="L42" i="102"/>
  <c r="O39" i="106"/>
  <c r="I39" i="106"/>
  <c r="L39" i="106"/>
  <c r="O40" i="101"/>
  <c r="I40" i="101"/>
  <c r="L40" i="101"/>
  <c r="I41" i="101"/>
  <c r="L41" i="101"/>
  <c r="O41" i="101"/>
  <c r="I25" i="103"/>
  <c r="L25" i="103"/>
  <c r="O25" i="103"/>
  <c r="O40" i="70"/>
  <c r="L40" i="70"/>
  <c r="I40" i="70"/>
  <c r="I36" i="103"/>
  <c r="L36" i="103"/>
  <c r="O36" i="103"/>
  <c r="L37" i="105"/>
  <c r="O37" i="105"/>
  <c r="I37" i="105"/>
  <c r="O26" i="70"/>
  <c r="L26" i="70"/>
  <c r="I26" i="70"/>
  <c r="O40" i="102"/>
  <c r="I40" i="102"/>
  <c r="L40" i="102"/>
  <c r="I38" i="102"/>
  <c r="O38" i="102"/>
  <c r="L38" i="102"/>
  <c r="I36" i="106"/>
  <c r="L36" i="106"/>
  <c r="O36" i="106"/>
  <c r="M72" i="105"/>
  <c r="L26" i="106"/>
  <c r="O26" i="106"/>
  <c r="I26" i="106"/>
  <c r="L67" i="104"/>
  <c r="O67" i="104"/>
  <c r="I67" i="104"/>
  <c r="I39" i="101"/>
  <c r="L39" i="101"/>
  <c r="O39" i="101"/>
  <c r="L37" i="101"/>
  <c r="O37" i="101"/>
  <c r="I37" i="101"/>
  <c r="O38" i="104"/>
  <c r="I38" i="104"/>
  <c r="L38" i="104"/>
  <c r="O41" i="104"/>
  <c r="L41" i="104"/>
  <c r="I41" i="104"/>
  <c r="J72" i="104"/>
  <c r="I26" i="103"/>
  <c r="O26" i="103"/>
  <c r="L26" i="103"/>
  <c r="L25" i="105"/>
  <c r="O25" i="105"/>
  <c r="I25" i="105"/>
  <c r="M72" i="102"/>
  <c r="J72" i="103"/>
  <c r="O24" i="101"/>
  <c r="I24" i="101"/>
  <c r="L24" i="101"/>
  <c r="O37" i="70"/>
  <c r="I37" i="70"/>
  <c r="L37" i="70"/>
  <c r="L38" i="70"/>
  <c r="I38" i="70"/>
  <c r="O38" i="70"/>
  <c r="L38" i="103"/>
  <c r="I38" i="103"/>
  <c r="O38" i="103"/>
  <c r="I39" i="103"/>
  <c r="O39" i="103"/>
  <c r="L39" i="103"/>
  <c r="L67" i="105"/>
  <c r="O67" i="105"/>
  <c r="I67" i="105"/>
  <c r="O40" i="105"/>
  <c r="I40" i="105"/>
  <c r="L40" i="105"/>
  <c r="I41" i="105"/>
  <c r="O41" i="105"/>
  <c r="L41" i="105"/>
  <c r="I65" i="103"/>
  <c r="L65" i="103"/>
  <c r="O65" i="103"/>
  <c r="I26" i="102"/>
  <c r="O26" i="102"/>
  <c r="L26" i="102"/>
  <c r="O37" i="102"/>
  <c r="L37" i="102"/>
  <c r="I37" i="102"/>
  <c r="I37" i="106"/>
  <c r="O37" i="106"/>
  <c r="L37" i="106"/>
  <c r="P72" i="105"/>
  <c r="O34" i="101"/>
  <c r="L34" i="101"/>
  <c r="I34" i="101"/>
  <c r="O66" i="101"/>
  <c r="L66" i="101"/>
  <c r="I66" i="101"/>
  <c r="I42" i="104"/>
  <c r="O42" i="104"/>
  <c r="L42" i="104"/>
  <c r="L42" i="70"/>
  <c r="O42" i="70"/>
  <c r="I42" i="70"/>
  <c r="L65" i="105"/>
  <c r="O65" i="105"/>
  <c r="I65" i="105"/>
  <c r="L25" i="104"/>
  <c r="I25" i="104"/>
  <c r="O25" i="104"/>
  <c r="I41" i="102"/>
  <c r="O41" i="102"/>
  <c r="L41" i="102"/>
  <c r="I40" i="106"/>
  <c r="O40" i="106"/>
  <c r="L40" i="106"/>
  <c r="L65" i="102"/>
  <c r="I65" i="102"/>
  <c r="O65" i="102"/>
  <c r="I37" i="104"/>
  <c r="L37" i="104"/>
  <c r="O37" i="104"/>
  <c r="L26" i="105"/>
  <c r="I26" i="105"/>
  <c r="O26" i="105"/>
  <c r="M72" i="103"/>
  <c r="L23" i="101"/>
  <c r="I23" i="101"/>
  <c r="O23" i="101"/>
  <c r="I41" i="70"/>
  <c r="L41" i="70"/>
  <c r="O41" i="70"/>
  <c r="I36" i="105"/>
  <c r="L36" i="105"/>
  <c r="O36" i="105"/>
  <c r="I25" i="70"/>
  <c r="O25" i="70"/>
  <c r="L25" i="70"/>
  <c r="O36" i="102"/>
  <c r="I36" i="102"/>
  <c r="L36" i="102"/>
  <c r="O39" i="102"/>
  <c r="I39" i="102"/>
  <c r="L39" i="102"/>
  <c r="L41" i="106"/>
  <c r="I41" i="106"/>
  <c r="O41" i="106"/>
  <c r="O42" i="106"/>
  <c r="L42" i="106"/>
  <c r="I42" i="106"/>
  <c r="J72" i="105"/>
  <c r="M19" i="90"/>
  <c r="I25" i="106"/>
  <c r="O25" i="106"/>
  <c r="L25" i="106"/>
  <c r="I65" i="104"/>
  <c r="O65" i="104"/>
  <c r="L65" i="104"/>
  <c r="O35" i="101"/>
  <c r="I35" i="101"/>
  <c r="L35" i="101"/>
  <c r="O36" i="101"/>
  <c r="I36" i="101"/>
  <c r="L36" i="101"/>
  <c r="L64" i="101"/>
  <c r="O64" i="101"/>
  <c r="I64" i="101"/>
  <c r="L36" i="104"/>
  <c r="O36" i="104"/>
  <c r="I36" i="104"/>
  <c r="I39" i="104"/>
  <c r="L39" i="104"/>
  <c r="O39" i="104"/>
  <c r="P72" i="103"/>
  <c r="M71" i="101"/>
  <c r="M19" i="85"/>
  <c r="I36" i="70"/>
  <c r="O36" i="70"/>
  <c r="L36" i="70"/>
  <c r="L67" i="106"/>
  <c r="I67" i="106"/>
  <c r="O67" i="106"/>
  <c r="I40" i="103"/>
  <c r="O40" i="103"/>
  <c r="L40" i="103"/>
  <c r="L37" i="103"/>
  <c r="I37" i="103"/>
  <c r="O37" i="103"/>
  <c r="O42" i="105"/>
  <c r="I42" i="105"/>
  <c r="L42" i="105"/>
  <c r="L38" i="105"/>
  <c r="O38" i="105"/>
  <c r="I38" i="105"/>
  <c r="L67" i="103"/>
  <c r="I67" i="103"/>
  <c r="O67" i="103"/>
  <c r="T10" i="106"/>
  <c r="T10" i="104"/>
  <c r="T10" i="105"/>
  <c r="R10" i="103"/>
  <c r="S10" i="102"/>
  <c r="T10" i="89"/>
  <c r="FM9" i="21" s="1"/>
  <c r="FM11" i="21" s="1"/>
  <c r="R10" i="70"/>
  <c r="CX9" i="21" s="1"/>
  <c r="CX11" i="21" s="1"/>
  <c r="P7" i="78"/>
  <c r="R10" i="90"/>
  <c r="DR9" i="21" s="1"/>
  <c r="DR11" i="21" s="1"/>
  <c r="S10" i="77"/>
  <c r="EB9" i="21" s="1"/>
  <c r="R10" i="74"/>
  <c r="DB9" i="21" s="1"/>
  <c r="DB11" i="21" s="1"/>
  <c r="J7" i="74"/>
  <c r="S10" i="82"/>
  <c r="EH9" i="21" s="1"/>
  <c r="P23" i="109" l="1"/>
  <c r="FB12" i="21" s="1"/>
  <c r="M23" i="109"/>
  <c r="EE12" i="21" s="1"/>
  <c r="H16" i="57" s="1"/>
  <c r="J27" i="106"/>
  <c r="I12" i="58"/>
  <c r="K14" i="58"/>
  <c r="J14" i="58"/>
  <c r="I14" i="58"/>
  <c r="J12" i="58"/>
  <c r="K12" i="58"/>
  <c r="FL23" i="21"/>
  <c r="FL51" i="21" s="1"/>
  <c r="FL52" i="21" s="1"/>
  <c r="R10" i="89"/>
  <c r="DS9" i="21" s="1"/>
  <c r="DS11" i="21" s="1"/>
  <c r="EO23" i="21"/>
  <c r="EO51" i="21" s="1"/>
  <c r="EO52" i="21" s="1"/>
  <c r="E11" i="58"/>
  <c r="F10" i="57"/>
  <c r="E10" i="58"/>
  <c r="M27" i="105"/>
  <c r="J50" i="90"/>
  <c r="M50" i="90"/>
  <c r="P50" i="90"/>
  <c r="EG11" i="21"/>
  <c r="P12" i="57"/>
  <c r="F11" i="57"/>
  <c r="EH11" i="21"/>
  <c r="M12" i="57"/>
  <c r="E12" i="57"/>
  <c r="L12" i="57"/>
  <c r="F10" i="58"/>
  <c r="H10" i="57"/>
  <c r="R12" i="57"/>
  <c r="EI11" i="21"/>
  <c r="N12" i="57"/>
  <c r="G52" i="81"/>
  <c r="P52" i="81" s="1"/>
  <c r="P27" i="109"/>
  <c r="FB13" i="21" s="1"/>
  <c r="J27" i="109"/>
  <c r="DH13" i="21" s="1"/>
  <c r="G48" i="86"/>
  <c r="J48" i="86" s="1"/>
  <c r="DF11" i="21"/>
  <c r="H70" i="78"/>
  <c r="J69" i="78" s="1"/>
  <c r="DF19" i="21" s="1"/>
  <c r="J7" i="78"/>
  <c r="M7" i="78"/>
  <c r="I11" i="57"/>
  <c r="K70" i="78"/>
  <c r="M69" i="78" s="1"/>
  <c r="EC19" i="21" s="1"/>
  <c r="J23" i="85"/>
  <c r="DO12" i="21" s="1"/>
  <c r="J52" i="87"/>
  <c r="M52" i="87"/>
  <c r="P52" i="87"/>
  <c r="G48" i="85"/>
  <c r="G49" i="109"/>
  <c r="P49" i="109" s="1"/>
  <c r="G49" i="89"/>
  <c r="G57" i="82"/>
  <c r="G57" i="83"/>
  <c r="G57" i="79"/>
  <c r="G57" i="75"/>
  <c r="G57" i="78"/>
  <c r="G57" i="84"/>
  <c r="G57" i="109"/>
  <c r="G57" i="76"/>
  <c r="G57" i="80"/>
  <c r="G57" i="74"/>
  <c r="G57" i="81"/>
  <c r="G57" i="77"/>
  <c r="G54" i="109"/>
  <c r="G53" i="80"/>
  <c r="G55" i="85"/>
  <c r="G55" i="81"/>
  <c r="G54" i="84"/>
  <c r="G54" i="86"/>
  <c r="G53" i="77"/>
  <c r="G54" i="82"/>
  <c r="G52" i="74"/>
  <c r="G54" i="78"/>
  <c r="G53" i="76"/>
  <c r="G54" i="79"/>
  <c r="G53" i="75"/>
  <c r="G53" i="83"/>
  <c r="G46" i="87"/>
  <c r="P46" i="87" s="1"/>
  <c r="G48" i="87"/>
  <c r="P48" i="87" s="1"/>
  <c r="G50" i="87"/>
  <c r="J47" i="86"/>
  <c r="P47" i="86"/>
  <c r="M47" i="86"/>
  <c r="G50" i="109"/>
  <c r="P50" i="109" s="1"/>
  <c r="G50" i="83"/>
  <c r="G54" i="81"/>
  <c r="G48" i="109"/>
  <c r="M48" i="109" s="1"/>
  <c r="G51" i="109"/>
  <c r="P51" i="109" s="1"/>
  <c r="G51" i="72"/>
  <c r="G50" i="89"/>
  <c r="G52" i="109"/>
  <c r="G54" i="85"/>
  <c r="G50" i="72"/>
  <c r="G52" i="79"/>
  <c r="G51" i="84"/>
  <c r="G51" i="82"/>
  <c r="G52" i="78"/>
  <c r="G53" i="81"/>
  <c r="M53" i="87"/>
  <c r="J53" i="87"/>
  <c r="P53" i="87"/>
  <c r="G55" i="109"/>
  <c r="G55" i="82"/>
  <c r="G53" i="74"/>
  <c r="G54" i="76"/>
  <c r="G54" i="75"/>
  <c r="G54" i="83"/>
  <c r="G56" i="81"/>
  <c r="G55" i="79"/>
  <c r="G55" i="84"/>
  <c r="G55" i="86"/>
  <c r="G55" i="78"/>
  <c r="G55" i="77"/>
  <c r="G54" i="80"/>
  <c r="M47" i="82"/>
  <c r="P47" i="82"/>
  <c r="J47" i="82"/>
  <c r="G51" i="87"/>
  <c r="J51" i="87" s="1"/>
  <c r="P55" i="87"/>
  <c r="M55" i="87"/>
  <c r="J55" i="87"/>
  <c r="H14" i="58"/>
  <c r="J10" i="57"/>
  <c r="J23" i="75"/>
  <c r="DC12" i="21" s="1"/>
  <c r="FB11" i="21"/>
  <c r="P23" i="76"/>
  <c r="EX12" i="21" s="1"/>
  <c r="M23" i="82"/>
  <c r="EH12" i="21" s="1"/>
  <c r="M16" i="57" s="1"/>
  <c r="P23" i="84"/>
  <c r="FG12" i="21" s="1"/>
  <c r="J23" i="109"/>
  <c r="DH12" i="21" s="1"/>
  <c r="I10" i="57"/>
  <c r="DH11" i="21"/>
  <c r="DH48" i="21"/>
  <c r="EE48" i="21"/>
  <c r="EE11" i="21"/>
  <c r="J7" i="109"/>
  <c r="H70" i="109"/>
  <c r="J69" i="109" s="1"/>
  <c r="DH19" i="21" s="1"/>
  <c r="K70" i="109"/>
  <c r="M69" i="109" s="1"/>
  <c r="EE19" i="21" s="1"/>
  <c r="M7" i="109"/>
  <c r="G46" i="109"/>
  <c r="G47" i="109"/>
  <c r="J34" i="109"/>
  <c r="DH14" i="21" s="1"/>
  <c r="M34" i="109"/>
  <c r="EE14" i="21" s="1"/>
  <c r="H18" i="57" s="1"/>
  <c r="P34" i="109"/>
  <c r="FB14" i="21" s="1"/>
  <c r="N70" i="109"/>
  <c r="P69" i="109" s="1"/>
  <c r="FB19" i="21" s="1"/>
  <c r="P7" i="109"/>
  <c r="G51" i="83"/>
  <c r="M51" i="83" s="1"/>
  <c r="G52" i="82"/>
  <c r="P52" i="82" s="1"/>
  <c r="G52" i="84"/>
  <c r="P52" i="84" s="1"/>
  <c r="G53" i="85"/>
  <c r="M53" i="85" s="1"/>
  <c r="G52" i="86"/>
  <c r="G46" i="86"/>
  <c r="M46" i="86" s="1"/>
  <c r="G46" i="85"/>
  <c r="M46" i="85" s="1"/>
  <c r="G47" i="72"/>
  <c r="J47" i="72" s="1"/>
  <c r="G49" i="76"/>
  <c r="P49" i="76" s="1"/>
  <c r="G49" i="78"/>
  <c r="P49" i="78" s="1"/>
  <c r="G49" i="80"/>
  <c r="M49" i="80" s="1"/>
  <c r="G49" i="74"/>
  <c r="M49" i="74" s="1"/>
  <c r="G49" i="73"/>
  <c r="P49" i="73" s="1"/>
  <c r="G47" i="89"/>
  <c r="P47" i="89" s="1"/>
  <c r="G49" i="70"/>
  <c r="J49" i="70" s="1"/>
  <c r="G49" i="75"/>
  <c r="M49" i="75" s="1"/>
  <c r="G49" i="77"/>
  <c r="P49" i="77" s="1"/>
  <c r="G49" i="79"/>
  <c r="M49" i="79" s="1"/>
  <c r="G49" i="81"/>
  <c r="J49" i="81" s="1"/>
  <c r="G49" i="71"/>
  <c r="P49" i="71" s="1"/>
  <c r="G50" i="75"/>
  <c r="M50" i="75" s="1"/>
  <c r="G50" i="77"/>
  <c r="M50" i="77" s="1"/>
  <c r="G50" i="79"/>
  <c r="M50" i="79" s="1"/>
  <c r="G50" i="81"/>
  <c r="J50" i="81" s="1"/>
  <c r="G50" i="71"/>
  <c r="J50" i="71" s="1"/>
  <c r="G50" i="70"/>
  <c r="J50" i="70" s="1"/>
  <c r="G49" i="85"/>
  <c r="J49" i="85" s="1"/>
  <c r="G50" i="76"/>
  <c r="J50" i="76" s="1"/>
  <c r="G50" i="78"/>
  <c r="P50" i="78" s="1"/>
  <c r="G50" i="80"/>
  <c r="M50" i="80" s="1"/>
  <c r="G50" i="82"/>
  <c r="J50" i="82" s="1"/>
  <c r="G50" i="84"/>
  <c r="M50" i="84" s="1"/>
  <c r="G50" i="86"/>
  <c r="J50" i="86" s="1"/>
  <c r="G50" i="74"/>
  <c r="M50" i="74" s="1"/>
  <c r="G50" i="73"/>
  <c r="M50" i="73" s="1"/>
  <c r="G48" i="83"/>
  <c r="M48" i="83" s="1"/>
  <c r="G48" i="72"/>
  <c r="P48" i="72" s="1"/>
  <c r="G49" i="82"/>
  <c r="P49" i="82" s="1"/>
  <c r="G49" i="84"/>
  <c r="M49" i="84" s="1"/>
  <c r="G51" i="86"/>
  <c r="P51" i="86" s="1"/>
  <c r="G52" i="85"/>
  <c r="P52" i="85" s="1"/>
  <c r="G49" i="83"/>
  <c r="G49" i="86"/>
  <c r="P49" i="86" s="1"/>
  <c r="G47" i="83"/>
  <c r="J47" i="83" s="1"/>
  <c r="G48" i="82"/>
  <c r="P48" i="82" s="1"/>
  <c r="G48" i="84"/>
  <c r="J48" i="84" s="1"/>
  <c r="G49" i="87"/>
  <c r="J49" i="87" s="1"/>
  <c r="G47" i="84"/>
  <c r="J47" i="84" s="1"/>
  <c r="G48" i="75"/>
  <c r="P48" i="75" s="1"/>
  <c r="G48" i="77"/>
  <c r="J48" i="77" s="1"/>
  <c r="G48" i="79"/>
  <c r="M48" i="79" s="1"/>
  <c r="G48" i="81"/>
  <c r="P48" i="81" s="1"/>
  <c r="G46" i="82"/>
  <c r="P46" i="82" s="1"/>
  <c r="G46" i="90"/>
  <c r="P46" i="90" s="1"/>
  <c r="G48" i="70"/>
  <c r="M48" i="70" s="1"/>
  <c r="G48" i="76"/>
  <c r="M48" i="76" s="1"/>
  <c r="G48" i="78"/>
  <c r="M48" i="78" s="1"/>
  <c r="G48" i="80"/>
  <c r="J48" i="80" s="1"/>
  <c r="G48" i="74"/>
  <c r="J48" i="74" s="1"/>
  <c r="G48" i="73"/>
  <c r="M48" i="73" s="1"/>
  <c r="G48" i="71"/>
  <c r="P48" i="71" s="1"/>
  <c r="G46" i="83"/>
  <c r="M46" i="83" s="1"/>
  <c r="G46" i="89"/>
  <c r="P46" i="89" s="1"/>
  <c r="G46" i="72"/>
  <c r="M46" i="72" s="1"/>
  <c r="M54" i="87"/>
  <c r="J54" i="87"/>
  <c r="P54" i="87"/>
  <c r="J23" i="82"/>
  <c r="DK12" i="21" s="1"/>
  <c r="G51" i="85"/>
  <c r="J51" i="85" s="1"/>
  <c r="G56" i="87"/>
  <c r="J56" i="87" s="1"/>
  <c r="G52" i="83"/>
  <c r="P52" i="83" s="1"/>
  <c r="G53" i="82"/>
  <c r="P53" i="82" s="1"/>
  <c r="G53" i="84"/>
  <c r="J53" i="84" s="1"/>
  <c r="G53" i="86"/>
  <c r="M53" i="86" s="1"/>
  <c r="G51" i="75"/>
  <c r="J51" i="75" s="1"/>
  <c r="G51" i="77"/>
  <c r="M51" i="77" s="1"/>
  <c r="G51" i="79"/>
  <c r="P51" i="79" s="1"/>
  <c r="G51" i="81"/>
  <c r="P51" i="81" s="1"/>
  <c r="G51" i="71"/>
  <c r="M51" i="71" s="1"/>
  <c r="G51" i="73"/>
  <c r="M51" i="73" s="1"/>
  <c r="G48" i="89"/>
  <c r="J48" i="89" s="1"/>
  <c r="G51" i="76"/>
  <c r="P51" i="76" s="1"/>
  <c r="G51" i="78"/>
  <c r="M51" i="78" s="1"/>
  <c r="G51" i="80"/>
  <c r="J51" i="80" s="1"/>
  <c r="G48" i="90"/>
  <c r="J48" i="90" s="1"/>
  <c r="G49" i="72"/>
  <c r="J49" i="72" s="1"/>
  <c r="G51" i="70"/>
  <c r="M51" i="70" s="1"/>
  <c r="G51" i="74"/>
  <c r="M51" i="74" s="1"/>
  <c r="G47" i="76"/>
  <c r="J47" i="76" s="1"/>
  <c r="G47" i="78"/>
  <c r="M47" i="78" s="1"/>
  <c r="G47" i="80"/>
  <c r="M47" i="80" s="1"/>
  <c r="G47" i="74"/>
  <c r="P47" i="74" s="1"/>
  <c r="G47" i="73"/>
  <c r="M47" i="73" s="1"/>
  <c r="G47" i="71"/>
  <c r="M47" i="71" s="1"/>
  <c r="G47" i="70"/>
  <c r="P47" i="70" s="1"/>
  <c r="G46" i="76"/>
  <c r="P46" i="76" s="1"/>
  <c r="G46" i="78"/>
  <c r="J46" i="78" s="1"/>
  <c r="G46" i="80"/>
  <c r="M46" i="80" s="1"/>
  <c r="G50" i="85"/>
  <c r="M50" i="85" s="1"/>
  <c r="G46" i="74"/>
  <c r="P46" i="74" s="1"/>
  <c r="G46" i="73"/>
  <c r="M46" i="73" s="1"/>
  <c r="G47" i="75"/>
  <c r="J47" i="75" s="1"/>
  <c r="G47" i="77"/>
  <c r="M47" i="77" s="1"/>
  <c r="G47" i="79"/>
  <c r="P47" i="79" s="1"/>
  <c r="G47" i="81"/>
  <c r="M47" i="81" s="1"/>
  <c r="G46" i="75"/>
  <c r="J46" i="75" s="1"/>
  <c r="G46" i="77"/>
  <c r="J46" i="77" s="1"/>
  <c r="G46" i="79"/>
  <c r="M46" i="79" s="1"/>
  <c r="G46" i="81"/>
  <c r="J46" i="81" s="1"/>
  <c r="G46" i="71"/>
  <c r="M46" i="71" s="1"/>
  <c r="P47" i="87"/>
  <c r="M47" i="87"/>
  <c r="G50" i="101"/>
  <c r="J50" i="101" s="1"/>
  <c r="P46" i="70"/>
  <c r="G47" i="101"/>
  <c r="P47" i="101" s="1"/>
  <c r="O8" i="63"/>
  <c r="EB11" i="21"/>
  <c r="DE11" i="21"/>
  <c r="EY11" i="21"/>
  <c r="D12" i="57"/>
  <c r="F12" i="57"/>
  <c r="T10" i="90"/>
  <c r="FL9" i="21" s="1"/>
  <c r="FL11" i="21" s="1"/>
  <c r="I12" i="57"/>
  <c r="S10" i="89"/>
  <c r="EP9" i="21" s="1"/>
  <c r="EP11" i="21" s="1"/>
  <c r="EC11" i="21"/>
  <c r="I15" i="58" s="1"/>
  <c r="M27" i="106"/>
  <c r="DM11" i="21"/>
  <c r="H12" i="58"/>
  <c r="M7" i="74"/>
  <c r="P7" i="74"/>
  <c r="J12" i="57"/>
  <c r="P27" i="106"/>
  <c r="M27" i="104"/>
  <c r="P27" i="102"/>
  <c r="J27" i="102"/>
  <c r="P27" i="105"/>
  <c r="J27" i="103"/>
  <c r="M23" i="85"/>
  <c r="P27" i="104"/>
  <c r="J27" i="105"/>
  <c r="J27" i="104"/>
  <c r="P27" i="91"/>
  <c r="J27" i="74"/>
  <c r="DB13" i="21" s="1"/>
  <c r="M27" i="103"/>
  <c r="P23" i="71"/>
  <c r="ES12" i="21" s="1"/>
  <c r="J23" i="83"/>
  <c r="DL12" i="21" s="1"/>
  <c r="J23" i="74"/>
  <c r="DB12" i="21" s="1"/>
  <c r="M21" i="101"/>
  <c r="M23" i="75"/>
  <c r="DZ12" i="21" s="1"/>
  <c r="P23" i="86"/>
  <c r="FH12" i="21" s="1"/>
  <c r="P27" i="76"/>
  <c r="EX13" i="21" s="1"/>
  <c r="P23" i="82"/>
  <c r="FE12" i="21" s="1"/>
  <c r="M23" i="81"/>
  <c r="EG12" i="21" s="1"/>
  <c r="P16" i="57" s="1"/>
  <c r="J23" i="76"/>
  <c r="DD12" i="21" s="1"/>
  <c r="M27" i="91"/>
  <c r="P27" i="81"/>
  <c r="FD13" i="21" s="1"/>
  <c r="P27" i="103"/>
  <c r="P34" i="90"/>
  <c r="FL14" i="21" s="1"/>
  <c r="M27" i="102"/>
  <c r="M23" i="77"/>
  <c r="EB12" i="21" s="1"/>
  <c r="M23" i="79"/>
  <c r="ED12" i="21" s="1"/>
  <c r="M23" i="84"/>
  <c r="EJ12" i="21" s="1"/>
  <c r="O16" i="57" s="1"/>
  <c r="P34" i="74"/>
  <c r="EV14" i="21" s="1"/>
  <c r="P34" i="76"/>
  <c r="EX14" i="21" s="1"/>
  <c r="J34" i="73"/>
  <c r="DA14" i="21" s="1"/>
  <c r="P27" i="89"/>
  <c r="FM13" i="21" s="1"/>
  <c r="M23" i="89"/>
  <c r="EP12" i="21" s="1"/>
  <c r="P23" i="81"/>
  <c r="FD12" i="21" s="1"/>
  <c r="P34" i="82"/>
  <c r="FE14" i="21" s="1"/>
  <c r="J23" i="77"/>
  <c r="DE12" i="21" s="1"/>
  <c r="J25" i="101"/>
  <c r="M23" i="91"/>
  <c r="P34" i="81"/>
  <c r="FD14" i="21" s="1"/>
  <c r="J34" i="74"/>
  <c r="DB14" i="21" s="1"/>
  <c r="M34" i="91"/>
  <c r="M27" i="74"/>
  <c r="DY13" i="21" s="1"/>
  <c r="L17" i="57" s="1"/>
  <c r="P34" i="72"/>
  <c r="ET14" i="21" s="1"/>
  <c r="M34" i="84"/>
  <c r="EJ14" i="21" s="1"/>
  <c r="O18" i="57" s="1"/>
  <c r="P27" i="90"/>
  <c r="FL13" i="21" s="1"/>
  <c r="M27" i="78"/>
  <c r="EC13" i="21" s="1"/>
  <c r="P23" i="91"/>
  <c r="J23" i="79"/>
  <c r="DG12" i="21" s="1"/>
  <c r="M34" i="75"/>
  <c r="DZ14" i="21" s="1"/>
  <c r="J23" i="84"/>
  <c r="M34" i="74"/>
  <c r="DY14" i="21" s="1"/>
  <c r="L18" i="57" s="1"/>
  <c r="M23" i="87"/>
  <c r="EM12" i="21" s="1"/>
  <c r="R16" i="57" s="1"/>
  <c r="J23" i="78"/>
  <c r="DF12" i="21" s="1"/>
  <c r="M23" i="83"/>
  <c r="EI12" i="21" s="1"/>
  <c r="M27" i="80"/>
  <c r="EF13" i="21" s="1"/>
  <c r="M23" i="80"/>
  <c r="EF12" i="21" s="1"/>
  <c r="M23" i="74"/>
  <c r="DY12" i="21" s="1"/>
  <c r="L16" i="57" s="1"/>
  <c r="P27" i="77"/>
  <c r="EY13" i="21" s="1"/>
  <c r="P27" i="72"/>
  <c r="ET13" i="21" s="1"/>
  <c r="P23" i="75"/>
  <c r="EW12" i="21" s="1"/>
  <c r="M27" i="85"/>
  <c r="EL13" i="21" s="1"/>
  <c r="P27" i="75"/>
  <c r="EW13" i="21" s="1"/>
  <c r="P34" i="87"/>
  <c r="FJ14" i="21" s="1"/>
  <c r="M27" i="86"/>
  <c r="EK13" i="21" s="1"/>
  <c r="Q17" i="57" s="1"/>
  <c r="J34" i="89"/>
  <c r="DS14" i="21" s="1"/>
  <c r="J23" i="91"/>
  <c r="M23" i="106"/>
  <c r="M23" i="104"/>
  <c r="M25" i="101"/>
  <c r="J34" i="76"/>
  <c r="DD14" i="21" s="1"/>
  <c r="M34" i="71"/>
  <c r="DV14" i="21" s="1"/>
  <c r="P34" i="73"/>
  <c r="EU14" i="21" s="1"/>
  <c r="J34" i="85"/>
  <c r="DO14" i="21" s="1"/>
  <c r="P34" i="84"/>
  <c r="FG14" i="21" s="1"/>
  <c r="J27" i="79"/>
  <c r="DG13" i="21" s="1"/>
  <c r="J34" i="86"/>
  <c r="DN14" i="21" s="1"/>
  <c r="P34" i="80"/>
  <c r="FC14" i="21" s="1"/>
  <c r="P27" i="78"/>
  <c r="EZ13" i="21" s="1"/>
  <c r="J34" i="90"/>
  <c r="DR14" i="21" s="1"/>
  <c r="P27" i="83"/>
  <c r="FF13" i="21" s="1"/>
  <c r="M27" i="75"/>
  <c r="DZ13" i="21" s="1"/>
  <c r="P23" i="72"/>
  <c r="ET12" i="21" s="1"/>
  <c r="J23" i="87"/>
  <c r="DP12" i="21" s="1"/>
  <c r="P23" i="78"/>
  <c r="EZ12" i="21" s="1"/>
  <c r="J34" i="77"/>
  <c r="DE14" i="21" s="1"/>
  <c r="P34" i="91"/>
  <c r="J23" i="90"/>
  <c r="P27" i="86"/>
  <c r="FH13" i="21" s="1"/>
  <c r="J23" i="80"/>
  <c r="DI12" i="21" s="1"/>
  <c r="J27" i="82"/>
  <c r="DK13" i="21" s="1"/>
  <c r="P27" i="87"/>
  <c r="FJ13" i="21" s="1"/>
  <c r="M27" i="77"/>
  <c r="EB13" i="21" s="1"/>
  <c r="M34" i="89"/>
  <c r="EP14" i="21" s="1"/>
  <c r="P62" i="101"/>
  <c r="P34" i="75"/>
  <c r="EW14" i="21" s="1"/>
  <c r="J23" i="81"/>
  <c r="DJ12" i="21" s="1"/>
  <c r="J34" i="91"/>
  <c r="J34" i="82"/>
  <c r="DK14" i="21" s="1"/>
  <c r="M23" i="76"/>
  <c r="EA12" i="21" s="1"/>
  <c r="K16" i="57" s="1"/>
  <c r="J27" i="91"/>
  <c r="P27" i="84"/>
  <c r="FG13" i="21" s="1"/>
  <c r="J27" i="81"/>
  <c r="DJ13" i="21" s="1"/>
  <c r="P23" i="77"/>
  <c r="EY12" i="21" s="1"/>
  <c r="J34" i="72"/>
  <c r="CZ14" i="21" s="1"/>
  <c r="M34" i="73"/>
  <c r="DX14" i="21" s="1"/>
  <c r="M27" i="90"/>
  <c r="EO13" i="21" s="1"/>
  <c r="P27" i="79"/>
  <c r="FA13" i="21" s="1"/>
  <c r="M34" i="86"/>
  <c r="EK14" i="21" s="1"/>
  <c r="Q18" i="57" s="1"/>
  <c r="M34" i="80"/>
  <c r="EF14" i="21" s="1"/>
  <c r="J27" i="78"/>
  <c r="DF13" i="21" s="1"/>
  <c r="J23" i="89"/>
  <c r="P23" i="79"/>
  <c r="FA12" i="21" s="1"/>
  <c r="J34" i="81"/>
  <c r="DJ14" i="21" s="1"/>
  <c r="P23" i="73"/>
  <c r="EU12" i="21" s="1"/>
  <c r="J27" i="83"/>
  <c r="DL13" i="21" s="1"/>
  <c r="M27" i="76"/>
  <c r="EA13" i="21" s="1"/>
  <c r="K17" i="57" s="1"/>
  <c r="J27" i="73"/>
  <c r="DA13" i="21" s="1"/>
  <c r="M23" i="72"/>
  <c r="DW12" i="21" s="1"/>
  <c r="M34" i="87"/>
  <c r="EM14" i="21" s="1"/>
  <c r="R18" i="57" s="1"/>
  <c r="M23" i="71"/>
  <c r="DV12" i="21" s="1"/>
  <c r="M23" i="78"/>
  <c r="EC12" i="21" s="1"/>
  <c r="P34" i="71"/>
  <c r="ES14" i="21" s="1"/>
  <c r="M34" i="77"/>
  <c r="EB14" i="21" s="1"/>
  <c r="P34" i="79"/>
  <c r="FA14" i="21" s="1"/>
  <c r="P23" i="90"/>
  <c r="FL12" i="21" s="1"/>
  <c r="J27" i="80"/>
  <c r="DI13" i="21" s="1"/>
  <c r="P23" i="74"/>
  <c r="EV12" i="21" s="1"/>
  <c r="J34" i="83"/>
  <c r="DL14" i="21" s="1"/>
  <c r="M27" i="82"/>
  <c r="EH13" i="21" s="1"/>
  <c r="M17" i="57" s="1"/>
  <c r="M27" i="87"/>
  <c r="EM13" i="21" s="1"/>
  <c r="R17" i="57" s="1"/>
  <c r="J27" i="72"/>
  <c r="CZ13" i="21" s="1"/>
  <c r="J34" i="78"/>
  <c r="DF14" i="21" s="1"/>
  <c r="P34" i="89"/>
  <c r="FM14" i="21" s="1"/>
  <c r="J23" i="86"/>
  <c r="DN12" i="21" s="1"/>
  <c r="M34" i="90"/>
  <c r="EO14" i="21" s="1"/>
  <c r="J27" i="76"/>
  <c r="DD13" i="21" s="1"/>
  <c r="P27" i="73"/>
  <c r="EU13" i="21" s="1"/>
  <c r="M34" i="79"/>
  <c r="ED14" i="21" s="1"/>
  <c r="M23" i="90"/>
  <c r="P34" i="85"/>
  <c r="FI14" i="21" s="1"/>
  <c r="M34" i="83"/>
  <c r="EI14" i="21" s="1"/>
  <c r="N18" i="57" s="1"/>
  <c r="J27" i="87"/>
  <c r="DP13" i="21" s="1"/>
  <c r="P34" i="102"/>
  <c r="J27" i="84"/>
  <c r="DM13" i="21" s="1"/>
  <c r="P27" i="74"/>
  <c r="EV13" i="21" s="1"/>
  <c r="M34" i="78"/>
  <c r="EC14" i="21" s="1"/>
  <c r="I18" i="58" s="1"/>
  <c r="P23" i="89"/>
  <c r="M23" i="73"/>
  <c r="DX12" i="21" s="1"/>
  <c r="M34" i="76"/>
  <c r="EA14" i="21" s="1"/>
  <c r="K18" i="57" s="1"/>
  <c r="M34" i="82"/>
  <c r="EH14" i="21" s="1"/>
  <c r="M18" i="57" s="1"/>
  <c r="P23" i="85"/>
  <c r="FI12" i="21" s="1"/>
  <c r="M27" i="84"/>
  <c r="EJ13" i="21" s="1"/>
  <c r="O17" i="57" s="1"/>
  <c r="M27" i="81"/>
  <c r="EG13" i="21" s="1"/>
  <c r="P17" i="57" s="1"/>
  <c r="M34" i="72"/>
  <c r="DW14" i="21" s="1"/>
  <c r="P34" i="78"/>
  <c r="EZ14" i="21" s="1"/>
  <c r="M34" i="85"/>
  <c r="EL14" i="21" s="1"/>
  <c r="J34" i="84"/>
  <c r="DM14" i="21" s="1"/>
  <c r="M27" i="89"/>
  <c r="EP13" i="21" s="1"/>
  <c r="J27" i="90"/>
  <c r="DR13" i="21" s="1"/>
  <c r="M27" i="79"/>
  <c r="ED13" i="21" s="1"/>
  <c r="P34" i="86"/>
  <c r="FH14" i="21" s="1"/>
  <c r="J34" i="80"/>
  <c r="DI14" i="21" s="1"/>
  <c r="J27" i="89"/>
  <c r="DS13" i="21" s="1"/>
  <c r="M23" i="86"/>
  <c r="EK12" i="21" s="1"/>
  <c r="Q16" i="57" s="1"/>
  <c r="J34" i="75"/>
  <c r="DC14" i="21" s="1"/>
  <c r="J23" i="73"/>
  <c r="DA12" i="21" s="1"/>
  <c r="J34" i="71"/>
  <c r="CY14" i="21" s="1"/>
  <c r="P27" i="85"/>
  <c r="FI13" i="21" s="1"/>
  <c r="M27" i="83"/>
  <c r="EI13" i="21" s="1"/>
  <c r="N17" i="57" s="1"/>
  <c r="J27" i="75"/>
  <c r="DC13" i="21" s="1"/>
  <c r="M27" i="73"/>
  <c r="DX13" i="21" s="1"/>
  <c r="J23" i="72"/>
  <c r="CZ12" i="21" s="1"/>
  <c r="P23" i="87"/>
  <c r="FJ12" i="21" s="1"/>
  <c r="M34" i="81"/>
  <c r="EG14" i="21" s="1"/>
  <c r="P18" i="57" s="1"/>
  <c r="J34" i="87"/>
  <c r="DP14" i="21" s="1"/>
  <c r="J23" i="71"/>
  <c r="CY12" i="21" s="1"/>
  <c r="P23" i="83"/>
  <c r="FF12" i="21" s="1"/>
  <c r="P34" i="77"/>
  <c r="EY14" i="21" s="1"/>
  <c r="J34" i="79"/>
  <c r="DG14" i="21" s="1"/>
  <c r="P27" i="80"/>
  <c r="FC13" i="21" s="1"/>
  <c r="P23" i="80"/>
  <c r="FC12" i="21" s="1"/>
  <c r="P34" i="83"/>
  <c r="FF14" i="21" s="1"/>
  <c r="P27" i="82"/>
  <c r="FE13" i="21" s="1"/>
  <c r="J27" i="77"/>
  <c r="DE13" i="21" s="1"/>
  <c r="M27" i="72"/>
  <c r="DW13" i="21" s="1"/>
  <c r="F12" i="58"/>
  <c r="G12" i="57"/>
  <c r="H15" i="58"/>
  <c r="DV11" i="21"/>
  <c r="D12" i="58"/>
  <c r="E12" i="58"/>
  <c r="J23" i="106"/>
  <c r="J63" i="104"/>
  <c r="J23" i="104"/>
  <c r="P21" i="101"/>
  <c r="P23" i="104"/>
  <c r="EZ19" i="21"/>
  <c r="DY11" i="21"/>
  <c r="M63" i="104"/>
  <c r="M23" i="102"/>
  <c r="FM51" i="21"/>
  <c r="FM52" i="21" s="1"/>
  <c r="O25" i="63"/>
  <c r="P19" i="85"/>
  <c r="J19" i="85"/>
  <c r="J19" i="87"/>
  <c r="J19" i="84"/>
  <c r="J19" i="86"/>
  <c r="J19" i="80"/>
  <c r="P19" i="90"/>
  <c r="P19" i="78"/>
  <c r="M19" i="79"/>
  <c r="M23" i="70"/>
  <c r="DU12" i="21" s="1"/>
  <c r="J63" i="103"/>
  <c r="M63" i="102"/>
  <c r="J63" i="105"/>
  <c r="J34" i="106"/>
  <c r="P34" i="103"/>
  <c r="J19" i="82"/>
  <c r="M19" i="80"/>
  <c r="J19" i="90"/>
  <c r="P63" i="102"/>
  <c r="P19" i="91"/>
  <c r="J23" i="105"/>
  <c r="M19" i="77"/>
  <c r="J23" i="103"/>
  <c r="P19" i="76"/>
  <c r="P19" i="83"/>
  <c r="P19" i="79"/>
  <c r="J34" i="70"/>
  <c r="CX14" i="21" s="1"/>
  <c r="J62" i="101"/>
  <c r="J19" i="81"/>
  <c r="P63" i="106"/>
  <c r="P23" i="70"/>
  <c r="ER12" i="21" s="1"/>
  <c r="J34" i="105"/>
  <c r="J19" i="77"/>
  <c r="M23" i="103"/>
  <c r="J34" i="104"/>
  <c r="M32" i="101"/>
  <c r="M34" i="103"/>
  <c r="J19" i="78"/>
  <c r="M34" i="70"/>
  <c r="P19" i="80"/>
  <c r="P34" i="104"/>
  <c r="M62" i="101"/>
  <c r="P23" i="106"/>
  <c r="M34" i="102"/>
  <c r="M19" i="84"/>
  <c r="P34" i="105"/>
  <c r="J63" i="102"/>
  <c r="M63" i="105"/>
  <c r="P32" i="101"/>
  <c r="P63" i="103"/>
  <c r="M19" i="91"/>
  <c r="M19" i="87"/>
  <c r="P23" i="105"/>
  <c r="P34" i="106"/>
  <c r="J34" i="103"/>
  <c r="M19" i="82"/>
  <c r="J19" i="76"/>
  <c r="J23" i="102"/>
  <c r="J63" i="106"/>
  <c r="M19" i="86"/>
  <c r="J19" i="83"/>
  <c r="J19" i="79"/>
  <c r="P19" i="89"/>
  <c r="J32" i="101"/>
  <c r="P19" i="84"/>
  <c r="P63" i="105"/>
  <c r="P19" i="81"/>
  <c r="M47" i="85"/>
  <c r="J47" i="85"/>
  <c r="P47" i="85"/>
  <c r="M19" i="89"/>
  <c r="P34" i="70"/>
  <c r="ER14" i="21" s="1"/>
  <c r="M34" i="104"/>
  <c r="P63" i="104"/>
  <c r="J34" i="102"/>
  <c r="J23" i="70"/>
  <c r="CX12" i="21" s="1"/>
  <c r="M34" i="105"/>
  <c r="J21" i="101"/>
  <c r="M19" i="81"/>
  <c r="M63" i="103"/>
  <c r="J19" i="91"/>
  <c r="P19" i="87"/>
  <c r="M23" i="105"/>
  <c r="M34" i="106"/>
  <c r="P19" i="77"/>
  <c r="P23" i="103"/>
  <c r="P19" i="82"/>
  <c r="M19" i="76"/>
  <c r="P23" i="102"/>
  <c r="M63" i="106"/>
  <c r="M19" i="78"/>
  <c r="P19" i="86"/>
  <c r="M19" i="83"/>
  <c r="J19" i="89"/>
  <c r="I16" i="58" l="1"/>
  <c r="K15" i="58"/>
  <c r="J15" i="58"/>
  <c r="K18" i="58"/>
  <c r="J18" i="58"/>
  <c r="J17" i="58"/>
  <c r="K17" i="58"/>
  <c r="K16" i="58"/>
  <c r="J16" i="58"/>
  <c r="I17" i="58"/>
  <c r="J52" i="81"/>
  <c r="P48" i="86"/>
  <c r="M48" i="86"/>
  <c r="G16" i="57"/>
  <c r="N16" i="57"/>
  <c r="M49" i="109"/>
  <c r="M52" i="81"/>
  <c r="J49" i="83"/>
  <c r="M49" i="83"/>
  <c r="P49" i="83"/>
  <c r="P46" i="85"/>
  <c r="M46" i="87"/>
  <c r="J46" i="87"/>
  <c r="J49" i="109"/>
  <c r="J48" i="87"/>
  <c r="M48" i="87"/>
  <c r="M51" i="87"/>
  <c r="M50" i="109"/>
  <c r="J51" i="76"/>
  <c r="J50" i="109"/>
  <c r="P51" i="87"/>
  <c r="P49" i="85"/>
  <c r="M47" i="70"/>
  <c r="M50" i="78"/>
  <c r="M50" i="71"/>
  <c r="M48" i="75"/>
  <c r="M51" i="109"/>
  <c r="J51" i="109"/>
  <c r="P50" i="84"/>
  <c r="J48" i="81"/>
  <c r="J50" i="78"/>
  <c r="M48" i="82"/>
  <c r="M51" i="76"/>
  <c r="J47" i="77"/>
  <c r="J48" i="109"/>
  <c r="J48" i="82"/>
  <c r="P48" i="73"/>
  <c r="P47" i="77"/>
  <c r="P48" i="109"/>
  <c r="J47" i="70"/>
  <c r="J48" i="73"/>
  <c r="P55" i="84"/>
  <c r="M55" i="84"/>
  <c r="J55" i="84"/>
  <c r="J55" i="109"/>
  <c r="M55" i="109"/>
  <c r="P55" i="109"/>
  <c r="J51" i="82"/>
  <c r="P51" i="82"/>
  <c r="M51" i="82"/>
  <c r="J54" i="82"/>
  <c r="P54" i="82"/>
  <c r="M54" i="82"/>
  <c r="J57" i="109"/>
  <c r="P57" i="109"/>
  <c r="M57" i="109"/>
  <c r="M55" i="79"/>
  <c r="J55" i="79"/>
  <c r="P55" i="79"/>
  <c r="P51" i="84"/>
  <c r="M51" i="84"/>
  <c r="J51" i="84"/>
  <c r="P50" i="89"/>
  <c r="M50" i="89"/>
  <c r="J50" i="89"/>
  <c r="M53" i="77"/>
  <c r="J53" i="77"/>
  <c r="P53" i="77"/>
  <c r="P57" i="84"/>
  <c r="J57" i="84"/>
  <c r="M57" i="84"/>
  <c r="M48" i="85"/>
  <c r="J48" i="85"/>
  <c r="P48" i="85"/>
  <c r="M56" i="81"/>
  <c r="J56" i="81"/>
  <c r="P56" i="81"/>
  <c r="M52" i="79"/>
  <c r="P52" i="79"/>
  <c r="J52" i="79"/>
  <c r="J51" i="72"/>
  <c r="P51" i="72"/>
  <c r="M51" i="72"/>
  <c r="J53" i="83"/>
  <c r="P53" i="83"/>
  <c r="M53" i="83"/>
  <c r="J54" i="86"/>
  <c r="M54" i="86"/>
  <c r="P54" i="86"/>
  <c r="P57" i="78"/>
  <c r="M57" i="78"/>
  <c r="J57" i="78"/>
  <c r="M54" i="80"/>
  <c r="P54" i="80"/>
  <c r="J54" i="80"/>
  <c r="M54" i="83"/>
  <c r="J54" i="83"/>
  <c r="P54" i="83"/>
  <c r="P50" i="72"/>
  <c r="M50" i="72"/>
  <c r="J50" i="72"/>
  <c r="M53" i="75"/>
  <c r="J53" i="75"/>
  <c r="P53" i="75"/>
  <c r="P54" i="84"/>
  <c r="J54" i="84"/>
  <c r="M54" i="84"/>
  <c r="J57" i="77"/>
  <c r="P57" i="77"/>
  <c r="M57" i="77"/>
  <c r="J57" i="75"/>
  <c r="M57" i="75"/>
  <c r="P57" i="75"/>
  <c r="M55" i="77"/>
  <c r="P55" i="77"/>
  <c r="J55" i="77"/>
  <c r="M54" i="75"/>
  <c r="P54" i="75"/>
  <c r="J54" i="75"/>
  <c r="M54" i="85"/>
  <c r="P54" i="85"/>
  <c r="J54" i="85"/>
  <c r="M54" i="79"/>
  <c r="P54" i="79"/>
  <c r="J54" i="79"/>
  <c r="M55" i="81"/>
  <c r="J55" i="81"/>
  <c r="P55" i="81"/>
  <c r="P57" i="81"/>
  <c r="M57" i="81"/>
  <c r="J57" i="81"/>
  <c r="J57" i="79"/>
  <c r="M57" i="79"/>
  <c r="P57" i="79"/>
  <c r="M55" i="78"/>
  <c r="J55" i="78"/>
  <c r="P55" i="78"/>
  <c r="M54" i="76"/>
  <c r="J54" i="76"/>
  <c r="P54" i="76"/>
  <c r="M52" i="109"/>
  <c r="P52" i="109"/>
  <c r="J52" i="109"/>
  <c r="M54" i="81"/>
  <c r="J54" i="81"/>
  <c r="P54" i="81"/>
  <c r="M53" i="76"/>
  <c r="J53" i="76"/>
  <c r="P53" i="76"/>
  <c r="J55" i="85"/>
  <c r="P55" i="85"/>
  <c r="M55" i="85"/>
  <c r="M57" i="74"/>
  <c r="J57" i="74"/>
  <c r="P57" i="74"/>
  <c r="J57" i="83"/>
  <c r="M57" i="83"/>
  <c r="P57" i="83"/>
  <c r="J55" i="86"/>
  <c r="M55" i="86"/>
  <c r="P55" i="86"/>
  <c r="M53" i="74"/>
  <c r="J53" i="74"/>
  <c r="P53" i="74"/>
  <c r="J53" i="81"/>
  <c r="M53" i="81"/>
  <c r="P53" i="81"/>
  <c r="P50" i="83"/>
  <c r="J50" i="83"/>
  <c r="M50" i="83"/>
  <c r="P54" i="78"/>
  <c r="J54" i="78"/>
  <c r="M54" i="78"/>
  <c r="M53" i="80"/>
  <c r="P53" i="80"/>
  <c r="J53" i="80"/>
  <c r="J57" i="80"/>
  <c r="M57" i="80"/>
  <c r="P57" i="80"/>
  <c r="M57" i="82"/>
  <c r="J57" i="82"/>
  <c r="P57" i="82"/>
  <c r="M55" i="82"/>
  <c r="J55" i="82"/>
  <c r="P55" i="82"/>
  <c r="J52" i="78"/>
  <c r="P52" i="78"/>
  <c r="M52" i="78"/>
  <c r="M50" i="87"/>
  <c r="J50" i="87"/>
  <c r="P50" i="87"/>
  <c r="M52" i="74"/>
  <c r="J52" i="74"/>
  <c r="P52" i="74"/>
  <c r="P54" i="109"/>
  <c r="M54" i="109"/>
  <c r="J54" i="109"/>
  <c r="J57" i="76"/>
  <c r="M57" i="76"/>
  <c r="P57" i="76"/>
  <c r="M49" i="89"/>
  <c r="P49" i="89"/>
  <c r="J49" i="89"/>
  <c r="M52" i="86"/>
  <c r="J52" i="86"/>
  <c r="P52" i="86"/>
  <c r="M48" i="81"/>
  <c r="J50" i="75"/>
  <c r="P50" i="75"/>
  <c r="M50" i="86"/>
  <c r="M49" i="72"/>
  <c r="J51" i="83"/>
  <c r="P50" i="76"/>
  <c r="J48" i="83"/>
  <c r="M50" i="76"/>
  <c r="M47" i="83"/>
  <c r="P48" i="74"/>
  <c r="P48" i="79"/>
  <c r="M48" i="74"/>
  <c r="P47" i="83"/>
  <c r="J48" i="79"/>
  <c r="P48" i="89"/>
  <c r="P48" i="83"/>
  <c r="M48" i="89"/>
  <c r="M49" i="85"/>
  <c r="M48" i="77"/>
  <c r="J53" i="82"/>
  <c r="J50" i="73"/>
  <c r="P50" i="73"/>
  <c r="P51" i="74"/>
  <c r="P48" i="80"/>
  <c r="J51" i="74"/>
  <c r="M53" i="82"/>
  <c r="M48" i="80"/>
  <c r="J51" i="73"/>
  <c r="P48" i="77"/>
  <c r="P51" i="73"/>
  <c r="J50" i="74"/>
  <c r="J47" i="74"/>
  <c r="J48" i="78"/>
  <c r="P50" i="70"/>
  <c r="J46" i="86"/>
  <c r="P46" i="86"/>
  <c r="J50" i="77"/>
  <c r="P51" i="75"/>
  <c r="P50" i="77"/>
  <c r="M51" i="75"/>
  <c r="J47" i="79"/>
  <c r="M46" i="82"/>
  <c r="M46" i="76"/>
  <c r="P50" i="80"/>
  <c r="J50" i="80"/>
  <c r="M47" i="79"/>
  <c r="M48" i="71"/>
  <c r="P48" i="70"/>
  <c r="J51" i="78"/>
  <c r="J48" i="71"/>
  <c r="M49" i="87"/>
  <c r="J46" i="82"/>
  <c r="P51" i="78"/>
  <c r="J46" i="76"/>
  <c r="P50" i="81"/>
  <c r="M50" i="81"/>
  <c r="M48" i="90"/>
  <c r="M51" i="86"/>
  <c r="P48" i="90"/>
  <c r="P43" i="90" s="1"/>
  <c r="J49" i="84"/>
  <c r="J51" i="86"/>
  <c r="M46" i="89"/>
  <c r="M51" i="79"/>
  <c r="J48" i="70"/>
  <c r="J46" i="89"/>
  <c r="J51" i="79"/>
  <c r="M51" i="80"/>
  <c r="J50" i="84"/>
  <c r="P49" i="87"/>
  <c r="J47" i="81"/>
  <c r="J46" i="90"/>
  <c r="J43" i="90" s="1"/>
  <c r="DR15" i="21" s="1"/>
  <c r="J51" i="77"/>
  <c r="P50" i="79"/>
  <c r="J46" i="85"/>
  <c r="P51" i="70"/>
  <c r="P50" i="74"/>
  <c r="J46" i="74"/>
  <c r="M46" i="74"/>
  <c r="J51" i="70"/>
  <c r="J51" i="71"/>
  <c r="M50" i="70"/>
  <c r="P48" i="78"/>
  <c r="P51" i="71"/>
  <c r="J48" i="75"/>
  <c r="DY28" i="21"/>
  <c r="FB28" i="21"/>
  <c r="EE28" i="21"/>
  <c r="EF28" i="21"/>
  <c r="DH28" i="21"/>
  <c r="M56" i="87"/>
  <c r="P50" i="86"/>
  <c r="J49" i="75"/>
  <c r="J48" i="76"/>
  <c r="P49" i="75"/>
  <c r="M51" i="81"/>
  <c r="P47" i="80"/>
  <c r="P56" i="87"/>
  <c r="J52" i="85"/>
  <c r="P48" i="76"/>
  <c r="J51" i="81"/>
  <c r="J47" i="80"/>
  <c r="M52" i="85"/>
  <c r="P46" i="72"/>
  <c r="P47" i="84"/>
  <c r="P47" i="109"/>
  <c r="M47" i="109"/>
  <c r="J47" i="109"/>
  <c r="J46" i="72"/>
  <c r="J50" i="85"/>
  <c r="M47" i="84"/>
  <c r="P46" i="109"/>
  <c r="J46" i="109"/>
  <c r="M46" i="109"/>
  <c r="P49" i="72"/>
  <c r="P50" i="85"/>
  <c r="P50" i="71"/>
  <c r="P51" i="83"/>
  <c r="P49" i="84"/>
  <c r="P47" i="81"/>
  <c r="P51" i="80"/>
  <c r="P50" i="82"/>
  <c r="M46" i="90"/>
  <c r="J46" i="83"/>
  <c r="P51" i="77"/>
  <c r="J50" i="79"/>
  <c r="M50" i="82"/>
  <c r="P46" i="83"/>
  <c r="J47" i="89"/>
  <c r="J47" i="78"/>
  <c r="J49" i="76"/>
  <c r="P46" i="75"/>
  <c r="P46" i="78"/>
  <c r="P47" i="75"/>
  <c r="M46" i="75"/>
  <c r="J53" i="86"/>
  <c r="P46" i="77"/>
  <c r="P50" i="101"/>
  <c r="J49" i="82"/>
  <c r="J48" i="72"/>
  <c r="M46" i="70"/>
  <c r="P47" i="73"/>
  <c r="J52" i="83"/>
  <c r="M53" i="84"/>
  <c r="M47" i="76"/>
  <c r="P46" i="79"/>
  <c r="M48" i="84"/>
  <c r="M52" i="83"/>
  <c r="P53" i="84"/>
  <c r="J46" i="73"/>
  <c r="M46" i="78"/>
  <c r="P47" i="76"/>
  <c r="P48" i="84"/>
  <c r="M49" i="70"/>
  <c r="M49" i="73"/>
  <c r="M43" i="73" s="1"/>
  <c r="J46" i="79"/>
  <c r="M46" i="81"/>
  <c r="P53" i="85"/>
  <c r="M51" i="85"/>
  <c r="P46" i="71"/>
  <c r="J49" i="73"/>
  <c r="M49" i="81"/>
  <c r="J46" i="71"/>
  <c r="M50" i="101"/>
  <c r="M49" i="86"/>
  <c r="P51" i="85"/>
  <c r="J46" i="80"/>
  <c r="P47" i="71"/>
  <c r="P46" i="81"/>
  <c r="M47" i="74"/>
  <c r="J53" i="85"/>
  <c r="P46" i="80"/>
  <c r="J47" i="71"/>
  <c r="P46" i="73"/>
  <c r="P49" i="70"/>
  <c r="J49" i="86"/>
  <c r="J52" i="82"/>
  <c r="J52" i="84"/>
  <c r="P53" i="86"/>
  <c r="M48" i="72"/>
  <c r="J46" i="70"/>
  <c r="M49" i="82"/>
  <c r="J47" i="73"/>
  <c r="M46" i="77"/>
  <c r="M47" i="75"/>
  <c r="P47" i="78"/>
  <c r="M52" i="82"/>
  <c r="M52" i="84"/>
  <c r="M49" i="76"/>
  <c r="J49" i="74"/>
  <c r="M47" i="72"/>
  <c r="P49" i="79"/>
  <c r="M49" i="78"/>
  <c r="M47" i="101"/>
  <c r="J47" i="101"/>
  <c r="J49" i="77"/>
  <c r="J49" i="71"/>
  <c r="P49" i="80"/>
  <c r="M49" i="71"/>
  <c r="FE28" i="21"/>
  <c r="EZ28" i="21"/>
  <c r="M47" i="89"/>
  <c r="J49" i="80"/>
  <c r="P49" i="81"/>
  <c r="P47" i="72"/>
  <c r="J49" i="79"/>
  <c r="M49" i="77"/>
  <c r="P49" i="74"/>
  <c r="J49" i="78"/>
  <c r="EB28" i="21"/>
  <c r="FA28" i="21"/>
  <c r="EH28" i="21"/>
  <c r="DA28" i="21"/>
  <c r="DV28" i="21"/>
  <c r="DK28" i="21"/>
  <c r="DL28" i="21"/>
  <c r="DR28" i="21"/>
  <c r="DN28" i="21"/>
  <c r="ET28" i="21"/>
  <c r="EY28" i="21"/>
  <c r="FF28" i="21"/>
  <c r="DD28" i="21"/>
  <c r="CZ28" i="21"/>
  <c r="CX28" i="21"/>
  <c r="EK28" i="21"/>
  <c r="DC28" i="21"/>
  <c r="EP28" i="21"/>
  <c r="EI28" i="21"/>
  <c r="EJ28" i="21"/>
  <c r="ED28" i="21"/>
  <c r="DS28" i="21"/>
  <c r="FC28" i="21"/>
  <c r="DU28" i="21"/>
  <c r="FH28" i="21"/>
  <c r="DI28" i="21"/>
  <c r="DZ28" i="21"/>
  <c r="FI28" i="21"/>
  <c r="EA28" i="21"/>
  <c r="FJ28" i="21"/>
  <c r="DW28" i="21"/>
  <c r="FM28" i="21"/>
  <c r="DO28" i="21"/>
  <c r="EG28" i="21"/>
  <c r="EX28" i="21"/>
  <c r="CY28" i="21"/>
  <c r="DP28" i="21"/>
  <c r="EL28" i="21"/>
  <c r="FD28" i="21"/>
  <c r="EW28" i="21"/>
  <c r="DJ28" i="21"/>
  <c r="ER28" i="21"/>
  <c r="DM28" i="21"/>
  <c r="ES28" i="21"/>
  <c r="DE28" i="21"/>
  <c r="EM28" i="21"/>
  <c r="DF28" i="21"/>
  <c r="DX28" i="21"/>
  <c r="EO28" i="21"/>
  <c r="FG28" i="21"/>
  <c r="DG28" i="21"/>
  <c r="EC28" i="21"/>
  <c r="EU28" i="21"/>
  <c r="FL28" i="21"/>
  <c r="F16" i="58"/>
  <c r="H16" i="58"/>
  <c r="I17" i="57"/>
  <c r="I18" i="57"/>
  <c r="FM12" i="21"/>
  <c r="EO12" i="21"/>
  <c r="DS12" i="21"/>
  <c r="EL12" i="21"/>
  <c r="DR12" i="21"/>
  <c r="F18" i="58"/>
  <c r="F17" i="58"/>
  <c r="I16" i="57"/>
  <c r="DM12" i="21"/>
  <c r="G16" i="58"/>
  <c r="J16" i="57"/>
  <c r="G18" i="57"/>
  <c r="G17" i="57"/>
  <c r="M76" i="104"/>
  <c r="M1" i="104" s="1"/>
  <c r="J76" i="104"/>
  <c r="J1" i="104" s="1"/>
  <c r="E17" i="57"/>
  <c r="H18" i="58"/>
  <c r="F18" i="57"/>
  <c r="E18" i="57"/>
  <c r="D18" i="58"/>
  <c r="E18" i="58"/>
  <c r="J17" i="57"/>
  <c r="G17" i="58"/>
  <c r="E16" i="57"/>
  <c r="D16" i="57"/>
  <c r="H17" i="58"/>
  <c r="F17" i="57"/>
  <c r="J18" i="57"/>
  <c r="G18" i="58"/>
  <c r="E16" i="58"/>
  <c r="D16" i="58"/>
  <c r="J76" i="106"/>
  <c r="J1" i="106" s="1"/>
  <c r="J75" i="101"/>
  <c r="P75" i="101"/>
  <c r="M76" i="102"/>
  <c r="M1" i="102" s="1"/>
  <c r="DU14" i="21"/>
  <c r="P76" i="102"/>
  <c r="P1" i="102" s="1"/>
  <c r="M76" i="105"/>
  <c r="M1" i="105" s="1"/>
  <c r="J76" i="103"/>
  <c r="J1" i="103" s="1"/>
  <c r="M76" i="103"/>
  <c r="M1" i="103" s="1"/>
  <c r="P76" i="103"/>
  <c r="P1" i="103" s="1"/>
  <c r="P76" i="105"/>
  <c r="P1" i="105" s="1"/>
  <c r="M75" i="101"/>
  <c r="M76" i="106"/>
  <c r="M1" i="106" s="1"/>
  <c r="J76" i="102"/>
  <c r="J1" i="102" s="1"/>
  <c r="P76" i="106"/>
  <c r="P1" i="106" s="1"/>
  <c r="P76" i="104"/>
  <c r="P1" i="104" s="1"/>
  <c r="J76" i="105"/>
  <c r="J1" i="105" s="1"/>
  <c r="J43" i="87" l="1"/>
  <c r="DP15" i="21" s="1"/>
  <c r="J43" i="75"/>
  <c r="DC15" i="21" s="1"/>
  <c r="M43" i="79"/>
  <c r="ED15" i="21" s="1"/>
  <c r="M43" i="71"/>
  <c r="P43" i="89"/>
  <c r="P43" i="82"/>
  <c r="FE15" i="21" s="1"/>
  <c r="F16" i="57"/>
  <c r="U16" i="57" s="1"/>
  <c r="J43" i="89"/>
  <c r="P43" i="87"/>
  <c r="M43" i="86"/>
  <c r="M43" i="83"/>
  <c r="EI15" i="21" s="1"/>
  <c r="M43" i="80"/>
  <c r="EF15" i="21" s="1"/>
  <c r="P43" i="73"/>
  <c r="M43" i="90"/>
  <c r="J43" i="84"/>
  <c r="DM15" i="21" s="1"/>
  <c r="FL15" i="21"/>
  <c r="M43" i="87"/>
  <c r="EM15" i="21" s="1"/>
  <c r="M43" i="74"/>
  <c r="J43" i="77"/>
  <c r="DE15" i="21" s="1"/>
  <c r="M43" i="76"/>
  <c r="EA15" i="21" s="1"/>
  <c r="J43" i="76"/>
  <c r="DD15" i="21" s="1"/>
  <c r="M43" i="89"/>
  <c r="P43" i="70"/>
  <c r="ER15" i="21" s="1"/>
  <c r="J43" i="74"/>
  <c r="DB15" i="21" s="1"/>
  <c r="P43" i="74"/>
  <c r="EV15" i="21" s="1"/>
  <c r="J43" i="70"/>
  <c r="J43" i="81"/>
  <c r="DJ15" i="21" s="1"/>
  <c r="P43" i="84"/>
  <c r="J43" i="86"/>
  <c r="DN15" i="21" s="1"/>
  <c r="P43" i="76"/>
  <c r="P43" i="85"/>
  <c r="P43" i="86"/>
  <c r="M43" i="82"/>
  <c r="EH15" i="21" s="1"/>
  <c r="J43" i="85"/>
  <c r="DO15" i="21" s="1"/>
  <c r="J43" i="82"/>
  <c r="DK15" i="21" s="1"/>
  <c r="P43" i="83"/>
  <c r="P43" i="72"/>
  <c r="M43" i="81"/>
  <c r="EG15" i="21" s="1"/>
  <c r="J43" i="83"/>
  <c r="DL15" i="21" s="1"/>
  <c r="J43" i="72"/>
  <c r="P43" i="81"/>
  <c r="FD15" i="21" s="1"/>
  <c r="M43" i="85"/>
  <c r="P43" i="109"/>
  <c r="M43" i="109"/>
  <c r="J43" i="109"/>
  <c r="P43" i="77"/>
  <c r="M43" i="78"/>
  <c r="M43" i="75"/>
  <c r="DZ15" i="21" s="1"/>
  <c r="J43" i="78"/>
  <c r="DF15" i="21" s="1"/>
  <c r="J43" i="73"/>
  <c r="M43" i="77"/>
  <c r="EB15" i="21" s="1"/>
  <c r="M43" i="84"/>
  <c r="M43" i="72"/>
  <c r="P43" i="75"/>
  <c r="EW15" i="21" s="1"/>
  <c r="P43" i="79"/>
  <c r="FA15" i="21" s="1"/>
  <c r="M43" i="70"/>
  <c r="DU15" i="21" s="1"/>
  <c r="P43" i="71"/>
  <c r="J43" i="71"/>
  <c r="P43" i="78"/>
  <c r="EZ15" i="21" s="1"/>
  <c r="J43" i="80"/>
  <c r="DI15" i="21" s="1"/>
  <c r="J43" i="79"/>
  <c r="DG15" i="21" s="1"/>
  <c r="P43" i="80"/>
  <c r="FC15" i="21" s="1"/>
  <c r="D18" i="57"/>
  <c r="U18" i="57" s="1"/>
  <c r="N1" i="104"/>
  <c r="N16" i="58"/>
  <c r="K1" i="104"/>
  <c r="DX15" i="21"/>
  <c r="N1" i="102"/>
  <c r="N18" i="58"/>
  <c r="K1" i="102"/>
  <c r="K1" i="106"/>
  <c r="N1" i="105"/>
  <c r="N1" i="106"/>
  <c r="N1" i="103"/>
  <c r="K1" i="103"/>
  <c r="K1" i="105"/>
  <c r="DW15" i="21" l="1"/>
  <c r="CX15" i="21"/>
  <c r="DV15" i="21"/>
  <c r="ES15" i="21"/>
  <c r="CY15" i="21"/>
  <c r="DS15" i="21"/>
  <c r="EO15" i="21"/>
  <c r="EK15" i="21"/>
  <c r="FJ15" i="21"/>
  <c r="FM15" i="21"/>
  <c r="EU15" i="21"/>
  <c r="FG15" i="21"/>
  <c r="DA15" i="21"/>
  <c r="DY15" i="21"/>
  <c r="EP15" i="21"/>
  <c r="EY15" i="21"/>
  <c r="FF15" i="21"/>
  <c r="CZ15" i="21"/>
  <c r="EX15" i="21"/>
  <c r="ET15" i="21"/>
  <c r="FH15" i="21"/>
  <c r="FI15" i="21"/>
  <c r="EL15" i="21"/>
  <c r="DH15" i="21"/>
  <c r="EE15" i="21"/>
  <c r="FB15" i="21"/>
  <c r="EC15" i="21"/>
  <c r="EJ15" i="21"/>
  <c r="EU43" i="21" l="1"/>
  <c r="EY43" i="21"/>
  <c r="ET43" i="21"/>
  <c r="ES43" i="21"/>
  <c r="ER43" i="21"/>
  <c r="EB43" i="21"/>
  <c r="DX43" i="21"/>
  <c r="DW43" i="21"/>
  <c r="DV43" i="21"/>
  <c r="DU43" i="21"/>
  <c r="EK43" i="21" l="1"/>
  <c r="FH43" i="21"/>
  <c r="EL43" i="21"/>
  <c r="FI43" i="21"/>
  <c r="Q46" i="50" l="1"/>
  <c r="Q46" i="51"/>
  <c r="Q46" i="47"/>
  <c r="Q46" i="46"/>
  <c r="Q46" i="45"/>
  <c r="Q46" i="42"/>
  <c r="Q46" i="43"/>
  <c r="Q46" i="39"/>
  <c r="Q46" i="44"/>
  <c r="Q46" i="41"/>
  <c r="Q46" i="38"/>
  <c r="Q46" i="37"/>
  <c r="Q46" i="40"/>
  <c r="Q46" i="36"/>
  <c r="Q46" i="30"/>
  <c r="Q46" i="34"/>
  <c r="Q46" i="32"/>
  <c r="Q46" i="28"/>
  <c r="Q46" i="31"/>
  <c r="Q46" i="29"/>
  <c r="Q46" i="26"/>
  <c r="Q46" i="25"/>
  <c r="Q46" i="33"/>
  <c r="Q46" i="27"/>
  <c r="Q46" i="24"/>
  <c r="Q46" i="35"/>
  <c r="Q47" i="23" l="1"/>
  <c r="Q49" i="23"/>
  <c r="Q50" i="23"/>
  <c r="Q52" i="23"/>
  <c r="Q54" i="23"/>
  <c r="Q56" i="23"/>
  <c r="Q51" i="23"/>
  <c r="Q57" i="23"/>
  <c r="Q48" i="23"/>
  <c r="Q53" i="23"/>
  <c r="Q55" i="23"/>
  <c r="Q46" i="23"/>
  <c r="Q46" i="48"/>
  <c r="Q48" i="48"/>
  <c r="Q50" i="48"/>
  <c r="Q57" i="48"/>
  <c r="Q47" i="48"/>
  <c r="Q54" i="48"/>
  <c r="Q55" i="48"/>
  <c r="Q49" i="48"/>
  <c r="Q56" i="48"/>
  <c r="Q53" i="48"/>
  <c r="Q51" i="48"/>
  <c r="Q52" i="48"/>
  <c r="Q54" i="49"/>
  <c r="Q56" i="49"/>
  <c r="Q46" i="49"/>
  <c r="Q47" i="49"/>
  <c r="Q53" i="49"/>
  <c r="Q49" i="49"/>
  <c r="Q55" i="49"/>
  <c r="Q57" i="49"/>
  <c r="Q51" i="49"/>
  <c r="Q48" i="49"/>
  <c r="Q50" i="49"/>
  <c r="Q52" i="49"/>
  <c r="E42" i="6" l="1"/>
  <c r="H42" i="6"/>
  <c r="M42" i="6" s="1"/>
  <c r="K42" i="6"/>
  <c r="U44" i="20" l="1"/>
  <c r="U60" i="20" l="1"/>
  <c r="Q117" i="20" l="1"/>
  <c r="Q93" i="20"/>
  <c r="Q127" i="20"/>
  <c r="J6" i="20" l="1"/>
  <c r="J29" i="20" l="1"/>
  <c r="X29" i="20" s="1"/>
  <c r="I39" i="20"/>
  <c r="I17" i="20"/>
  <c r="X17" i="20" s="1"/>
  <c r="J14" i="20"/>
  <c r="J10" i="20"/>
  <c r="X10" i="20" s="1"/>
  <c r="J9" i="20"/>
  <c r="I5" i="20"/>
  <c r="I4" i="20"/>
  <c r="O44" i="20"/>
  <c r="K39" i="20"/>
  <c r="K44" i="20"/>
  <c r="K60" i="20" s="1"/>
  <c r="F21" i="20"/>
  <c r="M44" i="20"/>
  <c r="I44" i="20" l="1"/>
  <c r="W44" i="20" s="1"/>
  <c r="W60" i="20" s="1"/>
  <c r="R173" i="20"/>
  <c r="X9" i="20"/>
  <c r="X39" i="20"/>
  <c r="W14" i="20"/>
  <c r="X14" i="20"/>
  <c r="R142" i="20"/>
  <c r="W17" i="20"/>
  <c r="W29" i="20"/>
  <c r="K4" i="20"/>
  <c r="I93" i="20"/>
  <c r="I127" i="20"/>
  <c r="I117" i="20"/>
  <c r="O60" i="20"/>
  <c r="M60" i="20"/>
  <c r="X44" i="20" l="1"/>
  <c r="I60" i="20"/>
  <c r="K93" i="20"/>
  <c r="K127" i="20"/>
  <c r="K117" i="20"/>
  <c r="W119" i="20"/>
  <c r="W117" i="20"/>
  <c r="W123" i="20" l="1"/>
  <c r="W67" i="20"/>
  <c r="X67" i="20" s="1"/>
  <c r="W120" i="20"/>
  <c r="W118" i="20"/>
  <c r="W86" i="20"/>
  <c r="W127" i="20"/>
  <c r="W93" i="20"/>
  <c r="W89" i="20" l="1"/>
  <c r="W87" i="20"/>
  <c r="W84" i="20"/>
  <c r="W83" i="20"/>
  <c r="W85" i="20"/>
  <c r="W88" i="20"/>
  <c r="I33" i="71" l="1"/>
  <c r="I31" i="71"/>
  <c r="I32" i="71"/>
  <c r="J27" i="71" l="1"/>
  <c r="L31" i="71"/>
  <c r="L33" i="71"/>
  <c r="L32" i="71"/>
  <c r="CY13" i="21" l="1"/>
  <c r="M27" i="71"/>
  <c r="O32" i="71"/>
  <c r="O33" i="71"/>
  <c r="O31" i="71"/>
  <c r="DV13" i="21" l="1"/>
  <c r="P27" i="71"/>
  <c r="E17" i="58" l="1"/>
  <c r="D17" i="58"/>
  <c r="ES13" i="21"/>
  <c r="N17" i="58" l="1"/>
  <c r="I30" i="70" l="1"/>
  <c r="J27" i="70" s="1"/>
  <c r="N30" i="70"/>
  <c r="O30" i="70" s="1"/>
  <c r="P27" i="70" s="1"/>
  <c r="ER13" i="21" s="1"/>
  <c r="K30" i="70"/>
  <c r="L30" i="70" s="1"/>
  <c r="M27" i="70" s="1"/>
  <c r="CX13" i="21" l="1"/>
  <c r="DU13" i="21"/>
  <c r="D17" i="57" l="1"/>
  <c r="U17" i="57" s="1"/>
  <c r="O14" i="101" l="1"/>
  <c r="P13" i="101" s="1"/>
  <c r="I14" i="101"/>
  <c r="L14" i="101"/>
  <c r="M13" i="101" s="1"/>
  <c r="J13" i="101" l="1"/>
  <c r="P1" i="101"/>
  <c r="M1" i="101"/>
  <c r="J1" i="101" l="1"/>
  <c r="K1" i="101" s="1"/>
  <c r="N1" i="101"/>
  <c r="X59" i="20" l="1"/>
  <c r="W136" i="20" s="1"/>
  <c r="CL30" i="21" l="1"/>
  <c r="CF30" i="21"/>
  <c r="CQ30" i="21"/>
  <c r="CA30" i="21"/>
  <c r="CK30" i="21"/>
  <c r="CC30" i="21"/>
  <c r="CG30" i="21"/>
  <c r="BR30" i="21"/>
  <c r="BQ30" i="21"/>
  <c r="BT30" i="21"/>
  <c r="BX30" i="21"/>
  <c r="CN30" i="21"/>
  <c r="BV30" i="21"/>
  <c r="CO30" i="21"/>
  <c r="BY30" i="21"/>
  <c r="CT30" i="21"/>
  <c r="BS30" i="21"/>
  <c r="CM30" i="21"/>
  <c r="BU30" i="21"/>
  <c r="BZ30" i="21"/>
  <c r="CB30" i="21"/>
  <c r="CH30" i="21"/>
  <c r="CR30" i="21"/>
  <c r="BP30" i="21"/>
  <c r="CJ30" i="21"/>
  <c r="CP30" i="21"/>
  <c r="CE30" i="21"/>
  <c r="CS30" i="21"/>
  <c r="BW30" i="21"/>
  <c r="BD30" i="21" l="1"/>
  <c r="BH30" i="21"/>
  <c r="X30" i="21"/>
  <c r="I30" i="21"/>
  <c r="BF30" i="21"/>
  <c r="P30" i="21"/>
  <c r="Q30" i="21"/>
  <c r="AC30" i="21"/>
  <c r="D30" i="21"/>
  <c r="BJ30" i="21"/>
  <c r="L30" i="21"/>
  <c r="AF30" i="21"/>
  <c r="E30" i="21"/>
  <c r="AS30" i="21"/>
  <c r="H30" i="21"/>
  <c r="AD30" i="21"/>
  <c r="J30" i="21"/>
  <c r="AW30" i="21"/>
  <c r="BG30" i="21"/>
  <c r="AQ30" i="21"/>
  <c r="V30" i="21"/>
  <c r="N30" i="21"/>
  <c r="S30" i="21"/>
  <c r="AM30" i="21"/>
  <c r="AG30" i="21"/>
  <c r="T30" i="21"/>
  <c r="AU30" i="21"/>
  <c r="O30" i="21"/>
  <c r="BB30" i="21"/>
  <c r="AP30" i="21"/>
  <c r="AL30" i="21"/>
  <c r="AO30" i="21"/>
  <c r="Y30" i="21"/>
  <c r="BE30" i="21"/>
  <c r="BI30" i="21"/>
  <c r="BA30" i="21"/>
  <c r="AE30" i="21"/>
  <c r="AB30" i="21"/>
  <c r="AK30" i="21"/>
  <c r="AJ30" i="21"/>
  <c r="AV30" i="21"/>
  <c r="AA30" i="21"/>
  <c r="AZ30" i="21"/>
  <c r="AR30" i="21"/>
  <c r="U30" i="21"/>
  <c r="BL30" i="21"/>
  <c r="AN30" i="21"/>
  <c r="BM30" i="21"/>
  <c r="M30" i="21"/>
  <c r="G30" i="21"/>
  <c r="F30" i="21"/>
  <c r="AY30" i="21"/>
  <c r="K30" i="21"/>
  <c r="BN30" i="21"/>
  <c r="Z30" i="21"/>
  <c r="BK30" i="21"/>
  <c r="AT30" i="21"/>
  <c r="C10" i="25" l="1"/>
  <c r="C10" i="41"/>
  <c r="C10" i="37"/>
  <c r="C10" i="40"/>
  <c r="C9" i="49"/>
  <c r="O45" i="12"/>
  <c r="C9" i="42"/>
  <c r="C9" i="22"/>
  <c r="C9" i="47"/>
  <c r="C9" i="48"/>
  <c r="C10" i="35"/>
  <c r="C10" i="48"/>
  <c r="C9" i="34"/>
  <c r="C10" i="49"/>
  <c r="C9" i="40"/>
  <c r="O44" i="12"/>
  <c r="C9" i="28"/>
  <c r="C10" i="51"/>
  <c r="C9" i="26"/>
  <c r="C10" i="22"/>
  <c r="C10" i="27"/>
  <c r="C10" i="32"/>
  <c r="C10" i="38"/>
  <c r="C9" i="41"/>
  <c r="C10" i="39"/>
  <c r="C10" i="36"/>
  <c r="O43" i="12"/>
  <c r="C9" i="37"/>
  <c r="O15" i="12"/>
  <c r="C9" i="50"/>
  <c r="C10" i="33"/>
  <c r="C9" i="27"/>
  <c r="C10" i="50"/>
  <c r="C9" i="43"/>
  <c r="C9" i="35"/>
  <c r="C10" i="28"/>
  <c r="C10" i="43"/>
  <c r="C9" i="44"/>
  <c r="C9" i="30"/>
  <c r="C10" i="23"/>
  <c r="C10" i="26"/>
  <c r="C10" i="42"/>
  <c r="C10" i="47"/>
  <c r="O47" i="12"/>
  <c r="C10" i="34"/>
  <c r="C10" i="45"/>
  <c r="C9" i="45"/>
  <c r="C10" i="31"/>
  <c r="C9" i="33"/>
  <c r="C9" i="25"/>
  <c r="C10" i="30"/>
  <c r="C9" i="23"/>
  <c r="C9" i="31"/>
  <c r="C10" i="24"/>
  <c r="C9" i="39"/>
  <c r="B9" i="10"/>
  <c r="C9" i="38"/>
  <c r="C10" i="46"/>
  <c r="C9" i="24"/>
  <c r="C9" i="36"/>
  <c r="O46" i="12"/>
  <c r="C9" i="29"/>
  <c r="C10" i="29"/>
  <c r="C9" i="51"/>
  <c r="C9" i="32"/>
  <c r="C9" i="46"/>
  <c r="C10" i="44"/>
  <c r="B9" i="8"/>
  <c r="G9" i="36"/>
  <c r="I9" i="36" s="1"/>
  <c r="J7" i="36" s="1"/>
  <c r="O24" i="12"/>
  <c r="G9" i="30" s="1"/>
  <c r="O36" i="12"/>
  <c r="G9" i="43" s="1"/>
  <c r="O39" i="12"/>
  <c r="G10" i="45" s="1"/>
  <c r="O35" i="12"/>
  <c r="G9" i="42" s="1"/>
  <c r="BD7" i="21" s="1"/>
  <c r="F9" i="10" s="1"/>
  <c r="O21" i="12"/>
  <c r="G9" i="27" s="1"/>
  <c r="G9" i="47"/>
  <c r="I9" i="47" s="1"/>
  <c r="G9" i="22"/>
  <c r="O18" i="12"/>
  <c r="G9" i="24" s="1"/>
  <c r="O19" i="12"/>
  <c r="G9" i="25" s="1"/>
  <c r="O9" i="25" s="1"/>
  <c r="O29" i="12"/>
  <c r="G9" i="35" s="1"/>
  <c r="O33" i="12"/>
  <c r="G9" i="40" s="1"/>
  <c r="O26" i="12"/>
  <c r="G9" i="32" s="1"/>
  <c r="O27" i="12"/>
  <c r="G9" i="33" s="1"/>
  <c r="L9" i="33" s="1"/>
  <c r="O42" i="12"/>
  <c r="G9" i="49" s="1"/>
  <c r="D72" i="31"/>
  <c r="O73" i="31" s="1"/>
  <c r="D61" i="44"/>
  <c r="G62" i="44" s="1"/>
  <c r="D24" i="36"/>
  <c r="D61" i="23"/>
  <c r="O32" i="12"/>
  <c r="G9" i="39" s="1"/>
  <c r="G9" i="23"/>
  <c r="L9" i="23" s="1"/>
  <c r="K70" i="23" s="1"/>
  <c r="M69" i="23" s="1"/>
  <c r="AK19" i="21" s="1"/>
  <c r="O31" i="12"/>
  <c r="G9" i="37" s="1"/>
  <c r="S68" i="40"/>
  <c r="M67" i="40" s="1"/>
  <c r="BB18" i="21" s="1"/>
  <c r="R68" i="33"/>
  <c r="J67" i="33" s="1"/>
  <c r="O18" i="21" s="1"/>
  <c r="O28" i="12"/>
  <c r="G9" i="34" s="1"/>
  <c r="I9" i="34" s="1"/>
  <c r="D72" i="23"/>
  <c r="D61" i="41"/>
  <c r="G62" i="41" s="1"/>
  <c r="O38" i="12"/>
  <c r="G9" i="45" s="1"/>
  <c r="O23" i="12"/>
  <c r="G9" i="29" s="1"/>
  <c r="O34" i="12"/>
  <c r="G9" i="41" s="1"/>
  <c r="O9" i="41" s="1"/>
  <c r="F6" i="15"/>
  <c r="O37" i="12"/>
  <c r="G9" i="44" s="1"/>
  <c r="L9" i="44" s="1"/>
  <c r="O20" i="12"/>
  <c r="F36" i="18" s="1"/>
  <c r="H36" i="18" s="1"/>
  <c r="H39" i="18" s="1"/>
  <c r="O40" i="12"/>
  <c r="G9" i="46" s="1"/>
  <c r="L9" i="46" s="1"/>
  <c r="O22" i="12"/>
  <c r="G9" i="28" s="1"/>
  <c r="P67" i="35"/>
  <c r="CC18" i="21" s="1"/>
  <c r="D61" i="36"/>
  <c r="O25" i="12"/>
  <c r="G9" i="31" s="1"/>
  <c r="D35" i="42"/>
  <c r="G36" i="42" s="1"/>
  <c r="D30" i="45"/>
  <c r="D72" i="40"/>
  <c r="O73" i="40" s="1"/>
  <c r="D72" i="24"/>
  <c r="O73" i="24" s="1"/>
  <c r="D72" i="72"/>
  <c r="I73" i="72" s="1"/>
  <c r="D72" i="38"/>
  <c r="O48" i="12"/>
  <c r="G11" i="41" s="1"/>
  <c r="I11" i="41" s="1"/>
  <c r="R10" i="41" s="1"/>
  <c r="D35" i="23"/>
  <c r="Q49" i="96"/>
  <c r="J29" i="15" l="1"/>
  <c r="M29" i="15" s="1"/>
  <c r="J11" i="15"/>
  <c r="M11" i="15" s="1"/>
  <c r="D30" i="42"/>
  <c r="O30" i="42" s="1"/>
  <c r="L9" i="29"/>
  <c r="K70" i="29" s="1"/>
  <c r="M69" i="29" s="1"/>
  <c r="AQ19" i="21" s="1"/>
  <c r="O9" i="29"/>
  <c r="BW8" i="21" s="1"/>
  <c r="BW48" i="21" s="1"/>
  <c r="G11" i="50"/>
  <c r="I11" i="50" s="1"/>
  <c r="R10" i="50" s="1"/>
  <c r="AG9" i="21" s="1"/>
  <c r="AG11" i="21" s="1"/>
  <c r="O9" i="36"/>
  <c r="P7" i="36" s="1"/>
  <c r="G9" i="48"/>
  <c r="I9" i="48" s="1"/>
  <c r="H70" i="48" s="1"/>
  <c r="J69" i="48" s="1"/>
  <c r="AD19" i="21" s="1"/>
  <c r="G11" i="31"/>
  <c r="O11" i="31" s="1"/>
  <c r="T10" i="31" s="1"/>
  <c r="BY9" i="21" s="1"/>
  <c r="D30" i="40"/>
  <c r="L30" i="40" s="1"/>
  <c r="O62" i="44"/>
  <c r="I62" i="44"/>
  <c r="L62" i="44"/>
  <c r="N7" i="21"/>
  <c r="BZ7" i="21"/>
  <c r="I9" i="32"/>
  <c r="AT7" i="21"/>
  <c r="L9" i="32"/>
  <c r="O9" i="32"/>
  <c r="J7" i="47"/>
  <c r="AC8" i="21"/>
  <c r="H70" i="47"/>
  <c r="J69" i="47" s="1"/>
  <c r="AC19" i="21" s="1"/>
  <c r="L7" i="21"/>
  <c r="AR7" i="21"/>
  <c r="L9" i="30"/>
  <c r="BX7" i="21"/>
  <c r="I9" i="30"/>
  <c r="O9" i="30"/>
  <c r="O74" i="38"/>
  <c r="L74" i="38"/>
  <c r="I74" i="38"/>
  <c r="I73" i="38"/>
  <c r="O73" i="38"/>
  <c r="L73" i="38"/>
  <c r="BH8" i="21"/>
  <c r="K70" i="46"/>
  <c r="M69" i="46" s="1"/>
  <c r="BH19" i="21" s="1"/>
  <c r="M7" i="46"/>
  <c r="BB7" i="21"/>
  <c r="CH7" i="21"/>
  <c r="V7" i="21"/>
  <c r="L9" i="40"/>
  <c r="O9" i="40"/>
  <c r="I9" i="40"/>
  <c r="Q7" i="21"/>
  <c r="CC7" i="21"/>
  <c r="AW7" i="21"/>
  <c r="O9" i="35"/>
  <c r="I9" i="35"/>
  <c r="L9" i="35"/>
  <c r="I62" i="41"/>
  <c r="L62" i="41"/>
  <c r="O62" i="41"/>
  <c r="H70" i="34"/>
  <c r="J69" i="34" s="1"/>
  <c r="P19" i="21" s="1"/>
  <c r="J7" i="34"/>
  <c r="P8" i="21"/>
  <c r="I36" i="42"/>
  <c r="O36" i="42"/>
  <c r="L36" i="42"/>
  <c r="CG7" i="21"/>
  <c r="BA7" i="21"/>
  <c r="U7" i="21"/>
  <c r="L9" i="39"/>
  <c r="O9" i="39"/>
  <c r="I9" i="39"/>
  <c r="CQ7" i="21"/>
  <c r="BK7" i="21"/>
  <c r="AE7" i="21"/>
  <c r="O9" i="49"/>
  <c r="I9" i="49"/>
  <c r="L9" i="49"/>
  <c r="J7" i="21"/>
  <c r="BV7" i="21"/>
  <c r="O9" i="28"/>
  <c r="L9" i="28"/>
  <c r="I9" i="28"/>
  <c r="AP7" i="21"/>
  <c r="O30" i="45"/>
  <c r="I30" i="45"/>
  <c r="L30" i="45"/>
  <c r="BS8" i="21"/>
  <c r="P7" i="25"/>
  <c r="N70" i="25"/>
  <c r="P69" i="25" s="1"/>
  <c r="BS19" i="21" s="1"/>
  <c r="G42" i="23"/>
  <c r="G41" i="23"/>
  <c r="G40" i="23"/>
  <c r="G38" i="23"/>
  <c r="G39" i="23"/>
  <c r="G37" i="23"/>
  <c r="G36" i="23"/>
  <c r="AU8" i="21"/>
  <c r="M7" i="33"/>
  <c r="K70" i="33"/>
  <c r="M69" i="33" s="1"/>
  <c r="AU19" i="21" s="1"/>
  <c r="BR7" i="21"/>
  <c r="F7" i="21"/>
  <c r="AL7" i="21"/>
  <c r="L9" i="24"/>
  <c r="O9" i="24"/>
  <c r="I9" i="24"/>
  <c r="O10" i="45"/>
  <c r="I10" i="45"/>
  <c r="L10" i="45"/>
  <c r="S7" i="21"/>
  <c r="CE7" i="21"/>
  <c r="AY7" i="21"/>
  <c r="I9" i="37"/>
  <c r="O9" i="37"/>
  <c r="L9" i="37"/>
  <c r="BF8" i="21"/>
  <c r="M7" i="44"/>
  <c r="K70" i="44"/>
  <c r="M69" i="44" s="1"/>
  <c r="BF19" i="21" s="1"/>
  <c r="AS7" i="21"/>
  <c r="BY7" i="21"/>
  <c r="M7" i="21"/>
  <c r="O9" i="31"/>
  <c r="I9" i="31"/>
  <c r="L9" i="31"/>
  <c r="BG7" i="21"/>
  <c r="T11" i="20" s="1"/>
  <c r="S118" i="20" s="1"/>
  <c r="CM7" i="21"/>
  <c r="AA7" i="21"/>
  <c r="I9" i="45"/>
  <c r="O9" i="45"/>
  <c r="L9" i="45"/>
  <c r="G26" i="36"/>
  <c r="G25" i="36"/>
  <c r="BP7" i="21"/>
  <c r="D7" i="21"/>
  <c r="O9" i="22"/>
  <c r="I9" i="22"/>
  <c r="AJ7" i="21"/>
  <c r="L9" i="22"/>
  <c r="Y7" i="21"/>
  <c r="CK7" i="21"/>
  <c r="O9" i="43"/>
  <c r="BE7" i="21"/>
  <c r="I9" i="43"/>
  <c r="L9" i="43"/>
  <c r="G64" i="23"/>
  <c r="G63" i="23"/>
  <c r="G11" i="32"/>
  <c r="G11" i="45"/>
  <c r="G11" i="25"/>
  <c r="G11" i="39"/>
  <c r="G11" i="46"/>
  <c r="G11" i="43"/>
  <c r="G11" i="51"/>
  <c r="G11" i="34"/>
  <c r="O74" i="72"/>
  <c r="L74" i="72"/>
  <c r="I74" i="72"/>
  <c r="J71" i="72" s="1"/>
  <c r="CZ20" i="21" s="1"/>
  <c r="O73" i="72"/>
  <c r="D30" i="30"/>
  <c r="G10" i="32"/>
  <c r="G63" i="36"/>
  <c r="G64" i="36"/>
  <c r="D72" i="29"/>
  <c r="G11" i="47"/>
  <c r="D61" i="24"/>
  <c r="L11" i="41"/>
  <c r="S10" i="41" s="1"/>
  <c r="D72" i="28"/>
  <c r="R68" i="42"/>
  <c r="J67" i="42" s="1"/>
  <c r="X18" i="21" s="1"/>
  <c r="D72" i="80"/>
  <c r="D72" i="70"/>
  <c r="D72" i="36"/>
  <c r="BU7" i="21"/>
  <c r="I7" i="21"/>
  <c r="AO7" i="21"/>
  <c r="L9" i="27"/>
  <c r="I9" i="27"/>
  <c r="G11" i="29"/>
  <c r="D35" i="26"/>
  <c r="D35" i="37"/>
  <c r="D72" i="78"/>
  <c r="D72" i="84"/>
  <c r="D30" i="50"/>
  <c r="D72" i="42"/>
  <c r="S68" i="46"/>
  <c r="M67" i="46" s="1"/>
  <c r="BH18" i="21" s="1"/>
  <c r="L9" i="47"/>
  <c r="D24" i="48"/>
  <c r="L9" i="34"/>
  <c r="R68" i="44"/>
  <c r="J67" i="44" s="1"/>
  <c r="Z18" i="21" s="1"/>
  <c r="O9" i="34"/>
  <c r="L74" i="23"/>
  <c r="O74" i="23"/>
  <c r="I74" i="23"/>
  <c r="L73" i="23"/>
  <c r="L73" i="24"/>
  <c r="D30" i="29"/>
  <c r="D30" i="23"/>
  <c r="D30" i="35"/>
  <c r="D30" i="37"/>
  <c r="D30" i="25"/>
  <c r="D30" i="31"/>
  <c r="D30" i="24"/>
  <c r="D30" i="46"/>
  <c r="G11" i="24"/>
  <c r="O11" i="41"/>
  <c r="T10" i="41" s="1"/>
  <c r="I73" i="23"/>
  <c r="D61" i="28"/>
  <c r="G9" i="38"/>
  <c r="D72" i="76"/>
  <c r="G62" i="23"/>
  <c r="D35" i="45"/>
  <c r="D72" i="33"/>
  <c r="D35" i="31"/>
  <c r="G11" i="36"/>
  <c r="D72" i="50"/>
  <c r="D61" i="22"/>
  <c r="T68" i="109"/>
  <c r="P67" i="109" s="1"/>
  <c r="FB18" i="21" s="1"/>
  <c r="S68" i="45"/>
  <c r="M67" i="45" s="1"/>
  <c r="BG18" i="21" s="1"/>
  <c r="D24" i="37"/>
  <c r="G25" i="37" s="1"/>
  <c r="D61" i="43"/>
  <c r="D72" i="34"/>
  <c r="T68" i="49"/>
  <c r="P67" i="49" s="1"/>
  <c r="CQ18" i="21" s="1"/>
  <c r="D35" i="41"/>
  <c r="L73" i="40"/>
  <c r="D72" i="30"/>
  <c r="D72" i="71"/>
  <c r="R68" i="47"/>
  <c r="J67" i="47" s="1"/>
  <c r="AC18" i="21" s="1"/>
  <c r="D30" i="47"/>
  <c r="BI7" i="21"/>
  <c r="AC7" i="21"/>
  <c r="CO7" i="21"/>
  <c r="O9" i="47"/>
  <c r="D61" i="38"/>
  <c r="J67" i="81"/>
  <c r="DJ18" i="21" s="1"/>
  <c r="D24" i="35"/>
  <c r="T68" i="40"/>
  <c r="P67" i="40" s="1"/>
  <c r="CH18" i="21" s="1"/>
  <c r="I74" i="24"/>
  <c r="O74" i="24"/>
  <c r="P71" i="24" s="1"/>
  <c r="BR20" i="21" s="1"/>
  <c r="L74" i="24"/>
  <c r="I73" i="24"/>
  <c r="AB7" i="21"/>
  <c r="CN7" i="21"/>
  <c r="BH7" i="21"/>
  <c r="I9" i="46"/>
  <c r="O9" i="46"/>
  <c r="J18" i="15"/>
  <c r="J16" i="15"/>
  <c r="J38" i="15"/>
  <c r="J31" i="15"/>
  <c r="J32" i="15"/>
  <c r="J25" i="15"/>
  <c r="J17" i="15"/>
  <c r="J37" i="15"/>
  <c r="J22" i="15"/>
  <c r="M22" i="15" s="1"/>
  <c r="J14" i="15"/>
  <c r="M14" i="15" s="1"/>
  <c r="J30" i="15"/>
  <c r="M30" i="15" s="1"/>
  <c r="J12" i="15"/>
  <c r="M12" i="15" s="1"/>
  <c r="J15" i="15"/>
  <c r="M15" i="15" s="1"/>
  <c r="J23" i="15"/>
  <c r="M23" i="15" s="1"/>
  <c r="J36" i="15"/>
  <c r="M36" i="15" s="1"/>
  <c r="N33" i="15" s="1"/>
  <c r="I74" i="31"/>
  <c r="L74" i="31"/>
  <c r="O74" i="31"/>
  <c r="P71" i="31" s="1"/>
  <c r="BY20" i="21" s="1"/>
  <c r="L73" i="31"/>
  <c r="M41" i="96"/>
  <c r="T68" i="51"/>
  <c r="Q52" i="96"/>
  <c r="M40" i="96"/>
  <c r="S68" i="50"/>
  <c r="Q26" i="96"/>
  <c r="Q45" i="96"/>
  <c r="Q79" i="96"/>
  <c r="R68" i="50"/>
  <c r="Q50" i="96"/>
  <c r="M73" i="96"/>
  <c r="Q84" i="96"/>
  <c r="S68" i="51"/>
  <c r="Q28" i="96"/>
  <c r="R68" i="51"/>
  <c r="T68" i="50"/>
  <c r="M72" i="96"/>
  <c r="Q25" i="96"/>
  <c r="S68" i="23"/>
  <c r="M67" i="23" s="1"/>
  <c r="AK18" i="21" s="1"/>
  <c r="R68" i="49"/>
  <c r="J67" i="49" s="1"/>
  <c r="AE18" i="21" s="1"/>
  <c r="S68" i="109"/>
  <c r="M67" i="109" s="1"/>
  <c r="EE18" i="21" s="1"/>
  <c r="S68" i="48"/>
  <c r="M67" i="48" s="1"/>
  <c r="BJ18" i="21" s="1"/>
  <c r="T68" i="75"/>
  <c r="P67" i="75" s="1"/>
  <c r="EW18" i="21" s="1"/>
  <c r="S68" i="33"/>
  <c r="M67" i="33" s="1"/>
  <c r="AU18" i="21" s="1"/>
  <c r="R68" i="73"/>
  <c r="J67" i="73" s="1"/>
  <c r="DA18" i="21" s="1"/>
  <c r="R68" i="75"/>
  <c r="J67" i="75" s="1"/>
  <c r="DC18" i="21" s="1"/>
  <c r="R68" i="72"/>
  <c r="J67" i="72" s="1"/>
  <c r="CZ18" i="21" s="1"/>
  <c r="R68" i="109"/>
  <c r="J67" i="109" s="1"/>
  <c r="DH18" i="21" s="1"/>
  <c r="S68" i="76"/>
  <c r="M67" i="76" s="1"/>
  <c r="EA18" i="21" s="1"/>
  <c r="M71" i="96"/>
  <c r="T68" i="31"/>
  <c r="P67" i="31" s="1"/>
  <c r="BY18" i="21" s="1"/>
  <c r="S68" i="75"/>
  <c r="M67" i="75" s="1"/>
  <c r="DZ18" i="21" s="1"/>
  <c r="S68" i="30"/>
  <c r="M67" i="30" s="1"/>
  <c r="AR18" i="21" s="1"/>
  <c r="R68" i="36"/>
  <c r="J67" i="36" s="1"/>
  <c r="S68" i="34"/>
  <c r="M67" i="34" s="1"/>
  <c r="AV18" i="21" s="1"/>
  <c r="S68" i="74"/>
  <c r="M67" i="74" s="1"/>
  <c r="DY18" i="21" s="1"/>
  <c r="T68" i="26"/>
  <c r="P67" i="26" s="1"/>
  <c r="BT18" i="21" s="1"/>
  <c r="T68" i="45"/>
  <c r="P67" i="45" s="1"/>
  <c r="CM18" i="21" s="1"/>
  <c r="T68" i="32"/>
  <c r="P67" i="32" s="1"/>
  <c r="BZ18" i="21" s="1"/>
  <c r="R68" i="29"/>
  <c r="J67" i="29" s="1"/>
  <c r="K18" i="21" s="1"/>
  <c r="S68" i="47"/>
  <c r="M67" i="47" s="1"/>
  <c r="BI18" i="21" s="1"/>
  <c r="T68" i="23"/>
  <c r="P67" i="23" s="1"/>
  <c r="BQ18" i="21" s="1"/>
  <c r="R68" i="31"/>
  <c r="J67" i="31" s="1"/>
  <c r="M18" i="21" s="1"/>
  <c r="T68" i="28"/>
  <c r="P67" i="28" s="1"/>
  <c r="BV18" i="21" s="1"/>
  <c r="T68" i="41"/>
  <c r="P67" i="41" s="1"/>
  <c r="M67" i="81"/>
  <c r="EG18" i="21" s="1"/>
  <c r="T68" i="43"/>
  <c r="P67" i="43" s="1"/>
  <c r="CK18" i="21" s="1"/>
  <c r="S68" i="27"/>
  <c r="M67" i="27" s="1"/>
  <c r="AO18" i="21" s="1"/>
  <c r="R68" i="25"/>
  <c r="J67" i="25" s="1"/>
  <c r="G18" i="21" s="1"/>
  <c r="T68" i="29"/>
  <c r="P67" i="29" s="1"/>
  <c r="BW18" i="21" s="1"/>
  <c r="T68" i="74"/>
  <c r="P67" i="74" s="1"/>
  <c r="EV18" i="21" s="1"/>
  <c r="M39" i="96"/>
  <c r="R68" i="34"/>
  <c r="J67" i="34" s="1"/>
  <c r="P18" i="21" s="1"/>
  <c r="R68" i="71"/>
  <c r="J67" i="71" s="1"/>
  <c r="CY18" i="21" s="1"/>
  <c r="S68" i="37"/>
  <c r="M67" i="37" s="1"/>
  <c r="AY18" i="21" s="1"/>
  <c r="S68" i="43"/>
  <c r="M67" i="43" s="1"/>
  <c r="BE18" i="21" s="1"/>
  <c r="T68" i="38"/>
  <c r="P67" i="38" s="1"/>
  <c r="CF18" i="21" s="1"/>
  <c r="R68" i="48"/>
  <c r="J67" i="48" s="1"/>
  <c r="AD18" i="21" s="1"/>
  <c r="T68" i="42"/>
  <c r="P67" i="42" s="1"/>
  <c r="CJ18" i="21" s="1"/>
  <c r="T68" i="27"/>
  <c r="P67" i="27" s="1"/>
  <c r="BU18" i="21" s="1"/>
  <c r="R68" i="46"/>
  <c r="J67" i="46" s="1"/>
  <c r="AB18" i="21" s="1"/>
  <c r="R68" i="38"/>
  <c r="J67" i="38" s="1"/>
  <c r="T18" i="21" s="1"/>
  <c r="S68" i="49"/>
  <c r="M67" i="49" s="1"/>
  <c r="BK18" i="21" s="1"/>
  <c r="R68" i="27"/>
  <c r="J67" i="27" s="1"/>
  <c r="I18" i="21" s="1"/>
  <c r="T68" i="80"/>
  <c r="P67" i="80" s="1"/>
  <c r="FC18" i="21" s="1"/>
  <c r="R68" i="74"/>
  <c r="J67" i="74" s="1"/>
  <c r="DB18" i="21" s="1"/>
  <c r="T68" i="46"/>
  <c r="P67" i="46" s="1"/>
  <c r="CN18" i="21" s="1"/>
  <c r="R68" i="70"/>
  <c r="J67" i="70" s="1"/>
  <c r="CX18" i="21" s="1"/>
  <c r="J67" i="22"/>
  <c r="D18" i="21" s="1"/>
  <c r="R68" i="37"/>
  <c r="J67" i="37" s="1"/>
  <c r="S18" i="21" s="1"/>
  <c r="S68" i="26"/>
  <c r="M67" i="26" s="1"/>
  <c r="AN18" i="21" s="1"/>
  <c r="T68" i="44"/>
  <c r="P67" i="44" s="1"/>
  <c r="CL18" i="21" s="1"/>
  <c r="S68" i="39"/>
  <c r="M67" i="39" s="1"/>
  <c r="BA18" i="21" s="1"/>
  <c r="D61" i="29"/>
  <c r="S68" i="24"/>
  <c r="M67" i="24" s="1"/>
  <c r="AL18" i="21" s="1"/>
  <c r="T68" i="25"/>
  <c r="P67" i="25" s="1"/>
  <c r="BS18" i="21" s="1"/>
  <c r="R68" i="40"/>
  <c r="J67" i="40" s="1"/>
  <c r="V18" i="21" s="1"/>
  <c r="R68" i="23"/>
  <c r="J67" i="23" s="1"/>
  <c r="E18" i="21" s="1"/>
  <c r="S68" i="44"/>
  <c r="M67" i="44" s="1"/>
  <c r="BF18" i="21" s="1"/>
  <c r="T68" i="33"/>
  <c r="P67" i="33" s="1"/>
  <c r="CA18" i="21" s="1"/>
  <c r="R68" i="43"/>
  <c r="J67" i="43" s="1"/>
  <c r="Y18" i="21" s="1"/>
  <c r="D35" i="35"/>
  <c r="D61" i="26"/>
  <c r="S68" i="80"/>
  <c r="M67" i="80" s="1"/>
  <c r="EF18" i="21" s="1"/>
  <c r="M67" i="22"/>
  <c r="AJ18" i="21" s="1"/>
  <c r="R68" i="80"/>
  <c r="J67" i="80" s="1"/>
  <c r="DI18" i="21" s="1"/>
  <c r="D61" i="33"/>
  <c r="J67" i="35"/>
  <c r="Q18" i="21" s="1"/>
  <c r="T68" i="22"/>
  <c r="P67" i="22" s="1"/>
  <c r="BP18" i="21" s="1"/>
  <c r="S68" i="42"/>
  <c r="M67" i="42" s="1"/>
  <c r="BD18" i="21" s="1"/>
  <c r="D35" i="30"/>
  <c r="D35" i="48"/>
  <c r="D35" i="36"/>
  <c r="R68" i="30"/>
  <c r="J67" i="30" s="1"/>
  <c r="L18" i="21" s="1"/>
  <c r="R68" i="41"/>
  <c r="J67" i="41" s="1"/>
  <c r="T68" i="47"/>
  <c r="P67" i="47" s="1"/>
  <c r="CO18" i="21" s="1"/>
  <c r="D61" i="47"/>
  <c r="D35" i="51"/>
  <c r="T68" i="76"/>
  <c r="P67" i="76" s="1"/>
  <c r="EX18" i="21" s="1"/>
  <c r="R68" i="26"/>
  <c r="J67" i="26" s="1"/>
  <c r="H18" i="21" s="1"/>
  <c r="D35" i="29"/>
  <c r="G39" i="29" s="1"/>
  <c r="D35" i="32"/>
  <c r="S68" i="25"/>
  <c r="M67" i="25" s="1"/>
  <c r="AM18" i="21" s="1"/>
  <c r="D35" i="39"/>
  <c r="R68" i="28"/>
  <c r="J67" i="28" s="1"/>
  <c r="J18" i="21" s="1"/>
  <c r="S68" i="38"/>
  <c r="M67" i="38" s="1"/>
  <c r="AZ18" i="21" s="1"/>
  <c r="T68" i="34"/>
  <c r="P67" i="34" s="1"/>
  <c r="CB18" i="21" s="1"/>
  <c r="D61" i="31"/>
  <c r="D61" i="42"/>
  <c r="S68" i="29"/>
  <c r="M67" i="29" s="1"/>
  <c r="AQ18" i="21" s="1"/>
  <c r="P67" i="81"/>
  <c r="FD18" i="21" s="1"/>
  <c r="T68" i="37"/>
  <c r="P67" i="37" s="1"/>
  <c r="CE18" i="21" s="1"/>
  <c r="R68" i="32"/>
  <c r="J67" i="32" s="1"/>
  <c r="N18" i="21" s="1"/>
  <c r="D61" i="34"/>
  <c r="D35" i="43"/>
  <c r="T68" i="30"/>
  <c r="P67" i="30" s="1"/>
  <c r="BX18" i="21" s="1"/>
  <c r="D35" i="25"/>
  <c r="D61" i="45"/>
  <c r="S68" i="31"/>
  <c r="M67" i="31" s="1"/>
  <c r="AS18" i="21" s="1"/>
  <c r="R68" i="24"/>
  <c r="J67" i="24" s="1"/>
  <c r="F18" i="21" s="1"/>
  <c r="D61" i="25"/>
  <c r="R68" i="76"/>
  <c r="J67" i="76" s="1"/>
  <c r="DD18" i="21" s="1"/>
  <c r="D61" i="51"/>
  <c r="D61" i="27"/>
  <c r="D72" i="32"/>
  <c r="D35" i="50"/>
  <c r="G11" i="28"/>
  <c r="D30" i="39"/>
  <c r="D72" i="74"/>
  <c r="D30" i="48"/>
  <c r="D72" i="46"/>
  <c r="D24" i="31"/>
  <c r="D30" i="28"/>
  <c r="D30" i="43"/>
  <c r="D72" i="90"/>
  <c r="S68" i="28"/>
  <c r="M67" i="28" s="1"/>
  <c r="AP18" i="21" s="1"/>
  <c r="L24" i="20" s="1"/>
  <c r="D61" i="30"/>
  <c r="G11" i="48"/>
  <c r="D35" i="47"/>
  <c r="I9" i="42"/>
  <c r="D30" i="44"/>
  <c r="D61" i="50"/>
  <c r="L9" i="42"/>
  <c r="BF7" i="21"/>
  <c r="CL7" i="21"/>
  <c r="Z7" i="21"/>
  <c r="I9" i="44"/>
  <c r="G64" i="44"/>
  <c r="G63" i="44"/>
  <c r="H48" i="15"/>
  <c r="Q48" i="15" s="1"/>
  <c r="D72" i="77"/>
  <c r="D72" i="85"/>
  <c r="D72" i="87"/>
  <c r="D72" i="109"/>
  <c r="D72" i="25"/>
  <c r="D72" i="79"/>
  <c r="D72" i="83"/>
  <c r="D72" i="47"/>
  <c r="D72" i="37"/>
  <c r="D72" i="51"/>
  <c r="D72" i="27"/>
  <c r="D72" i="35"/>
  <c r="D72" i="86"/>
  <c r="D72" i="39"/>
  <c r="D72" i="22"/>
  <c r="D30" i="49"/>
  <c r="P7" i="41"/>
  <c r="D30" i="26"/>
  <c r="D61" i="39"/>
  <c r="D24" i="25"/>
  <c r="Q23" i="96"/>
  <c r="D24" i="46"/>
  <c r="D24" i="41"/>
  <c r="D24" i="43"/>
  <c r="D24" i="42"/>
  <c r="D24" i="51"/>
  <c r="D24" i="47"/>
  <c r="D24" i="38"/>
  <c r="D24" i="23"/>
  <c r="D24" i="50"/>
  <c r="D24" i="24"/>
  <c r="D24" i="44"/>
  <c r="D24" i="33"/>
  <c r="D24" i="26"/>
  <c r="D24" i="28"/>
  <c r="D24" i="32"/>
  <c r="D24" i="29"/>
  <c r="D24" i="22"/>
  <c r="D24" i="39"/>
  <c r="D24" i="40"/>
  <c r="D24" i="49"/>
  <c r="G11" i="49"/>
  <c r="D35" i="24"/>
  <c r="D72" i="73"/>
  <c r="L12" i="96"/>
  <c r="R68" i="45"/>
  <c r="J67" i="45" s="1"/>
  <c r="AA18" i="21" s="1"/>
  <c r="G11" i="40"/>
  <c r="D30" i="36"/>
  <c r="D72" i="89"/>
  <c r="D72" i="91"/>
  <c r="CJ7" i="21"/>
  <c r="X7" i="21"/>
  <c r="O9" i="42"/>
  <c r="I73" i="31"/>
  <c r="J13" i="15"/>
  <c r="M13" i="15" s="1"/>
  <c r="O74" i="40"/>
  <c r="P71" i="40" s="1"/>
  <c r="CH20" i="21" s="1"/>
  <c r="I74" i="40"/>
  <c r="L74" i="40"/>
  <c r="I73" i="40"/>
  <c r="G42" i="42"/>
  <c r="G39" i="42"/>
  <c r="G40" i="42"/>
  <c r="G41" i="42"/>
  <c r="G38" i="42"/>
  <c r="G37" i="42"/>
  <c r="D30" i="33"/>
  <c r="D30" i="32"/>
  <c r="D30" i="27"/>
  <c r="D35" i="44"/>
  <c r="CB7" i="21"/>
  <c r="AV7" i="21"/>
  <c r="P7" i="21"/>
  <c r="AK8" i="21"/>
  <c r="M7" i="23"/>
  <c r="D30" i="22"/>
  <c r="I30" i="22" s="1"/>
  <c r="G11" i="27"/>
  <c r="CA7" i="21"/>
  <c r="AU7" i="21"/>
  <c r="O7" i="21"/>
  <c r="I9" i="33"/>
  <c r="D24" i="30"/>
  <c r="G11" i="22"/>
  <c r="AM7" i="21"/>
  <c r="G7" i="21"/>
  <c r="BS7" i="21"/>
  <c r="I9" i="25"/>
  <c r="L9" i="25"/>
  <c r="D61" i="49"/>
  <c r="D61" i="32"/>
  <c r="D35" i="27"/>
  <c r="S68" i="32"/>
  <c r="M67" i="32" s="1"/>
  <c r="AT18" i="21" s="1"/>
  <c r="T68" i="48"/>
  <c r="P67" i="48" s="1"/>
  <c r="CP18" i="21" s="1"/>
  <c r="T68" i="39"/>
  <c r="P67" i="39" s="1"/>
  <c r="CG18" i="21" s="1"/>
  <c r="D72" i="41"/>
  <c r="D24" i="27"/>
  <c r="G11" i="44"/>
  <c r="T68" i="24"/>
  <c r="P67" i="24" s="1"/>
  <c r="BR18" i="21" s="1"/>
  <c r="D24" i="45"/>
  <c r="D35" i="46"/>
  <c r="G11" i="42"/>
  <c r="G11" i="30"/>
  <c r="D72" i="48"/>
  <c r="AW18" i="21"/>
  <c r="D72" i="43"/>
  <c r="L9" i="41"/>
  <c r="K7" i="21"/>
  <c r="AQ7" i="21"/>
  <c r="BW7" i="21"/>
  <c r="D72" i="82"/>
  <c r="D35" i="34"/>
  <c r="G11" i="35"/>
  <c r="E7" i="21"/>
  <c r="BQ7" i="21"/>
  <c r="AK7" i="21"/>
  <c r="O9" i="23"/>
  <c r="G11" i="37"/>
  <c r="D61" i="46"/>
  <c r="I9" i="41"/>
  <c r="I9" i="29"/>
  <c r="D35" i="22"/>
  <c r="G36" i="22" s="1"/>
  <c r="I36" i="22" s="1"/>
  <c r="D72" i="44"/>
  <c r="D35" i="49"/>
  <c r="G11" i="38"/>
  <c r="S68" i="41"/>
  <c r="M67" i="41" s="1"/>
  <c r="D61" i="40"/>
  <c r="O9" i="33"/>
  <c r="O73" i="23"/>
  <c r="N70" i="41"/>
  <c r="P69" i="41" s="1"/>
  <c r="G64" i="41"/>
  <c r="G63" i="41"/>
  <c r="G11" i="26"/>
  <c r="L73" i="72"/>
  <c r="D35" i="28"/>
  <c r="G5" i="14"/>
  <c r="G62" i="36"/>
  <c r="G9" i="26"/>
  <c r="D61" i="48"/>
  <c r="O9" i="44"/>
  <c r="D72" i="49"/>
  <c r="D61" i="35"/>
  <c r="D30" i="38"/>
  <c r="I9" i="23"/>
  <c r="G11" i="23"/>
  <c r="D72" i="45"/>
  <c r="D35" i="40"/>
  <c r="D72" i="26"/>
  <c r="D72" i="81"/>
  <c r="D30" i="34"/>
  <c r="I30" i="34" s="1"/>
  <c r="O9" i="27"/>
  <c r="R68" i="39"/>
  <c r="J67" i="39" s="1"/>
  <c r="U18" i="21" s="1"/>
  <c r="D61" i="37"/>
  <c r="D35" i="33"/>
  <c r="G11" i="33"/>
  <c r="D30" i="51"/>
  <c r="J24" i="15"/>
  <c r="M24" i="15" s="1"/>
  <c r="D30" i="41"/>
  <c r="D24" i="34"/>
  <c r="L9" i="36"/>
  <c r="H70" i="36"/>
  <c r="J69" i="36" s="1"/>
  <c r="AQ8" i="21" l="1"/>
  <c r="N26" i="15"/>
  <c r="V11" i="20"/>
  <c r="U118" i="20" s="1"/>
  <c r="P24" i="20"/>
  <c r="P11" i="20"/>
  <c r="O86" i="20" s="1"/>
  <c r="S86" i="20"/>
  <c r="S84" i="20" s="1"/>
  <c r="O24" i="14"/>
  <c r="G46" i="22" s="1"/>
  <c r="J46" i="22" s="1"/>
  <c r="J71" i="31"/>
  <c r="M20" i="21" s="1"/>
  <c r="O30" i="40"/>
  <c r="O11" i="50"/>
  <c r="T10" i="50" s="1"/>
  <c r="CS9" i="21" s="1"/>
  <c r="CS11" i="21" s="1"/>
  <c r="L11" i="50"/>
  <c r="S10" i="50" s="1"/>
  <c r="BM9" i="21" s="1"/>
  <c r="BM11" i="21" s="1"/>
  <c r="O9" i="48"/>
  <c r="N70" i="48" s="1"/>
  <c r="P69" i="48" s="1"/>
  <c r="CP19" i="21" s="1"/>
  <c r="J25" i="20" s="1"/>
  <c r="F9" i="8"/>
  <c r="L39" i="29"/>
  <c r="O39" i="29"/>
  <c r="I39" i="29"/>
  <c r="J7" i="48"/>
  <c r="G9" i="10"/>
  <c r="L11" i="20"/>
  <c r="G9" i="8"/>
  <c r="P7" i="29"/>
  <c r="P71" i="23"/>
  <c r="BQ20" i="21" s="1"/>
  <c r="AD7" i="21"/>
  <c r="N11" i="20" s="1"/>
  <c r="M118" i="20" s="1"/>
  <c r="AD8" i="21"/>
  <c r="AD48" i="21" s="1"/>
  <c r="CP7" i="21"/>
  <c r="L9" i="48"/>
  <c r="BJ8" i="21" s="1"/>
  <c r="BJ7" i="21"/>
  <c r="M7" i="29"/>
  <c r="I11" i="31"/>
  <c r="R10" i="31" s="1"/>
  <c r="M9" i="21" s="1"/>
  <c r="N70" i="29"/>
  <c r="P69" i="29" s="1"/>
  <c r="BW19" i="21" s="1"/>
  <c r="N70" i="36"/>
  <c r="P69" i="36" s="1"/>
  <c r="L30" i="42"/>
  <c r="I30" i="42"/>
  <c r="L11" i="31"/>
  <c r="S10" i="31" s="1"/>
  <c r="AS9" i="21" s="1"/>
  <c r="P70" i="96"/>
  <c r="T70" i="96" s="1"/>
  <c r="M71" i="72"/>
  <c r="DW20" i="21" s="1"/>
  <c r="P71" i="72"/>
  <c r="ET20" i="21" s="1"/>
  <c r="P71" i="38"/>
  <c r="CF20" i="21" s="1"/>
  <c r="M71" i="31"/>
  <c r="AS20" i="21" s="1"/>
  <c r="I30" i="40"/>
  <c r="J71" i="38"/>
  <c r="T20" i="21" s="1"/>
  <c r="P38" i="96"/>
  <c r="Q38" i="96" s="1"/>
  <c r="Q53" i="96"/>
  <c r="G37" i="33"/>
  <c r="G40" i="33"/>
  <c r="G42" i="33"/>
  <c r="G39" i="33"/>
  <c r="G41" i="33"/>
  <c r="G36" i="33"/>
  <c r="O71" i="14"/>
  <c r="O66" i="14"/>
  <c r="O75" i="14"/>
  <c r="O43" i="14"/>
  <c r="O49" i="14"/>
  <c r="O61" i="14"/>
  <c r="O34" i="14"/>
  <c r="O73" i="14"/>
  <c r="O72" i="14"/>
  <c r="O41" i="14"/>
  <c r="O26" i="14"/>
  <c r="O44" i="14"/>
  <c r="O39" i="14"/>
  <c r="O76" i="14"/>
  <c r="O74" i="14"/>
  <c r="O59" i="14"/>
  <c r="O60" i="14"/>
  <c r="O30" i="14"/>
  <c r="O77" i="14"/>
  <c r="O62" i="14"/>
  <c r="O51" i="14"/>
  <c r="O67" i="14"/>
  <c r="O47" i="14"/>
  <c r="O65" i="14"/>
  <c r="O55" i="14"/>
  <c r="O22" i="14"/>
  <c r="O56" i="14"/>
  <c r="O38" i="14"/>
  <c r="O78" i="14"/>
  <c r="O68" i="14"/>
  <c r="O33" i="14"/>
  <c r="O70" i="14"/>
  <c r="O69" i="14"/>
  <c r="O29" i="14"/>
  <c r="O54" i="14"/>
  <c r="O80" i="14"/>
  <c r="O40" i="14"/>
  <c r="O50" i="14"/>
  <c r="O32" i="14"/>
  <c r="O79" i="14"/>
  <c r="G51" i="47" s="1"/>
  <c r="O63" i="14"/>
  <c r="L64" i="96" s="1"/>
  <c r="M64" i="96" s="1"/>
  <c r="O57" i="14"/>
  <c r="O48" i="14"/>
  <c r="O64" i="14"/>
  <c r="L65" i="96" s="1"/>
  <c r="M65" i="96" s="1"/>
  <c r="O35" i="14"/>
  <c r="G48" i="39" s="1"/>
  <c r="O36" i="14"/>
  <c r="G48" i="45" s="1"/>
  <c r="O46" i="14"/>
  <c r="O37" i="14"/>
  <c r="G48" i="35" s="1"/>
  <c r="O28" i="14"/>
  <c r="O42" i="14"/>
  <c r="L33" i="96" s="1"/>
  <c r="M33" i="96" s="1"/>
  <c r="O27" i="14"/>
  <c r="G47" i="45" s="1"/>
  <c r="O25" i="14"/>
  <c r="G52" i="34" s="1"/>
  <c r="G37" i="34"/>
  <c r="G39" i="34"/>
  <c r="G42" i="34"/>
  <c r="G41" i="34"/>
  <c r="G40" i="34"/>
  <c r="G36" i="34"/>
  <c r="I41" i="42"/>
  <c r="L41" i="42"/>
  <c r="O41" i="42"/>
  <c r="G42" i="28"/>
  <c r="G40" i="28"/>
  <c r="G39" i="28"/>
  <c r="G37" i="28"/>
  <c r="G41" i="28"/>
  <c r="G38" i="28"/>
  <c r="G36" i="28"/>
  <c r="I74" i="82"/>
  <c r="O74" i="82"/>
  <c r="L74" i="82"/>
  <c r="L73" i="82"/>
  <c r="I73" i="82"/>
  <c r="O73" i="82"/>
  <c r="I11" i="44"/>
  <c r="R10" i="44" s="1"/>
  <c r="Z9" i="21" s="1"/>
  <c r="O11" i="44"/>
  <c r="T10" i="44" s="1"/>
  <c r="CL9" i="21" s="1"/>
  <c r="L11" i="44"/>
  <c r="S10" i="44" s="1"/>
  <c r="BF9" i="21" s="1"/>
  <c r="BF11" i="21" s="1"/>
  <c r="O30" i="34"/>
  <c r="L30" i="34"/>
  <c r="O74" i="81"/>
  <c r="L74" i="81"/>
  <c r="I74" i="81"/>
  <c r="L73" i="81"/>
  <c r="O73" i="81"/>
  <c r="I73" i="81"/>
  <c r="O74" i="49"/>
  <c r="L74" i="49"/>
  <c r="I74" i="49"/>
  <c r="I73" i="49"/>
  <c r="L73" i="49"/>
  <c r="O73" i="49"/>
  <c r="O11" i="26"/>
  <c r="T10" i="26" s="1"/>
  <c r="BT9" i="21" s="1"/>
  <c r="L11" i="26"/>
  <c r="S10" i="26" s="1"/>
  <c r="AN9" i="21" s="1"/>
  <c r="I11" i="26"/>
  <c r="R10" i="26" s="1"/>
  <c r="H9" i="21" s="1"/>
  <c r="G63" i="40"/>
  <c r="G64" i="40"/>
  <c r="G62" i="40"/>
  <c r="K8" i="21"/>
  <c r="J7" i="29"/>
  <c r="H70" i="29"/>
  <c r="J69" i="29" s="1"/>
  <c r="K19" i="21" s="1"/>
  <c r="BQ8" i="21"/>
  <c r="N70" i="23"/>
  <c r="P69" i="23" s="1"/>
  <c r="BQ19" i="21" s="1"/>
  <c r="P7" i="23"/>
  <c r="O74" i="48"/>
  <c r="I74" i="48"/>
  <c r="L74" i="48"/>
  <c r="L73" i="48"/>
  <c r="I73" i="48"/>
  <c r="O73" i="48"/>
  <c r="L74" i="41"/>
  <c r="O74" i="41"/>
  <c r="I74" i="41"/>
  <c r="L73" i="41"/>
  <c r="O73" i="41"/>
  <c r="I73" i="41"/>
  <c r="G8" i="21"/>
  <c r="J7" i="25"/>
  <c r="H70" i="25"/>
  <c r="J69" i="25" s="1"/>
  <c r="G19" i="21" s="1"/>
  <c r="L42" i="42"/>
  <c r="O42" i="42"/>
  <c r="I42" i="42"/>
  <c r="I74" i="73"/>
  <c r="O74" i="73"/>
  <c r="L74" i="73"/>
  <c r="I73" i="73"/>
  <c r="O73" i="73"/>
  <c r="L73" i="73"/>
  <c r="G26" i="32"/>
  <c r="G25" i="32"/>
  <c r="G26" i="38"/>
  <c r="G25" i="38"/>
  <c r="G25" i="25"/>
  <c r="G26" i="25"/>
  <c r="L74" i="86"/>
  <c r="I74" i="86"/>
  <c r="O74" i="86"/>
  <c r="O73" i="86"/>
  <c r="L73" i="86"/>
  <c r="I73" i="86"/>
  <c r="O74" i="79"/>
  <c r="L74" i="79"/>
  <c r="I74" i="79"/>
  <c r="I73" i="79"/>
  <c r="O73" i="79"/>
  <c r="L73" i="79"/>
  <c r="O64" i="44"/>
  <c r="L64" i="44"/>
  <c r="I64" i="44"/>
  <c r="J7" i="42"/>
  <c r="H70" i="42"/>
  <c r="J69" i="42" s="1"/>
  <c r="X19" i="21" s="1"/>
  <c r="X8" i="21"/>
  <c r="G26" i="31"/>
  <c r="G25" i="31"/>
  <c r="I74" i="75"/>
  <c r="L74" i="75"/>
  <c r="O74" i="75"/>
  <c r="L73" i="75"/>
  <c r="O73" i="75"/>
  <c r="I73" i="75"/>
  <c r="G64" i="45"/>
  <c r="G63" i="45"/>
  <c r="G62" i="45"/>
  <c r="T24" i="20"/>
  <c r="G63" i="72"/>
  <c r="G64" i="72"/>
  <c r="G62" i="72"/>
  <c r="G39" i="48"/>
  <c r="G40" i="48"/>
  <c r="G42" i="48"/>
  <c r="G38" i="48"/>
  <c r="G41" i="48"/>
  <c r="G37" i="48"/>
  <c r="G36" i="48"/>
  <c r="G63" i="82"/>
  <c r="G64" i="82"/>
  <c r="G62" i="82"/>
  <c r="D33" i="46"/>
  <c r="D33" i="24"/>
  <c r="D33" i="48"/>
  <c r="D33" i="23"/>
  <c r="D33" i="47"/>
  <c r="D33" i="27"/>
  <c r="D33" i="38"/>
  <c r="D33" i="36"/>
  <c r="D33" i="40"/>
  <c r="D33" i="25"/>
  <c r="D33" i="45"/>
  <c r="D33" i="42"/>
  <c r="D33" i="41"/>
  <c r="D33" i="43"/>
  <c r="D33" i="32"/>
  <c r="D33" i="51"/>
  <c r="D33" i="30"/>
  <c r="D33" i="34"/>
  <c r="D33" i="33"/>
  <c r="D33" i="29"/>
  <c r="D33" i="49"/>
  <c r="D33" i="39"/>
  <c r="D33" i="44"/>
  <c r="D33" i="31"/>
  <c r="D33" i="35"/>
  <c r="D33" i="37"/>
  <c r="D33" i="28"/>
  <c r="D33" i="26"/>
  <c r="D33" i="22"/>
  <c r="D33" i="50"/>
  <c r="L15" i="96"/>
  <c r="T102" i="96" s="1"/>
  <c r="P109" i="96" s="1"/>
  <c r="G63" i="76"/>
  <c r="G64" i="76"/>
  <c r="G62" i="76"/>
  <c r="N24" i="20"/>
  <c r="J24" i="20"/>
  <c r="CO8" i="21"/>
  <c r="P7" i="47"/>
  <c r="N70" i="47"/>
  <c r="P69" i="47" s="1"/>
  <c r="CO19" i="21" s="1"/>
  <c r="G64" i="43"/>
  <c r="G63" i="43"/>
  <c r="G62" i="43"/>
  <c r="G63" i="87"/>
  <c r="G64" i="87"/>
  <c r="G62" i="87"/>
  <c r="G64" i="28"/>
  <c r="G63" i="28"/>
  <c r="G62" i="28"/>
  <c r="O30" i="31"/>
  <c r="L30" i="31"/>
  <c r="I30" i="31"/>
  <c r="I8" i="21"/>
  <c r="J7" i="27"/>
  <c r="H70" i="27"/>
  <c r="J69" i="27" s="1"/>
  <c r="I19" i="21" s="1"/>
  <c r="I63" i="36"/>
  <c r="O63" i="36"/>
  <c r="L63" i="36"/>
  <c r="I11" i="51"/>
  <c r="L11" i="51"/>
  <c r="O11" i="51"/>
  <c r="L64" i="23"/>
  <c r="O64" i="23"/>
  <c r="I64" i="23"/>
  <c r="M7" i="45"/>
  <c r="K70" i="45"/>
  <c r="M69" i="45" s="1"/>
  <c r="BG19" i="21" s="1"/>
  <c r="T25" i="20" s="1"/>
  <c r="BG8" i="21"/>
  <c r="T12" i="20" s="1"/>
  <c r="S119" i="20" s="1"/>
  <c r="J7" i="31"/>
  <c r="M8" i="21"/>
  <c r="H70" i="31"/>
  <c r="J69" i="31" s="1"/>
  <c r="M19" i="21" s="1"/>
  <c r="O37" i="23"/>
  <c r="L37" i="23"/>
  <c r="I37" i="23"/>
  <c r="BS48" i="21"/>
  <c r="BV8" i="21"/>
  <c r="P7" i="28"/>
  <c r="N70" i="28"/>
  <c r="P69" i="28" s="1"/>
  <c r="BV19" i="21" s="1"/>
  <c r="R11" i="20"/>
  <c r="H9" i="8"/>
  <c r="H9" i="10"/>
  <c r="AT8" i="21"/>
  <c r="H7" i="21"/>
  <c r="BT7" i="21"/>
  <c r="AN7" i="21"/>
  <c r="L9" i="26"/>
  <c r="I9" i="26"/>
  <c r="O9" i="26"/>
  <c r="O11" i="38"/>
  <c r="T10" i="38" s="1"/>
  <c r="CF9" i="21" s="1"/>
  <c r="L11" i="38"/>
  <c r="S10" i="38" s="1"/>
  <c r="AZ9" i="21" s="1"/>
  <c r="I11" i="38"/>
  <c r="R10" i="38" s="1"/>
  <c r="T9" i="21" s="1"/>
  <c r="J7" i="23"/>
  <c r="E8" i="21"/>
  <c r="H70" i="23"/>
  <c r="J69" i="23" s="1"/>
  <c r="E19" i="21" s="1"/>
  <c r="L30" i="22"/>
  <c r="O30" i="22"/>
  <c r="BU8" i="21"/>
  <c r="P7" i="27"/>
  <c r="N70" i="27"/>
  <c r="P69" i="27" s="1"/>
  <c r="BU19" i="21" s="1"/>
  <c r="G64" i="46"/>
  <c r="G63" i="46"/>
  <c r="G62" i="46"/>
  <c r="O8" i="21"/>
  <c r="J7" i="33"/>
  <c r="H70" i="33"/>
  <c r="J69" i="33" s="1"/>
  <c r="O19" i="21" s="1"/>
  <c r="L74" i="26"/>
  <c r="O74" i="26"/>
  <c r="I74" i="26"/>
  <c r="O73" i="26"/>
  <c r="I73" i="26"/>
  <c r="L73" i="26"/>
  <c r="I63" i="41"/>
  <c r="O63" i="41"/>
  <c r="L63" i="41"/>
  <c r="J7" i="41"/>
  <c r="H70" i="41"/>
  <c r="J69" i="41" s="1"/>
  <c r="E9" i="8"/>
  <c r="E9" i="10"/>
  <c r="J11" i="20"/>
  <c r="I11" i="30"/>
  <c r="R10" i="30" s="1"/>
  <c r="L9" i="21" s="1"/>
  <c r="L11" i="30"/>
  <c r="S10" i="30" s="1"/>
  <c r="AR9" i="21" s="1"/>
  <c r="O11" i="30"/>
  <c r="T10" i="30" s="1"/>
  <c r="BX9" i="21" s="1"/>
  <c r="O30" i="32"/>
  <c r="L30" i="32"/>
  <c r="I30" i="32"/>
  <c r="J71" i="40"/>
  <c r="V20" i="21" s="1"/>
  <c r="G40" i="24"/>
  <c r="G38" i="24"/>
  <c r="G37" i="24"/>
  <c r="G41" i="24"/>
  <c r="G39" i="24"/>
  <c r="G42" i="24"/>
  <c r="G36" i="24"/>
  <c r="G26" i="28"/>
  <c r="G25" i="28"/>
  <c r="G26" i="47"/>
  <c r="G25" i="47"/>
  <c r="G64" i="39"/>
  <c r="G63" i="39"/>
  <c r="G62" i="39"/>
  <c r="L74" i="35"/>
  <c r="I74" i="35"/>
  <c r="O74" i="35"/>
  <c r="L73" i="35"/>
  <c r="O73" i="35"/>
  <c r="I73" i="35"/>
  <c r="L74" i="25"/>
  <c r="O74" i="25"/>
  <c r="I74" i="25"/>
  <c r="L73" i="25"/>
  <c r="I73" i="25"/>
  <c r="O73" i="25"/>
  <c r="Z8" i="21"/>
  <c r="J7" i="44"/>
  <c r="H70" i="44"/>
  <c r="J69" i="44" s="1"/>
  <c r="Z19" i="21" s="1"/>
  <c r="G39" i="47"/>
  <c r="G37" i="47"/>
  <c r="G38" i="47"/>
  <c r="G42" i="47"/>
  <c r="G41" i="47"/>
  <c r="G40" i="47"/>
  <c r="G36" i="47"/>
  <c r="L74" i="46"/>
  <c r="O74" i="46"/>
  <c r="I74" i="46"/>
  <c r="L73" i="46"/>
  <c r="O73" i="46"/>
  <c r="I73" i="46"/>
  <c r="G64" i="27"/>
  <c r="G63" i="27"/>
  <c r="G62" i="27"/>
  <c r="G40" i="25"/>
  <c r="G38" i="25"/>
  <c r="G42" i="25"/>
  <c r="G39" i="25"/>
  <c r="G41" i="25"/>
  <c r="G37" i="25"/>
  <c r="G36" i="25"/>
  <c r="D31" i="34"/>
  <c r="D31" i="35"/>
  <c r="D31" i="41"/>
  <c r="D31" i="36"/>
  <c r="D31" i="43"/>
  <c r="D31" i="50"/>
  <c r="D31" i="42"/>
  <c r="D31" i="32"/>
  <c r="D31" i="27"/>
  <c r="D31" i="45"/>
  <c r="D31" i="51"/>
  <c r="D31" i="23"/>
  <c r="D31" i="30"/>
  <c r="D31" i="28"/>
  <c r="D31" i="25"/>
  <c r="D31" i="44"/>
  <c r="D31" i="31"/>
  <c r="D31" i="26"/>
  <c r="D31" i="29"/>
  <c r="D31" i="49"/>
  <c r="D31" i="47"/>
  <c r="D31" i="48"/>
  <c r="D31" i="33"/>
  <c r="D31" i="22"/>
  <c r="D31" i="24"/>
  <c r="D31" i="39"/>
  <c r="D31" i="38"/>
  <c r="D31" i="37"/>
  <c r="D31" i="46"/>
  <c r="D31" i="40"/>
  <c r="L13" i="96"/>
  <c r="T100" i="96" s="1"/>
  <c r="P107" i="96" s="1"/>
  <c r="G38" i="30"/>
  <c r="G37" i="30"/>
  <c r="G39" i="30"/>
  <c r="G41" i="30"/>
  <c r="G42" i="30"/>
  <c r="G40" i="30"/>
  <c r="G36" i="30"/>
  <c r="G64" i="71"/>
  <c r="G63" i="71"/>
  <c r="G62" i="71"/>
  <c r="G64" i="85"/>
  <c r="G63" i="85"/>
  <c r="G62" i="85"/>
  <c r="G63" i="73"/>
  <c r="G64" i="73"/>
  <c r="G62" i="73"/>
  <c r="N19" i="15"/>
  <c r="G64" i="81"/>
  <c r="G63" i="81"/>
  <c r="G62" i="81"/>
  <c r="G40" i="31"/>
  <c r="G39" i="31"/>
  <c r="G38" i="31"/>
  <c r="G42" i="31"/>
  <c r="G41" i="31"/>
  <c r="G37" i="31"/>
  <c r="G36" i="31"/>
  <c r="J71" i="23"/>
  <c r="E20" i="21" s="1"/>
  <c r="L30" i="25"/>
  <c r="O30" i="25"/>
  <c r="I30" i="25"/>
  <c r="O74" i="42"/>
  <c r="L74" i="42"/>
  <c r="I74" i="42"/>
  <c r="L73" i="42"/>
  <c r="I73" i="42"/>
  <c r="O73" i="42"/>
  <c r="M7" i="27"/>
  <c r="K70" i="27"/>
  <c r="M69" i="27" s="1"/>
  <c r="AO19" i="21" s="1"/>
  <c r="AO8" i="21"/>
  <c r="G64" i="109"/>
  <c r="G63" i="109"/>
  <c r="G62" i="109"/>
  <c r="I10" i="32"/>
  <c r="J7" i="32" s="1"/>
  <c r="O10" i="32"/>
  <c r="N70" i="32" s="1"/>
  <c r="P69" i="32" s="1"/>
  <c r="BZ19" i="21" s="1"/>
  <c r="L10" i="32"/>
  <c r="I11" i="43"/>
  <c r="R10" i="43" s="1"/>
  <c r="Y9" i="21" s="1"/>
  <c r="L11" i="43"/>
  <c r="S10" i="43" s="1"/>
  <c r="BE9" i="21" s="1"/>
  <c r="O11" i="43"/>
  <c r="T10" i="43" s="1"/>
  <c r="CK9" i="21" s="1"/>
  <c r="BE8" i="21"/>
  <c r="M7" i="43"/>
  <c r="K70" i="43"/>
  <c r="M69" i="43" s="1"/>
  <c r="BE19" i="21" s="1"/>
  <c r="D8" i="21"/>
  <c r="H70" i="22"/>
  <c r="J69" i="22" s="1"/>
  <c r="D19" i="21" s="1"/>
  <c r="CM8" i="21"/>
  <c r="P7" i="45"/>
  <c r="N70" i="45"/>
  <c r="P69" i="45" s="1"/>
  <c r="CM19" i="21" s="1"/>
  <c r="BY8" i="21"/>
  <c r="P7" i="31"/>
  <c r="N70" i="31"/>
  <c r="P69" i="31" s="1"/>
  <c r="BY19" i="21" s="1"/>
  <c r="L39" i="23"/>
  <c r="O39" i="23"/>
  <c r="I39" i="23"/>
  <c r="M7" i="30"/>
  <c r="K70" i="30"/>
  <c r="M69" i="30" s="1"/>
  <c r="AR19" i="21" s="1"/>
  <c r="AR8" i="21"/>
  <c r="G64" i="32"/>
  <c r="G63" i="32"/>
  <c r="G62" i="32"/>
  <c r="G25" i="34"/>
  <c r="G26" i="34"/>
  <c r="CA8" i="21"/>
  <c r="P7" i="33"/>
  <c r="N70" i="33"/>
  <c r="P69" i="33" s="1"/>
  <c r="CA19" i="21" s="1"/>
  <c r="G64" i="49"/>
  <c r="G63" i="49"/>
  <c r="G62" i="49"/>
  <c r="M7" i="36"/>
  <c r="K70" i="36"/>
  <c r="M69" i="36" s="1"/>
  <c r="L30" i="51"/>
  <c r="I30" i="51"/>
  <c r="O30" i="51"/>
  <c r="P7" i="44"/>
  <c r="CL8" i="21"/>
  <c r="N70" i="44"/>
  <c r="P69" i="44" s="1"/>
  <c r="CL19" i="21" s="1"/>
  <c r="O11" i="33"/>
  <c r="T10" i="33" s="1"/>
  <c r="CA9" i="21" s="1"/>
  <c r="L11" i="33"/>
  <c r="S10" i="33" s="1"/>
  <c r="AU9" i="21" s="1"/>
  <c r="AU11" i="21" s="1"/>
  <c r="I11" i="33"/>
  <c r="R10" i="33" s="1"/>
  <c r="O9" i="21" s="1"/>
  <c r="G42" i="40"/>
  <c r="G40" i="40"/>
  <c r="G41" i="40"/>
  <c r="G39" i="40"/>
  <c r="G38" i="40"/>
  <c r="G37" i="40"/>
  <c r="G36" i="40"/>
  <c r="G64" i="48"/>
  <c r="G63" i="48"/>
  <c r="G62" i="48"/>
  <c r="I64" i="41"/>
  <c r="L64" i="41"/>
  <c r="O64" i="41"/>
  <c r="D32" i="34"/>
  <c r="D32" i="29"/>
  <c r="D32" i="48"/>
  <c r="D32" i="30"/>
  <c r="D32" i="36"/>
  <c r="D32" i="46"/>
  <c r="D32" i="27"/>
  <c r="D32" i="44"/>
  <c r="D32" i="37"/>
  <c r="D32" i="51"/>
  <c r="D32" i="32"/>
  <c r="D32" i="41"/>
  <c r="D32" i="23"/>
  <c r="D32" i="24"/>
  <c r="D32" i="42"/>
  <c r="D32" i="39"/>
  <c r="D32" i="22"/>
  <c r="D32" i="31"/>
  <c r="D32" i="28"/>
  <c r="D32" i="50"/>
  <c r="D32" i="38"/>
  <c r="D32" i="33"/>
  <c r="D32" i="40"/>
  <c r="D32" i="47"/>
  <c r="D32" i="49"/>
  <c r="D32" i="35"/>
  <c r="D32" i="25"/>
  <c r="D32" i="43"/>
  <c r="D32" i="26"/>
  <c r="D32" i="45"/>
  <c r="L14" i="96"/>
  <c r="T101" i="96" s="1"/>
  <c r="P108" i="96" s="1"/>
  <c r="M7" i="41"/>
  <c r="K70" i="41"/>
  <c r="M69" i="41" s="1"/>
  <c r="L11" i="42"/>
  <c r="S10" i="42" s="1"/>
  <c r="BD9" i="21" s="1"/>
  <c r="F11" i="10" s="1"/>
  <c r="O11" i="42"/>
  <c r="T10" i="42" s="1"/>
  <c r="CJ9" i="21" s="1"/>
  <c r="I11" i="42"/>
  <c r="R10" i="42" s="1"/>
  <c r="X9" i="21" s="1"/>
  <c r="I30" i="33"/>
  <c r="L30" i="33"/>
  <c r="O30" i="33"/>
  <c r="L74" i="91"/>
  <c r="I74" i="91"/>
  <c r="O74" i="91"/>
  <c r="I73" i="91"/>
  <c r="O73" i="91"/>
  <c r="L73" i="91"/>
  <c r="O11" i="49"/>
  <c r="T10" i="49" s="1"/>
  <c r="CQ9" i="21" s="1"/>
  <c r="L11" i="49"/>
  <c r="S10" i="49" s="1"/>
  <c r="BK9" i="21" s="1"/>
  <c r="I11" i="49"/>
  <c r="R10" i="49" s="1"/>
  <c r="AE9" i="21" s="1"/>
  <c r="G26" i="26"/>
  <c r="G25" i="26"/>
  <c r="G26" i="51"/>
  <c r="G25" i="51"/>
  <c r="I30" i="26"/>
  <c r="O30" i="26"/>
  <c r="L30" i="26"/>
  <c r="I74" i="27"/>
  <c r="O74" i="27"/>
  <c r="L74" i="27"/>
  <c r="I73" i="27"/>
  <c r="L73" i="27"/>
  <c r="O73" i="27"/>
  <c r="O74" i="109"/>
  <c r="L74" i="109"/>
  <c r="I74" i="109"/>
  <c r="I73" i="109"/>
  <c r="O73" i="109"/>
  <c r="L73" i="109"/>
  <c r="I11" i="48"/>
  <c r="R10" i="48" s="1"/>
  <c r="AD9" i="21" s="1"/>
  <c r="O11" i="48"/>
  <c r="T10" i="48" s="1"/>
  <c r="CP9" i="21" s="1"/>
  <c r="L11" i="48"/>
  <c r="S10" i="48" s="1"/>
  <c r="BJ9" i="21" s="1"/>
  <c r="I30" i="48"/>
  <c r="O30" i="48"/>
  <c r="L30" i="48"/>
  <c r="G64" i="51"/>
  <c r="G63" i="51"/>
  <c r="G62" i="51"/>
  <c r="G63" i="42"/>
  <c r="G64" i="42"/>
  <c r="G62" i="42"/>
  <c r="G42" i="51"/>
  <c r="G39" i="51"/>
  <c r="G41" i="51"/>
  <c r="G38" i="51"/>
  <c r="G40" i="51"/>
  <c r="G37" i="51"/>
  <c r="G36" i="51"/>
  <c r="G63" i="26"/>
  <c r="G64" i="26"/>
  <c r="G62" i="26"/>
  <c r="G63" i="74"/>
  <c r="G64" i="74"/>
  <c r="G62" i="74"/>
  <c r="G62" i="89"/>
  <c r="G64" i="89"/>
  <c r="G63" i="89"/>
  <c r="CN8" i="21"/>
  <c r="N70" i="46"/>
  <c r="P69" i="46" s="1"/>
  <c r="CN19" i="21" s="1"/>
  <c r="P7" i="46"/>
  <c r="I74" i="71"/>
  <c r="O74" i="71"/>
  <c r="L74" i="71"/>
  <c r="L73" i="71"/>
  <c r="O73" i="71"/>
  <c r="I73" i="71"/>
  <c r="G26" i="37"/>
  <c r="I74" i="33"/>
  <c r="O74" i="33"/>
  <c r="L74" i="33"/>
  <c r="O73" i="33"/>
  <c r="I73" i="33"/>
  <c r="L73" i="33"/>
  <c r="O30" i="37"/>
  <c r="I30" i="37"/>
  <c r="L30" i="37"/>
  <c r="L30" i="50"/>
  <c r="O30" i="50"/>
  <c r="I30" i="50"/>
  <c r="I74" i="28"/>
  <c r="O74" i="28"/>
  <c r="L74" i="28"/>
  <c r="I73" i="28"/>
  <c r="L73" i="28"/>
  <c r="O73" i="28"/>
  <c r="I30" i="30"/>
  <c r="O30" i="30"/>
  <c r="L30" i="30"/>
  <c r="L11" i="46"/>
  <c r="S10" i="46" s="1"/>
  <c r="BH9" i="21" s="1"/>
  <c r="BH11" i="21" s="1"/>
  <c r="I11" i="46"/>
  <c r="R10" i="46" s="1"/>
  <c r="AB9" i="21" s="1"/>
  <c r="O11" i="46"/>
  <c r="T10" i="46" s="1"/>
  <c r="CN9" i="21" s="1"/>
  <c r="Y8" i="21"/>
  <c r="J7" i="43"/>
  <c r="H70" i="43"/>
  <c r="J69" i="43" s="1"/>
  <c r="Y19" i="21" s="1"/>
  <c r="BP8" i="21"/>
  <c r="N70" i="22"/>
  <c r="P69" i="22" s="1"/>
  <c r="BP19" i="21" s="1"/>
  <c r="J7" i="45"/>
  <c r="AA8" i="21"/>
  <c r="H70" i="45"/>
  <c r="J69" i="45" s="1"/>
  <c r="AA19" i="21" s="1"/>
  <c r="O38" i="23"/>
  <c r="L38" i="23"/>
  <c r="I38" i="23"/>
  <c r="J7" i="39"/>
  <c r="U8" i="21"/>
  <c r="H70" i="39"/>
  <c r="J69" i="39" s="1"/>
  <c r="U19" i="21" s="1"/>
  <c r="N8" i="21"/>
  <c r="L37" i="42"/>
  <c r="I37" i="42"/>
  <c r="O37" i="42"/>
  <c r="G26" i="49"/>
  <c r="G25" i="49"/>
  <c r="I74" i="51"/>
  <c r="L74" i="51"/>
  <c r="O74" i="51"/>
  <c r="L73" i="51"/>
  <c r="I73" i="51"/>
  <c r="O73" i="51"/>
  <c r="G64" i="30"/>
  <c r="G63" i="30"/>
  <c r="G62" i="30"/>
  <c r="L74" i="74"/>
  <c r="O74" i="74"/>
  <c r="I74" i="74"/>
  <c r="O73" i="74"/>
  <c r="I73" i="74"/>
  <c r="L73" i="74"/>
  <c r="G42" i="43"/>
  <c r="G40" i="43"/>
  <c r="G38" i="43"/>
  <c r="G39" i="43"/>
  <c r="G41" i="43"/>
  <c r="G37" i="43"/>
  <c r="G36" i="43"/>
  <c r="G63" i="31"/>
  <c r="G64" i="31"/>
  <c r="G62" i="31"/>
  <c r="G41" i="39"/>
  <c r="G42" i="39"/>
  <c r="G38" i="39"/>
  <c r="G37" i="39"/>
  <c r="G40" i="39"/>
  <c r="G39" i="39"/>
  <c r="G36" i="39"/>
  <c r="G64" i="47"/>
  <c r="G63" i="47"/>
  <c r="G62" i="47"/>
  <c r="G39" i="35"/>
  <c r="G38" i="35"/>
  <c r="G41" i="35"/>
  <c r="G40" i="35"/>
  <c r="G42" i="35"/>
  <c r="G37" i="35"/>
  <c r="G36" i="35"/>
  <c r="G64" i="80"/>
  <c r="G63" i="80"/>
  <c r="G62" i="80"/>
  <c r="G63" i="84"/>
  <c r="G64" i="84"/>
  <c r="G62" i="84"/>
  <c r="G63" i="90"/>
  <c r="G62" i="90"/>
  <c r="G64" i="90"/>
  <c r="BI29" i="21"/>
  <c r="AW29" i="21"/>
  <c r="BU29" i="21"/>
  <c r="T29" i="21"/>
  <c r="BQ29" i="21"/>
  <c r="BF29" i="21"/>
  <c r="BS29" i="21"/>
  <c r="CG29" i="21"/>
  <c r="BD29" i="21"/>
  <c r="BK29" i="21"/>
  <c r="BY29" i="21"/>
  <c r="AD29" i="21"/>
  <c r="AN29" i="21"/>
  <c r="BB29" i="21"/>
  <c r="H29" i="21"/>
  <c r="BV29" i="21"/>
  <c r="I29" i="21"/>
  <c r="BZ29" i="21"/>
  <c r="J29" i="21"/>
  <c r="BA29" i="21"/>
  <c r="AJ29" i="21"/>
  <c r="BH29" i="21"/>
  <c r="AU29" i="21"/>
  <c r="G29" i="21"/>
  <c r="M29" i="21"/>
  <c r="AQ29" i="21"/>
  <c r="CS29" i="21"/>
  <c r="AL29" i="21"/>
  <c r="CE29" i="21"/>
  <c r="P29" i="21"/>
  <c r="BR29" i="21"/>
  <c r="AK29" i="21"/>
  <c r="Z29" i="21"/>
  <c r="Q29" i="21"/>
  <c r="CJ29" i="21"/>
  <c r="AO29" i="21"/>
  <c r="AM29" i="21"/>
  <c r="CP29" i="21"/>
  <c r="F29" i="21"/>
  <c r="CK29" i="21"/>
  <c r="N29" i="21"/>
  <c r="CN29" i="21"/>
  <c r="L29" i="21"/>
  <c r="BP29" i="21"/>
  <c r="CC29" i="21"/>
  <c r="U29" i="21"/>
  <c r="AE29" i="21"/>
  <c r="O29" i="21"/>
  <c r="AB29" i="21"/>
  <c r="AA29" i="21"/>
  <c r="BM29" i="21"/>
  <c r="BE29" i="21"/>
  <c r="BJ29" i="21"/>
  <c r="CB29" i="21"/>
  <c r="AY29" i="21"/>
  <c r="AT29" i="21"/>
  <c r="BX29" i="21"/>
  <c r="CO29" i="21"/>
  <c r="CL29" i="21"/>
  <c r="K29" i="21"/>
  <c r="CH29" i="21"/>
  <c r="CR29" i="21"/>
  <c r="V29" i="21"/>
  <c r="AZ29" i="21"/>
  <c r="AG29" i="21"/>
  <c r="E29" i="21"/>
  <c r="Y29" i="21"/>
  <c r="CF29" i="21"/>
  <c r="CM29" i="21"/>
  <c r="AP29" i="21"/>
  <c r="CQ29" i="21"/>
  <c r="CA29" i="21"/>
  <c r="X29" i="21"/>
  <c r="D29" i="21"/>
  <c r="BG29" i="21"/>
  <c r="BW29" i="21"/>
  <c r="AF29" i="21"/>
  <c r="AS29" i="21"/>
  <c r="AC29" i="21"/>
  <c r="BT29" i="21"/>
  <c r="AV29" i="21"/>
  <c r="AR29" i="21"/>
  <c r="BL29" i="21"/>
  <c r="S29" i="21"/>
  <c r="AB8" i="21"/>
  <c r="H70" i="46"/>
  <c r="J69" i="46" s="1"/>
  <c r="AB19" i="21" s="1"/>
  <c r="J7" i="46"/>
  <c r="L74" i="30"/>
  <c r="O74" i="30"/>
  <c r="I74" i="30"/>
  <c r="L73" i="30"/>
  <c r="I73" i="30"/>
  <c r="O73" i="30"/>
  <c r="G37" i="45"/>
  <c r="G41" i="45"/>
  <c r="G38" i="45"/>
  <c r="G42" i="45"/>
  <c r="G40" i="45"/>
  <c r="G39" i="45"/>
  <c r="G36" i="45"/>
  <c r="O30" i="35"/>
  <c r="L30" i="35"/>
  <c r="I30" i="35"/>
  <c r="CB8" i="21"/>
  <c r="P7" i="34"/>
  <c r="N70" i="34"/>
  <c r="P69" i="34" s="1"/>
  <c r="CB19" i="21" s="1"/>
  <c r="O74" i="84"/>
  <c r="I74" i="84"/>
  <c r="L74" i="84"/>
  <c r="L73" i="84"/>
  <c r="O73" i="84"/>
  <c r="I73" i="84"/>
  <c r="I11" i="39"/>
  <c r="R10" i="39" s="1"/>
  <c r="U9" i="21" s="1"/>
  <c r="L11" i="39"/>
  <c r="S10" i="39" s="1"/>
  <c r="BA9" i="21" s="1"/>
  <c r="O11" i="39"/>
  <c r="T10" i="39" s="1"/>
  <c r="CG9" i="21" s="1"/>
  <c r="O40" i="23"/>
  <c r="L40" i="23"/>
  <c r="I40" i="23"/>
  <c r="P7" i="39"/>
  <c r="CG8" i="21"/>
  <c r="N70" i="39"/>
  <c r="P69" i="39" s="1"/>
  <c r="CG19" i="21" s="1"/>
  <c r="AQ48" i="21"/>
  <c r="V8" i="21"/>
  <c r="J7" i="40"/>
  <c r="H70" i="40"/>
  <c r="J69" i="40" s="1"/>
  <c r="V19" i="21" s="1"/>
  <c r="G38" i="46"/>
  <c r="G42" i="46"/>
  <c r="G37" i="46"/>
  <c r="G39" i="46"/>
  <c r="G41" i="46"/>
  <c r="G40" i="46"/>
  <c r="G36" i="46"/>
  <c r="G39" i="44"/>
  <c r="G40" i="44"/>
  <c r="G41" i="44"/>
  <c r="G38" i="44"/>
  <c r="G42" i="44"/>
  <c r="G37" i="44"/>
  <c r="G36" i="44"/>
  <c r="I74" i="89"/>
  <c r="L74" i="89"/>
  <c r="O74" i="89"/>
  <c r="I73" i="89"/>
  <c r="L73" i="89"/>
  <c r="O73" i="89"/>
  <c r="G26" i="33"/>
  <c r="G25" i="33"/>
  <c r="G25" i="42"/>
  <c r="G26" i="42"/>
  <c r="L74" i="87"/>
  <c r="O74" i="87"/>
  <c r="I74" i="87"/>
  <c r="I73" i="87"/>
  <c r="L73" i="87"/>
  <c r="O73" i="87"/>
  <c r="G64" i="37"/>
  <c r="G63" i="37"/>
  <c r="G62" i="37"/>
  <c r="L11" i="23"/>
  <c r="S10" i="23" s="1"/>
  <c r="AK9" i="21" s="1"/>
  <c r="AK11" i="21" s="1"/>
  <c r="O11" i="23"/>
  <c r="T10" i="23" s="1"/>
  <c r="BQ9" i="21" s="1"/>
  <c r="I11" i="23"/>
  <c r="R10" i="23" s="1"/>
  <c r="E9" i="21" s="1"/>
  <c r="O62" i="36"/>
  <c r="L62" i="36"/>
  <c r="I62" i="36"/>
  <c r="G39" i="49"/>
  <c r="G41" i="49"/>
  <c r="G37" i="49"/>
  <c r="G38" i="49"/>
  <c r="G40" i="49"/>
  <c r="G42" i="49"/>
  <c r="G36" i="49"/>
  <c r="I11" i="35"/>
  <c r="R10" i="35" s="1"/>
  <c r="Q9" i="21" s="1"/>
  <c r="L11" i="35"/>
  <c r="S10" i="35" s="1"/>
  <c r="AW9" i="21" s="1"/>
  <c r="O11" i="35"/>
  <c r="T10" i="35" s="1"/>
  <c r="CC9" i="21" s="1"/>
  <c r="G25" i="45"/>
  <c r="G26" i="45"/>
  <c r="G41" i="27"/>
  <c r="G42" i="27"/>
  <c r="G38" i="27"/>
  <c r="G40" i="27"/>
  <c r="G39" i="27"/>
  <c r="G37" i="27"/>
  <c r="G36" i="27"/>
  <c r="L11" i="22"/>
  <c r="S10" i="22" s="1"/>
  <c r="AJ9" i="21" s="1"/>
  <c r="O11" i="22"/>
  <c r="T10" i="22" s="1"/>
  <c r="BP9" i="21" s="1"/>
  <c r="I11" i="22"/>
  <c r="R10" i="22" s="1"/>
  <c r="D9" i="21" s="1"/>
  <c r="O11" i="27"/>
  <c r="T10" i="27" s="1"/>
  <c r="BU9" i="21" s="1"/>
  <c r="L11" i="27"/>
  <c r="S10" i="27" s="1"/>
  <c r="AO9" i="21" s="1"/>
  <c r="I11" i="27"/>
  <c r="R10" i="27" s="1"/>
  <c r="I9" i="21" s="1"/>
  <c r="O30" i="27"/>
  <c r="L30" i="27"/>
  <c r="I30" i="27"/>
  <c r="L38" i="42"/>
  <c r="I38" i="42"/>
  <c r="O38" i="42"/>
  <c r="L30" i="36"/>
  <c r="I30" i="36"/>
  <c r="O30" i="36"/>
  <c r="G26" i="40"/>
  <c r="G25" i="40"/>
  <c r="G26" i="44"/>
  <c r="G25" i="44"/>
  <c r="G26" i="43"/>
  <c r="G25" i="43"/>
  <c r="I74" i="37"/>
  <c r="L74" i="37"/>
  <c r="O74" i="37"/>
  <c r="L73" i="37"/>
  <c r="O73" i="37"/>
  <c r="I73" i="37"/>
  <c r="O74" i="85"/>
  <c r="I74" i="85"/>
  <c r="L74" i="85"/>
  <c r="I73" i="85"/>
  <c r="O73" i="85"/>
  <c r="L73" i="85"/>
  <c r="L30" i="39"/>
  <c r="O30" i="39"/>
  <c r="I30" i="39"/>
  <c r="G64" i="25"/>
  <c r="G63" i="25"/>
  <c r="G62" i="25"/>
  <c r="G63" i="34"/>
  <c r="G64" i="34"/>
  <c r="G62" i="34"/>
  <c r="G42" i="38"/>
  <c r="G39" i="38"/>
  <c r="G37" i="38"/>
  <c r="G38" i="38"/>
  <c r="G41" i="38"/>
  <c r="G40" i="38"/>
  <c r="G64" i="77"/>
  <c r="G63" i="77"/>
  <c r="G62" i="77"/>
  <c r="G26" i="35"/>
  <c r="G25" i="35"/>
  <c r="O30" i="47"/>
  <c r="I30" i="47"/>
  <c r="L30" i="47"/>
  <c r="M71" i="40"/>
  <c r="BB20" i="21" s="1"/>
  <c r="L62" i="23"/>
  <c r="I62" i="23"/>
  <c r="O62" i="23"/>
  <c r="N8" i="15"/>
  <c r="I30" i="23"/>
  <c r="L30" i="23"/>
  <c r="O30" i="23"/>
  <c r="I74" i="78"/>
  <c r="L74" i="78"/>
  <c r="O74" i="78"/>
  <c r="L73" i="78"/>
  <c r="I73" i="78"/>
  <c r="O73" i="78"/>
  <c r="G63" i="24"/>
  <c r="G64" i="24"/>
  <c r="G62" i="24"/>
  <c r="O11" i="25"/>
  <c r="T10" i="25" s="1"/>
  <c r="BS9" i="21" s="1"/>
  <c r="BS11" i="21" s="1"/>
  <c r="L11" i="25"/>
  <c r="S10" i="25" s="1"/>
  <c r="AM9" i="21" s="1"/>
  <c r="I11" i="25"/>
  <c r="R10" i="25" s="1"/>
  <c r="G9" i="21" s="1"/>
  <c r="P7" i="43"/>
  <c r="CK8" i="21"/>
  <c r="N70" i="43"/>
  <c r="P69" i="43" s="1"/>
  <c r="CK19" i="21" s="1"/>
  <c r="AY8" i="21"/>
  <c r="M7" i="37"/>
  <c r="K70" i="37"/>
  <c r="M69" i="37" s="1"/>
  <c r="AY19" i="21" s="1"/>
  <c r="O41" i="23"/>
  <c r="I41" i="23"/>
  <c r="L41" i="23"/>
  <c r="M7" i="49"/>
  <c r="BK8" i="21"/>
  <c r="K70" i="49"/>
  <c r="M69" i="49" s="1"/>
  <c r="BK19" i="21" s="1"/>
  <c r="BA8" i="21"/>
  <c r="K70" i="39"/>
  <c r="M69" i="39" s="1"/>
  <c r="BA19" i="21" s="1"/>
  <c r="M7" i="39"/>
  <c r="CH8" i="21"/>
  <c r="N70" i="40"/>
  <c r="P69" i="40" s="1"/>
  <c r="CH19" i="21" s="1"/>
  <c r="P7" i="40"/>
  <c r="BH48" i="21"/>
  <c r="O11" i="40"/>
  <c r="T10" i="40" s="1"/>
  <c r="CH9" i="21" s="1"/>
  <c r="L11" i="40"/>
  <c r="S10" i="40" s="1"/>
  <c r="BB9" i="21" s="1"/>
  <c r="I11" i="40"/>
  <c r="R10" i="40" s="1"/>
  <c r="V9" i="21" s="1"/>
  <c r="G26" i="39"/>
  <c r="G25" i="39"/>
  <c r="G26" i="24"/>
  <c r="G25" i="24"/>
  <c r="G26" i="41"/>
  <c r="G25" i="41"/>
  <c r="I30" i="49"/>
  <c r="L30" i="49"/>
  <c r="O30" i="49"/>
  <c r="L74" i="47"/>
  <c r="O74" i="47"/>
  <c r="I74" i="47"/>
  <c r="L73" i="47"/>
  <c r="I73" i="47"/>
  <c r="O73" i="47"/>
  <c r="L74" i="77"/>
  <c r="O74" i="77"/>
  <c r="I74" i="77"/>
  <c r="L73" i="77"/>
  <c r="O73" i="77"/>
  <c r="I73" i="77"/>
  <c r="M7" i="42"/>
  <c r="BD8" i="21"/>
  <c r="K70" i="42"/>
  <c r="M69" i="42" s="1"/>
  <c r="BD19" i="21" s="1"/>
  <c r="L74" i="90"/>
  <c r="O74" i="90"/>
  <c r="I74" i="90"/>
  <c r="L73" i="90"/>
  <c r="O73" i="90"/>
  <c r="I73" i="90"/>
  <c r="I11" i="28"/>
  <c r="R10" i="28" s="1"/>
  <c r="J9" i="21" s="1"/>
  <c r="O11" i="28"/>
  <c r="T10" i="28" s="1"/>
  <c r="BV9" i="21" s="1"/>
  <c r="L11" i="28"/>
  <c r="S10" i="28" s="1"/>
  <c r="AP9" i="21" s="1"/>
  <c r="G39" i="32"/>
  <c r="G41" i="32"/>
  <c r="G42" i="32"/>
  <c r="G37" i="32"/>
  <c r="G38" i="32"/>
  <c r="G36" i="32"/>
  <c r="G63" i="33"/>
  <c r="G64" i="33"/>
  <c r="G62" i="33"/>
  <c r="G63" i="29"/>
  <c r="G64" i="29"/>
  <c r="G62" i="29"/>
  <c r="V24" i="20"/>
  <c r="G40" i="41"/>
  <c r="G37" i="41"/>
  <c r="G41" i="41"/>
  <c r="G42" i="41"/>
  <c r="G38" i="41"/>
  <c r="G39" i="41"/>
  <c r="G36" i="41"/>
  <c r="G64" i="22"/>
  <c r="G63" i="22"/>
  <c r="G62" i="22"/>
  <c r="O11" i="24"/>
  <c r="T10" i="24" s="1"/>
  <c r="BR9" i="21" s="1"/>
  <c r="I11" i="24"/>
  <c r="R10" i="24" s="1"/>
  <c r="F9" i="21" s="1"/>
  <c r="L11" i="24"/>
  <c r="S10" i="24" s="1"/>
  <c r="AL9" i="21" s="1"/>
  <c r="L30" i="29"/>
  <c r="O30" i="29"/>
  <c r="I30" i="29"/>
  <c r="AV8" i="21"/>
  <c r="M7" i="34"/>
  <c r="K70" i="34"/>
  <c r="M69" i="34" s="1"/>
  <c r="AV19" i="21" s="1"/>
  <c r="G37" i="37"/>
  <c r="G41" i="37"/>
  <c r="G38" i="37"/>
  <c r="G39" i="37"/>
  <c r="G40" i="37"/>
  <c r="G42" i="37"/>
  <c r="G36" i="37"/>
  <c r="I36" i="37" s="1"/>
  <c r="L74" i="36"/>
  <c r="I74" i="36"/>
  <c r="O74" i="36"/>
  <c r="O73" i="36"/>
  <c r="L73" i="36"/>
  <c r="I73" i="36"/>
  <c r="I11" i="47"/>
  <c r="R10" i="47" s="1"/>
  <c r="AC9" i="21" s="1"/>
  <c r="AC11" i="21" s="1"/>
  <c r="O11" i="47"/>
  <c r="T10" i="47" s="1"/>
  <c r="CO9" i="21" s="1"/>
  <c r="L11" i="47"/>
  <c r="S10" i="47" s="1"/>
  <c r="BI9" i="21" s="1"/>
  <c r="L11" i="45"/>
  <c r="S10" i="45" s="1"/>
  <c r="BG9" i="21" s="1"/>
  <c r="T13" i="20" s="1"/>
  <c r="O11" i="45"/>
  <c r="T10" i="45" s="1"/>
  <c r="CM9" i="21" s="1"/>
  <c r="I11" i="45"/>
  <c r="R10" i="45" s="1"/>
  <c r="AA9" i="21" s="1"/>
  <c r="O25" i="36"/>
  <c r="L25" i="36"/>
  <c r="I25" i="36"/>
  <c r="CE8" i="21"/>
  <c r="P7" i="37"/>
  <c r="N70" i="37"/>
  <c r="P69" i="37" s="1"/>
  <c r="CE19" i="21" s="1"/>
  <c r="F8" i="21"/>
  <c r="J7" i="24"/>
  <c r="H70" i="24"/>
  <c r="J69" i="24" s="1"/>
  <c r="F19" i="21" s="1"/>
  <c r="AU48" i="21"/>
  <c r="L42" i="23"/>
  <c r="I42" i="23"/>
  <c r="O42" i="23"/>
  <c r="AE8" i="21"/>
  <c r="H70" i="49"/>
  <c r="J69" i="49" s="1"/>
  <c r="AE19" i="21" s="1"/>
  <c r="J7" i="49"/>
  <c r="AW8" i="21"/>
  <c r="K70" i="35"/>
  <c r="M69" i="35" s="1"/>
  <c r="AW19" i="21" s="1"/>
  <c r="M7" i="35"/>
  <c r="M7" i="40"/>
  <c r="BB8" i="21"/>
  <c r="K70" i="40"/>
  <c r="M69" i="40" s="1"/>
  <c r="BB19" i="21" s="1"/>
  <c r="AC48" i="21"/>
  <c r="G26" i="30"/>
  <c r="G25" i="30"/>
  <c r="O74" i="44"/>
  <c r="I74" i="44"/>
  <c r="L74" i="44"/>
  <c r="O73" i="44"/>
  <c r="I73" i="44"/>
  <c r="L73" i="44"/>
  <c r="G26" i="22"/>
  <c r="G25" i="22"/>
  <c r="G26" i="50"/>
  <c r="G25" i="50"/>
  <c r="G26" i="46"/>
  <c r="G25" i="46"/>
  <c r="I74" i="22"/>
  <c r="O74" i="22"/>
  <c r="L74" i="22"/>
  <c r="L73" i="22"/>
  <c r="O73" i="22"/>
  <c r="I73" i="22"/>
  <c r="L74" i="83"/>
  <c r="O74" i="83"/>
  <c r="I74" i="83"/>
  <c r="L73" i="83"/>
  <c r="O73" i="83"/>
  <c r="I73" i="83"/>
  <c r="C49" i="15"/>
  <c r="G64" i="50"/>
  <c r="G63" i="50"/>
  <c r="G62" i="50"/>
  <c r="L30" i="43"/>
  <c r="I30" i="43"/>
  <c r="O30" i="43"/>
  <c r="G39" i="50"/>
  <c r="G37" i="50"/>
  <c r="G40" i="50"/>
  <c r="G42" i="50"/>
  <c r="G41" i="50"/>
  <c r="G38" i="50"/>
  <c r="G36" i="50"/>
  <c r="G63" i="79"/>
  <c r="G64" i="79"/>
  <c r="G62" i="79"/>
  <c r="G64" i="70"/>
  <c r="G63" i="70"/>
  <c r="G62" i="70"/>
  <c r="I74" i="50"/>
  <c r="O74" i="50"/>
  <c r="L74" i="50"/>
  <c r="I73" i="50"/>
  <c r="L73" i="50"/>
  <c r="O73" i="50"/>
  <c r="I74" i="76"/>
  <c r="L74" i="76"/>
  <c r="O74" i="76"/>
  <c r="L73" i="76"/>
  <c r="I73" i="76"/>
  <c r="O73" i="76"/>
  <c r="I30" i="46"/>
  <c r="O30" i="46"/>
  <c r="L30" i="46"/>
  <c r="M71" i="24"/>
  <c r="AL20" i="21" s="1"/>
  <c r="G26" i="48"/>
  <c r="G25" i="48"/>
  <c r="G37" i="26"/>
  <c r="G41" i="26"/>
  <c r="G42" i="26"/>
  <c r="G39" i="26"/>
  <c r="G40" i="26"/>
  <c r="G38" i="26"/>
  <c r="G36" i="26"/>
  <c r="I74" i="70"/>
  <c r="L74" i="70"/>
  <c r="O74" i="70"/>
  <c r="O73" i="70"/>
  <c r="L73" i="70"/>
  <c r="I73" i="70"/>
  <c r="L74" i="29"/>
  <c r="O74" i="29"/>
  <c r="I74" i="29"/>
  <c r="L73" i="29"/>
  <c r="I73" i="29"/>
  <c r="O73" i="29"/>
  <c r="O11" i="32"/>
  <c r="I11" i="32"/>
  <c r="L11" i="32"/>
  <c r="L26" i="36"/>
  <c r="I26" i="36"/>
  <c r="O26" i="36"/>
  <c r="H70" i="37"/>
  <c r="J69" i="37" s="1"/>
  <c r="S19" i="21" s="1"/>
  <c r="J7" i="37"/>
  <c r="S8" i="21"/>
  <c r="BR8" i="21"/>
  <c r="P7" i="24"/>
  <c r="N70" i="24"/>
  <c r="P69" i="24" s="1"/>
  <c r="BR19" i="21" s="1"/>
  <c r="J7" i="28"/>
  <c r="J8" i="21"/>
  <c r="H70" i="28"/>
  <c r="J69" i="28" s="1"/>
  <c r="J19" i="21" s="1"/>
  <c r="P7" i="49"/>
  <c r="CQ8" i="21"/>
  <c r="N70" i="49"/>
  <c r="P69" i="49" s="1"/>
  <c r="CQ19" i="21" s="1"/>
  <c r="Q8" i="21"/>
  <c r="J7" i="35"/>
  <c r="H70" i="35"/>
  <c r="J69" i="35" s="1"/>
  <c r="Q19" i="21" s="1"/>
  <c r="P7" i="30"/>
  <c r="BX8" i="21"/>
  <c r="N70" i="30"/>
  <c r="P69" i="30" s="1"/>
  <c r="BX19" i="21" s="1"/>
  <c r="L74" i="45"/>
  <c r="I74" i="45"/>
  <c r="O74" i="45"/>
  <c r="O73" i="45"/>
  <c r="L73" i="45"/>
  <c r="I73" i="45"/>
  <c r="O30" i="38"/>
  <c r="L30" i="38"/>
  <c r="I30" i="38"/>
  <c r="O74" i="43"/>
  <c r="L74" i="43"/>
  <c r="I74" i="43"/>
  <c r="L73" i="43"/>
  <c r="O73" i="43"/>
  <c r="I73" i="43"/>
  <c r="I40" i="42"/>
  <c r="O40" i="42"/>
  <c r="L40" i="42"/>
  <c r="L30" i="41"/>
  <c r="O30" i="41"/>
  <c r="I30" i="41"/>
  <c r="G63" i="35"/>
  <c r="G64" i="35"/>
  <c r="G62" i="35"/>
  <c r="G64" i="91"/>
  <c r="G63" i="91"/>
  <c r="G62" i="91"/>
  <c r="G40" i="22"/>
  <c r="G39" i="22"/>
  <c r="G42" i="22"/>
  <c r="G41" i="22"/>
  <c r="G38" i="22"/>
  <c r="G37" i="22"/>
  <c r="L11" i="37"/>
  <c r="S10" i="37" s="1"/>
  <c r="AY9" i="21" s="1"/>
  <c r="O11" i="37"/>
  <c r="T10" i="37" s="1"/>
  <c r="CE9" i="21" s="1"/>
  <c r="I11" i="37"/>
  <c r="R10" i="37" s="1"/>
  <c r="S9" i="21" s="1"/>
  <c r="R24" i="20"/>
  <c r="G26" i="27"/>
  <c r="G25" i="27"/>
  <c r="M7" i="25"/>
  <c r="AM8" i="21"/>
  <c r="K70" i="25"/>
  <c r="M69" i="25" s="1"/>
  <c r="AM19" i="21" s="1"/>
  <c r="E10" i="10"/>
  <c r="AK48" i="21"/>
  <c r="I39" i="42"/>
  <c r="O39" i="42"/>
  <c r="L39" i="42"/>
  <c r="P7" i="42"/>
  <c r="CJ8" i="21"/>
  <c r="N70" i="42"/>
  <c r="P69" i="42" s="1"/>
  <c r="CJ19" i="21" s="1"/>
  <c r="T99" i="96"/>
  <c r="P106" i="96" s="1"/>
  <c r="G26" i="29"/>
  <c r="G25" i="29"/>
  <c r="G26" i="23"/>
  <c r="G25" i="23"/>
  <c r="O74" i="39"/>
  <c r="I74" i="39"/>
  <c r="L74" i="39"/>
  <c r="I73" i="39"/>
  <c r="L73" i="39"/>
  <c r="O73" i="39"/>
  <c r="L63" i="44"/>
  <c r="I63" i="44"/>
  <c r="O63" i="44"/>
  <c r="L30" i="44"/>
  <c r="I30" i="44"/>
  <c r="O30" i="44"/>
  <c r="O30" i="28"/>
  <c r="I30" i="28"/>
  <c r="L30" i="28"/>
  <c r="I74" i="32"/>
  <c r="L74" i="32"/>
  <c r="O74" i="32"/>
  <c r="O73" i="32"/>
  <c r="I73" i="32"/>
  <c r="L73" i="32"/>
  <c r="G63" i="83"/>
  <c r="G64" i="83"/>
  <c r="G62" i="83"/>
  <c r="G37" i="29"/>
  <c r="G41" i="29"/>
  <c r="G40" i="29"/>
  <c r="G38" i="29"/>
  <c r="G42" i="29"/>
  <c r="G36" i="29"/>
  <c r="G41" i="36"/>
  <c r="G37" i="36"/>
  <c r="G42" i="36"/>
  <c r="G39" i="36"/>
  <c r="G38" i="36"/>
  <c r="G40" i="36"/>
  <c r="G36" i="36"/>
  <c r="G63" i="78"/>
  <c r="G64" i="78"/>
  <c r="G62" i="78"/>
  <c r="J71" i="24"/>
  <c r="F20" i="21" s="1"/>
  <c r="G64" i="38"/>
  <c r="G63" i="38"/>
  <c r="G62" i="38"/>
  <c r="O74" i="34"/>
  <c r="I74" i="34"/>
  <c r="L74" i="34"/>
  <c r="I73" i="34"/>
  <c r="O73" i="34"/>
  <c r="L73" i="34"/>
  <c r="I11" i="36"/>
  <c r="L11" i="36"/>
  <c r="S10" i="36" s="1"/>
  <c r="O11" i="36"/>
  <c r="T10" i="36" s="1"/>
  <c r="CF7" i="21"/>
  <c r="AZ7" i="21"/>
  <c r="T7" i="21"/>
  <c r="L9" i="38"/>
  <c r="AZ8" i="21" s="1"/>
  <c r="O9" i="38"/>
  <c r="I9" i="38"/>
  <c r="I30" i="24"/>
  <c r="L30" i="24"/>
  <c r="O30" i="24"/>
  <c r="M71" i="23"/>
  <c r="AK20" i="21" s="1"/>
  <c r="BI8" i="21"/>
  <c r="M7" i="47"/>
  <c r="K70" i="47"/>
  <c r="M69" i="47" s="1"/>
  <c r="BI19" i="21" s="1"/>
  <c r="L11" i="29"/>
  <c r="S10" i="29" s="1"/>
  <c r="AQ9" i="21" s="1"/>
  <c r="AQ11" i="21" s="1"/>
  <c r="O11" i="29"/>
  <c r="T10" i="29" s="1"/>
  <c r="BW9" i="21" s="1"/>
  <c r="BW11" i="21" s="1"/>
  <c r="I11" i="29"/>
  <c r="R10" i="29" s="1"/>
  <c r="K9" i="21" s="1"/>
  <c r="I74" i="80"/>
  <c r="L74" i="80"/>
  <c r="O74" i="80"/>
  <c r="I73" i="80"/>
  <c r="L73" i="80"/>
  <c r="O73" i="80"/>
  <c r="I64" i="36"/>
  <c r="L64" i="36"/>
  <c r="O64" i="36"/>
  <c r="L11" i="34"/>
  <c r="S10" i="34" s="1"/>
  <c r="AV9" i="21" s="1"/>
  <c r="I11" i="34"/>
  <c r="R10" i="34" s="1"/>
  <c r="P9" i="21" s="1"/>
  <c r="P11" i="21" s="1"/>
  <c r="O11" i="34"/>
  <c r="T10" i="34" s="1"/>
  <c r="CB9" i="21" s="1"/>
  <c r="L63" i="23"/>
  <c r="I63" i="23"/>
  <c r="O63" i="23"/>
  <c r="AJ8" i="21"/>
  <c r="K70" i="22"/>
  <c r="M69" i="22" s="1"/>
  <c r="AJ19" i="21" s="1"/>
  <c r="M7" i="31"/>
  <c r="AS8" i="21"/>
  <c r="K70" i="31"/>
  <c r="M69" i="31" s="1"/>
  <c r="AS19" i="21" s="1"/>
  <c r="BF48" i="21"/>
  <c r="D9" i="8"/>
  <c r="D9" i="10"/>
  <c r="AL8" i="21"/>
  <c r="M7" i="24"/>
  <c r="K70" i="24"/>
  <c r="M69" i="24" s="1"/>
  <c r="AL19" i="21" s="1"/>
  <c r="I36" i="23"/>
  <c r="O36" i="23"/>
  <c r="L36" i="23"/>
  <c r="AP8" i="21"/>
  <c r="M7" i="28"/>
  <c r="K70" i="28"/>
  <c r="M69" i="28" s="1"/>
  <c r="AP19" i="21" s="1"/>
  <c r="L25" i="20" s="1"/>
  <c r="P48" i="21"/>
  <c r="CC8" i="21"/>
  <c r="P7" i="35"/>
  <c r="N70" i="35"/>
  <c r="P69" i="35" s="1"/>
  <c r="CC19" i="21" s="1"/>
  <c r="M71" i="38"/>
  <c r="AZ20" i="21" s="1"/>
  <c r="L8" i="21"/>
  <c r="J7" i="30"/>
  <c r="H70" i="30"/>
  <c r="J69" i="30" s="1"/>
  <c r="L19" i="21" s="1"/>
  <c r="BZ8" i="21"/>
  <c r="L12" i="20" l="1"/>
  <c r="K119" i="20" s="1"/>
  <c r="U86" i="20"/>
  <c r="U83" i="20" s="1"/>
  <c r="S83" i="20"/>
  <c r="S87" i="20"/>
  <c r="S89" i="20"/>
  <c r="P13" i="20"/>
  <c r="O120" i="20" s="1"/>
  <c r="P12" i="20"/>
  <c r="O119" i="20" s="1"/>
  <c r="N12" i="20"/>
  <c r="M119" i="20" s="1"/>
  <c r="S88" i="20"/>
  <c r="S85" i="20"/>
  <c r="P25" i="20"/>
  <c r="O118" i="20"/>
  <c r="R25" i="20"/>
  <c r="V13" i="20"/>
  <c r="U120" i="20" s="1"/>
  <c r="S15" i="20"/>
  <c r="S48" i="20" s="1"/>
  <c r="S120" i="20"/>
  <c r="S67" i="20"/>
  <c r="T67" i="20" s="1"/>
  <c r="V25" i="20"/>
  <c r="AD11" i="21"/>
  <c r="M60" i="44"/>
  <c r="BF16" i="21" s="1"/>
  <c r="CP8" i="21"/>
  <c r="J12" i="20" s="1"/>
  <c r="I119" i="20" s="1"/>
  <c r="P7" i="48"/>
  <c r="J52" i="34"/>
  <c r="P52" i="34"/>
  <c r="M52" i="34"/>
  <c r="E10" i="8"/>
  <c r="E11" i="21"/>
  <c r="AZ11" i="21"/>
  <c r="P7" i="32"/>
  <c r="T38" i="96"/>
  <c r="M60" i="41"/>
  <c r="K70" i="48"/>
  <c r="M69" i="48" s="1"/>
  <c r="BJ19" i="21" s="1"/>
  <c r="M7" i="48"/>
  <c r="Q70" i="96"/>
  <c r="P71" i="73"/>
  <c r="EU20" i="21" s="1"/>
  <c r="P110" i="96"/>
  <c r="T110" i="96" s="1"/>
  <c r="G11" i="10"/>
  <c r="L13" i="20"/>
  <c r="K118" i="20"/>
  <c r="K86" i="20"/>
  <c r="O88" i="20"/>
  <c r="O84" i="20"/>
  <c r="O87" i="20"/>
  <c r="O83" i="20"/>
  <c r="O85" i="20"/>
  <c r="O89" i="20"/>
  <c r="G11" i="8"/>
  <c r="M86" i="20"/>
  <c r="M88" i="20" s="1"/>
  <c r="J60" i="41"/>
  <c r="J71" i="86"/>
  <c r="DN20" i="21" s="1"/>
  <c r="M71" i="79"/>
  <c r="ED20" i="21" s="1"/>
  <c r="P71" i="82"/>
  <c r="FE20" i="21" s="1"/>
  <c r="P71" i="85"/>
  <c r="FI20" i="21" s="1"/>
  <c r="P71" i="28"/>
  <c r="BV20" i="21" s="1"/>
  <c r="P71" i="27"/>
  <c r="BU20" i="21" s="1"/>
  <c r="P24" i="96"/>
  <c r="O24" i="96" s="1"/>
  <c r="P60" i="41"/>
  <c r="P60" i="44"/>
  <c r="CL16" i="21" s="1"/>
  <c r="H70" i="32"/>
  <c r="J69" i="32" s="1"/>
  <c r="N19" i="21" s="1"/>
  <c r="M71" i="84"/>
  <c r="EJ20" i="21" s="1"/>
  <c r="P71" i="47"/>
  <c r="CO20" i="21" s="1"/>
  <c r="P71" i="76"/>
  <c r="EX20" i="21" s="1"/>
  <c r="J71" i="50"/>
  <c r="AG20" i="21" s="1"/>
  <c r="P71" i="44"/>
  <c r="CL20" i="21" s="1"/>
  <c r="J71" i="90"/>
  <c r="DR20" i="21" s="1"/>
  <c r="M7" i="22"/>
  <c r="P71" i="32"/>
  <c r="BZ20" i="21" s="1"/>
  <c r="J71" i="22"/>
  <c r="D20" i="21" s="1"/>
  <c r="M71" i="85"/>
  <c r="EL20" i="21" s="1"/>
  <c r="M71" i="89"/>
  <c r="M71" i="91"/>
  <c r="J71" i="28"/>
  <c r="J20" i="21" s="1"/>
  <c r="M71" i="36"/>
  <c r="M71" i="32"/>
  <c r="AT20" i="21" s="1"/>
  <c r="J71" i="29"/>
  <c r="K20" i="21" s="1"/>
  <c r="J71" i="47"/>
  <c r="AC20" i="21" s="1"/>
  <c r="P34" i="23"/>
  <c r="BQ14" i="21" s="1"/>
  <c r="J71" i="37"/>
  <c r="S20" i="21" s="1"/>
  <c r="P71" i="42"/>
  <c r="CJ20" i="21" s="1"/>
  <c r="M34" i="42"/>
  <c r="BD14" i="21" s="1"/>
  <c r="F17" i="10" s="1"/>
  <c r="M71" i="42"/>
  <c r="BD20" i="21" s="1"/>
  <c r="J71" i="89"/>
  <c r="DS20" i="21" s="1"/>
  <c r="M71" i="28"/>
  <c r="AP20" i="21" s="1"/>
  <c r="M71" i="27"/>
  <c r="AO20" i="21" s="1"/>
  <c r="P71" i="91"/>
  <c r="P71" i="35"/>
  <c r="CC20" i="21" s="1"/>
  <c r="J60" i="44"/>
  <c r="Z16" i="21" s="1"/>
  <c r="M23" i="36"/>
  <c r="J71" i="36"/>
  <c r="J71" i="78"/>
  <c r="DF20" i="21" s="1"/>
  <c r="J71" i="85"/>
  <c r="DO20" i="21" s="1"/>
  <c r="P71" i="84"/>
  <c r="FG20" i="21" s="1"/>
  <c r="P71" i="79"/>
  <c r="FA20" i="21" s="1"/>
  <c r="J71" i="82"/>
  <c r="DK20" i="21" s="1"/>
  <c r="M71" i="70"/>
  <c r="DU20" i="21" s="1"/>
  <c r="M71" i="83"/>
  <c r="EI20" i="21" s="1"/>
  <c r="M71" i="44"/>
  <c r="BF20" i="21" s="1"/>
  <c r="P23" i="36"/>
  <c r="J71" i="39"/>
  <c r="U20" i="21" s="1"/>
  <c r="M71" i="50"/>
  <c r="BM20" i="21" s="1"/>
  <c r="J71" i="30"/>
  <c r="L20" i="21" s="1"/>
  <c r="P71" i="30"/>
  <c r="BX20" i="21" s="1"/>
  <c r="P71" i="109"/>
  <c r="FB20" i="21" s="1"/>
  <c r="J71" i="75"/>
  <c r="DC20" i="21" s="1"/>
  <c r="J71" i="32"/>
  <c r="N20" i="21" s="1"/>
  <c r="M71" i="29"/>
  <c r="AQ20" i="21" s="1"/>
  <c r="P71" i="87"/>
  <c r="FJ20" i="21" s="1"/>
  <c r="M71" i="33"/>
  <c r="AU20" i="21" s="1"/>
  <c r="M71" i="26"/>
  <c r="AN20" i="21" s="1"/>
  <c r="P71" i="75"/>
  <c r="EW20" i="21" s="1"/>
  <c r="P71" i="43"/>
  <c r="CK20" i="21" s="1"/>
  <c r="J71" i="80"/>
  <c r="DI20" i="21" s="1"/>
  <c r="M71" i="76"/>
  <c r="EA20" i="21" s="1"/>
  <c r="J34" i="42"/>
  <c r="X14" i="21" s="1"/>
  <c r="P60" i="36"/>
  <c r="M71" i="87"/>
  <c r="EM20" i="21" s="1"/>
  <c r="J71" i="26"/>
  <c r="H20" i="21" s="1"/>
  <c r="J71" i="73"/>
  <c r="DA20" i="21" s="1"/>
  <c r="J71" i="81"/>
  <c r="DJ20" i="21" s="1"/>
  <c r="J71" i="45"/>
  <c r="AA20" i="21" s="1"/>
  <c r="J71" i="34"/>
  <c r="P20" i="21" s="1"/>
  <c r="P71" i="22"/>
  <c r="BP20" i="21" s="1"/>
  <c r="M71" i="77"/>
  <c r="EB20" i="21" s="1"/>
  <c r="P71" i="37"/>
  <c r="CE20" i="21" s="1"/>
  <c r="P71" i="89"/>
  <c r="M71" i="71"/>
  <c r="DV20" i="21" s="1"/>
  <c r="P71" i="26"/>
  <c r="BT20" i="21" s="1"/>
  <c r="M71" i="51"/>
  <c r="BN20" i="21" s="1"/>
  <c r="J71" i="42"/>
  <c r="X20" i="21" s="1"/>
  <c r="M71" i="48"/>
  <c r="BJ20" i="21" s="1"/>
  <c r="P71" i="78"/>
  <c r="EZ20" i="21" s="1"/>
  <c r="P34" i="42"/>
  <c r="CJ14" i="21" s="1"/>
  <c r="J71" i="44"/>
  <c r="Z20" i="21" s="1"/>
  <c r="AL11" i="21"/>
  <c r="AL48" i="21"/>
  <c r="O63" i="91"/>
  <c r="I63" i="91"/>
  <c r="L63" i="91"/>
  <c r="I25" i="46"/>
  <c r="L25" i="46"/>
  <c r="O25" i="46"/>
  <c r="O37" i="50"/>
  <c r="I37" i="50"/>
  <c r="L37" i="50"/>
  <c r="L40" i="41"/>
  <c r="I40" i="41"/>
  <c r="O40" i="41"/>
  <c r="BD48" i="21"/>
  <c r="F10" i="10"/>
  <c r="BD11" i="21"/>
  <c r="I62" i="35"/>
  <c r="O62" i="35"/>
  <c r="L62" i="35"/>
  <c r="L36" i="26"/>
  <c r="I36" i="26"/>
  <c r="O36" i="26"/>
  <c r="I63" i="79"/>
  <c r="L63" i="79"/>
  <c r="O63" i="79"/>
  <c r="BZ48" i="21"/>
  <c r="J34" i="23"/>
  <c r="E14" i="21" s="1"/>
  <c r="M71" i="80"/>
  <c r="EF20" i="21" s="1"/>
  <c r="CF8" i="21"/>
  <c r="P7" i="38"/>
  <c r="N70" i="38"/>
  <c r="P69" i="38" s="1"/>
  <c r="CF19" i="21" s="1"/>
  <c r="M71" i="34"/>
  <c r="AV20" i="21" s="1"/>
  <c r="O62" i="38"/>
  <c r="I62" i="38"/>
  <c r="L62" i="38"/>
  <c r="I62" i="78"/>
  <c r="L62" i="78"/>
  <c r="O62" i="78"/>
  <c r="O36" i="29"/>
  <c r="L36" i="29"/>
  <c r="I36" i="29"/>
  <c r="O63" i="83"/>
  <c r="L63" i="83"/>
  <c r="I63" i="83"/>
  <c r="P71" i="39"/>
  <c r="CG20" i="21" s="1"/>
  <c r="L26" i="23"/>
  <c r="I26" i="23"/>
  <c r="O26" i="23"/>
  <c r="L39" i="22"/>
  <c r="I39" i="22"/>
  <c r="O39" i="22"/>
  <c r="L63" i="35"/>
  <c r="O63" i="35"/>
  <c r="I63" i="35"/>
  <c r="CQ48" i="21"/>
  <c r="CQ11" i="21"/>
  <c r="S48" i="21"/>
  <c r="S11" i="21"/>
  <c r="J71" i="70"/>
  <c r="CX20" i="21" s="1"/>
  <c r="I40" i="26"/>
  <c r="L40" i="26"/>
  <c r="O40" i="26"/>
  <c r="I62" i="70"/>
  <c r="O62" i="70"/>
  <c r="L62" i="70"/>
  <c r="O36" i="50"/>
  <c r="L36" i="50"/>
  <c r="I36" i="50"/>
  <c r="P71" i="83"/>
  <c r="FF20" i="21" s="1"/>
  <c r="I26" i="22"/>
  <c r="O26" i="22"/>
  <c r="L26" i="22"/>
  <c r="BB11" i="21"/>
  <c r="BB48" i="21"/>
  <c r="AE48" i="21"/>
  <c r="AE11" i="21"/>
  <c r="F48" i="21"/>
  <c r="F11" i="21"/>
  <c r="O41" i="37"/>
  <c r="L41" i="37"/>
  <c r="I41" i="37"/>
  <c r="I39" i="41"/>
  <c r="L39" i="41"/>
  <c r="O39" i="41"/>
  <c r="I62" i="29"/>
  <c r="L62" i="29"/>
  <c r="O62" i="29"/>
  <c r="L36" i="32"/>
  <c r="O36" i="32"/>
  <c r="I36" i="32"/>
  <c r="M71" i="90"/>
  <c r="P71" i="77"/>
  <c r="EY20" i="21" s="1"/>
  <c r="I25" i="24"/>
  <c r="O25" i="24"/>
  <c r="L25" i="24"/>
  <c r="BA48" i="21"/>
  <c r="BA11" i="21"/>
  <c r="P60" i="23"/>
  <c r="BQ16" i="21" s="1"/>
  <c r="I25" i="35"/>
  <c r="O25" i="35"/>
  <c r="L25" i="35"/>
  <c r="I63" i="77"/>
  <c r="O63" i="77"/>
  <c r="L63" i="77"/>
  <c r="O39" i="38"/>
  <c r="I39" i="38"/>
  <c r="L39" i="38"/>
  <c r="L39" i="27"/>
  <c r="I39" i="27"/>
  <c r="O39" i="27"/>
  <c r="H11" i="8"/>
  <c r="H11" i="10"/>
  <c r="R13" i="20"/>
  <c r="O39" i="49"/>
  <c r="I39" i="49"/>
  <c r="L39" i="49"/>
  <c r="L63" i="37"/>
  <c r="O63" i="37"/>
  <c r="I63" i="37"/>
  <c r="O26" i="42"/>
  <c r="L26" i="42"/>
  <c r="I26" i="42"/>
  <c r="I39" i="44"/>
  <c r="O39" i="44"/>
  <c r="L39" i="44"/>
  <c r="L37" i="46"/>
  <c r="O37" i="46"/>
  <c r="I37" i="46"/>
  <c r="O42" i="45"/>
  <c r="I42" i="45"/>
  <c r="L42" i="45"/>
  <c r="L39" i="35"/>
  <c r="I39" i="35"/>
  <c r="O39" i="35"/>
  <c r="I37" i="39"/>
  <c r="O37" i="39"/>
  <c r="L37" i="39"/>
  <c r="I37" i="43"/>
  <c r="O37" i="43"/>
  <c r="L37" i="43"/>
  <c r="J71" i="74"/>
  <c r="DB20" i="21" s="1"/>
  <c r="P71" i="51"/>
  <c r="CT20" i="21" s="1"/>
  <c r="BP48" i="21"/>
  <c r="BP11" i="21"/>
  <c r="P71" i="33"/>
  <c r="CA20" i="21" s="1"/>
  <c r="O62" i="74"/>
  <c r="I62" i="74"/>
  <c r="L62" i="74"/>
  <c r="O63" i="26"/>
  <c r="I63" i="26"/>
  <c r="L63" i="26"/>
  <c r="O42" i="51"/>
  <c r="I42" i="51"/>
  <c r="L42" i="51"/>
  <c r="L64" i="51"/>
  <c r="I64" i="51"/>
  <c r="O64" i="51"/>
  <c r="O25" i="26"/>
  <c r="I25" i="26"/>
  <c r="L25" i="26"/>
  <c r="I32" i="47"/>
  <c r="L32" i="47"/>
  <c r="O32" i="47"/>
  <c r="O32" i="39"/>
  <c r="L32" i="39"/>
  <c r="I32" i="39"/>
  <c r="O32" i="44"/>
  <c r="I32" i="44"/>
  <c r="L32" i="44"/>
  <c r="O38" i="40"/>
  <c r="L38" i="40"/>
  <c r="I38" i="40"/>
  <c r="CA48" i="21"/>
  <c r="CA11" i="21"/>
  <c r="BJ48" i="21"/>
  <c r="BJ11" i="21"/>
  <c r="J7" i="22"/>
  <c r="S10" i="32"/>
  <c r="AT9" i="21" s="1"/>
  <c r="AT11" i="21" s="1"/>
  <c r="O39" i="31"/>
  <c r="I39" i="31"/>
  <c r="L39" i="31"/>
  <c r="I39" i="30"/>
  <c r="L39" i="30"/>
  <c r="O39" i="30"/>
  <c r="O31" i="38"/>
  <c r="I31" i="38"/>
  <c r="L31" i="38"/>
  <c r="O31" i="29"/>
  <c r="L31" i="29"/>
  <c r="I31" i="29"/>
  <c r="I31" i="51"/>
  <c r="L31" i="51"/>
  <c r="O31" i="51"/>
  <c r="O31" i="41"/>
  <c r="L31" i="41"/>
  <c r="I31" i="41"/>
  <c r="I42" i="25"/>
  <c r="O42" i="25"/>
  <c r="L42" i="25"/>
  <c r="M71" i="46"/>
  <c r="BH20" i="21" s="1"/>
  <c r="I38" i="47"/>
  <c r="L38" i="47"/>
  <c r="O38" i="47"/>
  <c r="M71" i="25"/>
  <c r="AM20" i="21" s="1"/>
  <c r="L26" i="28"/>
  <c r="I26" i="28"/>
  <c r="O26" i="28"/>
  <c r="I86" i="20"/>
  <c r="X11" i="20"/>
  <c r="I118" i="20"/>
  <c r="BU48" i="21"/>
  <c r="BU11" i="21"/>
  <c r="M7" i="32"/>
  <c r="M48" i="21"/>
  <c r="M11" i="21"/>
  <c r="T10" i="51"/>
  <c r="CT9" i="21" s="1"/>
  <c r="CT11" i="21" s="1"/>
  <c r="L64" i="28"/>
  <c r="I64" i="28"/>
  <c r="O64" i="28"/>
  <c r="I33" i="44"/>
  <c r="O33" i="44"/>
  <c r="L33" i="44"/>
  <c r="L33" i="32"/>
  <c r="O33" i="32"/>
  <c r="I33" i="32"/>
  <c r="O33" i="38"/>
  <c r="L33" i="38"/>
  <c r="I33" i="38"/>
  <c r="L64" i="82"/>
  <c r="I64" i="82"/>
  <c r="O64" i="82"/>
  <c r="I39" i="48"/>
  <c r="L39" i="48"/>
  <c r="O39" i="48"/>
  <c r="L63" i="45"/>
  <c r="I63" i="45"/>
  <c r="O63" i="45"/>
  <c r="O25" i="31"/>
  <c r="I25" i="31"/>
  <c r="L25" i="31"/>
  <c r="P71" i="86"/>
  <c r="FH20" i="21" s="1"/>
  <c r="O25" i="32"/>
  <c r="I25" i="32"/>
  <c r="L25" i="32"/>
  <c r="M71" i="41"/>
  <c r="O62" i="40"/>
  <c r="L62" i="40"/>
  <c r="I62" i="40"/>
  <c r="J71" i="49"/>
  <c r="AE20" i="21" s="1"/>
  <c r="O41" i="28"/>
  <c r="I41" i="28"/>
  <c r="L41" i="28"/>
  <c r="L36" i="34"/>
  <c r="O36" i="34"/>
  <c r="I36" i="34"/>
  <c r="J47" i="45"/>
  <c r="M47" i="45"/>
  <c r="P47" i="45"/>
  <c r="G48" i="50"/>
  <c r="G49" i="51"/>
  <c r="G50" i="31"/>
  <c r="G50" i="27"/>
  <c r="G50" i="36"/>
  <c r="G50" i="42"/>
  <c r="G50" i="30"/>
  <c r="G53" i="41"/>
  <c r="G50" i="24"/>
  <c r="G50" i="44"/>
  <c r="G50" i="43"/>
  <c r="G50" i="34"/>
  <c r="G50" i="25"/>
  <c r="G50" i="33"/>
  <c r="G51" i="35"/>
  <c r="G51" i="32"/>
  <c r="G50" i="23"/>
  <c r="G50" i="40"/>
  <c r="G50" i="26"/>
  <c r="G50" i="29"/>
  <c r="G50" i="38"/>
  <c r="G51" i="39"/>
  <c r="G50" i="22"/>
  <c r="G50" i="28"/>
  <c r="G50" i="37"/>
  <c r="J48" i="21"/>
  <c r="J11" i="21"/>
  <c r="O41" i="26"/>
  <c r="L41" i="26"/>
  <c r="I41" i="26"/>
  <c r="I63" i="50"/>
  <c r="O63" i="50"/>
  <c r="L63" i="50"/>
  <c r="O39" i="32"/>
  <c r="L39" i="32"/>
  <c r="I39" i="32"/>
  <c r="AS48" i="21"/>
  <c r="AS11" i="21"/>
  <c r="M7" i="38"/>
  <c r="K70" i="38"/>
  <c r="M69" i="38" s="1"/>
  <c r="AZ19" i="21" s="1"/>
  <c r="P71" i="34"/>
  <c r="CB20" i="21" s="1"/>
  <c r="L63" i="38"/>
  <c r="I63" i="38"/>
  <c r="O63" i="38"/>
  <c r="I64" i="78"/>
  <c r="L64" i="78"/>
  <c r="O64" i="78"/>
  <c r="O36" i="36"/>
  <c r="I36" i="36"/>
  <c r="L36" i="36"/>
  <c r="I42" i="29"/>
  <c r="O42" i="29"/>
  <c r="L42" i="29"/>
  <c r="M71" i="39"/>
  <c r="BA20" i="21" s="1"/>
  <c r="L25" i="29"/>
  <c r="O25" i="29"/>
  <c r="I25" i="29"/>
  <c r="I40" i="22"/>
  <c r="L40" i="22"/>
  <c r="O40" i="22"/>
  <c r="M71" i="43"/>
  <c r="BE20" i="21" s="1"/>
  <c r="M71" i="45"/>
  <c r="BG20" i="21" s="1"/>
  <c r="BX48" i="21"/>
  <c r="BX11" i="21"/>
  <c r="L39" i="26"/>
  <c r="I39" i="26"/>
  <c r="O39" i="26"/>
  <c r="P71" i="50"/>
  <c r="CS20" i="21" s="1"/>
  <c r="O63" i="70"/>
  <c r="I63" i="70"/>
  <c r="L63" i="70"/>
  <c r="O38" i="50"/>
  <c r="L38" i="50"/>
  <c r="I38" i="50"/>
  <c r="O25" i="30"/>
  <c r="I25" i="30"/>
  <c r="L25" i="30"/>
  <c r="L37" i="37"/>
  <c r="I37" i="37"/>
  <c r="O37" i="37"/>
  <c r="I38" i="41"/>
  <c r="L38" i="41"/>
  <c r="O38" i="41"/>
  <c r="I64" i="29"/>
  <c r="O64" i="29"/>
  <c r="L64" i="29"/>
  <c r="O38" i="32"/>
  <c r="L38" i="32"/>
  <c r="I38" i="32"/>
  <c r="L26" i="24"/>
  <c r="O26" i="24"/>
  <c r="I26" i="24"/>
  <c r="J60" i="23"/>
  <c r="E16" i="21" s="1"/>
  <c r="I26" i="35"/>
  <c r="O26" i="35"/>
  <c r="L26" i="35"/>
  <c r="L64" i="77"/>
  <c r="I64" i="77"/>
  <c r="O64" i="77"/>
  <c r="I42" i="38"/>
  <c r="O42" i="38"/>
  <c r="L42" i="38"/>
  <c r="I25" i="43"/>
  <c r="O25" i="43"/>
  <c r="L25" i="43"/>
  <c r="O40" i="27"/>
  <c r="I40" i="27"/>
  <c r="L40" i="27"/>
  <c r="J60" i="36"/>
  <c r="I64" i="37"/>
  <c r="L64" i="37"/>
  <c r="O64" i="37"/>
  <c r="O25" i="42"/>
  <c r="L25" i="42"/>
  <c r="I25" i="42"/>
  <c r="O42" i="46"/>
  <c r="I42" i="46"/>
  <c r="L42" i="46"/>
  <c r="J71" i="84"/>
  <c r="DM20" i="21" s="1"/>
  <c r="CB48" i="21"/>
  <c r="CB11" i="21"/>
  <c r="I38" i="45"/>
  <c r="L38" i="45"/>
  <c r="O38" i="45"/>
  <c r="L38" i="39"/>
  <c r="O38" i="39"/>
  <c r="I38" i="39"/>
  <c r="O41" i="43"/>
  <c r="L41" i="43"/>
  <c r="I41" i="43"/>
  <c r="P71" i="74"/>
  <c r="EV20" i="21" s="1"/>
  <c r="J71" i="51"/>
  <c r="AH20" i="21" s="1"/>
  <c r="O63" i="89"/>
  <c r="I63" i="89"/>
  <c r="L63" i="89"/>
  <c r="L64" i="74"/>
  <c r="O64" i="74"/>
  <c r="I64" i="74"/>
  <c r="J71" i="109"/>
  <c r="DH20" i="21" s="1"/>
  <c r="L26" i="26"/>
  <c r="O26" i="26"/>
  <c r="I26" i="26"/>
  <c r="I32" i="40"/>
  <c r="O32" i="40"/>
  <c r="L32" i="40"/>
  <c r="O32" i="42"/>
  <c r="L32" i="42"/>
  <c r="I32" i="42"/>
  <c r="I32" i="27"/>
  <c r="L32" i="27"/>
  <c r="O32" i="27"/>
  <c r="O39" i="40"/>
  <c r="I39" i="40"/>
  <c r="L39" i="40"/>
  <c r="L26" i="34"/>
  <c r="O26" i="34"/>
  <c r="I26" i="34"/>
  <c r="D11" i="21"/>
  <c r="D48" i="21"/>
  <c r="T10" i="32"/>
  <c r="BZ9" i="21" s="1"/>
  <c r="BZ11" i="21" s="1"/>
  <c r="L40" i="31"/>
  <c r="I40" i="31"/>
  <c r="O40" i="31"/>
  <c r="L62" i="85"/>
  <c r="I62" i="85"/>
  <c r="O62" i="85"/>
  <c r="L37" i="30"/>
  <c r="I37" i="30"/>
  <c r="O37" i="30"/>
  <c r="O31" i="39"/>
  <c r="L31" i="39"/>
  <c r="I31" i="39"/>
  <c r="O31" i="26"/>
  <c r="L31" i="26"/>
  <c r="I31" i="26"/>
  <c r="L31" i="45"/>
  <c r="I31" i="45"/>
  <c r="O31" i="45"/>
  <c r="I31" i="35"/>
  <c r="L31" i="35"/>
  <c r="O31" i="35"/>
  <c r="L38" i="25"/>
  <c r="O38" i="25"/>
  <c r="I38" i="25"/>
  <c r="I37" i="47"/>
  <c r="O37" i="47"/>
  <c r="L37" i="47"/>
  <c r="L36" i="24"/>
  <c r="I36" i="24"/>
  <c r="O36" i="24"/>
  <c r="K70" i="32"/>
  <c r="M69" i="32" s="1"/>
  <c r="AT19" i="21" s="1"/>
  <c r="N25" i="20" s="1"/>
  <c r="BV48" i="21"/>
  <c r="BV11" i="21"/>
  <c r="S10" i="51"/>
  <c r="BN9" i="21" s="1"/>
  <c r="I48" i="21"/>
  <c r="I11" i="21"/>
  <c r="O62" i="87"/>
  <c r="I62" i="87"/>
  <c r="L62" i="87"/>
  <c r="L33" i="50"/>
  <c r="I33" i="50"/>
  <c r="O33" i="50"/>
  <c r="L33" i="39"/>
  <c r="O33" i="39"/>
  <c r="I33" i="39"/>
  <c r="L33" i="43"/>
  <c r="I33" i="43"/>
  <c r="O33" i="43"/>
  <c r="O33" i="27"/>
  <c r="L33" i="27"/>
  <c r="I33" i="27"/>
  <c r="O63" i="82"/>
  <c r="I63" i="82"/>
  <c r="L63" i="82"/>
  <c r="I64" i="45"/>
  <c r="L64" i="45"/>
  <c r="O64" i="45"/>
  <c r="I26" i="31"/>
  <c r="L26" i="31"/>
  <c r="O26" i="31"/>
  <c r="L26" i="32"/>
  <c r="I26" i="32"/>
  <c r="O26" i="32"/>
  <c r="L64" i="40"/>
  <c r="O64" i="40"/>
  <c r="I64" i="40"/>
  <c r="O37" i="28"/>
  <c r="I37" i="28"/>
  <c r="L37" i="28"/>
  <c r="L40" i="34"/>
  <c r="I40" i="34"/>
  <c r="O40" i="34"/>
  <c r="G57" i="28"/>
  <c r="G57" i="38"/>
  <c r="G57" i="25"/>
  <c r="G57" i="26"/>
  <c r="G57" i="40"/>
  <c r="G57" i="41"/>
  <c r="G57" i="43"/>
  <c r="G57" i="32"/>
  <c r="G57" i="42"/>
  <c r="G57" i="22"/>
  <c r="G57" i="29"/>
  <c r="G57" i="23"/>
  <c r="G57" i="30"/>
  <c r="G57" i="24"/>
  <c r="G57" i="31"/>
  <c r="G57" i="34"/>
  <c r="G57" i="44"/>
  <c r="G57" i="39"/>
  <c r="G57" i="27"/>
  <c r="G57" i="33"/>
  <c r="G50" i="41"/>
  <c r="G48" i="51"/>
  <c r="I38" i="36"/>
  <c r="O38" i="36"/>
  <c r="L38" i="36"/>
  <c r="L42" i="50"/>
  <c r="O42" i="50"/>
  <c r="I42" i="50"/>
  <c r="O41" i="41"/>
  <c r="L41" i="41"/>
  <c r="I41" i="41"/>
  <c r="O42" i="36"/>
  <c r="I42" i="36"/>
  <c r="L42" i="36"/>
  <c r="L64" i="79"/>
  <c r="I64" i="79"/>
  <c r="O64" i="79"/>
  <c r="L25" i="50"/>
  <c r="O25" i="50"/>
  <c r="I25" i="50"/>
  <c r="I63" i="22"/>
  <c r="O63" i="22"/>
  <c r="L63" i="22"/>
  <c r="BI48" i="21"/>
  <c r="BI11" i="21"/>
  <c r="O64" i="38"/>
  <c r="L64" i="38"/>
  <c r="I64" i="38"/>
  <c r="O63" i="78"/>
  <c r="L63" i="78"/>
  <c r="I63" i="78"/>
  <c r="I40" i="36"/>
  <c r="O40" i="36"/>
  <c r="L40" i="36"/>
  <c r="O38" i="29"/>
  <c r="L38" i="29"/>
  <c r="I38" i="29"/>
  <c r="O26" i="29"/>
  <c r="L26" i="29"/>
  <c r="I26" i="29"/>
  <c r="AM48" i="21"/>
  <c r="AM11" i="21"/>
  <c r="D11" i="8"/>
  <c r="D11" i="10"/>
  <c r="I62" i="91"/>
  <c r="O62" i="91"/>
  <c r="L62" i="91"/>
  <c r="P71" i="45"/>
  <c r="CM20" i="21" s="1"/>
  <c r="P71" i="29"/>
  <c r="BW20" i="21" s="1"/>
  <c r="P71" i="70"/>
  <c r="ER20" i="21" s="1"/>
  <c r="I42" i="26"/>
  <c r="O42" i="26"/>
  <c r="L42" i="26"/>
  <c r="L64" i="70"/>
  <c r="O64" i="70"/>
  <c r="I64" i="70"/>
  <c r="L41" i="50"/>
  <c r="O41" i="50"/>
  <c r="I41" i="50"/>
  <c r="L62" i="50"/>
  <c r="O62" i="50"/>
  <c r="I62" i="50"/>
  <c r="I26" i="30"/>
  <c r="O26" i="30"/>
  <c r="L26" i="30"/>
  <c r="I42" i="41"/>
  <c r="L42" i="41"/>
  <c r="O42" i="41"/>
  <c r="O63" i="29"/>
  <c r="I63" i="29"/>
  <c r="L63" i="29"/>
  <c r="O37" i="32"/>
  <c r="L37" i="32"/>
  <c r="I37" i="32"/>
  <c r="L25" i="39"/>
  <c r="I25" i="39"/>
  <c r="O25" i="39"/>
  <c r="BK48" i="21"/>
  <c r="BK11" i="21"/>
  <c r="L62" i="24"/>
  <c r="O62" i="24"/>
  <c r="I62" i="24"/>
  <c r="M60" i="23"/>
  <c r="AK16" i="21" s="1"/>
  <c r="O62" i="34"/>
  <c r="I62" i="34"/>
  <c r="L62" i="34"/>
  <c r="L26" i="43"/>
  <c r="I26" i="43"/>
  <c r="O26" i="43"/>
  <c r="O38" i="27"/>
  <c r="L38" i="27"/>
  <c r="I38" i="27"/>
  <c r="L36" i="49"/>
  <c r="I36" i="49"/>
  <c r="O36" i="49"/>
  <c r="M60" i="36"/>
  <c r="L25" i="33"/>
  <c r="I25" i="33"/>
  <c r="O25" i="33"/>
  <c r="O36" i="44"/>
  <c r="L36" i="44"/>
  <c r="I36" i="44"/>
  <c r="L38" i="46"/>
  <c r="O38" i="46"/>
  <c r="I38" i="46"/>
  <c r="O41" i="45"/>
  <c r="I41" i="45"/>
  <c r="L41" i="45"/>
  <c r="L64" i="90"/>
  <c r="M60" i="90" s="1"/>
  <c r="I64" i="90"/>
  <c r="J60" i="90" s="1"/>
  <c r="O64" i="90"/>
  <c r="P60" i="90" s="1"/>
  <c r="I62" i="84"/>
  <c r="O62" i="84"/>
  <c r="L62" i="84"/>
  <c r="O36" i="35"/>
  <c r="L36" i="35"/>
  <c r="I36" i="35"/>
  <c r="I62" i="47"/>
  <c r="L62" i="47"/>
  <c r="O62" i="47"/>
  <c r="L42" i="39"/>
  <c r="O42" i="39"/>
  <c r="I42" i="39"/>
  <c r="O39" i="43"/>
  <c r="I39" i="43"/>
  <c r="L39" i="43"/>
  <c r="I64" i="89"/>
  <c r="J60" i="89" s="1"/>
  <c r="L64" i="89"/>
  <c r="M60" i="89" s="1"/>
  <c r="O64" i="89"/>
  <c r="P60" i="89" s="1"/>
  <c r="L63" i="74"/>
  <c r="O63" i="74"/>
  <c r="I63" i="74"/>
  <c r="L36" i="51"/>
  <c r="O36" i="51"/>
  <c r="I36" i="51"/>
  <c r="L62" i="42"/>
  <c r="O62" i="42"/>
  <c r="I62" i="42"/>
  <c r="O32" i="45"/>
  <c r="L32" i="45"/>
  <c r="I32" i="45"/>
  <c r="I32" i="33"/>
  <c r="L32" i="33"/>
  <c r="O32" i="33"/>
  <c r="I32" i="24"/>
  <c r="L32" i="24"/>
  <c r="O32" i="24"/>
  <c r="O32" i="46"/>
  <c r="I32" i="46"/>
  <c r="L32" i="46"/>
  <c r="O41" i="40"/>
  <c r="L41" i="40"/>
  <c r="I41" i="40"/>
  <c r="O25" i="34"/>
  <c r="I25" i="34"/>
  <c r="L25" i="34"/>
  <c r="AR48" i="21"/>
  <c r="AR11" i="21"/>
  <c r="R10" i="32"/>
  <c r="N9" i="21" s="1"/>
  <c r="N11" i="21" s="1"/>
  <c r="I62" i="81"/>
  <c r="L62" i="81"/>
  <c r="O62" i="81"/>
  <c r="O62" i="73"/>
  <c r="I62" i="73"/>
  <c r="L62" i="73"/>
  <c r="L63" i="85"/>
  <c r="I63" i="85"/>
  <c r="O63" i="85"/>
  <c r="L38" i="30"/>
  <c r="I38" i="30"/>
  <c r="O38" i="30"/>
  <c r="I31" i="24"/>
  <c r="O31" i="24"/>
  <c r="L31" i="24"/>
  <c r="I31" i="31"/>
  <c r="O31" i="31"/>
  <c r="L31" i="31"/>
  <c r="I31" i="27"/>
  <c r="L31" i="27"/>
  <c r="O31" i="27"/>
  <c r="I31" i="34"/>
  <c r="O31" i="34"/>
  <c r="L31" i="34"/>
  <c r="O40" i="25"/>
  <c r="L40" i="25"/>
  <c r="I40" i="25"/>
  <c r="O39" i="47"/>
  <c r="I39" i="47"/>
  <c r="L39" i="47"/>
  <c r="O62" i="39"/>
  <c r="I62" i="39"/>
  <c r="L62" i="39"/>
  <c r="O42" i="24"/>
  <c r="I42" i="24"/>
  <c r="L42" i="24"/>
  <c r="O11" i="21"/>
  <c r="O48" i="21"/>
  <c r="BT8" i="21"/>
  <c r="P7" i="26"/>
  <c r="N70" i="26"/>
  <c r="P69" i="26" s="1"/>
  <c r="BT19" i="21" s="1"/>
  <c r="F10" i="8"/>
  <c r="AT48" i="21"/>
  <c r="BG48" i="21"/>
  <c r="BG11" i="21"/>
  <c r="R10" i="51"/>
  <c r="AH9" i="21" s="1"/>
  <c r="AH11" i="21" s="1"/>
  <c r="L64" i="87"/>
  <c r="O64" i="87"/>
  <c r="I64" i="87"/>
  <c r="CO48" i="21"/>
  <c r="CO11" i="21"/>
  <c r="L33" i="22"/>
  <c r="I33" i="22"/>
  <c r="O33" i="22"/>
  <c r="I33" i="49"/>
  <c r="L33" i="49"/>
  <c r="O33" i="49"/>
  <c r="L33" i="41"/>
  <c r="I33" i="41"/>
  <c r="O33" i="41"/>
  <c r="O33" i="47"/>
  <c r="L33" i="47"/>
  <c r="I33" i="47"/>
  <c r="L36" i="48"/>
  <c r="O36" i="48"/>
  <c r="I36" i="48"/>
  <c r="O62" i="72"/>
  <c r="L62" i="72"/>
  <c r="I62" i="72"/>
  <c r="X48" i="21"/>
  <c r="X11" i="21"/>
  <c r="J71" i="79"/>
  <c r="DG20" i="21" s="1"/>
  <c r="M71" i="73"/>
  <c r="DX20" i="21" s="1"/>
  <c r="I63" i="40"/>
  <c r="L63" i="40"/>
  <c r="O63" i="40"/>
  <c r="M71" i="82"/>
  <c r="EH20" i="21" s="1"/>
  <c r="I39" i="28"/>
  <c r="O39" i="28"/>
  <c r="L39" i="28"/>
  <c r="L41" i="34"/>
  <c r="I41" i="34"/>
  <c r="O41" i="34"/>
  <c r="G47" i="35"/>
  <c r="G47" i="39"/>
  <c r="G47" i="41"/>
  <c r="L32" i="96"/>
  <c r="M32" i="96" s="1"/>
  <c r="G48" i="49"/>
  <c r="G48" i="48"/>
  <c r="L36" i="33"/>
  <c r="O36" i="33"/>
  <c r="I36" i="33"/>
  <c r="L48" i="21"/>
  <c r="L11" i="21"/>
  <c r="L36" i="22"/>
  <c r="O36" i="22"/>
  <c r="L26" i="39"/>
  <c r="I26" i="39"/>
  <c r="O26" i="39"/>
  <c r="CH11" i="21"/>
  <c r="CH48" i="21"/>
  <c r="D10" i="10"/>
  <c r="D10" i="8"/>
  <c r="AY48" i="21"/>
  <c r="AY11" i="21"/>
  <c r="L64" i="24"/>
  <c r="I64" i="24"/>
  <c r="O64" i="24"/>
  <c r="O64" i="34"/>
  <c r="L64" i="34"/>
  <c r="I64" i="34"/>
  <c r="O25" i="44"/>
  <c r="L25" i="44"/>
  <c r="I25" i="44"/>
  <c r="I42" i="27"/>
  <c r="O42" i="27"/>
  <c r="L42" i="27"/>
  <c r="I42" i="49"/>
  <c r="L42" i="49"/>
  <c r="O42" i="49"/>
  <c r="I26" i="33"/>
  <c r="O26" i="33"/>
  <c r="L26" i="33"/>
  <c r="I37" i="44"/>
  <c r="O37" i="44"/>
  <c r="L37" i="44"/>
  <c r="U87" i="20"/>
  <c r="O37" i="45"/>
  <c r="L37" i="45"/>
  <c r="I37" i="45"/>
  <c r="I62" i="90"/>
  <c r="L62" i="90"/>
  <c r="O62" i="90"/>
  <c r="I64" i="84"/>
  <c r="O64" i="84"/>
  <c r="L64" i="84"/>
  <c r="L37" i="35"/>
  <c r="O37" i="35"/>
  <c r="I37" i="35"/>
  <c r="L63" i="47"/>
  <c r="I63" i="47"/>
  <c r="O63" i="47"/>
  <c r="L41" i="39"/>
  <c r="O41" i="39"/>
  <c r="I41" i="39"/>
  <c r="O38" i="43"/>
  <c r="I38" i="43"/>
  <c r="L38" i="43"/>
  <c r="U11" i="21"/>
  <c r="U48" i="21"/>
  <c r="Y48" i="21"/>
  <c r="Y11" i="21"/>
  <c r="O62" i="89"/>
  <c r="I62" i="89"/>
  <c r="L62" i="89"/>
  <c r="L37" i="51"/>
  <c r="O37" i="51"/>
  <c r="I37" i="51"/>
  <c r="O64" i="42"/>
  <c r="L64" i="42"/>
  <c r="I64" i="42"/>
  <c r="O32" i="26"/>
  <c r="I32" i="26"/>
  <c r="L32" i="26"/>
  <c r="L32" i="38"/>
  <c r="I32" i="38"/>
  <c r="O32" i="38"/>
  <c r="O32" i="23"/>
  <c r="I32" i="23"/>
  <c r="L32" i="23"/>
  <c r="O32" i="36"/>
  <c r="I32" i="36"/>
  <c r="L32" i="36"/>
  <c r="I62" i="48"/>
  <c r="L62" i="48"/>
  <c r="O62" i="48"/>
  <c r="L40" i="40"/>
  <c r="O40" i="40"/>
  <c r="I40" i="40"/>
  <c r="CL48" i="21"/>
  <c r="CL11" i="21"/>
  <c r="I62" i="49"/>
  <c r="L62" i="49"/>
  <c r="O62" i="49"/>
  <c r="I62" i="32"/>
  <c r="L62" i="32"/>
  <c r="O62" i="32"/>
  <c r="BY48" i="21"/>
  <c r="BY11" i="21"/>
  <c r="I62" i="109"/>
  <c r="O62" i="109"/>
  <c r="L62" i="109"/>
  <c r="O36" i="31"/>
  <c r="I36" i="31"/>
  <c r="L36" i="31"/>
  <c r="I63" i="81"/>
  <c r="O63" i="81"/>
  <c r="L63" i="81"/>
  <c r="O64" i="73"/>
  <c r="I64" i="73"/>
  <c r="L64" i="73"/>
  <c r="O64" i="85"/>
  <c r="L64" i="85"/>
  <c r="I64" i="85"/>
  <c r="I31" i="22"/>
  <c r="L31" i="22"/>
  <c r="O31" i="22"/>
  <c r="I31" i="44"/>
  <c r="O31" i="44"/>
  <c r="L31" i="44"/>
  <c r="L31" i="32"/>
  <c r="O31" i="32"/>
  <c r="I31" i="32"/>
  <c r="O62" i="27"/>
  <c r="L62" i="27"/>
  <c r="I62" i="27"/>
  <c r="O63" i="39"/>
  <c r="L63" i="39"/>
  <c r="I63" i="39"/>
  <c r="I39" i="24"/>
  <c r="L39" i="24"/>
  <c r="O39" i="24"/>
  <c r="L62" i="46"/>
  <c r="I62" i="46"/>
  <c r="O62" i="46"/>
  <c r="H8" i="21"/>
  <c r="J7" i="26"/>
  <c r="H70" i="26"/>
  <c r="J69" i="26" s="1"/>
  <c r="H19" i="21" s="1"/>
  <c r="O63" i="87"/>
  <c r="I63" i="87"/>
  <c r="L63" i="87"/>
  <c r="W24" i="20"/>
  <c r="X24" i="20"/>
  <c r="O33" i="26"/>
  <c r="L33" i="26"/>
  <c r="I33" i="26"/>
  <c r="O33" i="29"/>
  <c r="I33" i="29"/>
  <c r="L33" i="29"/>
  <c r="L33" i="42"/>
  <c r="O33" i="42"/>
  <c r="I33" i="42"/>
  <c r="L33" i="23"/>
  <c r="I33" i="23"/>
  <c r="O33" i="23"/>
  <c r="I37" i="48"/>
  <c r="L37" i="48"/>
  <c r="O37" i="48"/>
  <c r="L64" i="72"/>
  <c r="I64" i="72"/>
  <c r="O64" i="72"/>
  <c r="I40" i="28"/>
  <c r="L40" i="28"/>
  <c r="O40" i="28"/>
  <c r="L42" i="34"/>
  <c r="I42" i="34"/>
  <c r="O42" i="34"/>
  <c r="P48" i="35"/>
  <c r="J48" i="35"/>
  <c r="M48" i="35"/>
  <c r="M51" i="47"/>
  <c r="J51" i="47"/>
  <c r="P51" i="47"/>
  <c r="G49" i="46"/>
  <c r="G49" i="47"/>
  <c r="G49" i="48"/>
  <c r="G49" i="49"/>
  <c r="I41" i="33"/>
  <c r="L41" i="33"/>
  <c r="O41" i="33"/>
  <c r="L36" i="38"/>
  <c r="O36" i="38"/>
  <c r="AP48" i="21"/>
  <c r="G10" i="10"/>
  <c r="AP11" i="21"/>
  <c r="G10" i="8"/>
  <c r="AJ48" i="21"/>
  <c r="AJ11" i="21"/>
  <c r="L39" i="36"/>
  <c r="I39" i="36"/>
  <c r="O39" i="36"/>
  <c r="I41" i="29"/>
  <c r="O41" i="29"/>
  <c r="L41" i="29"/>
  <c r="O25" i="27"/>
  <c r="I25" i="27"/>
  <c r="L25" i="27"/>
  <c r="I37" i="22"/>
  <c r="L37" i="22"/>
  <c r="O37" i="22"/>
  <c r="I64" i="91"/>
  <c r="O64" i="91"/>
  <c r="L64" i="91"/>
  <c r="I37" i="26"/>
  <c r="L37" i="26"/>
  <c r="O37" i="26"/>
  <c r="J71" i="76"/>
  <c r="DD20" i="21" s="1"/>
  <c r="I62" i="79"/>
  <c r="L62" i="79"/>
  <c r="O62" i="79"/>
  <c r="O40" i="50"/>
  <c r="I40" i="50"/>
  <c r="L40" i="50"/>
  <c r="L64" i="50"/>
  <c r="I64" i="50"/>
  <c r="O64" i="50"/>
  <c r="O26" i="46"/>
  <c r="L26" i="46"/>
  <c r="I26" i="46"/>
  <c r="H10" i="8"/>
  <c r="H10" i="10"/>
  <c r="AW48" i="21"/>
  <c r="AW11" i="21"/>
  <c r="R12" i="20"/>
  <c r="J23" i="36"/>
  <c r="I42" i="37"/>
  <c r="L42" i="37"/>
  <c r="O42" i="37"/>
  <c r="AV48" i="21"/>
  <c r="AV11" i="21"/>
  <c r="I62" i="22"/>
  <c r="O62" i="22"/>
  <c r="L62" i="22"/>
  <c r="I37" i="41"/>
  <c r="O37" i="41"/>
  <c r="L37" i="41"/>
  <c r="L62" i="33"/>
  <c r="O62" i="33"/>
  <c r="I62" i="33"/>
  <c r="I41" i="32"/>
  <c r="L41" i="32"/>
  <c r="O41" i="32"/>
  <c r="O63" i="24"/>
  <c r="L63" i="24"/>
  <c r="I63" i="24"/>
  <c r="L40" i="38"/>
  <c r="I40" i="38"/>
  <c r="O40" i="38"/>
  <c r="L63" i="34"/>
  <c r="I63" i="34"/>
  <c r="O63" i="34"/>
  <c r="M71" i="37"/>
  <c r="AY20" i="21" s="1"/>
  <c r="L26" i="44"/>
  <c r="O26" i="44"/>
  <c r="I26" i="44"/>
  <c r="I41" i="27"/>
  <c r="O41" i="27"/>
  <c r="L41" i="27"/>
  <c r="O40" i="49"/>
  <c r="I40" i="49"/>
  <c r="L40" i="49"/>
  <c r="J71" i="87"/>
  <c r="DP20" i="21" s="1"/>
  <c r="O42" i="44"/>
  <c r="L42" i="44"/>
  <c r="I42" i="44"/>
  <c r="I36" i="46"/>
  <c r="L36" i="46"/>
  <c r="O36" i="46"/>
  <c r="CG48" i="21"/>
  <c r="CG11" i="21"/>
  <c r="I63" i="90"/>
  <c r="O63" i="90"/>
  <c r="L63" i="90"/>
  <c r="O63" i="84"/>
  <c r="L63" i="84"/>
  <c r="I63" i="84"/>
  <c r="L42" i="35"/>
  <c r="O42" i="35"/>
  <c r="I42" i="35"/>
  <c r="L64" i="47"/>
  <c r="I64" i="47"/>
  <c r="O64" i="47"/>
  <c r="I62" i="31"/>
  <c r="O62" i="31"/>
  <c r="L62" i="31"/>
  <c r="O40" i="43"/>
  <c r="I40" i="43"/>
  <c r="L40" i="43"/>
  <c r="AA48" i="21"/>
  <c r="AA11" i="21"/>
  <c r="I25" i="37"/>
  <c r="O25" i="37"/>
  <c r="L25" i="37"/>
  <c r="I40" i="51"/>
  <c r="O40" i="51"/>
  <c r="L40" i="51"/>
  <c r="O63" i="42"/>
  <c r="I63" i="42"/>
  <c r="L63" i="42"/>
  <c r="L32" i="43"/>
  <c r="O32" i="43"/>
  <c r="I32" i="43"/>
  <c r="O32" i="50"/>
  <c r="I32" i="50"/>
  <c r="L32" i="50"/>
  <c r="L32" i="41"/>
  <c r="O32" i="41"/>
  <c r="I32" i="41"/>
  <c r="I32" i="30"/>
  <c r="L32" i="30"/>
  <c r="O32" i="30"/>
  <c r="L63" i="48"/>
  <c r="O63" i="48"/>
  <c r="I63" i="48"/>
  <c r="L42" i="40"/>
  <c r="O42" i="40"/>
  <c r="I42" i="40"/>
  <c r="O63" i="49"/>
  <c r="I63" i="49"/>
  <c r="L63" i="49"/>
  <c r="I63" i="32"/>
  <c r="L63" i="32"/>
  <c r="O63" i="32"/>
  <c r="BE48" i="21"/>
  <c r="V12" i="20"/>
  <c r="BE11" i="21"/>
  <c r="I63" i="109"/>
  <c r="O63" i="109"/>
  <c r="L63" i="109"/>
  <c r="L37" i="31"/>
  <c r="I37" i="31"/>
  <c r="O37" i="31"/>
  <c r="O64" i="81"/>
  <c r="L64" i="81"/>
  <c r="I64" i="81"/>
  <c r="L63" i="73"/>
  <c r="I63" i="73"/>
  <c r="O63" i="73"/>
  <c r="I62" i="71"/>
  <c r="O62" i="71"/>
  <c r="L62" i="71"/>
  <c r="O36" i="30"/>
  <c r="I36" i="30"/>
  <c r="L36" i="30"/>
  <c r="O31" i="33"/>
  <c r="L31" i="33"/>
  <c r="I31" i="33"/>
  <c r="O31" i="25"/>
  <c r="I31" i="25"/>
  <c r="L31" i="25"/>
  <c r="I31" i="42"/>
  <c r="L31" i="42"/>
  <c r="O31" i="42"/>
  <c r="I36" i="25"/>
  <c r="O36" i="25"/>
  <c r="L36" i="25"/>
  <c r="L63" i="27"/>
  <c r="I63" i="27"/>
  <c r="O63" i="27"/>
  <c r="I36" i="47"/>
  <c r="L36" i="47"/>
  <c r="O36" i="47"/>
  <c r="J71" i="35"/>
  <c r="Q20" i="21" s="1"/>
  <c r="L64" i="39"/>
  <c r="I64" i="39"/>
  <c r="O64" i="39"/>
  <c r="O41" i="24"/>
  <c r="I41" i="24"/>
  <c r="L41" i="24"/>
  <c r="O63" i="46"/>
  <c r="I63" i="46"/>
  <c r="L63" i="46"/>
  <c r="M7" i="26"/>
  <c r="AN8" i="21"/>
  <c r="K70" i="26"/>
  <c r="M69" i="26" s="1"/>
  <c r="AN19" i="21" s="1"/>
  <c r="O62" i="43"/>
  <c r="L62" i="43"/>
  <c r="I62" i="43"/>
  <c r="I62" i="76"/>
  <c r="O62" i="76"/>
  <c r="L62" i="76"/>
  <c r="O33" i="28"/>
  <c r="I33" i="28"/>
  <c r="L33" i="28"/>
  <c r="L33" i="33"/>
  <c r="I33" i="33"/>
  <c r="O33" i="33"/>
  <c r="L33" i="45"/>
  <c r="I33" i="45"/>
  <c r="O33" i="45"/>
  <c r="L33" i="48"/>
  <c r="I33" i="48"/>
  <c r="O33" i="48"/>
  <c r="I41" i="48"/>
  <c r="O41" i="48"/>
  <c r="L41" i="48"/>
  <c r="O63" i="72"/>
  <c r="L63" i="72"/>
  <c r="I63" i="72"/>
  <c r="M71" i="75"/>
  <c r="DZ20" i="21" s="1"/>
  <c r="L26" i="25"/>
  <c r="I26" i="25"/>
  <c r="O26" i="25"/>
  <c r="P71" i="48"/>
  <c r="CP20" i="21" s="1"/>
  <c r="BQ48" i="21"/>
  <c r="BQ11" i="21"/>
  <c r="L42" i="28"/>
  <c r="I42" i="28"/>
  <c r="O42" i="28"/>
  <c r="O39" i="34"/>
  <c r="L39" i="34"/>
  <c r="I39" i="34"/>
  <c r="G49" i="31"/>
  <c r="G49" i="27"/>
  <c r="G50" i="39"/>
  <c r="G49" i="33"/>
  <c r="G50" i="45"/>
  <c r="G51" i="46"/>
  <c r="G49" i="42"/>
  <c r="G51" i="48"/>
  <c r="G52" i="49"/>
  <c r="G49" i="29"/>
  <c r="G53" i="47"/>
  <c r="G51" i="41"/>
  <c r="G49" i="37"/>
  <c r="G49" i="36"/>
  <c r="G49" i="43"/>
  <c r="G50" i="35"/>
  <c r="G49" i="24"/>
  <c r="G49" i="22"/>
  <c r="G49" i="23"/>
  <c r="G49" i="34"/>
  <c r="G49" i="28"/>
  <c r="G49" i="40"/>
  <c r="G49" i="38"/>
  <c r="G49" i="30"/>
  <c r="G49" i="26"/>
  <c r="G49" i="25"/>
  <c r="G49" i="44"/>
  <c r="G50" i="32"/>
  <c r="L69" i="96"/>
  <c r="M69" i="96" s="1"/>
  <c r="G47" i="51"/>
  <c r="G47" i="22"/>
  <c r="G47" i="46"/>
  <c r="G48" i="32"/>
  <c r="G47" i="44"/>
  <c r="G47" i="23"/>
  <c r="G47" i="24"/>
  <c r="G47" i="29"/>
  <c r="G47" i="30"/>
  <c r="G47" i="25"/>
  <c r="G47" i="28"/>
  <c r="G47" i="43"/>
  <c r="G47" i="38"/>
  <c r="G48" i="41"/>
  <c r="G47" i="50"/>
  <c r="G47" i="36"/>
  <c r="G47" i="26"/>
  <c r="G47" i="33"/>
  <c r="G47" i="40"/>
  <c r="G47" i="27"/>
  <c r="G47" i="42"/>
  <c r="G47" i="37"/>
  <c r="G47" i="31"/>
  <c r="G47" i="34"/>
  <c r="G47" i="47"/>
  <c r="G47" i="49"/>
  <c r="G47" i="48"/>
  <c r="O39" i="33"/>
  <c r="L39" i="33"/>
  <c r="I39" i="33"/>
  <c r="L64" i="33"/>
  <c r="O64" i="33"/>
  <c r="I64" i="33"/>
  <c r="CK48" i="21"/>
  <c r="CK11" i="21"/>
  <c r="L41" i="38"/>
  <c r="O41" i="38"/>
  <c r="I41" i="38"/>
  <c r="I62" i="25"/>
  <c r="L62" i="25"/>
  <c r="O62" i="25"/>
  <c r="L25" i="40"/>
  <c r="I25" i="40"/>
  <c r="O25" i="40"/>
  <c r="L26" i="45"/>
  <c r="O26" i="45"/>
  <c r="I26" i="45"/>
  <c r="I38" i="49"/>
  <c r="O38" i="49"/>
  <c r="L38" i="49"/>
  <c r="EP20" i="21"/>
  <c r="O38" i="44"/>
  <c r="I38" i="44"/>
  <c r="L38" i="44"/>
  <c r="I40" i="46"/>
  <c r="L40" i="46"/>
  <c r="O40" i="46"/>
  <c r="L36" i="45"/>
  <c r="O36" i="45"/>
  <c r="I36" i="45"/>
  <c r="I62" i="80"/>
  <c r="L62" i="80"/>
  <c r="O62" i="80"/>
  <c r="I40" i="35"/>
  <c r="O40" i="35"/>
  <c r="L40" i="35"/>
  <c r="I36" i="39"/>
  <c r="O36" i="39"/>
  <c r="L36" i="39"/>
  <c r="L64" i="31"/>
  <c r="I64" i="31"/>
  <c r="O64" i="31"/>
  <c r="O42" i="43"/>
  <c r="L42" i="43"/>
  <c r="I42" i="43"/>
  <c r="O62" i="30"/>
  <c r="L62" i="30"/>
  <c r="I62" i="30"/>
  <c r="I26" i="37"/>
  <c r="O26" i="37"/>
  <c r="L26" i="37"/>
  <c r="L38" i="51"/>
  <c r="O38" i="51"/>
  <c r="I38" i="51"/>
  <c r="I32" i="25"/>
  <c r="L32" i="25"/>
  <c r="O32" i="25"/>
  <c r="O32" i="28"/>
  <c r="L32" i="28"/>
  <c r="I32" i="28"/>
  <c r="L32" i="32"/>
  <c r="I32" i="32"/>
  <c r="O32" i="32"/>
  <c r="L32" i="48"/>
  <c r="O32" i="48"/>
  <c r="I32" i="48"/>
  <c r="L64" i="48"/>
  <c r="O64" i="48"/>
  <c r="I64" i="48"/>
  <c r="O64" i="49"/>
  <c r="L64" i="49"/>
  <c r="I64" i="49"/>
  <c r="L64" i="32"/>
  <c r="I64" i="32"/>
  <c r="O64" i="32"/>
  <c r="L64" i="109"/>
  <c r="I64" i="109"/>
  <c r="O64" i="109"/>
  <c r="I41" i="31"/>
  <c r="O41" i="31"/>
  <c r="L41" i="31"/>
  <c r="O63" i="71"/>
  <c r="I63" i="71"/>
  <c r="L63" i="71"/>
  <c r="O40" i="30"/>
  <c r="L40" i="30"/>
  <c r="I40" i="30"/>
  <c r="I31" i="40"/>
  <c r="L31" i="40"/>
  <c r="O31" i="40"/>
  <c r="L31" i="48"/>
  <c r="I31" i="48"/>
  <c r="O31" i="48"/>
  <c r="I31" i="28"/>
  <c r="L31" i="28"/>
  <c r="O31" i="28"/>
  <c r="I31" i="50"/>
  <c r="L31" i="50"/>
  <c r="O31" i="50"/>
  <c r="O37" i="25"/>
  <c r="I37" i="25"/>
  <c r="L37" i="25"/>
  <c r="L64" i="27"/>
  <c r="I64" i="27"/>
  <c r="O64" i="27"/>
  <c r="L40" i="47"/>
  <c r="I40" i="47"/>
  <c r="O40" i="47"/>
  <c r="Z48" i="21"/>
  <c r="Z11" i="21"/>
  <c r="O25" i="47"/>
  <c r="I25" i="47"/>
  <c r="L25" i="47"/>
  <c r="I37" i="24"/>
  <c r="L37" i="24"/>
  <c r="O37" i="24"/>
  <c r="O64" i="46"/>
  <c r="I64" i="46"/>
  <c r="L64" i="46"/>
  <c r="E48" i="21"/>
  <c r="Q86" i="20"/>
  <c r="Q118" i="20"/>
  <c r="O63" i="43"/>
  <c r="I63" i="43"/>
  <c r="L63" i="43"/>
  <c r="O64" i="76"/>
  <c r="L64" i="76"/>
  <c r="I64" i="76"/>
  <c r="O33" i="37"/>
  <c r="L33" i="37"/>
  <c r="I33" i="37"/>
  <c r="I33" i="34"/>
  <c r="L33" i="34"/>
  <c r="O33" i="34"/>
  <c r="O33" i="25"/>
  <c r="I33" i="25"/>
  <c r="L33" i="25"/>
  <c r="I33" i="24"/>
  <c r="L33" i="24"/>
  <c r="O33" i="24"/>
  <c r="L38" i="48"/>
  <c r="O38" i="48"/>
  <c r="I38" i="48"/>
  <c r="O25" i="25"/>
  <c r="I25" i="25"/>
  <c r="L25" i="25"/>
  <c r="G48" i="21"/>
  <c r="G11" i="21"/>
  <c r="J71" i="48"/>
  <c r="AD20" i="21" s="1"/>
  <c r="P71" i="81"/>
  <c r="FD20" i="21" s="1"/>
  <c r="O37" i="34"/>
  <c r="L37" i="34"/>
  <c r="I37" i="34"/>
  <c r="P48" i="45"/>
  <c r="J48" i="45"/>
  <c r="M48" i="45"/>
  <c r="G48" i="34"/>
  <c r="G49" i="41"/>
  <c r="G48" i="47"/>
  <c r="G48" i="46"/>
  <c r="L42" i="33"/>
  <c r="O42" i="33"/>
  <c r="I42" i="33"/>
  <c r="L37" i="29"/>
  <c r="I37" i="29"/>
  <c r="O37" i="29"/>
  <c r="O38" i="22"/>
  <c r="L38" i="22"/>
  <c r="I38" i="22"/>
  <c r="O25" i="48"/>
  <c r="I25" i="48"/>
  <c r="L25" i="48"/>
  <c r="I40" i="37"/>
  <c r="O40" i="37"/>
  <c r="L40" i="37"/>
  <c r="O37" i="36"/>
  <c r="I37" i="36"/>
  <c r="L37" i="36"/>
  <c r="CJ48" i="21"/>
  <c r="CJ11" i="21"/>
  <c r="I26" i="50"/>
  <c r="L26" i="50"/>
  <c r="O26" i="50"/>
  <c r="L39" i="37"/>
  <c r="I39" i="37"/>
  <c r="O39" i="37"/>
  <c r="I64" i="22"/>
  <c r="L64" i="22"/>
  <c r="O64" i="22"/>
  <c r="I63" i="33"/>
  <c r="L63" i="33"/>
  <c r="O63" i="33"/>
  <c r="O25" i="41"/>
  <c r="I25" i="41"/>
  <c r="L25" i="41"/>
  <c r="O38" i="38"/>
  <c r="I38" i="38"/>
  <c r="L38" i="38"/>
  <c r="L63" i="25"/>
  <c r="I63" i="25"/>
  <c r="O63" i="25"/>
  <c r="O26" i="40"/>
  <c r="I26" i="40"/>
  <c r="L26" i="40"/>
  <c r="I36" i="27"/>
  <c r="L36" i="27"/>
  <c r="O36" i="27"/>
  <c r="L25" i="45"/>
  <c r="I25" i="45"/>
  <c r="O25" i="45"/>
  <c r="L37" i="49"/>
  <c r="I37" i="49"/>
  <c r="O37" i="49"/>
  <c r="E11" i="10"/>
  <c r="E11" i="8"/>
  <c r="J13" i="20"/>
  <c r="I41" i="44"/>
  <c r="O41" i="44"/>
  <c r="L41" i="44"/>
  <c r="L41" i="46"/>
  <c r="I41" i="46"/>
  <c r="O41" i="46"/>
  <c r="L39" i="45"/>
  <c r="O39" i="45"/>
  <c r="I39" i="45"/>
  <c r="AB48" i="21"/>
  <c r="AB11" i="21"/>
  <c r="I63" i="80"/>
  <c r="L63" i="80"/>
  <c r="O63" i="80"/>
  <c r="I41" i="35"/>
  <c r="L41" i="35"/>
  <c r="O41" i="35"/>
  <c r="O39" i="39"/>
  <c r="I39" i="39"/>
  <c r="L39" i="39"/>
  <c r="O63" i="31"/>
  <c r="L63" i="31"/>
  <c r="I63" i="31"/>
  <c r="O63" i="30"/>
  <c r="I63" i="30"/>
  <c r="L63" i="30"/>
  <c r="L25" i="49"/>
  <c r="O25" i="49"/>
  <c r="I25" i="49"/>
  <c r="N48" i="21"/>
  <c r="J71" i="71"/>
  <c r="CY20" i="21" s="1"/>
  <c r="CN48" i="21"/>
  <c r="CN11" i="21"/>
  <c r="O62" i="26"/>
  <c r="L62" i="26"/>
  <c r="I62" i="26"/>
  <c r="L41" i="51"/>
  <c r="O41" i="51"/>
  <c r="I41" i="51"/>
  <c r="L62" i="51"/>
  <c r="I62" i="51"/>
  <c r="O62" i="51"/>
  <c r="O25" i="51"/>
  <c r="I25" i="51"/>
  <c r="L25" i="51"/>
  <c r="O32" i="35"/>
  <c r="I32" i="35"/>
  <c r="L32" i="35"/>
  <c r="I32" i="31"/>
  <c r="L32" i="31"/>
  <c r="O32" i="31"/>
  <c r="I32" i="51"/>
  <c r="O32" i="51"/>
  <c r="L32" i="51"/>
  <c r="O32" i="29"/>
  <c r="I32" i="29"/>
  <c r="L32" i="29"/>
  <c r="I36" i="40"/>
  <c r="O36" i="40"/>
  <c r="L36" i="40"/>
  <c r="CM48" i="21"/>
  <c r="CM11" i="21"/>
  <c r="AO48" i="21"/>
  <c r="AO11" i="21"/>
  <c r="I42" i="31"/>
  <c r="L42" i="31"/>
  <c r="O42" i="31"/>
  <c r="I64" i="71"/>
  <c r="L64" i="71"/>
  <c r="O64" i="71"/>
  <c r="I42" i="30"/>
  <c r="L42" i="30"/>
  <c r="O42" i="30"/>
  <c r="O31" i="46"/>
  <c r="L31" i="46"/>
  <c r="I31" i="46"/>
  <c r="I31" i="47"/>
  <c r="O31" i="47"/>
  <c r="L31" i="47"/>
  <c r="O31" i="30"/>
  <c r="L31" i="30"/>
  <c r="I31" i="30"/>
  <c r="O31" i="43"/>
  <c r="L31" i="43"/>
  <c r="I31" i="43"/>
  <c r="I41" i="25"/>
  <c r="O41" i="25"/>
  <c r="L41" i="25"/>
  <c r="J71" i="46"/>
  <c r="AB20" i="21" s="1"/>
  <c r="L41" i="47"/>
  <c r="I41" i="47"/>
  <c r="O41" i="47"/>
  <c r="P71" i="25"/>
  <c r="BS20" i="21" s="1"/>
  <c r="M71" i="35"/>
  <c r="AW20" i="21" s="1"/>
  <c r="O26" i="47"/>
  <c r="I26" i="47"/>
  <c r="L26" i="47"/>
  <c r="L38" i="24"/>
  <c r="O38" i="24"/>
  <c r="I38" i="24"/>
  <c r="L62" i="28"/>
  <c r="O62" i="28"/>
  <c r="I62" i="28"/>
  <c r="L64" i="43"/>
  <c r="O64" i="43"/>
  <c r="I64" i="43"/>
  <c r="L63" i="76"/>
  <c r="I63" i="76"/>
  <c r="O63" i="76"/>
  <c r="I33" i="35"/>
  <c r="L33" i="35"/>
  <c r="O33" i="35"/>
  <c r="L33" i="30"/>
  <c r="O33" i="30"/>
  <c r="I33" i="30"/>
  <c r="L33" i="40"/>
  <c r="I33" i="40"/>
  <c r="O33" i="40"/>
  <c r="L33" i="46"/>
  <c r="O33" i="46"/>
  <c r="I33" i="46"/>
  <c r="L42" i="48"/>
  <c r="I42" i="48"/>
  <c r="O42" i="48"/>
  <c r="O25" i="38"/>
  <c r="L25" i="38"/>
  <c r="I25" i="38"/>
  <c r="J71" i="41"/>
  <c r="P71" i="49"/>
  <c r="CQ20" i="21" s="1"/>
  <c r="M71" i="81"/>
  <c r="EG20" i="21" s="1"/>
  <c r="O36" i="28"/>
  <c r="I36" i="28"/>
  <c r="L36" i="28"/>
  <c r="L36" i="96"/>
  <c r="M36" i="96" s="1"/>
  <c r="G47" i="32"/>
  <c r="L37" i="96"/>
  <c r="M37" i="96" s="1"/>
  <c r="G46" i="43"/>
  <c r="G46" i="47"/>
  <c r="G46" i="29"/>
  <c r="G46" i="23"/>
  <c r="G46" i="39"/>
  <c r="G46" i="37"/>
  <c r="G46" i="28"/>
  <c r="L67" i="96"/>
  <c r="M67" i="96" s="1"/>
  <c r="G46" i="35"/>
  <c r="G46" i="24"/>
  <c r="G46" i="26"/>
  <c r="G46" i="46"/>
  <c r="G46" i="51"/>
  <c r="G46" i="33"/>
  <c r="G46" i="34"/>
  <c r="G46" i="25"/>
  <c r="G46" i="49"/>
  <c r="G46" i="48"/>
  <c r="G46" i="31"/>
  <c r="L68" i="96"/>
  <c r="M68" i="96" s="1"/>
  <c r="G46" i="36"/>
  <c r="L35" i="96"/>
  <c r="M35" i="96" s="1"/>
  <c r="G46" i="50"/>
  <c r="L66" i="96"/>
  <c r="M66" i="96" s="1"/>
  <c r="G46" i="40"/>
  <c r="G46" i="38"/>
  <c r="G46" i="30"/>
  <c r="G46" i="42"/>
  <c r="G46" i="27"/>
  <c r="G46" i="41"/>
  <c r="G46" i="44"/>
  <c r="G46" i="45"/>
  <c r="M48" i="39"/>
  <c r="P48" i="39"/>
  <c r="J48" i="39"/>
  <c r="G48" i="27"/>
  <c r="G49" i="32"/>
  <c r="G48" i="24"/>
  <c r="G48" i="26"/>
  <c r="G48" i="25"/>
  <c r="G48" i="33"/>
  <c r="G48" i="42"/>
  <c r="G48" i="38"/>
  <c r="G50" i="46"/>
  <c r="G48" i="40"/>
  <c r="G49" i="45"/>
  <c r="G52" i="47"/>
  <c r="G48" i="22"/>
  <c r="G52" i="41"/>
  <c r="G48" i="29"/>
  <c r="G48" i="23"/>
  <c r="G48" i="43"/>
  <c r="G48" i="31"/>
  <c r="G48" i="28"/>
  <c r="G48" i="36"/>
  <c r="G49" i="35"/>
  <c r="G51" i="49"/>
  <c r="G48" i="37"/>
  <c r="G50" i="48"/>
  <c r="G49" i="39"/>
  <c r="G48" i="44"/>
  <c r="G48" i="30"/>
  <c r="G52" i="46"/>
  <c r="G53" i="49"/>
  <c r="G54" i="47"/>
  <c r="G52" i="48"/>
  <c r="L40" i="33"/>
  <c r="O40" i="33"/>
  <c r="I40" i="33"/>
  <c r="I40" i="29"/>
  <c r="L40" i="29"/>
  <c r="O40" i="29"/>
  <c r="CE48" i="21"/>
  <c r="CE11" i="21"/>
  <c r="O36" i="37"/>
  <c r="L36" i="37"/>
  <c r="L42" i="32"/>
  <c r="O42" i="32"/>
  <c r="I42" i="32"/>
  <c r="I26" i="27"/>
  <c r="L26" i="27"/>
  <c r="O26" i="27"/>
  <c r="Q48" i="21"/>
  <c r="Q11" i="21"/>
  <c r="M34" i="23"/>
  <c r="AK14" i="21" s="1"/>
  <c r="O62" i="83"/>
  <c r="I62" i="83"/>
  <c r="L62" i="83"/>
  <c r="L41" i="22"/>
  <c r="I41" i="22"/>
  <c r="O41" i="22"/>
  <c r="L26" i="48"/>
  <c r="O26" i="48"/>
  <c r="I26" i="48"/>
  <c r="I39" i="50"/>
  <c r="L39" i="50"/>
  <c r="O39" i="50"/>
  <c r="CC48" i="21"/>
  <c r="CC11" i="21"/>
  <c r="P71" i="80"/>
  <c r="FC20" i="21" s="1"/>
  <c r="T8" i="21"/>
  <c r="J7" i="38"/>
  <c r="H70" i="38"/>
  <c r="J69" i="38" s="1"/>
  <c r="T19" i="21" s="1"/>
  <c r="R10" i="36"/>
  <c r="I41" i="36"/>
  <c r="O41" i="36"/>
  <c r="L41" i="36"/>
  <c r="I64" i="83"/>
  <c r="O64" i="83"/>
  <c r="L64" i="83"/>
  <c r="O25" i="23"/>
  <c r="I25" i="23"/>
  <c r="L25" i="23"/>
  <c r="I42" i="22"/>
  <c r="L42" i="22"/>
  <c r="O42" i="22"/>
  <c r="O64" i="35"/>
  <c r="L64" i="35"/>
  <c r="I64" i="35"/>
  <c r="J71" i="43"/>
  <c r="Y20" i="21" s="1"/>
  <c r="BR48" i="21"/>
  <c r="BR11" i="21"/>
  <c r="O38" i="26"/>
  <c r="I38" i="26"/>
  <c r="L38" i="26"/>
  <c r="J71" i="83"/>
  <c r="DL20" i="21" s="1"/>
  <c r="M71" i="22"/>
  <c r="AJ20" i="21" s="1"/>
  <c r="L25" i="22"/>
  <c r="I25" i="22"/>
  <c r="O25" i="22"/>
  <c r="P71" i="36"/>
  <c r="O38" i="37"/>
  <c r="I38" i="37"/>
  <c r="L38" i="37"/>
  <c r="O36" i="41"/>
  <c r="L36" i="41"/>
  <c r="I36" i="41"/>
  <c r="P71" i="90"/>
  <c r="J71" i="77"/>
  <c r="DE20" i="21" s="1"/>
  <c r="M71" i="47"/>
  <c r="BI20" i="21" s="1"/>
  <c r="I26" i="41"/>
  <c r="O26" i="41"/>
  <c r="L26" i="41"/>
  <c r="M71" i="78"/>
  <c r="EC20" i="21" s="1"/>
  <c r="AV28" i="21"/>
  <c r="BI28" i="21"/>
  <c r="CO28" i="21"/>
  <c r="U28" i="21"/>
  <c r="AC28" i="21"/>
  <c r="D28" i="21"/>
  <c r="AR28" i="21"/>
  <c r="CC28" i="21"/>
  <c r="BS28" i="21"/>
  <c r="L28" i="21"/>
  <c r="F28" i="21"/>
  <c r="J28" i="21"/>
  <c r="BF28" i="21"/>
  <c r="BZ28" i="21"/>
  <c r="X28" i="21"/>
  <c r="BB28" i="21"/>
  <c r="CJ28" i="21"/>
  <c r="CA28" i="21"/>
  <c r="BG28" i="21"/>
  <c r="CP28" i="21"/>
  <c r="CM28" i="21"/>
  <c r="K28" i="21"/>
  <c r="AB28" i="21"/>
  <c r="BM28" i="21"/>
  <c r="P28" i="21"/>
  <c r="N28" i="21"/>
  <c r="AN28" i="21"/>
  <c r="CF28" i="21"/>
  <c r="Q28" i="21"/>
  <c r="BE28" i="21"/>
  <c r="CH28" i="21"/>
  <c r="S28" i="21"/>
  <c r="AY28" i="21"/>
  <c r="I28" i="21"/>
  <c r="E28" i="21"/>
  <c r="AJ28" i="21"/>
  <c r="BP28" i="21"/>
  <c r="T28" i="21"/>
  <c r="AK28" i="21"/>
  <c r="BA28" i="21"/>
  <c r="BR28" i="21"/>
  <c r="AW28" i="21"/>
  <c r="AZ28" i="21"/>
  <c r="AT28" i="21"/>
  <c r="CL28" i="21"/>
  <c r="AE28" i="21"/>
  <c r="BY28" i="21"/>
  <c r="AU28" i="21"/>
  <c r="CB28" i="21"/>
  <c r="AQ28" i="21"/>
  <c r="BH28" i="21"/>
  <c r="CE28" i="21"/>
  <c r="AM28" i="21"/>
  <c r="CK28" i="21"/>
  <c r="AS28" i="21"/>
  <c r="AA28" i="21"/>
  <c r="H28" i="21"/>
  <c r="BJ28" i="21"/>
  <c r="AO28" i="21"/>
  <c r="V28" i="21"/>
  <c r="M28" i="21"/>
  <c r="AP28" i="21"/>
  <c r="CS28" i="21"/>
  <c r="AD28" i="21"/>
  <c r="BW28" i="21"/>
  <c r="Y28" i="21"/>
  <c r="AF28" i="21"/>
  <c r="BT28" i="21"/>
  <c r="BX28" i="21"/>
  <c r="BK28" i="21"/>
  <c r="CR28" i="21"/>
  <c r="AL28" i="21"/>
  <c r="BV28" i="21"/>
  <c r="CN28" i="21"/>
  <c r="AG28" i="21"/>
  <c r="Z28" i="21"/>
  <c r="CG28" i="21"/>
  <c r="BD28" i="21"/>
  <c r="BU28" i="21"/>
  <c r="O28" i="21"/>
  <c r="BL28" i="21"/>
  <c r="G28" i="21"/>
  <c r="BQ28" i="21"/>
  <c r="CQ28" i="21"/>
  <c r="I62" i="77"/>
  <c r="L62" i="77"/>
  <c r="O62" i="77"/>
  <c r="I37" i="38"/>
  <c r="L37" i="38"/>
  <c r="O37" i="38"/>
  <c r="O64" i="25"/>
  <c r="I64" i="25"/>
  <c r="L64" i="25"/>
  <c r="L37" i="27"/>
  <c r="O37" i="27"/>
  <c r="I37" i="27"/>
  <c r="I41" i="49"/>
  <c r="L41" i="49"/>
  <c r="O41" i="49"/>
  <c r="L62" i="37"/>
  <c r="I62" i="37"/>
  <c r="O62" i="37"/>
  <c r="I40" i="44"/>
  <c r="O40" i="44"/>
  <c r="L40" i="44"/>
  <c r="L39" i="46"/>
  <c r="I39" i="46"/>
  <c r="O39" i="46"/>
  <c r="V48" i="21"/>
  <c r="V11" i="21"/>
  <c r="L40" i="45"/>
  <c r="I40" i="45"/>
  <c r="O40" i="45"/>
  <c r="M71" i="30"/>
  <c r="AR20" i="21" s="1"/>
  <c r="L64" i="80"/>
  <c r="I64" i="80"/>
  <c r="O64" i="80"/>
  <c r="I38" i="35"/>
  <c r="L38" i="35"/>
  <c r="O38" i="35"/>
  <c r="L40" i="39"/>
  <c r="O40" i="39"/>
  <c r="I40" i="39"/>
  <c r="I36" i="43"/>
  <c r="L36" i="43"/>
  <c r="O36" i="43"/>
  <c r="M71" i="74"/>
  <c r="DY20" i="21" s="1"/>
  <c r="I64" i="30"/>
  <c r="O64" i="30"/>
  <c r="L64" i="30"/>
  <c r="O26" i="49"/>
  <c r="L26" i="49"/>
  <c r="I26" i="49"/>
  <c r="P7" i="22"/>
  <c r="J71" i="33"/>
  <c r="O20" i="21" s="1"/>
  <c r="P71" i="71"/>
  <c r="ES20" i="21" s="1"/>
  <c r="L64" i="26"/>
  <c r="I64" i="26"/>
  <c r="O64" i="26"/>
  <c r="I39" i="51"/>
  <c r="O39" i="51"/>
  <c r="L39" i="51"/>
  <c r="L63" i="51"/>
  <c r="O63" i="51"/>
  <c r="I63" i="51"/>
  <c r="M71" i="109"/>
  <c r="EE20" i="21" s="1"/>
  <c r="J71" i="27"/>
  <c r="I20" i="21" s="1"/>
  <c r="I26" i="51"/>
  <c r="O26" i="51"/>
  <c r="L26" i="51"/>
  <c r="J71" i="91"/>
  <c r="CP48" i="21"/>
  <c r="CP11" i="21"/>
  <c r="L32" i="49"/>
  <c r="O32" i="49"/>
  <c r="I32" i="49"/>
  <c r="L32" i="22"/>
  <c r="I32" i="22"/>
  <c r="O32" i="22"/>
  <c r="O32" i="37"/>
  <c r="L32" i="37"/>
  <c r="I32" i="37"/>
  <c r="L32" i="34"/>
  <c r="O32" i="34"/>
  <c r="I32" i="34"/>
  <c r="I37" i="40"/>
  <c r="L37" i="40"/>
  <c r="O37" i="40"/>
  <c r="O38" i="31"/>
  <c r="I38" i="31"/>
  <c r="L38" i="31"/>
  <c r="O41" i="30"/>
  <c r="I41" i="30"/>
  <c r="L41" i="30"/>
  <c r="O31" i="37"/>
  <c r="I31" i="37"/>
  <c r="L31" i="37"/>
  <c r="L31" i="49"/>
  <c r="I31" i="49"/>
  <c r="O31" i="49"/>
  <c r="I31" i="23"/>
  <c r="L31" i="23"/>
  <c r="O31" i="23"/>
  <c r="O31" i="36"/>
  <c r="L31" i="36"/>
  <c r="I31" i="36"/>
  <c r="I39" i="25"/>
  <c r="L39" i="25"/>
  <c r="O39" i="25"/>
  <c r="P71" i="46"/>
  <c r="CN20" i="21" s="1"/>
  <c r="L42" i="47"/>
  <c r="I42" i="47"/>
  <c r="O42" i="47"/>
  <c r="J71" i="25"/>
  <c r="G20" i="21" s="1"/>
  <c r="I25" i="28"/>
  <c r="O25" i="28"/>
  <c r="L25" i="28"/>
  <c r="L40" i="24"/>
  <c r="O40" i="24"/>
  <c r="I40" i="24"/>
  <c r="I63" i="28"/>
  <c r="O63" i="28"/>
  <c r="L63" i="28"/>
  <c r="O33" i="31"/>
  <c r="I33" i="31"/>
  <c r="L33" i="31"/>
  <c r="L33" i="51"/>
  <c r="I33" i="51"/>
  <c r="O33" i="51"/>
  <c r="L33" i="36"/>
  <c r="I33" i="36"/>
  <c r="O33" i="36"/>
  <c r="O62" i="82"/>
  <c r="L62" i="82"/>
  <c r="I62" i="82"/>
  <c r="L40" i="48"/>
  <c r="I40" i="48"/>
  <c r="O40" i="48"/>
  <c r="I62" i="45"/>
  <c r="L62" i="45"/>
  <c r="O62" i="45"/>
  <c r="M71" i="86"/>
  <c r="EK20" i="21" s="1"/>
  <c r="L26" i="38"/>
  <c r="I26" i="38"/>
  <c r="O26" i="38"/>
  <c r="P71" i="41"/>
  <c r="K48" i="21"/>
  <c r="K11" i="21"/>
  <c r="M71" i="49"/>
  <c r="BK20" i="21" s="1"/>
  <c r="O38" i="28"/>
  <c r="L38" i="28"/>
  <c r="I38" i="28"/>
  <c r="G51" i="33"/>
  <c r="G51" i="27"/>
  <c r="G51" i="22"/>
  <c r="G51" i="44"/>
  <c r="G51" i="36"/>
  <c r="G51" i="34"/>
  <c r="G51" i="28"/>
  <c r="G51" i="25"/>
  <c r="G51" i="26"/>
  <c r="G51" i="37"/>
  <c r="G51" i="24"/>
  <c r="G51" i="38"/>
  <c r="G51" i="29"/>
  <c r="G51" i="42"/>
  <c r="G52" i="39"/>
  <c r="G51" i="43"/>
  <c r="G51" i="31"/>
  <c r="G51" i="40"/>
  <c r="G51" i="23"/>
  <c r="G51" i="30"/>
  <c r="G54" i="41"/>
  <c r="L31" i="96"/>
  <c r="M31" i="96" s="1"/>
  <c r="G46" i="32"/>
  <c r="G50" i="49"/>
  <c r="G50" i="47"/>
  <c r="L37" i="33"/>
  <c r="O37" i="33"/>
  <c r="I37" i="33"/>
  <c r="U85" i="20" l="1"/>
  <c r="U88" i="20"/>
  <c r="U89" i="20"/>
  <c r="U84" i="20"/>
  <c r="R26" i="20"/>
  <c r="O67" i="20"/>
  <c r="P67" i="20" s="1"/>
  <c r="O15" i="20"/>
  <c r="O48" i="20" s="1"/>
  <c r="P26" i="20"/>
  <c r="U67" i="20"/>
  <c r="V67" i="20" s="1"/>
  <c r="X25" i="20"/>
  <c r="N13" i="20"/>
  <c r="M15" i="20" s="1"/>
  <c r="M48" i="20" s="1"/>
  <c r="P60" i="77"/>
  <c r="P75" i="77" s="1"/>
  <c r="M60" i="82"/>
  <c r="EH16" i="21" s="1"/>
  <c r="P23" i="28"/>
  <c r="J26" i="20"/>
  <c r="J60" i="37"/>
  <c r="S16" i="21" s="1"/>
  <c r="EO16" i="21"/>
  <c r="EO60" i="21" s="1"/>
  <c r="FL16" i="21"/>
  <c r="FL60" i="21" s="1"/>
  <c r="DR16" i="21"/>
  <c r="DR60" i="21" s="1"/>
  <c r="FM16" i="21"/>
  <c r="FM60" i="21" s="1"/>
  <c r="EP16" i="21"/>
  <c r="EP60" i="21" s="1"/>
  <c r="DS16" i="21"/>
  <c r="DS60" i="21" s="1"/>
  <c r="P23" i="25"/>
  <c r="BS12" i="21" s="1"/>
  <c r="J27" i="34"/>
  <c r="P13" i="21" s="1"/>
  <c r="J75" i="90"/>
  <c r="J1" i="90" s="1"/>
  <c r="P75" i="89"/>
  <c r="P1" i="89" s="1"/>
  <c r="M75" i="89"/>
  <c r="M1" i="89" s="1"/>
  <c r="J60" i="77"/>
  <c r="J75" i="77" s="1"/>
  <c r="J23" i="22"/>
  <c r="D12" i="21" s="1"/>
  <c r="M23" i="23"/>
  <c r="AK12" i="21" s="1"/>
  <c r="P60" i="45"/>
  <c r="CM16" i="21" s="1"/>
  <c r="M23" i="28"/>
  <c r="AP12" i="21" s="1"/>
  <c r="L26" i="20"/>
  <c r="P23" i="34"/>
  <c r="CB12" i="21" s="1"/>
  <c r="P23" i="42"/>
  <c r="CJ12" i="21" s="1"/>
  <c r="J23" i="25"/>
  <c r="G12" i="21" s="1"/>
  <c r="P27" i="29"/>
  <c r="BW13" i="21" s="1"/>
  <c r="J75" i="89"/>
  <c r="J1" i="89" s="1"/>
  <c r="F11" i="8"/>
  <c r="K87" i="20"/>
  <c r="K83" i="20"/>
  <c r="K88" i="20"/>
  <c r="K85" i="20"/>
  <c r="K84" i="20"/>
  <c r="K89" i="20"/>
  <c r="K15" i="20"/>
  <c r="K120" i="20"/>
  <c r="K67" i="20"/>
  <c r="L67" i="20" s="1"/>
  <c r="J27" i="24"/>
  <c r="F13" i="21" s="1"/>
  <c r="M60" i="77"/>
  <c r="EB16" i="21" s="1"/>
  <c r="P60" i="74"/>
  <c r="J27" i="42"/>
  <c r="X13" i="21" s="1"/>
  <c r="M27" i="47"/>
  <c r="BI13" i="21" s="1"/>
  <c r="P27" i="44"/>
  <c r="CL13" i="21" s="1"/>
  <c r="J27" i="44"/>
  <c r="Z13" i="21" s="1"/>
  <c r="M27" i="23"/>
  <c r="AK13" i="21" s="1"/>
  <c r="E16" i="10" s="1"/>
  <c r="J60" i="82"/>
  <c r="J75" i="82" s="1"/>
  <c r="M60" i="76"/>
  <c r="P60" i="76"/>
  <c r="J60" i="76"/>
  <c r="J60" i="74"/>
  <c r="M60" i="74"/>
  <c r="J27" i="33"/>
  <c r="O13" i="21" s="1"/>
  <c r="P27" i="26"/>
  <c r="BT13" i="21" s="1"/>
  <c r="P27" i="34"/>
  <c r="CB13" i="21" s="1"/>
  <c r="M85" i="20"/>
  <c r="M84" i="20"/>
  <c r="M87" i="20"/>
  <c r="M83" i="20"/>
  <c r="M89" i="20"/>
  <c r="T24" i="96"/>
  <c r="P34" i="43"/>
  <c r="CK14" i="21" s="1"/>
  <c r="Q24" i="96"/>
  <c r="P23" i="23"/>
  <c r="BQ12" i="21" s="1"/>
  <c r="M27" i="30"/>
  <c r="AR13" i="21" s="1"/>
  <c r="M27" i="38"/>
  <c r="AZ13" i="21" s="1"/>
  <c r="P60" i="37"/>
  <c r="CE16" i="21" s="1"/>
  <c r="M60" i="45"/>
  <c r="BG16" i="21" s="1"/>
  <c r="M27" i="44"/>
  <c r="BF13" i="21" s="1"/>
  <c r="J23" i="42"/>
  <c r="X12" i="21" s="1"/>
  <c r="M23" i="25"/>
  <c r="AM12" i="21" s="1"/>
  <c r="M23" i="34"/>
  <c r="AV12" i="21" s="1"/>
  <c r="M23" i="42"/>
  <c r="BD12" i="21" s="1"/>
  <c r="J60" i="45"/>
  <c r="AA16" i="21" s="1"/>
  <c r="J23" i="28"/>
  <c r="J12" i="21" s="1"/>
  <c r="J27" i="41"/>
  <c r="J34" i="41"/>
  <c r="J27" i="43"/>
  <c r="Y13" i="21" s="1"/>
  <c r="M27" i="50"/>
  <c r="BM13" i="21" s="1"/>
  <c r="J27" i="50"/>
  <c r="AG13" i="21" s="1"/>
  <c r="M27" i="29"/>
  <c r="AQ13" i="21" s="1"/>
  <c r="M27" i="43"/>
  <c r="BE13" i="21" s="1"/>
  <c r="M27" i="27"/>
  <c r="AO13" i="21" s="1"/>
  <c r="J27" i="26"/>
  <c r="H13" i="21" s="1"/>
  <c r="P27" i="49"/>
  <c r="CQ13" i="21" s="1"/>
  <c r="J27" i="25"/>
  <c r="G13" i="21" s="1"/>
  <c r="P27" i="43"/>
  <c r="CK13" i="21" s="1"/>
  <c r="P27" i="27"/>
  <c r="BU13" i="21" s="1"/>
  <c r="M23" i="43"/>
  <c r="BE12" i="21" s="1"/>
  <c r="P27" i="38"/>
  <c r="CF13" i="21" s="1"/>
  <c r="M27" i="46"/>
  <c r="BH13" i="21" s="1"/>
  <c r="P27" i="46"/>
  <c r="CN13" i="21" s="1"/>
  <c r="J23" i="45"/>
  <c r="AA12" i="21" s="1"/>
  <c r="P27" i="41"/>
  <c r="P27" i="39"/>
  <c r="CG13" i="21" s="1"/>
  <c r="J27" i="27"/>
  <c r="I13" i="21" s="1"/>
  <c r="J27" i="36"/>
  <c r="M27" i="33"/>
  <c r="AU13" i="21" s="1"/>
  <c r="M27" i="22"/>
  <c r="AJ13" i="21" s="1"/>
  <c r="P27" i="47"/>
  <c r="CO13" i="21" s="1"/>
  <c r="X12" i="20"/>
  <c r="M34" i="43"/>
  <c r="BE14" i="21" s="1"/>
  <c r="M27" i="49"/>
  <c r="BK13" i="21" s="1"/>
  <c r="J34" i="43"/>
  <c r="Y14" i="21" s="1"/>
  <c r="J27" i="30"/>
  <c r="L13" i="21" s="1"/>
  <c r="P27" i="36"/>
  <c r="J27" i="37"/>
  <c r="S13" i="21" s="1"/>
  <c r="M27" i="28"/>
  <c r="AP13" i="21" s="1"/>
  <c r="P27" i="33"/>
  <c r="CA13" i="21" s="1"/>
  <c r="P27" i="23"/>
  <c r="BQ13" i="21" s="1"/>
  <c r="M27" i="42"/>
  <c r="BD13" i="21" s="1"/>
  <c r="F16" i="10" s="1"/>
  <c r="M27" i="51"/>
  <c r="BN13" i="21" s="1"/>
  <c r="P34" i="41"/>
  <c r="P60" i="79"/>
  <c r="FA16" i="21" s="1"/>
  <c r="M27" i="26"/>
  <c r="AN13" i="21" s="1"/>
  <c r="M27" i="39"/>
  <c r="BA13" i="21" s="1"/>
  <c r="P29" i="96"/>
  <c r="Q29" i="96" s="1"/>
  <c r="M23" i="22"/>
  <c r="AJ12" i="21" s="1"/>
  <c r="P60" i="82"/>
  <c r="P75" i="82" s="1"/>
  <c r="J27" i="23"/>
  <c r="E13" i="21" s="1"/>
  <c r="E16" i="8" s="1"/>
  <c r="P60" i="83"/>
  <c r="P75" i="83" s="1"/>
  <c r="P34" i="37"/>
  <c r="CE14" i="21" s="1"/>
  <c r="J27" i="47"/>
  <c r="AC13" i="21" s="1"/>
  <c r="J27" i="35"/>
  <c r="Q13" i="21" s="1"/>
  <c r="J27" i="48"/>
  <c r="AD13" i="21" s="1"/>
  <c r="M60" i="79"/>
  <c r="M75" i="79" s="1"/>
  <c r="M27" i="36"/>
  <c r="M27" i="37"/>
  <c r="AY13" i="21" s="1"/>
  <c r="D16" i="10" s="1"/>
  <c r="M60" i="37"/>
  <c r="AY16" i="21" s="1"/>
  <c r="J23" i="23"/>
  <c r="E12" i="21" s="1"/>
  <c r="J34" i="37"/>
  <c r="S14" i="21" s="1"/>
  <c r="J27" i="46"/>
  <c r="AB13" i="21" s="1"/>
  <c r="P27" i="35"/>
  <c r="CC13" i="21" s="1"/>
  <c r="P27" i="50"/>
  <c r="CS13" i="21" s="1"/>
  <c r="M27" i="48"/>
  <c r="BJ13" i="21" s="1"/>
  <c r="M27" i="25"/>
  <c r="AM13" i="21" s="1"/>
  <c r="J27" i="32"/>
  <c r="N13" i="21" s="1"/>
  <c r="J27" i="22"/>
  <c r="D13" i="21" s="1"/>
  <c r="P27" i="51"/>
  <c r="CT13" i="21" s="1"/>
  <c r="M23" i="41"/>
  <c r="P23" i="40"/>
  <c r="CH12" i="21" s="1"/>
  <c r="P27" i="32"/>
  <c r="BZ13" i="21" s="1"/>
  <c r="P23" i="29"/>
  <c r="BW12" i="21" s="1"/>
  <c r="P27" i="37"/>
  <c r="CE13" i="21" s="1"/>
  <c r="J27" i="51"/>
  <c r="AH13" i="21" s="1"/>
  <c r="P27" i="25"/>
  <c r="BS13" i="21" s="1"/>
  <c r="M27" i="32"/>
  <c r="AT13" i="21" s="1"/>
  <c r="M23" i="29"/>
  <c r="AQ12" i="21" s="1"/>
  <c r="P23" i="31"/>
  <c r="BY12" i="21" s="1"/>
  <c r="J27" i="29"/>
  <c r="K13" i="21" s="1"/>
  <c r="P62" i="96"/>
  <c r="T62" i="96" s="1"/>
  <c r="P27" i="31"/>
  <c r="BY13" i="21" s="1"/>
  <c r="P27" i="28"/>
  <c r="BV13" i="21" s="1"/>
  <c r="P23" i="22"/>
  <c r="BP12" i="21" s="1"/>
  <c r="P27" i="30"/>
  <c r="BX13" i="21" s="1"/>
  <c r="M27" i="31"/>
  <c r="AS13" i="21" s="1"/>
  <c r="P27" i="24"/>
  <c r="BR13" i="21" s="1"/>
  <c r="FM20" i="21"/>
  <c r="J60" i="79"/>
  <c r="DG16" i="21" s="1"/>
  <c r="J23" i="34"/>
  <c r="P12" i="21" s="1"/>
  <c r="M34" i="41"/>
  <c r="J75" i="75"/>
  <c r="J27" i="31"/>
  <c r="M13" i="21" s="1"/>
  <c r="J27" i="28"/>
  <c r="J13" i="21" s="1"/>
  <c r="M27" i="34"/>
  <c r="AV13" i="21" s="1"/>
  <c r="J27" i="39"/>
  <c r="U13" i="21" s="1"/>
  <c r="M27" i="41"/>
  <c r="J27" i="49"/>
  <c r="AE13" i="21" s="1"/>
  <c r="M27" i="35"/>
  <c r="AW13" i="21" s="1"/>
  <c r="P27" i="48"/>
  <c r="CP13" i="21" s="1"/>
  <c r="P27" i="22"/>
  <c r="BP13" i="21" s="1"/>
  <c r="M27" i="24"/>
  <c r="AL13" i="21" s="1"/>
  <c r="J27" i="38"/>
  <c r="T13" i="21" s="1"/>
  <c r="J51" i="23"/>
  <c r="P51" i="23"/>
  <c r="M51" i="23"/>
  <c r="M51" i="40"/>
  <c r="J51" i="40"/>
  <c r="P51" i="40"/>
  <c r="BV12" i="21"/>
  <c r="J51" i="43"/>
  <c r="P51" i="43"/>
  <c r="M51" i="43"/>
  <c r="P46" i="32"/>
  <c r="J46" i="32"/>
  <c r="M46" i="32"/>
  <c r="P52" i="39"/>
  <c r="M52" i="39"/>
  <c r="J52" i="39"/>
  <c r="P51" i="28"/>
  <c r="J51" i="28"/>
  <c r="M51" i="28"/>
  <c r="P75" i="90"/>
  <c r="P1" i="90" s="1"/>
  <c r="FL20" i="21"/>
  <c r="M60" i="83"/>
  <c r="M54" i="47"/>
  <c r="J54" i="47"/>
  <c r="P54" i="47"/>
  <c r="M51" i="49"/>
  <c r="J51" i="49"/>
  <c r="P51" i="49"/>
  <c r="M52" i="41"/>
  <c r="J52" i="41"/>
  <c r="P52" i="41"/>
  <c r="J48" i="33"/>
  <c r="P48" i="33"/>
  <c r="M48" i="33"/>
  <c r="P46" i="40"/>
  <c r="J46" i="40"/>
  <c r="M46" i="40"/>
  <c r="M46" i="48"/>
  <c r="J46" i="48"/>
  <c r="P46" i="48"/>
  <c r="M46" i="24"/>
  <c r="P46" i="24"/>
  <c r="J46" i="24"/>
  <c r="J46" i="47"/>
  <c r="M46" i="47"/>
  <c r="P46" i="47"/>
  <c r="J60" i="26"/>
  <c r="H16" i="21" s="1"/>
  <c r="J23" i="49"/>
  <c r="P23" i="48"/>
  <c r="J23" i="47"/>
  <c r="J27" i="40"/>
  <c r="V13" i="21" s="1"/>
  <c r="P60" i="80"/>
  <c r="J23" i="40"/>
  <c r="M47" i="47"/>
  <c r="J47" i="47"/>
  <c r="P47" i="47"/>
  <c r="M47" i="26"/>
  <c r="J47" i="26"/>
  <c r="P47" i="26"/>
  <c r="P47" i="30"/>
  <c r="J47" i="30"/>
  <c r="M47" i="30"/>
  <c r="P47" i="51"/>
  <c r="M47" i="51"/>
  <c r="J47" i="51"/>
  <c r="P49" i="40"/>
  <c r="J49" i="40"/>
  <c r="M49" i="40"/>
  <c r="J49" i="36"/>
  <c r="P49" i="36"/>
  <c r="M49" i="36"/>
  <c r="J51" i="46"/>
  <c r="P51" i="46"/>
  <c r="M51" i="46"/>
  <c r="P34" i="47"/>
  <c r="CO14" i="21" s="1"/>
  <c r="J34" i="25"/>
  <c r="G14" i="21" s="1"/>
  <c r="J60" i="31"/>
  <c r="M16" i="21" s="1"/>
  <c r="M34" i="31"/>
  <c r="AS14" i="21" s="1"/>
  <c r="M23" i="44"/>
  <c r="P34" i="48"/>
  <c r="CP14" i="21" s="1"/>
  <c r="J60" i="47"/>
  <c r="AC16" i="21" s="1"/>
  <c r="M23" i="33"/>
  <c r="J23" i="39"/>
  <c r="J60" i="91"/>
  <c r="M23" i="50"/>
  <c r="M57" i="44"/>
  <c r="P57" i="44"/>
  <c r="J57" i="44"/>
  <c r="J57" i="42"/>
  <c r="P57" i="42"/>
  <c r="M57" i="42"/>
  <c r="M57" i="28"/>
  <c r="J57" i="28"/>
  <c r="P57" i="28"/>
  <c r="J27" i="45"/>
  <c r="M60" i="85"/>
  <c r="M23" i="30"/>
  <c r="M50" i="22"/>
  <c r="P50" i="22"/>
  <c r="J50" i="22"/>
  <c r="J51" i="35"/>
  <c r="M51" i="35"/>
  <c r="P51" i="35"/>
  <c r="M50" i="30"/>
  <c r="P50" i="30"/>
  <c r="J50" i="30"/>
  <c r="P23" i="32"/>
  <c r="P23" i="26"/>
  <c r="M23" i="35"/>
  <c r="J23" i="24"/>
  <c r="M34" i="32"/>
  <c r="AT14" i="21" s="1"/>
  <c r="M60" i="70"/>
  <c r="J60" i="38"/>
  <c r="T16" i="21" s="1"/>
  <c r="M50" i="49"/>
  <c r="P50" i="49"/>
  <c r="J50" i="49"/>
  <c r="P51" i="42"/>
  <c r="J51" i="42"/>
  <c r="M51" i="42"/>
  <c r="P51" i="34"/>
  <c r="J51" i="34"/>
  <c r="M51" i="34"/>
  <c r="M75" i="82"/>
  <c r="J60" i="83"/>
  <c r="J53" i="49"/>
  <c r="M53" i="49"/>
  <c r="P53" i="49"/>
  <c r="P49" i="35"/>
  <c r="J49" i="35"/>
  <c r="M49" i="35"/>
  <c r="M48" i="22"/>
  <c r="P48" i="22"/>
  <c r="J48" i="22"/>
  <c r="J48" i="25"/>
  <c r="P48" i="25"/>
  <c r="M48" i="25"/>
  <c r="P46" i="45"/>
  <c r="M46" i="45"/>
  <c r="J46" i="45"/>
  <c r="M46" i="49"/>
  <c r="J46" i="49"/>
  <c r="P46" i="49"/>
  <c r="P46" i="35"/>
  <c r="M46" i="35"/>
  <c r="J46" i="35"/>
  <c r="P46" i="43"/>
  <c r="M46" i="43"/>
  <c r="J46" i="43"/>
  <c r="M60" i="26"/>
  <c r="AN16" i="21" s="1"/>
  <c r="P23" i="49"/>
  <c r="I120" i="20"/>
  <c r="I67" i="20"/>
  <c r="J67" i="20" s="1"/>
  <c r="M23" i="45"/>
  <c r="P23" i="47"/>
  <c r="J60" i="30"/>
  <c r="L16" i="21" s="1"/>
  <c r="M60" i="80"/>
  <c r="M23" i="40"/>
  <c r="P47" i="34"/>
  <c r="M47" i="34"/>
  <c r="J47" i="34"/>
  <c r="J47" i="36"/>
  <c r="P47" i="36"/>
  <c r="M47" i="36"/>
  <c r="J47" i="29"/>
  <c r="M47" i="29"/>
  <c r="P47" i="29"/>
  <c r="P49" i="28"/>
  <c r="M49" i="28"/>
  <c r="J49" i="28"/>
  <c r="M49" i="37"/>
  <c r="P49" i="37"/>
  <c r="J49" i="37"/>
  <c r="P50" i="45"/>
  <c r="M50" i="45"/>
  <c r="J50" i="45"/>
  <c r="M34" i="47"/>
  <c r="BI14" i="21" s="1"/>
  <c r="P27" i="42"/>
  <c r="P34" i="46"/>
  <c r="CN14" i="21" s="1"/>
  <c r="P60" i="46"/>
  <c r="CN16" i="21" s="1"/>
  <c r="J34" i="31"/>
  <c r="M14" i="21" s="1"/>
  <c r="P60" i="32"/>
  <c r="BZ16" i="21" s="1"/>
  <c r="P23" i="44"/>
  <c r="M47" i="41"/>
  <c r="P47" i="41"/>
  <c r="J47" i="41"/>
  <c r="M34" i="48"/>
  <c r="BJ14" i="21" s="1"/>
  <c r="J60" i="42"/>
  <c r="X16" i="21" s="1"/>
  <c r="J34" i="35"/>
  <c r="Q14" i="21" s="1"/>
  <c r="J60" i="24"/>
  <c r="F16" i="21" s="1"/>
  <c r="M23" i="39"/>
  <c r="P57" i="34"/>
  <c r="J57" i="34"/>
  <c r="M57" i="34"/>
  <c r="M57" i="32"/>
  <c r="J57" i="32"/>
  <c r="P57" i="32"/>
  <c r="M27" i="45"/>
  <c r="BG13" i="21" s="1"/>
  <c r="T22" i="20" s="1"/>
  <c r="J23" i="30"/>
  <c r="M51" i="39"/>
  <c r="P51" i="39"/>
  <c r="J51" i="39"/>
  <c r="P50" i="33"/>
  <c r="J50" i="33"/>
  <c r="M50" i="33"/>
  <c r="J50" i="42"/>
  <c r="M50" i="42"/>
  <c r="P50" i="42"/>
  <c r="P23" i="35"/>
  <c r="P60" i="29"/>
  <c r="BW16" i="21" s="1"/>
  <c r="P60" i="70"/>
  <c r="J34" i="29"/>
  <c r="K14" i="21" s="1"/>
  <c r="P60" i="38"/>
  <c r="CF16" i="21" s="1"/>
  <c r="M60" i="35"/>
  <c r="AW16" i="21" s="1"/>
  <c r="R28" i="20" s="1"/>
  <c r="P23" i="46"/>
  <c r="J54" i="41"/>
  <c r="M54" i="41"/>
  <c r="P54" i="41"/>
  <c r="J51" i="36"/>
  <c r="M51" i="36"/>
  <c r="P51" i="36"/>
  <c r="P52" i="46"/>
  <c r="J52" i="46"/>
  <c r="M52" i="46"/>
  <c r="J48" i="36"/>
  <c r="P48" i="36"/>
  <c r="M48" i="36"/>
  <c r="M52" i="47"/>
  <c r="P52" i="47"/>
  <c r="J52" i="47"/>
  <c r="J48" i="26"/>
  <c r="P48" i="26"/>
  <c r="M48" i="26"/>
  <c r="P46" i="44"/>
  <c r="J46" i="44"/>
  <c r="M46" i="44"/>
  <c r="P46" i="50"/>
  <c r="M46" i="50"/>
  <c r="J46" i="50"/>
  <c r="M46" i="25"/>
  <c r="P46" i="25"/>
  <c r="J46" i="25"/>
  <c r="P60" i="51"/>
  <c r="CT16" i="21" s="1"/>
  <c r="P60" i="26"/>
  <c r="BT16" i="21" s="1"/>
  <c r="M23" i="49"/>
  <c r="P34" i="27"/>
  <c r="BU14" i="21" s="1"/>
  <c r="M60" i="30"/>
  <c r="AR16" i="21" s="1"/>
  <c r="M34" i="39"/>
  <c r="BA14" i="21" s="1"/>
  <c r="J60" i="80"/>
  <c r="P47" i="31"/>
  <c r="M47" i="31"/>
  <c r="J47" i="31"/>
  <c r="J47" i="50"/>
  <c r="M47" i="50"/>
  <c r="P47" i="50"/>
  <c r="P47" i="24"/>
  <c r="J47" i="24"/>
  <c r="M47" i="24"/>
  <c r="P50" i="32"/>
  <c r="J50" i="32"/>
  <c r="M50" i="32"/>
  <c r="J49" i="34"/>
  <c r="P49" i="34"/>
  <c r="M49" i="34"/>
  <c r="M51" i="41"/>
  <c r="J51" i="41"/>
  <c r="P51" i="41"/>
  <c r="J49" i="33"/>
  <c r="P49" i="33"/>
  <c r="M49" i="33"/>
  <c r="AN48" i="21"/>
  <c r="AN11" i="21"/>
  <c r="J34" i="47"/>
  <c r="AC14" i="21" s="1"/>
  <c r="M34" i="30"/>
  <c r="AR14" i="21" s="1"/>
  <c r="M34" i="46"/>
  <c r="BH14" i="21" s="1"/>
  <c r="M60" i="22"/>
  <c r="AJ16" i="21" s="1"/>
  <c r="J60" i="46"/>
  <c r="AB16" i="21" s="1"/>
  <c r="P34" i="31"/>
  <c r="BY14" i="21" s="1"/>
  <c r="M60" i="32"/>
  <c r="AT16" i="21" s="1"/>
  <c r="J34" i="33"/>
  <c r="O14" i="21" s="1"/>
  <c r="J47" i="39"/>
  <c r="P47" i="39"/>
  <c r="M47" i="39"/>
  <c r="M60" i="73"/>
  <c r="P60" i="42"/>
  <c r="CJ16" i="21" s="1"/>
  <c r="M34" i="35"/>
  <c r="AW14" i="21" s="1"/>
  <c r="P60" i="24"/>
  <c r="BR16" i="21" s="1"/>
  <c r="P57" i="31"/>
  <c r="J57" i="31"/>
  <c r="M57" i="31"/>
  <c r="P57" i="43"/>
  <c r="J57" i="43"/>
  <c r="M57" i="43"/>
  <c r="I11" i="8"/>
  <c r="BN11" i="21"/>
  <c r="P23" i="30"/>
  <c r="J50" i="38"/>
  <c r="M50" i="38"/>
  <c r="P50" i="38"/>
  <c r="P50" i="25"/>
  <c r="M50" i="25"/>
  <c r="J50" i="25"/>
  <c r="M50" i="36"/>
  <c r="P50" i="36"/>
  <c r="J50" i="36"/>
  <c r="J34" i="34"/>
  <c r="P14" i="21" s="1"/>
  <c r="J60" i="40"/>
  <c r="V16" i="21" s="1"/>
  <c r="Q120" i="20"/>
  <c r="Q67" i="20"/>
  <c r="R67" i="20" s="1"/>
  <c r="J23" i="35"/>
  <c r="M75" i="90"/>
  <c r="EO20" i="21"/>
  <c r="M60" i="29"/>
  <c r="AQ16" i="21" s="1"/>
  <c r="J60" i="70"/>
  <c r="M34" i="29"/>
  <c r="AQ14" i="21" s="1"/>
  <c r="P60" i="35"/>
  <c r="CC16" i="21" s="1"/>
  <c r="M23" i="46"/>
  <c r="J51" i="29"/>
  <c r="P51" i="29"/>
  <c r="M51" i="29"/>
  <c r="P51" i="30"/>
  <c r="J51" i="30"/>
  <c r="M51" i="30"/>
  <c r="M51" i="38"/>
  <c r="P51" i="38"/>
  <c r="J51" i="38"/>
  <c r="M51" i="44"/>
  <c r="J51" i="44"/>
  <c r="P51" i="44"/>
  <c r="M34" i="37"/>
  <c r="AY14" i="21" s="1"/>
  <c r="P48" i="30"/>
  <c r="J48" i="30"/>
  <c r="M48" i="30"/>
  <c r="P48" i="28"/>
  <c r="M48" i="28"/>
  <c r="J48" i="28"/>
  <c r="J49" i="45"/>
  <c r="M49" i="45"/>
  <c r="P49" i="45"/>
  <c r="J48" i="24"/>
  <c r="M48" i="24"/>
  <c r="P48" i="24"/>
  <c r="M46" i="41"/>
  <c r="J46" i="41"/>
  <c r="P46" i="41"/>
  <c r="P46" i="22"/>
  <c r="M46" i="22"/>
  <c r="P46" i="34"/>
  <c r="J46" i="34"/>
  <c r="M46" i="34"/>
  <c r="J46" i="28"/>
  <c r="P46" i="28"/>
  <c r="M46" i="28"/>
  <c r="P47" i="32"/>
  <c r="M47" i="32"/>
  <c r="J47" i="32"/>
  <c r="J60" i="51"/>
  <c r="AH16" i="21" s="1"/>
  <c r="M34" i="27"/>
  <c r="AO14" i="21" s="1"/>
  <c r="M48" i="46"/>
  <c r="J48" i="46"/>
  <c r="P48" i="46"/>
  <c r="P60" i="30"/>
  <c r="BX16" i="21" s="1"/>
  <c r="P34" i="39"/>
  <c r="CG14" i="21" s="1"/>
  <c r="J34" i="45"/>
  <c r="AA14" i="21" s="1"/>
  <c r="P60" i="25"/>
  <c r="BS16" i="21" s="1"/>
  <c r="P47" i="37"/>
  <c r="M47" i="37"/>
  <c r="J47" i="37"/>
  <c r="M48" i="41"/>
  <c r="J48" i="41"/>
  <c r="P48" i="41"/>
  <c r="M47" i="23"/>
  <c r="P47" i="23"/>
  <c r="J47" i="23"/>
  <c r="J49" i="44"/>
  <c r="P49" i="44"/>
  <c r="M49" i="44"/>
  <c r="M49" i="23"/>
  <c r="P49" i="23"/>
  <c r="J49" i="23"/>
  <c r="J53" i="47"/>
  <c r="P53" i="47"/>
  <c r="M53" i="47"/>
  <c r="P50" i="39"/>
  <c r="J50" i="39"/>
  <c r="M50" i="39"/>
  <c r="J34" i="30"/>
  <c r="L14" i="21" s="1"/>
  <c r="J34" i="46"/>
  <c r="AB14" i="21" s="1"/>
  <c r="P60" i="22"/>
  <c r="BP16" i="21" s="1"/>
  <c r="M49" i="49"/>
  <c r="J49" i="49"/>
  <c r="P49" i="49"/>
  <c r="M60" i="46"/>
  <c r="BH16" i="21" s="1"/>
  <c r="J60" i="27"/>
  <c r="I16" i="21" s="1"/>
  <c r="M60" i="109"/>
  <c r="J60" i="32"/>
  <c r="N16" i="21" s="1"/>
  <c r="P34" i="33"/>
  <c r="CA14" i="21" s="1"/>
  <c r="J47" i="35"/>
  <c r="P47" i="35"/>
  <c r="M47" i="35"/>
  <c r="J60" i="73"/>
  <c r="M60" i="42"/>
  <c r="BD16" i="21" s="1"/>
  <c r="P34" i="35"/>
  <c r="CC14" i="21" s="1"/>
  <c r="J34" i="44"/>
  <c r="Z14" i="21" s="1"/>
  <c r="P34" i="49"/>
  <c r="CQ14" i="21" s="1"/>
  <c r="M60" i="24"/>
  <c r="AL16" i="21" s="1"/>
  <c r="J60" i="50"/>
  <c r="AG16" i="21" s="1"/>
  <c r="M48" i="51"/>
  <c r="J48" i="51"/>
  <c r="P48" i="51"/>
  <c r="P57" i="24"/>
  <c r="M57" i="24"/>
  <c r="J57" i="24"/>
  <c r="P57" i="41"/>
  <c r="M57" i="41"/>
  <c r="J57" i="41"/>
  <c r="P34" i="24"/>
  <c r="BR14" i="21" s="1"/>
  <c r="J23" i="29"/>
  <c r="M34" i="36"/>
  <c r="P50" i="29"/>
  <c r="M50" i="29"/>
  <c r="J50" i="29"/>
  <c r="J50" i="34"/>
  <c r="M50" i="34"/>
  <c r="P50" i="34"/>
  <c r="J50" i="27"/>
  <c r="M50" i="27"/>
  <c r="P50" i="27"/>
  <c r="P34" i="34"/>
  <c r="CB14" i="21" s="1"/>
  <c r="M60" i="40"/>
  <c r="BB16" i="21" s="1"/>
  <c r="M23" i="31"/>
  <c r="J60" i="29"/>
  <c r="K16" i="21" s="1"/>
  <c r="P34" i="29"/>
  <c r="BW14" i="21" s="1"/>
  <c r="J60" i="35"/>
  <c r="Q16" i="21" s="1"/>
  <c r="J23" i="46"/>
  <c r="P51" i="22"/>
  <c r="M51" i="22"/>
  <c r="J51" i="22"/>
  <c r="T48" i="21"/>
  <c r="T11" i="21"/>
  <c r="E17" i="8"/>
  <c r="E17" i="10"/>
  <c r="J48" i="44"/>
  <c r="M48" i="44"/>
  <c r="P48" i="44"/>
  <c r="M48" i="31"/>
  <c r="J48" i="31"/>
  <c r="P48" i="31"/>
  <c r="M48" i="40"/>
  <c r="P48" i="40"/>
  <c r="J48" i="40"/>
  <c r="J49" i="32"/>
  <c r="P49" i="32"/>
  <c r="M49" i="32"/>
  <c r="J46" i="27"/>
  <c r="M46" i="27"/>
  <c r="P46" i="27"/>
  <c r="P46" i="33"/>
  <c r="M46" i="33"/>
  <c r="J46" i="33"/>
  <c r="J46" i="37"/>
  <c r="P46" i="37"/>
  <c r="M46" i="37"/>
  <c r="J23" i="38"/>
  <c r="M60" i="51"/>
  <c r="BN16" i="21" s="1"/>
  <c r="J34" i="27"/>
  <c r="I14" i="21" s="1"/>
  <c r="J48" i="47"/>
  <c r="P48" i="47"/>
  <c r="M48" i="47"/>
  <c r="Q83" i="20"/>
  <c r="Q88" i="20"/>
  <c r="Q84" i="20"/>
  <c r="Q89" i="20"/>
  <c r="Q87" i="20"/>
  <c r="Q85" i="20"/>
  <c r="J34" i="39"/>
  <c r="U14" i="21" s="1"/>
  <c r="P34" i="45"/>
  <c r="CM14" i="21" s="1"/>
  <c r="M60" i="25"/>
  <c r="AM16" i="21" s="1"/>
  <c r="P47" i="42"/>
  <c r="M47" i="42"/>
  <c r="J47" i="42"/>
  <c r="P47" i="38"/>
  <c r="M47" i="38"/>
  <c r="J47" i="38"/>
  <c r="P47" i="44"/>
  <c r="M47" i="44"/>
  <c r="J47" i="44"/>
  <c r="J49" i="25"/>
  <c r="P49" i="25"/>
  <c r="M49" i="25"/>
  <c r="J49" i="22"/>
  <c r="M49" i="22"/>
  <c r="P49" i="22"/>
  <c r="M49" i="29"/>
  <c r="P49" i="29"/>
  <c r="J49" i="29"/>
  <c r="J49" i="27"/>
  <c r="P49" i="27"/>
  <c r="M49" i="27"/>
  <c r="J60" i="43"/>
  <c r="Y16" i="21" s="1"/>
  <c r="P34" i="30"/>
  <c r="BX14" i="21" s="1"/>
  <c r="M23" i="37"/>
  <c r="J60" i="33"/>
  <c r="O16" i="21" s="1"/>
  <c r="J60" i="22"/>
  <c r="D16" i="21" s="1"/>
  <c r="Q119" i="20"/>
  <c r="Q15" i="20"/>
  <c r="M23" i="27"/>
  <c r="J34" i="38"/>
  <c r="T14" i="21" s="1"/>
  <c r="M49" i="48"/>
  <c r="P49" i="48"/>
  <c r="J49" i="48"/>
  <c r="M60" i="27"/>
  <c r="AO16" i="21" s="1"/>
  <c r="P60" i="109"/>
  <c r="P60" i="49"/>
  <c r="CQ16" i="21" s="1"/>
  <c r="P60" i="48"/>
  <c r="CP16" i="21" s="1"/>
  <c r="J28" i="20" s="1"/>
  <c r="M34" i="33"/>
  <c r="AU14" i="21" s="1"/>
  <c r="J60" i="72"/>
  <c r="BT48" i="21"/>
  <c r="BT11" i="21"/>
  <c r="M60" i="39"/>
  <c r="BA16" i="21" s="1"/>
  <c r="P60" i="73"/>
  <c r="J34" i="51"/>
  <c r="AH14" i="21" s="1"/>
  <c r="M60" i="84"/>
  <c r="M34" i="44"/>
  <c r="BF14" i="21" s="1"/>
  <c r="J34" i="49"/>
  <c r="AE14" i="21" s="1"/>
  <c r="P60" i="50"/>
  <c r="CS16" i="21" s="1"/>
  <c r="M50" i="41"/>
  <c r="P50" i="41"/>
  <c r="J50" i="41"/>
  <c r="J57" i="30"/>
  <c r="P57" i="30"/>
  <c r="M57" i="30"/>
  <c r="P57" i="40"/>
  <c r="J57" i="40"/>
  <c r="M57" i="40"/>
  <c r="J34" i="24"/>
  <c r="F14" i="21" s="1"/>
  <c r="J34" i="36"/>
  <c r="J50" i="26"/>
  <c r="P50" i="26"/>
  <c r="M50" i="26"/>
  <c r="P50" i="43"/>
  <c r="J50" i="43"/>
  <c r="M50" i="43"/>
  <c r="J50" i="31"/>
  <c r="M50" i="31"/>
  <c r="P50" i="31"/>
  <c r="M34" i="34"/>
  <c r="AV14" i="21" s="1"/>
  <c r="P60" i="40"/>
  <c r="CH16" i="21" s="1"/>
  <c r="J23" i="31"/>
  <c r="P60" i="78"/>
  <c r="M51" i="24"/>
  <c r="P51" i="24"/>
  <c r="J51" i="24"/>
  <c r="M51" i="37"/>
  <c r="J51" i="37"/>
  <c r="P51" i="37"/>
  <c r="P49" i="39"/>
  <c r="M49" i="39"/>
  <c r="J49" i="39"/>
  <c r="J48" i="43"/>
  <c r="P48" i="43"/>
  <c r="M48" i="43"/>
  <c r="J50" i="46"/>
  <c r="P50" i="46"/>
  <c r="M50" i="46"/>
  <c r="P48" i="27"/>
  <c r="J48" i="27"/>
  <c r="M48" i="27"/>
  <c r="M46" i="42"/>
  <c r="J46" i="42"/>
  <c r="P46" i="42"/>
  <c r="P46" i="36"/>
  <c r="J46" i="36"/>
  <c r="M46" i="36"/>
  <c r="J46" i="51"/>
  <c r="P46" i="51"/>
  <c r="M46" i="51"/>
  <c r="M46" i="39"/>
  <c r="J46" i="39"/>
  <c r="P46" i="39"/>
  <c r="M34" i="28"/>
  <c r="AP14" i="21" s="1"/>
  <c r="M23" i="38"/>
  <c r="J60" i="28"/>
  <c r="J16" i="21" s="1"/>
  <c r="M34" i="40"/>
  <c r="BB14" i="21" s="1"/>
  <c r="M23" i="51"/>
  <c r="J49" i="41"/>
  <c r="M49" i="41"/>
  <c r="P49" i="41"/>
  <c r="T26" i="20"/>
  <c r="M34" i="45"/>
  <c r="BG14" i="21" s="1"/>
  <c r="T23" i="20" s="1"/>
  <c r="J60" i="25"/>
  <c r="G16" i="21" s="1"/>
  <c r="M47" i="27"/>
  <c r="P47" i="27"/>
  <c r="J47" i="27"/>
  <c r="P47" i="43"/>
  <c r="J47" i="43"/>
  <c r="M47" i="43"/>
  <c r="P48" i="32"/>
  <c r="M48" i="32"/>
  <c r="J48" i="32"/>
  <c r="P49" i="26"/>
  <c r="M49" i="26"/>
  <c r="J49" i="26"/>
  <c r="P49" i="24"/>
  <c r="M49" i="24"/>
  <c r="J49" i="24"/>
  <c r="M52" i="49"/>
  <c r="P52" i="49"/>
  <c r="J52" i="49"/>
  <c r="P49" i="31"/>
  <c r="J49" i="31"/>
  <c r="M49" i="31"/>
  <c r="M60" i="43"/>
  <c r="BE16" i="21" s="1"/>
  <c r="M60" i="71"/>
  <c r="U119" i="20"/>
  <c r="U15" i="20"/>
  <c r="P23" i="37"/>
  <c r="P60" i="33"/>
  <c r="CA16" i="21" s="1"/>
  <c r="J23" i="27"/>
  <c r="P34" i="38"/>
  <c r="CF14" i="21" s="1"/>
  <c r="P49" i="47"/>
  <c r="J49" i="47"/>
  <c r="M49" i="47"/>
  <c r="P60" i="27"/>
  <c r="BU16" i="21" s="1"/>
  <c r="J60" i="109"/>
  <c r="M60" i="49"/>
  <c r="BK16" i="21" s="1"/>
  <c r="M60" i="48"/>
  <c r="BJ16" i="21" s="1"/>
  <c r="P34" i="22"/>
  <c r="BP14" i="21" s="1"/>
  <c r="M48" i="48"/>
  <c r="J48" i="48"/>
  <c r="P48" i="48"/>
  <c r="M60" i="72"/>
  <c r="J60" i="39"/>
  <c r="U16" i="21" s="1"/>
  <c r="P60" i="81"/>
  <c r="P34" i="51"/>
  <c r="CT14" i="21" s="1"/>
  <c r="P60" i="84"/>
  <c r="P34" i="44"/>
  <c r="CL14" i="21" s="1"/>
  <c r="M34" i="49"/>
  <c r="BK14" i="21" s="1"/>
  <c r="M60" i="34"/>
  <c r="AV16" i="21" s="1"/>
  <c r="M60" i="50"/>
  <c r="BM16" i="21" s="1"/>
  <c r="P57" i="33"/>
  <c r="M57" i="33"/>
  <c r="J57" i="33"/>
  <c r="P57" i="23"/>
  <c r="J57" i="23"/>
  <c r="M57" i="23"/>
  <c r="P57" i="26"/>
  <c r="J57" i="26"/>
  <c r="M57" i="26"/>
  <c r="M60" i="87"/>
  <c r="M34" i="24"/>
  <c r="AL14" i="21" s="1"/>
  <c r="P34" i="36"/>
  <c r="J50" i="40"/>
  <c r="P50" i="40"/>
  <c r="M50" i="40"/>
  <c r="J50" i="44"/>
  <c r="P50" i="44"/>
  <c r="M50" i="44"/>
  <c r="P49" i="51"/>
  <c r="J49" i="51"/>
  <c r="M49" i="51"/>
  <c r="J34" i="50"/>
  <c r="AG14" i="21" s="1"/>
  <c r="M60" i="78"/>
  <c r="CF48" i="21"/>
  <c r="CF11" i="21"/>
  <c r="P34" i="26"/>
  <c r="BT14" i="21" s="1"/>
  <c r="J51" i="27"/>
  <c r="M51" i="27"/>
  <c r="P51" i="27"/>
  <c r="M50" i="47"/>
  <c r="J50" i="47"/>
  <c r="P50" i="47"/>
  <c r="M51" i="31"/>
  <c r="P51" i="31"/>
  <c r="J51" i="31"/>
  <c r="J51" i="26"/>
  <c r="P51" i="26"/>
  <c r="M51" i="26"/>
  <c r="M51" i="33"/>
  <c r="J51" i="33"/>
  <c r="P51" i="33"/>
  <c r="M50" i="48"/>
  <c r="J50" i="48"/>
  <c r="P50" i="48"/>
  <c r="J48" i="23"/>
  <c r="M48" i="23"/>
  <c r="P48" i="23"/>
  <c r="J48" i="38"/>
  <c r="P48" i="38"/>
  <c r="M48" i="38"/>
  <c r="J46" i="30"/>
  <c r="P46" i="30"/>
  <c r="M46" i="30"/>
  <c r="M46" i="46"/>
  <c r="P46" i="46"/>
  <c r="J46" i="46"/>
  <c r="J46" i="23"/>
  <c r="M46" i="23"/>
  <c r="P46" i="23"/>
  <c r="J34" i="28"/>
  <c r="J14" i="21" s="1"/>
  <c r="P23" i="38"/>
  <c r="P60" i="28"/>
  <c r="BV16" i="21" s="1"/>
  <c r="P34" i="40"/>
  <c r="CH14" i="21" s="1"/>
  <c r="J23" i="51"/>
  <c r="J23" i="41"/>
  <c r="M23" i="48"/>
  <c r="P48" i="34"/>
  <c r="J48" i="34"/>
  <c r="M48" i="34"/>
  <c r="N26" i="20"/>
  <c r="P27" i="40"/>
  <c r="CH13" i="21" s="1"/>
  <c r="M47" i="48"/>
  <c r="J47" i="48"/>
  <c r="P47" i="48"/>
  <c r="J47" i="40"/>
  <c r="P47" i="40"/>
  <c r="M47" i="40"/>
  <c r="J47" i="28"/>
  <c r="M47" i="28"/>
  <c r="P47" i="28"/>
  <c r="J47" i="46"/>
  <c r="P47" i="46"/>
  <c r="M47" i="46"/>
  <c r="J49" i="30"/>
  <c r="M49" i="30"/>
  <c r="P49" i="30"/>
  <c r="M50" i="35"/>
  <c r="J50" i="35"/>
  <c r="P50" i="35"/>
  <c r="P51" i="48"/>
  <c r="M51" i="48"/>
  <c r="J51" i="48"/>
  <c r="P60" i="43"/>
  <c r="CK16" i="21" s="1"/>
  <c r="M34" i="25"/>
  <c r="AM14" i="21" s="1"/>
  <c r="P60" i="71"/>
  <c r="J23" i="37"/>
  <c r="M60" i="31"/>
  <c r="AS16" i="21" s="1"/>
  <c r="M60" i="33"/>
  <c r="AU16" i="21" s="1"/>
  <c r="P23" i="27"/>
  <c r="M34" i="38"/>
  <c r="AZ14" i="21" s="1"/>
  <c r="P49" i="46"/>
  <c r="J49" i="46"/>
  <c r="M49" i="46"/>
  <c r="J60" i="49"/>
  <c r="AE16" i="21" s="1"/>
  <c r="J60" i="48"/>
  <c r="AD16" i="21" s="1"/>
  <c r="J34" i="22"/>
  <c r="D14" i="21" s="1"/>
  <c r="J48" i="49"/>
  <c r="M48" i="49"/>
  <c r="P48" i="49"/>
  <c r="P60" i="72"/>
  <c r="P60" i="39"/>
  <c r="CG16" i="21" s="1"/>
  <c r="M60" i="81"/>
  <c r="M34" i="51"/>
  <c r="BN14" i="21" s="1"/>
  <c r="P60" i="47"/>
  <c r="CO16" i="21" s="1"/>
  <c r="J60" i="84"/>
  <c r="P23" i="33"/>
  <c r="J60" i="34"/>
  <c r="P16" i="21" s="1"/>
  <c r="M60" i="91"/>
  <c r="J23" i="50"/>
  <c r="J57" i="27"/>
  <c r="P57" i="27"/>
  <c r="M57" i="27"/>
  <c r="P57" i="29"/>
  <c r="J57" i="29"/>
  <c r="M57" i="29"/>
  <c r="P57" i="25"/>
  <c r="M57" i="25"/>
  <c r="J57" i="25"/>
  <c r="J60" i="87"/>
  <c r="P60" i="85"/>
  <c r="P23" i="43"/>
  <c r="V26" i="20"/>
  <c r="J50" i="37"/>
  <c r="M50" i="37"/>
  <c r="P50" i="37"/>
  <c r="J50" i="23"/>
  <c r="M50" i="23"/>
  <c r="P50" i="23"/>
  <c r="J50" i="24"/>
  <c r="M50" i="24"/>
  <c r="P50" i="24"/>
  <c r="P48" i="50"/>
  <c r="J48" i="50"/>
  <c r="M48" i="50"/>
  <c r="M23" i="32"/>
  <c r="M23" i="26"/>
  <c r="M23" i="24"/>
  <c r="J34" i="32"/>
  <c r="N14" i="21" s="1"/>
  <c r="M34" i="50"/>
  <c r="BM14" i="21" s="1"/>
  <c r="J60" i="78"/>
  <c r="J34" i="26"/>
  <c r="H14" i="21" s="1"/>
  <c r="P51" i="25"/>
  <c r="J51" i="25"/>
  <c r="M51" i="25"/>
  <c r="J52" i="48"/>
  <c r="M52" i="48"/>
  <c r="P52" i="48"/>
  <c r="P48" i="37"/>
  <c r="J48" i="37"/>
  <c r="M48" i="37"/>
  <c r="M48" i="29"/>
  <c r="J48" i="29"/>
  <c r="P48" i="29"/>
  <c r="P48" i="42"/>
  <c r="J48" i="42"/>
  <c r="M48" i="42"/>
  <c r="P46" i="38"/>
  <c r="M46" i="38"/>
  <c r="J46" i="38"/>
  <c r="P46" i="31"/>
  <c r="M46" i="31"/>
  <c r="J46" i="31"/>
  <c r="M46" i="26"/>
  <c r="J46" i="26"/>
  <c r="P46" i="26"/>
  <c r="M46" i="29"/>
  <c r="J46" i="29"/>
  <c r="P46" i="29"/>
  <c r="P34" i="28"/>
  <c r="BV14" i="21" s="1"/>
  <c r="M60" i="28"/>
  <c r="AP16" i="21" s="1"/>
  <c r="J34" i="40"/>
  <c r="V14" i="21" s="1"/>
  <c r="P23" i="51"/>
  <c r="P23" i="45"/>
  <c r="P23" i="41"/>
  <c r="J23" i="48"/>
  <c r="M23" i="47"/>
  <c r="M27" i="40"/>
  <c r="BB13" i="21" s="1"/>
  <c r="P47" i="49"/>
  <c r="M47" i="49"/>
  <c r="J47" i="49"/>
  <c r="P47" i="33"/>
  <c r="J47" i="33"/>
  <c r="M47" i="33"/>
  <c r="M47" i="25"/>
  <c r="P47" i="25"/>
  <c r="J47" i="25"/>
  <c r="M47" i="22"/>
  <c r="J47" i="22"/>
  <c r="P47" i="22"/>
  <c r="J49" i="38"/>
  <c r="M49" i="38"/>
  <c r="P49" i="38"/>
  <c r="J49" i="43"/>
  <c r="P49" i="43"/>
  <c r="M49" i="43"/>
  <c r="M49" i="42"/>
  <c r="P49" i="42"/>
  <c r="J49" i="42"/>
  <c r="P34" i="25"/>
  <c r="BS14" i="21" s="1"/>
  <c r="J60" i="71"/>
  <c r="P60" i="31"/>
  <c r="BY16" i="21" s="1"/>
  <c r="I15" i="20"/>
  <c r="H48" i="21"/>
  <c r="H11" i="21"/>
  <c r="J23" i="44"/>
  <c r="M34" i="22"/>
  <c r="AJ14" i="21" s="1"/>
  <c r="J34" i="48"/>
  <c r="AD14" i="21" s="1"/>
  <c r="J60" i="81"/>
  <c r="M60" i="47"/>
  <c r="BI16" i="21" s="1"/>
  <c r="J23" i="33"/>
  <c r="P60" i="34"/>
  <c r="CB16" i="21" s="1"/>
  <c r="P23" i="39"/>
  <c r="P60" i="91"/>
  <c r="P23" i="50"/>
  <c r="P57" i="39"/>
  <c r="M57" i="39"/>
  <c r="J57" i="39"/>
  <c r="M57" i="22"/>
  <c r="P57" i="22"/>
  <c r="J57" i="22"/>
  <c r="M57" i="38"/>
  <c r="P57" i="38"/>
  <c r="J57" i="38"/>
  <c r="P60" i="87"/>
  <c r="P27" i="45"/>
  <c r="CM13" i="21" s="1"/>
  <c r="J60" i="85"/>
  <c r="J23" i="43"/>
  <c r="AZ48" i="21"/>
  <c r="M50" i="28"/>
  <c r="J50" i="28"/>
  <c r="P50" i="28"/>
  <c r="M51" i="32"/>
  <c r="J51" i="32"/>
  <c r="P51" i="32"/>
  <c r="P53" i="41"/>
  <c r="M53" i="41"/>
  <c r="J53" i="41"/>
  <c r="J23" i="32"/>
  <c r="I89" i="20"/>
  <c r="I88" i="20"/>
  <c r="I87" i="20"/>
  <c r="I84" i="20"/>
  <c r="I83" i="20"/>
  <c r="I85" i="20"/>
  <c r="J23" i="26"/>
  <c r="P23" i="24"/>
  <c r="P34" i="32"/>
  <c r="BZ14" i="21" s="1"/>
  <c r="P34" i="50"/>
  <c r="CS14" i="21" s="1"/>
  <c r="M60" i="38"/>
  <c r="AZ16" i="21" s="1"/>
  <c r="M34" i="26"/>
  <c r="AN14" i="21" s="1"/>
  <c r="V28" i="20" l="1"/>
  <c r="EY16" i="21"/>
  <c r="DE16" i="21"/>
  <c r="M75" i="77"/>
  <c r="P23" i="20"/>
  <c r="V23" i="20"/>
  <c r="X13" i="20"/>
  <c r="V22" i="20"/>
  <c r="M120" i="20"/>
  <c r="M67" i="20"/>
  <c r="N67" i="20" s="1"/>
  <c r="J23" i="20"/>
  <c r="FM21" i="21"/>
  <c r="FM22" i="21" s="1"/>
  <c r="EP21" i="21"/>
  <c r="EP24" i="21" s="1"/>
  <c r="EP59" i="21" s="1"/>
  <c r="DS21" i="21"/>
  <c r="DS22" i="21" s="1"/>
  <c r="DR21" i="21"/>
  <c r="DR24" i="21" s="1"/>
  <c r="DR59" i="21" s="1"/>
  <c r="N28" i="20"/>
  <c r="M1" i="90"/>
  <c r="K1" i="90" s="1"/>
  <c r="N1" i="89"/>
  <c r="J43" i="22"/>
  <c r="D15" i="21" s="1"/>
  <c r="D21" i="21" s="1"/>
  <c r="K1" i="89"/>
  <c r="P43" i="96"/>
  <c r="H16" i="8"/>
  <c r="T29" i="96"/>
  <c r="T43" i="96" s="1"/>
  <c r="N23" i="20"/>
  <c r="G17" i="8"/>
  <c r="I17" i="8"/>
  <c r="F17" i="8"/>
  <c r="G17" i="10"/>
  <c r="L23" i="20"/>
  <c r="F16" i="8"/>
  <c r="K48" i="20"/>
  <c r="N22" i="20"/>
  <c r="H16" i="10"/>
  <c r="J22" i="20"/>
  <c r="G16" i="10"/>
  <c r="L22" i="20"/>
  <c r="D16" i="8"/>
  <c r="P22" i="20"/>
  <c r="I16" i="8"/>
  <c r="G16" i="8"/>
  <c r="DK16" i="21"/>
  <c r="DK60" i="21" s="1"/>
  <c r="R22" i="20"/>
  <c r="Q43" i="96"/>
  <c r="J75" i="79"/>
  <c r="P75" i="79"/>
  <c r="FE16" i="21"/>
  <c r="FE21" i="21" s="1"/>
  <c r="DC16" i="21"/>
  <c r="DC21" i="21" s="1"/>
  <c r="FF16" i="21"/>
  <c r="FF60" i="21" s="1"/>
  <c r="J43" i="31"/>
  <c r="M15" i="21" s="1"/>
  <c r="M60" i="21" s="1"/>
  <c r="ED16" i="21"/>
  <c r="ED21" i="21" s="1"/>
  <c r="J21" i="57" s="1"/>
  <c r="M43" i="36"/>
  <c r="Q62" i="96"/>
  <c r="M43" i="46"/>
  <c r="BH15" i="21" s="1"/>
  <c r="P43" i="36"/>
  <c r="J43" i="29"/>
  <c r="K15" i="21" s="1"/>
  <c r="K60" i="21" s="1"/>
  <c r="P43" i="39"/>
  <c r="CG15" i="21" s="1"/>
  <c r="CG60" i="21" s="1"/>
  <c r="J43" i="39"/>
  <c r="U15" i="21" s="1"/>
  <c r="P43" i="45"/>
  <c r="CM15" i="21" s="1"/>
  <c r="CM60" i="21" s="1"/>
  <c r="M43" i="30"/>
  <c r="AR15" i="21" s="1"/>
  <c r="AR60" i="21" s="1"/>
  <c r="M43" i="26"/>
  <c r="AN15" i="21" s="1"/>
  <c r="P75" i="72"/>
  <c r="P1" i="72" s="1"/>
  <c r="ET16" i="21"/>
  <c r="AL12" i="21"/>
  <c r="P75" i="71"/>
  <c r="P1" i="71" s="1"/>
  <c r="ES16" i="21"/>
  <c r="DE60" i="21"/>
  <c r="DE21" i="21"/>
  <c r="M43" i="23"/>
  <c r="M75" i="78"/>
  <c r="EC16" i="21"/>
  <c r="P75" i="84"/>
  <c r="FG16" i="21"/>
  <c r="M75" i="71"/>
  <c r="M1" i="71" s="1"/>
  <c r="DV16" i="21"/>
  <c r="P43" i="51"/>
  <c r="CT15" i="21" s="1"/>
  <c r="J75" i="72"/>
  <c r="J1" i="72" s="1"/>
  <c r="CZ16" i="21"/>
  <c r="P43" i="37"/>
  <c r="CE15" i="21" s="1"/>
  <c r="EK16" i="21"/>
  <c r="P43" i="34"/>
  <c r="Q12" i="21"/>
  <c r="BK12" i="21"/>
  <c r="M43" i="50"/>
  <c r="BM15" i="21" s="1"/>
  <c r="ER16" i="21"/>
  <c r="P75" i="70"/>
  <c r="J43" i="49"/>
  <c r="AE15" i="21" s="1"/>
  <c r="BT12" i="21"/>
  <c r="P75" i="80"/>
  <c r="FC16" i="21"/>
  <c r="J43" i="48"/>
  <c r="AD15" i="21" s="1"/>
  <c r="H12" i="21"/>
  <c r="CS12" i="21"/>
  <c r="M43" i="29"/>
  <c r="AT12" i="21"/>
  <c r="M75" i="91"/>
  <c r="M1" i="91" s="1"/>
  <c r="BU12" i="21"/>
  <c r="J43" i="23"/>
  <c r="EM16" i="21"/>
  <c r="J43" i="51"/>
  <c r="AH15" i="21" s="1"/>
  <c r="J43" i="37"/>
  <c r="S15" i="21" s="1"/>
  <c r="AS12" i="21"/>
  <c r="F15" i="10"/>
  <c r="M43" i="22"/>
  <c r="AJ15" i="21" s="1"/>
  <c r="AJ21" i="21" s="1"/>
  <c r="EY60" i="21"/>
  <c r="EY21" i="21"/>
  <c r="J75" i="76"/>
  <c r="DD16" i="21"/>
  <c r="P43" i="50"/>
  <c r="CS15" i="21" s="1"/>
  <c r="BB12" i="21"/>
  <c r="V21" i="20" s="1"/>
  <c r="BG12" i="21"/>
  <c r="T21" i="20" s="1"/>
  <c r="J43" i="43"/>
  <c r="Y15" i="21" s="1"/>
  <c r="M43" i="49"/>
  <c r="BK15" i="21" s="1"/>
  <c r="P75" i="75"/>
  <c r="EW16" i="21"/>
  <c r="EH60" i="21"/>
  <c r="M19" i="57" s="1"/>
  <c r="EH21" i="21"/>
  <c r="M21" i="57" s="1"/>
  <c r="BM12" i="21"/>
  <c r="M75" i="76"/>
  <c r="EA16" i="21"/>
  <c r="P43" i="47"/>
  <c r="CO15" i="21" s="1"/>
  <c r="M43" i="48"/>
  <c r="BJ15" i="21" s="1"/>
  <c r="M75" i="75"/>
  <c r="DZ16" i="21"/>
  <c r="DO16" i="21"/>
  <c r="BI12" i="21"/>
  <c r="J75" i="81"/>
  <c r="DJ16" i="21"/>
  <c r="J43" i="38"/>
  <c r="J75" i="38" s="1"/>
  <c r="E15" i="10"/>
  <c r="E15" i="8"/>
  <c r="N12" i="21"/>
  <c r="M43" i="38"/>
  <c r="AZ15" i="21" s="1"/>
  <c r="AH12" i="21"/>
  <c r="P75" i="91"/>
  <c r="P1" i="91" s="1"/>
  <c r="P43" i="26"/>
  <c r="BT15" i="21" s="1"/>
  <c r="J75" i="78"/>
  <c r="DF16" i="21"/>
  <c r="J43" i="46"/>
  <c r="AB15" i="21" s="1"/>
  <c r="AZ12" i="21"/>
  <c r="J43" i="33"/>
  <c r="O15" i="21" s="1"/>
  <c r="G15" i="10"/>
  <c r="J75" i="70"/>
  <c r="CX16" i="21"/>
  <c r="BX12" i="21"/>
  <c r="M75" i="73"/>
  <c r="DX16" i="21"/>
  <c r="M43" i="44"/>
  <c r="BF15" i="21" s="1"/>
  <c r="L12" i="21"/>
  <c r="M75" i="80"/>
  <c r="EF16" i="21"/>
  <c r="M43" i="43"/>
  <c r="J43" i="45"/>
  <c r="AA15" i="21" s="1"/>
  <c r="J75" i="83"/>
  <c r="DL16" i="21"/>
  <c r="BZ12" i="21"/>
  <c r="J75" i="91"/>
  <c r="J1" i="91" s="1"/>
  <c r="AC12" i="21"/>
  <c r="M43" i="47"/>
  <c r="BI15" i="21" s="1"/>
  <c r="M43" i="40"/>
  <c r="BB15" i="21" s="1"/>
  <c r="M75" i="83"/>
  <c r="EI16" i="21"/>
  <c r="M43" i="32"/>
  <c r="AT15" i="21" s="1"/>
  <c r="M75" i="81"/>
  <c r="EG16" i="21"/>
  <c r="J75" i="71"/>
  <c r="J1" i="71" s="1"/>
  <c r="CY16" i="21"/>
  <c r="CM12" i="21"/>
  <c r="P43" i="38"/>
  <c r="CF15" i="21" s="1"/>
  <c r="CK12" i="21"/>
  <c r="CG12" i="21"/>
  <c r="CT12" i="21"/>
  <c r="J43" i="26"/>
  <c r="CA12" i="21"/>
  <c r="BJ12" i="21"/>
  <c r="P43" i="46"/>
  <c r="CN15" i="21" s="1"/>
  <c r="J43" i="36"/>
  <c r="P75" i="74"/>
  <c r="EV16" i="21"/>
  <c r="P75" i="73"/>
  <c r="EU16" i="21"/>
  <c r="AO12" i="21"/>
  <c r="M43" i="33"/>
  <c r="AU15" i="21" s="1"/>
  <c r="M43" i="28"/>
  <c r="M75" i="28" s="1"/>
  <c r="P43" i="22"/>
  <c r="BP15" i="21" s="1"/>
  <c r="BP21" i="21" s="1"/>
  <c r="D17" i="10"/>
  <c r="D17" i="8"/>
  <c r="J43" i="44"/>
  <c r="Z15" i="21" s="1"/>
  <c r="CC12" i="21"/>
  <c r="CJ13" i="21"/>
  <c r="P43" i="43"/>
  <c r="CK15" i="21" s="1"/>
  <c r="M43" i="45"/>
  <c r="BG15" i="21" s="1"/>
  <c r="T27" i="20" s="1"/>
  <c r="U12" i="21"/>
  <c r="CP12" i="21"/>
  <c r="J21" i="20" s="1"/>
  <c r="J43" i="47"/>
  <c r="AC15" i="21" s="1"/>
  <c r="J43" i="40"/>
  <c r="V15" i="21" s="1"/>
  <c r="J43" i="32"/>
  <c r="N15" i="21" s="1"/>
  <c r="J75" i="84"/>
  <c r="DM16" i="21"/>
  <c r="P75" i="81"/>
  <c r="FD16" i="21"/>
  <c r="CE12" i="21"/>
  <c r="P75" i="109"/>
  <c r="FB16" i="21"/>
  <c r="DG60" i="21"/>
  <c r="DG21" i="21"/>
  <c r="P43" i="33"/>
  <c r="CA15" i="21" s="1"/>
  <c r="P43" i="28"/>
  <c r="BV15" i="21" s="1"/>
  <c r="P43" i="41"/>
  <c r="M75" i="74"/>
  <c r="DY16" i="21"/>
  <c r="J43" i="25"/>
  <c r="P43" i="44"/>
  <c r="CL15" i="21" s="1"/>
  <c r="CN12" i="21"/>
  <c r="BA12" i="21"/>
  <c r="CO12" i="21"/>
  <c r="J43" i="35"/>
  <c r="Q15" i="21" s="1"/>
  <c r="M75" i="70"/>
  <c r="DU16" i="21"/>
  <c r="AR12" i="21"/>
  <c r="J43" i="24"/>
  <c r="F15" i="21" s="1"/>
  <c r="P43" i="40"/>
  <c r="CH15" i="21" s="1"/>
  <c r="P43" i="32"/>
  <c r="BZ15" i="21" s="1"/>
  <c r="Y12" i="21"/>
  <c r="DP16" i="21"/>
  <c r="DN16" i="21"/>
  <c r="AY12" i="21"/>
  <c r="J43" i="28"/>
  <c r="J15" i="21" s="1"/>
  <c r="J21" i="21" s="1"/>
  <c r="J43" i="41"/>
  <c r="FH16" i="21"/>
  <c r="P43" i="25"/>
  <c r="BS15" i="21" s="1"/>
  <c r="CL12" i="21"/>
  <c r="CQ12" i="21"/>
  <c r="M43" i="35"/>
  <c r="AW15" i="21" s="1"/>
  <c r="EL16" i="21"/>
  <c r="AU12" i="21"/>
  <c r="BF12" i="21"/>
  <c r="P43" i="24"/>
  <c r="BR15" i="21" s="1"/>
  <c r="U48" i="20"/>
  <c r="P43" i="42"/>
  <c r="X15" i="20"/>
  <c r="I48" i="20"/>
  <c r="W15" i="20"/>
  <c r="AD12" i="21"/>
  <c r="M43" i="31"/>
  <c r="AS15" i="21" s="1"/>
  <c r="AN12" i="21"/>
  <c r="J75" i="109"/>
  <c r="DH16" i="21"/>
  <c r="I12" i="21"/>
  <c r="M43" i="39"/>
  <c r="BA15" i="21" s="1"/>
  <c r="J43" i="42"/>
  <c r="P75" i="78"/>
  <c r="EZ16" i="21"/>
  <c r="T12" i="21"/>
  <c r="M43" i="27"/>
  <c r="AO15" i="21" s="1"/>
  <c r="EB60" i="21"/>
  <c r="EB21" i="21"/>
  <c r="J75" i="74"/>
  <c r="DB16" i="21"/>
  <c r="K12" i="21"/>
  <c r="J75" i="73"/>
  <c r="J1" i="73" s="1"/>
  <c r="DA16" i="21"/>
  <c r="M75" i="109"/>
  <c r="EE16" i="21"/>
  <c r="M43" i="34"/>
  <c r="AV15" i="21" s="1"/>
  <c r="AV21" i="21" s="1"/>
  <c r="M43" i="41"/>
  <c r="BH12" i="21"/>
  <c r="EO21" i="21"/>
  <c r="M43" i="25"/>
  <c r="AM15" i="21" s="1"/>
  <c r="AM21" i="21" s="1"/>
  <c r="P75" i="76"/>
  <c r="EX16" i="21"/>
  <c r="P43" i="35"/>
  <c r="CC15" i="21" s="1"/>
  <c r="F12" i="21"/>
  <c r="AA13" i="21"/>
  <c r="AE12" i="21"/>
  <c r="M43" i="24"/>
  <c r="AL15" i="21" s="1"/>
  <c r="FI16" i="21"/>
  <c r="S12" i="21"/>
  <c r="O12" i="21"/>
  <c r="CF12" i="21"/>
  <c r="G15" i="8"/>
  <c r="P43" i="27"/>
  <c r="BU15" i="21" s="1"/>
  <c r="P43" i="30"/>
  <c r="BX15" i="21" s="1"/>
  <c r="BR12" i="21"/>
  <c r="FJ16" i="21"/>
  <c r="Z12" i="21"/>
  <c r="P43" i="29"/>
  <c r="P43" i="31"/>
  <c r="AG12" i="21"/>
  <c r="X26" i="20"/>
  <c r="W26" i="20"/>
  <c r="P43" i="23"/>
  <c r="J43" i="30"/>
  <c r="L15" i="21" s="1"/>
  <c r="M75" i="72"/>
  <c r="M1" i="72" s="1"/>
  <c r="DW16" i="21"/>
  <c r="BN12" i="21"/>
  <c r="M43" i="51"/>
  <c r="BN15" i="21" s="1"/>
  <c r="M43" i="42"/>
  <c r="M12" i="21"/>
  <c r="EJ16" i="21"/>
  <c r="M75" i="84"/>
  <c r="Q48" i="20"/>
  <c r="M43" i="37"/>
  <c r="AY15" i="21" s="1"/>
  <c r="J43" i="27"/>
  <c r="I15" i="21" s="1"/>
  <c r="AB12" i="21"/>
  <c r="J43" i="34"/>
  <c r="R23" i="20"/>
  <c r="H17" i="10"/>
  <c r="H17" i="8"/>
  <c r="FA60" i="21"/>
  <c r="FA21" i="21"/>
  <c r="J75" i="80"/>
  <c r="DI16" i="21"/>
  <c r="J43" i="50"/>
  <c r="AG15" i="21" s="1"/>
  <c r="P43" i="49"/>
  <c r="CQ15" i="21" s="1"/>
  <c r="AW12" i="21"/>
  <c r="V12" i="21"/>
  <c r="P43" i="48"/>
  <c r="CP15" i="21" s="1"/>
  <c r="FL21" i="21"/>
  <c r="P27" i="20" l="1"/>
  <c r="P21" i="20"/>
  <c r="FM24" i="21"/>
  <c r="FM59" i="21" s="1"/>
  <c r="AC21" i="21"/>
  <c r="DR22" i="21"/>
  <c r="DR25" i="21" s="1"/>
  <c r="DS24" i="21"/>
  <c r="DS59" i="21" s="1"/>
  <c r="L21" i="20"/>
  <c r="EP22" i="21"/>
  <c r="EP25" i="21" s="1"/>
  <c r="P75" i="46"/>
  <c r="N1" i="90"/>
  <c r="FF21" i="21"/>
  <c r="FF22" i="21" s="1"/>
  <c r="DK21" i="21"/>
  <c r="DK24" i="21" s="1"/>
  <c r="DK59" i="21" s="1"/>
  <c r="J75" i="48"/>
  <c r="J75" i="31"/>
  <c r="J75" i="40"/>
  <c r="AA21" i="21"/>
  <c r="AA24" i="21" s="1"/>
  <c r="AA59" i="21" s="1"/>
  <c r="M75" i="22"/>
  <c r="L16" i="8"/>
  <c r="L16" i="10"/>
  <c r="X23" i="20"/>
  <c r="M75" i="44"/>
  <c r="J75" i="33"/>
  <c r="M75" i="46"/>
  <c r="AZ21" i="21"/>
  <c r="AZ22" i="21" s="1"/>
  <c r="X22" i="20"/>
  <c r="J75" i="44"/>
  <c r="FE60" i="21"/>
  <c r="H28" i="6"/>
  <c r="M28" i="6" s="1"/>
  <c r="M75" i="36"/>
  <c r="P75" i="45"/>
  <c r="DC60" i="21"/>
  <c r="ED60" i="21"/>
  <c r="J75" i="41"/>
  <c r="M75" i="48"/>
  <c r="J75" i="49"/>
  <c r="J75" i="37"/>
  <c r="P75" i="47"/>
  <c r="P75" i="39"/>
  <c r="P75" i="38"/>
  <c r="M75" i="30"/>
  <c r="BH60" i="21"/>
  <c r="M75" i="26"/>
  <c r="AN60" i="21"/>
  <c r="M75" i="33"/>
  <c r="P75" i="37"/>
  <c r="M75" i="50"/>
  <c r="P75" i="24"/>
  <c r="J75" i="43"/>
  <c r="J75" i="28"/>
  <c r="J75" i="29"/>
  <c r="J75" i="51"/>
  <c r="P75" i="44"/>
  <c r="P75" i="22"/>
  <c r="J75" i="24"/>
  <c r="U60" i="21"/>
  <c r="J75" i="39"/>
  <c r="J75" i="22"/>
  <c r="M75" i="25"/>
  <c r="M75" i="51"/>
  <c r="CS21" i="21"/>
  <c r="CS22" i="21" s="1"/>
  <c r="M75" i="38"/>
  <c r="P75" i="26"/>
  <c r="P75" i="36"/>
  <c r="AV24" i="21"/>
  <c r="AV59" i="21" s="1"/>
  <c r="AV22" i="21"/>
  <c r="AM24" i="21"/>
  <c r="AM59" i="21" s="1"/>
  <c r="AM22" i="21"/>
  <c r="J24" i="21"/>
  <c r="J59" i="21" s="1"/>
  <c r="J22" i="21"/>
  <c r="AL60" i="21"/>
  <c r="X15" i="21"/>
  <c r="J75" i="42"/>
  <c r="CH60" i="21"/>
  <c r="BV60" i="21"/>
  <c r="DM60" i="21"/>
  <c r="DM21" i="21"/>
  <c r="AC60" i="21"/>
  <c r="P75" i="35"/>
  <c r="P75" i="33"/>
  <c r="CG21" i="21"/>
  <c r="BE15" i="21"/>
  <c r="M75" i="43"/>
  <c r="CX60" i="21"/>
  <c r="CX21" i="21"/>
  <c r="O60" i="21"/>
  <c r="DF60" i="21"/>
  <c r="DF21" i="21"/>
  <c r="AH21" i="21"/>
  <c r="J75" i="32"/>
  <c r="T15" i="21"/>
  <c r="T21" i="21" s="1"/>
  <c r="BI21" i="21"/>
  <c r="BV21" i="21"/>
  <c r="BJ60" i="21"/>
  <c r="Y60" i="21"/>
  <c r="EY24" i="21"/>
  <c r="EY59" i="21" s="1"/>
  <c r="EY22" i="21"/>
  <c r="P75" i="50"/>
  <c r="CE60" i="21"/>
  <c r="ES60" i="21"/>
  <c r="ES21" i="21"/>
  <c r="BZ60" i="21"/>
  <c r="CN21" i="21"/>
  <c r="AP15" i="21"/>
  <c r="L27" i="20" s="1"/>
  <c r="EU60" i="21"/>
  <c r="EU21" i="21"/>
  <c r="CM21" i="21"/>
  <c r="AB60" i="21"/>
  <c r="N21" i="21"/>
  <c r="DW21" i="21"/>
  <c r="DW60" i="21"/>
  <c r="FJ60" i="21"/>
  <c r="FI60" i="21"/>
  <c r="CC60" i="21"/>
  <c r="K21" i="21"/>
  <c r="AO60" i="21"/>
  <c r="BA60" i="21"/>
  <c r="CQ21" i="21"/>
  <c r="DP60" i="21"/>
  <c r="F60" i="21"/>
  <c r="CO21" i="21"/>
  <c r="U21" i="21"/>
  <c r="Z60" i="21"/>
  <c r="D24" i="21"/>
  <c r="D59" i="21" s="1"/>
  <c r="D22" i="21"/>
  <c r="E14" i="6" s="1"/>
  <c r="H15" i="21"/>
  <c r="H21" i="21" s="1"/>
  <c r="CY60" i="21"/>
  <c r="CY21" i="21"/>
  <c r="BB60" i="21"/>
  <c r="EF21" i="21"/>
  <c r="EF60" i="21"/>
  <c r="F19" i="58" s="1"/>
  <c r="BF60" i="21"/>
  <c r="DJ60" i="21"/>
  <c r="DJ21" i="21"/>
  <c r="M75" i="47"/>
  <c r="CO60" i="21"/>
  <c r="EH24" i="21"/>
  <c r="EH59" i="21" s="1"/>
  <c r="M20" i="57" s="1"/>
  <c r="EH22" i="21"/>
  <c r="M22" i="57" s="1"/>
  <c r="AS21" i="21"/>
  <c r="AT21" i="21"/>
  <c r="F15" i="8"/>
  <c r="AE60" i="21"/>
  <c r="BK21" i="21"/>
  <c r="CZ60" i="21"/>
  <c r="CZ21" i="21"/>
  <c r="I15" i="8"/>
  <c r="BN21" i="21"/>
  <c r="E64" i="6"/>
  <c r="BH21" i="21"/>
  <c r="AN21" i="21"/>
  <c r="AU21" i="21"/>
  <c r="P75" i="49"/>
  <c r="FH60" i="21"/>
  <c r="J75" i="45"/>
  <c r="CL60" i="21"/>
  <c r="FB60" i="21"/>
  <c r="FB21" i="21"/>
  <c r="P75" i="48"/>
  <c r="BG60" i="21"/>
  <c r="CN60" i="21"/>
  <c r="BI60" i="21"/>
  <c r="BZ21" i="21"/>
  <c r="DX60" i="21"/>
  <c r="DX21" i="21"/>
  <c r="AZ60" i="21"/>
  <c r="DO60" i="21"/>
  <c r="EA60" i="21"/>
  <c r="K19" i="57" s="1"/>
  <c r="EA21" i="21"/>
  <c r="K21" i="57" s="1"/>
  <c r="M75" i="45"/>
  <c r="CS60" i="21"/>
  <c r="M75" i="31"/>
  <c r="M75" i="32"/>
  <c r="J75" i="26"/>
  <c r="AD60" i="21"/>
  <c r="N27" i="20"/>
  <c r="M75" i="49"/>
  <c r="CB15" i="21"/>
  <c r="P75" i="34"/>
  <c r="DV60" i="21"/>
  <c r="DV21" i="21"/>
  <c r="EO24" i="21"/>
  <c r="EO59" i="21" s="1"/>
  <c r="EO22" i="21"/>
  <c r="CC21" i="21"/>
  <c r="CA21" i="21"/>
  <c r="BM60" i="21"/>
  <c r="CT60" i="21"/>
  <c r="DI60" i="21"/>
  <c r="DI21" i="21"/>
  <c r="H15" i="8"/>
  <c r="H15" i="10"/>
  <c r="R21" i="20"/>
  <c r="AW21" i="21"/>
  <c r="FL24" i="21"/>
  <c r="FL59" i="21" s="1"/>
  <c r="FL22" i="21"/>
  <c r="M21" i="21"/>
  <c r="CQ60" i="21"/>
  <c r="P15" i="21"/>
  <c r="J75" i="34"/>
  <c r="J75" i="46"/>
  <c r="J75" i="50"/>
  <c r="BU60" i="21"/>
  <c r="AE21" i="21"/>
  <c r="EE60" i="21"/>
  <c r="H19" i="57" s="1"/>
  <c r="EE21" i="21"/>
  <c r="H21" i="57" s="1"/>
  <c r="DB60" i="21"/>
  <c r="DB21" i="21"/>
  <c r="I21" i="21"/>
  <c r="W48" i="20"/>
  <c r="X48" i="20"/>
  <c r="BR60" i="21"/>
  <c r="BS60" i="21"/>
  <c r="D15" i="10"/>
  <c r="AY21" i="21"/>
  <c r="D15" i="8"/>
  <c r="BA21" i="21"/>
  <c r="G15" i="21"/>
  <c r="J75" i="25"/>
  <c r="W23" i="20"/>
  <c r="CE21" i="21"/>
  <c r="CP21" i="21"/>
  <c r="CK60" i="21"/>
  <c r="AU60" i="21"/>
  <c r="EV60" i="21"/>
  <c r="EV21" i="21"/>
  <c r="P75" i="51"/>
  <c r="CK21" i="21"/>
  <c r="P75" i="32"/>
  <c r="D60" i="21"/>
  <c r="BT60" i="21"/>
  <c r="BG21" i="21"/>
  <c r="DD60" i="21"/>
  <c r="DD21" i="21"/>
  <c r="AJ60" i="21"/>
  <c r="S60" i="21"/>
  <c r="E15" i="21"/>
  <c r="J75" i="23"/>
  <c r="AQ15" i="21"/>
  <c r="M75" i="29"/>
  <c r="ER60" i="21"/>
  <c r="ER21" i="21"/>
  <c r="J75" i="36"/>
  <c r="BS21" i="21"/>
  <c r="AY60" i="21"/>
  <c r="BX60" i="21"/>
  <c r="F21" i="21"/>
  <c r="BF21" i="21"/>
  <c r="V60" i="21"/>
  <c r="DC24" i="21"/>
  <c r="DC59" i="21" s="1"/>
  <c r="DC22" i="21"/>
  <c r="CP60" i="21"/>
  <c r="AB21" i="21"/>
  <c r="BD15" i="21"/>
  <c r="M75" i="42"/>
  <c r="BY15" i="21"/>
  <c r="P75" i="31"/>
  <c r="O21" i="21"/>
  <c r="EX60" i="21"/>
  <c r="EX21" i="21"/>
  <c r="BP24" i="21"/>
  <c r="BP59" i="21" s="1"/>
  <c r="BP22" i="21"/>
  <c r="J75" i="27"/>
  <c r="AS60" i="21"/>
  <c r="M75" i="37"/>
  <c r="M75" i="39"/>
  <c r="DY21" i="21"/>
  <c r="L21" i="57" s="1"/>
  <c r="DY60" i="21"/>
  <c r="N60" i="21"/>
  <c r="L17" i="8"/>
  <c r="BJ21" i="21"/>
  <c r="BJ22" i="21" s="1"/>
  <c r="CT21" i="21"/>
  <c r="P75" i="43"/>
  <c r="EG21" i="21"/>
  <c r="P21" i="57" s="1"/>
  <c r="EG60" i="21"/>
  <c r="P75" i="28"/>
  <c r="J75" i="47"/>
  <c r="DL60" i="21"/>
  <c r="DL21" i="21"/>
  <c r="P75" i="40"/>
  <c r="EW60" i="21"/>
  <c r="L28" i="20"/>
  <c r="EW21" i="21"/>
  <c r="P75" i="25"/>
  <c r="M75" i="34"/>
  <c r="CH21" i="21"/>
  <c r="FC60" i="21"/>
  <c r="FC21" i="21"/>
  <c r="FG60" i="21"/>
  <c r="FG21" i="21"/>
  <c r="AK15" i="21"/>
  <c r="M75" i="23"/>
  <c r="AL21" i="21"/>
  <c r="AG60" i="21"/>
  <c r="Z21" i="21"/>
  <c r="S21" i="21"/>
  <c r="AW60" i="21"/>
  <c r="R27" i="20"/>
  <c r="DU21" i="21"/>
  <c r="DU60" i="21"/>
  <c r="BK60" i="21"/>
  <c r="AG21" i="21"/>
  <c r="ED24" i="21"/>
  <c r="ED59" i="21" s="1"/>
  <c r="H21" i="58"/>
  <c r="ED22" i="21"/>
  <c r="J22" i="57" s="1"/>
  <c r="BN60" i="21"/>
  <c r="L60" i="21"/>
  <c r="BW15" i="21"/>
  <c r="P75" i="29"/>
  <c r="DA60" i="21"/>
  <c r="DA21" i="21"/>
  <c r="EZ60" i="21"/>
  <c r="EZ21" i="21"/>
  <c r="DH60" i="21"/>
  <c r="DH21" i="21"/>
  <c r="EL60" i="21"/>
  <c r="J60" i="21"/>
  <c r="AR21" i="21"/>
  <c r="CA60" i="21"/>
  <c r="K64" i="6"/>
  <c r="L17" i="10"/>
  <c r="AO21" i="21"/>
  <c r="CF60" i="21"/>
  <c r="AT60" i="21"/>
  <c r="J75" i="30"/>
  <c r="P75" i="41"/>
  <c r="DZ60" i="21"/>
  <c r="DZ21" i="21"/>
  <c r="BB21" i="21"/>
  <c r="AH60" i="21"/>
  <c r="BU21" i="21"/>
  <c r="Q21" i="21"/>
  <c r="DE24" i="21"/>
  <c r="DE59" i="21" s="1"/>
  <c r="DE22" i="21"/>
  <c r="M75" i="24"/>
  <c r="AV60" i="21"/>
  <c r="AA60" i="21"/>
  <c r="BX21" i="21"/>
  <c r="FE24" i="21"/>
  <c r="FE59" i="21" s="1"/>
  <c r="FE22" i="21"/>
  <c r="EC60" i="21"/>
  <c r="EC21" i="21"/>
  <c r="M75" i="35"/>
  <c r="FA24" i="21"/>
  <c r="FA59" i="21" s="1"/>
  <c r="FA22" i="21"/>
  <c r="E63" i="6"/>
  <c r="V21" i="21"/>
  <c r="I60" i="21"/>
  <c r="EJ60" i="21"/>
  <c r="EJ21" i="21"/>
  <c r="O21" i="57" s="1"/>
  <c r="BQ15" i="21"/>
  <c r="P75" i="23"/>
  <c r="BR21" i="21"/>
  <c r="AJ24" i="21"/>
  <c r="AJ59" i="21" s="1"/>
  <c r="AJ22" i="21"/>
  <c r="H14" i="6" s="1"/>
  <c r="CF21" i="21"/>
  <c r="AM60" i="21"/>
  <c r="M75" i="41"/>
  <c r="EB24" i="21"/>
  <c r="EB59" i="21" s="1"/>
  <c r="EB22" i="21"/>
  <c r="AD21" i="21"/>
  <c r="N21" i="20"/>
  <c r="CJ15" i="21"/>
  <c r="P75" i="42"/>
  <c r="CL21" i="21"/>
  <c r="DN60" i="21"/>
  <c r="Y21" i="21"/>
  <c r="Q60" i="21"/>
  <c r="DG24" i="21"/>
  <c r="DG59" i="21" s="1"/>
  <c r="DG22" i="21"/>
  <c r="FD60" i="21"/>
  <c r="FD21" i="21"/>
  <c r="T28" i="20"/>
  <c r="BP60" i="21"/>
  <c r="M75" i="27"/>
  <c r="EI60" i="21"/>
  <c r="EI21" i="21"/>
  <c r="N21" i="57" s="1"/>
  <c r="L21" i="21"/>
  <c r="P75" i="30"/>
  <c r="BM21" i="21"/>
  <c r="M75" i="40"/>
  <c r="P28" i="20"/>
  <c r="EM60" i="21"/>
  <c r="P75" i="27"/>
  <c r="BT21" i="21"/>
  <c r="J75" i="35"/>
  <c r="EK60" i="21"/>
  <c r="Q19" i="57" s="1"/>
  <c r="ET60" i="21"/>
  <c r="ET21" i="21"/>
  <c r="H64" i="6" l="1"/>
  <c r="M64" i="6" s="1"/>
  <c r="AK21" i="21"/>
  <c r="AK22" i="21" s="1"/>
  <c r="J27" i="20"/>
  <c r="FM25" i="21"/>
  <c r="DS25" i="21"/>
  <c r="K21" i="58"/>
  <c r="J21" i="58"/>
  <c r="I21" i="58"/>
  <c r="J19" i="58"/>
  <c r="K19" i="58"/>
  <c r="I19" i="58"/>
  <c r="FF24" i="21"/>
  <c r="FF59" i="21" s="1"/>
  <c r="DK22" i="21"/>
  <c r="E57" i="6" s="1"/>
  <c r="D19" i="58"/>
  <c r="AA22" i="21"/>
  <c r="I18" i="8"/>
  <c r="F18" i="8"/>
  <c r="G18" i="8"/>
  <c r="G19" i="8"/>
  <c r="E19" i="58"/>
  <c r="P19" i="57"/>
  <c r="D19" i="57"/>
  <c r="F19" i="57"/>
  <c r="R19" i="57"/>
  <c r="G19" i="57"/>
  <c r="N19" i="57"/>
  <c r="E19" i="57"/>
  <c r="L19" i="57"/>
  <c r="J20" i="57"/>
  <c r="G19" i="58"/>
  <c r="O19" i="57"/>
  <c r="H19" i="58"/>
  <c r="J19" i="57"/>
  <c r="I19" i="57"/>
  <c r="CS24" i="21"/>
  <c r="CS59" i="21" s="1"/>
  <c r="X21" i="20"/>
  <c r="G20" i="8"/>
  <c r="L15" i="8"/>
  <c r="G21" i="58"/>
  <c r="EJ24" i="21"/>
  <c r="EJ59" i="21" s="1"/>
  <c r="EJ22" i="21"/>
  <c r="O22" i="57" s="1"/>
  <c r="BU24" i="21"/>
  <c r="BU59" i="21" s="1"/>
  <c r="BU22" i="21"/>
  <c r="DA24" i="21"/>
  <c r="DA59" i="21" s="1"/>
  <c r="DA22" i="21"/>
  <c r="S24" i="21"/>
  <c r="S59" i="21" s="1"/>
  <c r="S22" i="21"/>
  <c r="CT24" i="21"/>
  <c r="CT59" i="21" s="1"/>
  <c r="CT22" i="21"/>
  <c r="EX24" i="21"/>
  <c r="EX59" i="21" s="1"/>
  <c r="EX22" i="21"/>
  <c r="BY60" i="21"/>
  <c r="BY21" i="21"/>
  <c r="BS24" i="21"/>
  <c r="BS59" i="21" s="1"/>
  <c r="BS22" i="21"/>
  <c r="EV24" i="21"/>
  <c r="EV59" i="21" s="1"/>
  <c r="EV22" i="21"/>
  <c r="R30" i="20"/>
  <c r="AW24" i="21"/>
  <c r="H20" i="10" s="1"/>
  <c r="AW22" i="21"/>
  <c r="K29" i="6"/>
  <c r="H60" i="21"/>
  <c r="ES24" i="21"/>
  <c r="ES59" i="21" s="1"/>
  <c r="ES22" i="21"/>
  <c r="E20" i="6"/>
  <c r="CL24" i="21"/>
  <c r="CL59" i="21" s="1"/>
  <c r="CL22" i="21"/>
  <c r="AZ24" i="21"/>
  <c r="AZ59" i="21" s="1"/>
  <c r="Q24" i="21"/>
  <c r="Q59" i="21" s="1"/>
  <c r="Q22" i="21"/>
  <c r="E27" i="6" s="1"/>
  <c r="F21" i="57"/>
  <c r="P30" i="20"/>
  <c r="N30" i="20"/>
  <c r="AD24" i="21"/>
  <c r="AD22" i="21"/>
  <c r="E52" i="6"/>
  <c r="H22" i="58"/>
  <c r="Z24" i="21"/>
  <c r="Z59" i="21" s="1"/>
  <c r="Z22" i="21"/>
  <c r="AL24" i="21"/>
  <c r="AL59" i="21" s="1"/>
  <c r="AL22" i="21"/>
  <c r="F24" i="21"/>
  <c r="F59" i="21" s="1"/>
  <c r="F22" i="21"/>
  <c r="BA24" i="21"/>
  <c r="BA59" i="21" s="1"/>
  <c r="BA22" i="21"/>
  <c r="CB60" i="21"/>
  <c r="CB21" i="21"/>
  <c r="AN24" i="21"/>
  <c r="AN59" i="21" s="1"/>
  <c r="AN22" i="21"/>
  <c r="AS24" i="21"/>
  <c r="AS59" i="21" s="1"/>
  <c r="AS22" i="21"/>
  <c r="DJ24" i="21"/>
  <c r="DJ59" i="21" s="1"/>
  <c r="DJ22" i="21"/>
  <c r="N24" i="21"/>
  <c r="N59" i="21" s="1"/>
  <c r="N22" i="21"/>
  <c r="AH24" i="21"/>
  <c r="AH59" i="21" s="1"/>
  <c r="AH22" i="21"/>
  <c r="CF24" i="21"/>
  <c r="CF59" i="21" s="1"/>
  <c r="CF22" i="21"/>
  <c r="E54" i="6"/>
  <c r="K54" i="6"/>
  <c r="K57" i="6"/>
  <c r="AC24" i="21"/>
  <c r="AC59" i="21" s="1"/>
  <c r="AC22" i="21"/>
  <c r="DH24" i="21"/>
  <c r="DH59" i="21" s="1"/>
  <c r="DH22" i="21"/>
  <c r="H54" i="6"/>
  <c r="M54" i="6" s="1"/>
  <c r="BJ24" i="21"/>
  <c r="BJ59" i="21" s="1"/>
  <c r="E21" i="57"/>
  <c r="DY24" i="21"/>
  <c r="DY59" i="21" s="1"/>
  <c r="DY22" i="21"/>
  <c r="L22" i="57" s="1"/>
  <c r="E50" i="6"/>
  <c r="ER24" i="21"/>
  <c r="ER59" i="21" s="1"/>
  <c r="ER22" i="21"/>
  <c r="E60" i="21"/>
  <c r="E21" i="21"/>
  <c r="CE24" i="21"/>
  <c r="CE59" i="21" s="1"/>
  <c r="CE22" i="21"/>
  <c r="EE24" i="21"/>
  <c r="EE59" i="21" s="1"/>
  <c r="H20" i="57" s="1"/>
  <c r="EE22" i="21"/>
  <c r="H22" i="57" s="1"/>
  <c r="M24" i="21"/>
  <c r="M59" i="21" s="1"/>
  <c r="M22" i="21"/>
  <c r="BZ24" i="21"/>
  <c r="BZ59" i="21" s="1"/>
  <c r="BZ22" i="21"/>
  <c r="CZ24" i="21"/>
  <c r="CZ59" i="21" s="1"/>
  <c r="CZ22" i="21"/>
  <c r="H24" i="21"/>
  <c r="H59" i="21" s="1"/>
  <c r="H22" i="21"/>
  <c r="K52" i="6"/>
  <c r="BV24" i="21"/>
  <c r="BV59" i="21" s="1"/>
  <c r="BV22" i="21"/>
  <c r="DF24" i="21"/>
  <c r="DF59" i="21" s="1"/>
  <c r="DF22" i="21"/>
  <c r="X60" i="21"/>
  <c r="X21" i="21"/>
  <c r="L24" i="21"/>
  <c r="L59" i="21" s="1"/>
  <c r="L22" i="21"/>
  <c r="H52" i="6"/>
  <c r="M52" i="6" s="1"/>
  <c r="BR24" i="21"/>
  <c r="BR59" i="21" s="1"/>
  <c r="BR22" i="21"/>
  <c r="AO24" i="21"/>
  <c r="AO59" i="21" s="1"/>
  <c r="AO22" i="21"/>
  <c r="BD60" i="21"/>
  <c r="F18" i="10" s="1"/>
  <c r="BD21" i="21"/>
  <c r="BG24" i="21"/>
  <c r="BG59" i="21" s="1"/>
  <c r="BG22" i="21"/>
  <c r="AY24" i="21"/>
  <c r="AY59" i="21" s="1"/>
  <c r="AY22" i="21"/>
  <c r="EO25" i="21"/>
  <c r="H63" i="6"/>
  <c r="M63" i="6" s="1"/>
  <c r="T24" i="21"/>
  <c r="T59" i="21" s="1"/>
  <c r="T22" i="21"/>
  <c r="H57" i="6"/>
  <c r="M57" i="6" s="1"/>
  <c r="CO24" i="21"/>
  <c r="CO59" i="21" s="1"/>
  <c r="CO22" i="21"/>
  <c r="CQ24" i="21"/>
  <c r="CQ59" i="21" s="1"/>
  <c r="CQ22" i="21"/>
  <c r="AP60" i="21"/>
  <c r="G18" i="10" s="1"/>
  <c r="AP21" i="21"/>
  <c r="L30" i="20" s="1"/>
  <c r="DM24" i="21"/>
  <c r="DM59" i="21" s="1"/>
  <c r="DM22" i="21"/>
  <c r="K58" i="6"/>
  <c r="AR24" i="21"/>
  <c r="AR59" i="21" s="1"/>
  <c r="AR22" i="21"/>
  <c r="AK60" i="21"/>
  <c r="FC24" i="21"/>
  <c r="FC59" i="21" s="1"/>
  <c r="FC22" i="21"/>
  <c r="EW22" i="21"/>
  <c r="EW24" i="21"/>
  <c r="O24" i="21"/>
  <c r="O59" i="21" s="1"/>
  <c r="O22" i="21"/>
  <c r="AB24" i="21"/>
  <c r="AB59" i="21" s="1"/>
  <c r="AB22" i="21"/>
  <c r="D18" i="10"/>
  <c r="D18" i="8"/>
  <c r="CA24" i="21"/>
  <c r="CA59" i="21" s="1"/>
  <c r="CA22" i="21"/>
  <c r="AU24" i="21"/>
  <c r="AU59" i="21" s="1"/>
  <c r="AU22" i="21"/>
  <c r="CY24" i="21"/>
  <c r="CY59" i="21" s="1"/>
  <c r="CY22" i="21"/>
  <c r="K24" i="21"/>
  <c r="K59" i="21" s="1"/>
  <c r="K22" i="21"/>
  <c r="DW24" i="21"/>
  <c r="DW59" i="21" s="1"/>
  <c r="DW22" i="21"/>
  <c r="D21" i="58"/>
  <c r="CN24" i="21"/>
  <c r="CN59" i="21" s="1"/>
  <c r="CN22" i="21"/>
  <c r="BI24" i="21"/>
  <c r="BI59" i="21" s="1"/>
  <c r="BI22" i="21"/>
  <c r="BE60" i="21"/>
  <c r="V27" i="20"/>
  <c r="BE21" i="21"/>
  <c r="X28" i="20"/>
  <c r="K14" i="6"/>
  <c r="CK24" i="21"/>
  <c r="CK59" i="21" s="1"/>
  <c r="CK22" i="21"/>
  <c r="L15" i="10"/>
  <c r="I24" i="21"/>
  <c r="I59" i="21" s="1"/>
  <c r="I22" i="21"/>
  <c r="AE24" i="21"/>
  <c r="AE59" i="21" s="1"/>
  <c r="AE22" i="21"/>
  <c r="DI24" i="21"/>
  <c r="DI59" i="21" s="1"/>
  <c r="DI22" i="21"/>
  <c r="DV24" i="21"/>
  <c r="DV59" i="21" s="1"/>
  <c r="DV22" i="21"/>
  <c r="BK24" i="21"/>
  <c r="BK59" i="21" s="1"/>
  <c r="BK22" i="21"/>
  <c r="CM24" i="21"/>
  <c r="CM59" i="21" s="1"/>
  <c r="CM22" i="21"/>
  <c r="H17" i="6"/>
  <c r="M17" i="6" s="1"/>
  <c r="H26" i="6"/>
  <c r="M26" i="6" s="1"/>
  <c r="G21" i="8"/>
  <c r="M14" i="6"/>
  <c r="BQ60" i="21"/>
  <c r="BQ21" i="21"/>
  <c r="EG24" i="21"/>
  <c r="EG59" i="21" s="1"/>
  <c r="E21" i="58"/>
  <c r="EG22" i="21"/>
  <c r="P22" i="57" s="1"/>
  <c r="K63" i="6"/>
  <c r="FL25" i="21"/>
  <c r="CC24" i="21"/>
  <c r="CC59" i="21" s="1"/>
  <c r="CC22" i="21"/>
  <c r="BN24" i="21"/>
  <c r="BN59" i="21" s="1"/>
  <c r="BN22" i="21"/>
  <c r="AT24" i="21"/>
  <c r="AT59" i="21" s="1"/>
  <c r="AT22" i="21"/>
  <c r="T60" i="21"/>
  <c r="CG24" i="21"/>
  <c r="CG59" i="21" s="1"/>
  <c r="CG22" i="21"/>
  <c r="BB24" i="21"/>
  <c r="BB59" i="21" s="1"/>
  <c r="BB22" i="21"/>
  <c r="BT24" i="21"/>
  <c r="BT59" i="21" s="1"/>
  <c r="BT22" i="21"/>
  <c r="G21" i="57"/>
  <c r="EI24" i="21"/>
  <c r="EI59" i="21" s="1"/>
  <c r="EI22" i="21"/>
  <c r="N22" i="57" s="1"/>
  <c r="V24" i="21"/>
  <c r="V59" i="21" s="1"/>
  <c r="V22" i="21"/>
  <c r="EZ24" i="21"/>
  <c r="EZ59" i="21" s="1"/>
  <c r="EZ22" i="21"/>
  <c r="BW60" i="21"/>
  <c r="BW21" i="21"/>
  <c r="H18" i="10"/>
  <c r="H18" i="8"/>
  <c r="FG24" i="21"/>
  <c r="FG59" i="21" s="1"/>
  <c r="FG22" i="21"/>
  <c r="ET24" i="21"/>
  <c r="ET59" i="21" s="1"/>
  <c r="ET22" i="21"/>
  <c r="BM24" i="21"/>
  <c r="BM59" i="21" s="1"/>
  <c r="BM22" i="21"/>
  <c r="FD22" i="21"/>
  <c r="T30" i="20"/>
  <c r="FD24" i="21"/>
  <c r="Y24" i="21"/>
  <c r="Y59" i="21" s="1"/>
  <c r="Y22" i="21"/>
  <c r="CJ60" i="21"/>
  <c r="CJ21" i="21"/>
  <c r="EC24" i="21"/>
  <c r="EC59" i="21" s="1"/>
  <c r="I21" i="57"/>
  <c r="EC22" i="21"/>
  <c r="BX24" i="21"/>
  <c r="BX59" i="21" s="1"/>
  <c r="BX22" i="21"/>
  <c r="DZ24" i="21"/>
  <c r="DZ59" i="21" s="1"/>
  <c r="DZ22" i="21"/>
  <c r="AG24" i="21"/>
  <c r="AG59" i="21" s="1"/>
  <c r="AG22" i="21"/>
  <c r="DU24" i="21"/>
  <c r="DU59" i="21" s="1"/>
  <c r="D21" i="57"/>
  <c r="DU22" i="21"/>
  <c r="CH24" i="21"/>
  <c r="CH59" i="21" s="1"/>
  <c r="CH22" i="21"/>
  <c r="DL24" i="21"/>
  <c r="DL59" i="21" s="1"/>
  <c r="DL22" i="21"/>
  <c r="BF24" i="21"/>
  <c r="BF59" i="21" s="1"/>
  <c r="BF22" i="21"/>
  <c r="AQ60" i="21"/>
  <c r="AQ21" i="21"/>
  <c r="DD24" i="21"/>
  <c r="DD59" i="21" s="1"/>
  <c r="DD22" i="21"/>
  <c r="CP24" i="21"/>
  <c r="CP59" i="21" s="1"/>
  <c r="CP22" i="21"/>
  <c r="G60" i="21"/>
  <c r="G21" i="21"/>
  <c r="DB24" i="21"/>
  <c r="DB59" i="21" s="1"/>
  <c r="DB22" i="21"/>
  <c r="P60" i="21"/>
  <c r="P21" i="21"/>
  <c r="EA24" i="21"/>
  <c r="EA59" i="21" s="1"/>
  <c r="K20" i="57" s="1"/>
  <c r="EA22" i="21"/>
  <c r="K22" i="57" s="1"/>
  <c r="DX24" i="21"/>
  <c r="DX59" i="21" s="1"/>
  <c r="DX22" i="21"/>
  <c r="FB22" i="21"/>
  <c r="FB24" i="21"/>
  <c r="FB59" i="21" s="1"/>
  <c r="BH24" i="21"/>
  <c r="BH59" i="21" s="1"/>
  <c r="BH22" i="21"/>
  <c r="F21" i="58"/>
  <c r="EF24" i="21"/>
  <c r="EF59" i="21" s="1"/>
  <c r="F20" i="58" s="1"/>
  <c r="EF22" i="21"/>
  <c r="U24" i="21"/>
  <c r="U59" i="21" s="1"/>
  <c r="U22" i="21"/>
  <c r="EU24" i="21"/>
  <c r="EU59" i="21" s="1"/>
  <c r="EU22" i="21"/>
  <c r="CX24" i="21"/>
  <c r="CX59" i="21" s="1"/>
  <c r="CX22" i="21"/>
  <c r="J22" i="58" l="1"/>
  <c r="K22" i="58"/>
  <c r="I22" i="58"/>
  <c r="E37" i="6"/>
  <c r="K20" i="58"/>
  <c r="J20" i="58"/>
  <c r="I20" i="58"/>
  <c r="H20" i="58"/>
  <c r="I19" i="8"/>
  <c r="F19" i="8"/>
  <c r="D20" i="58"/>
  <c r="E20" i="58"/>
  <c r="P20" i="57"/>
  <c r="N19" i="58"/>
  <c r="G20" i="58"/>
  <c r="O20" i="57"/>
  <c r="U19" i="57"/>
  <c r="D20" i="57"/>
  <c r="E20" i="57"/>
  <c r="L20" i="57"/>
  <c r="G20" i="57"/>
  <c r="N20" i="57"/>
  <c r="I20" i="57"/>
  <c r="H20" i="8"/>
  <c r="D20" i="10"/>
  <c r="I20" i="8"/>
  <c r="D20" i="8"/>
  <c r="U21" i="57"/>
  <c r="K48" i="6"/>
  <c r="K40" i="6"/>
  <c r="E41" i="6"/>
  <c r="E21" i="6"/>
  <c r="H25" i="6"/>
  <c r="M25" i="6" s="1"/>
  <c r="EW59" i="21"/>
  <c r="E18" i="8"/>
  <c r="L18" i="8" s="1"/>
  <c r="E18" i="10"/>
  <c r="L18" i="10" s="1"/>
  <c r="E59" i="6"/>
  <c r="E30" i="6"/>
  <c r="D21" i="8"/>
  <c r="D21" i="10"/>
  <c r="H29" i="6"/>
  <c r="M29" i="6" s="1"/>
  <c r="BD24" i="21"/>
  <c r="BD59" i="21" s="1"/>
  <c r="F19" i="10" s="1"/>
  <c r="BD22" i="21"/>
  <c r="E22" i="57"/>
  <c r="H49" i="6"/>
  <c r="M49" i="6" s="1"/>
  <c r="E39" i="6"/>
  <c r="CB24" i="21"/>
  <c r="CB59" i="21" s="1"/>
  <c r="CB22" i="21"/>
  <c r="M35" i="20"/>
  <c r="M74" i="20" s="1"/>
  <c r="AD59" i="21"/>
  <c r="O123" i="20"/>
  <c r="O32" i="20"/>
  <c r="G22" i="58"/>
  <c r="H59" i="6"/>
  <c r="M59" i="6" s="1"/>
  <c r="I22" i="57"/>
  <c r="H53" i="6"/>
  <c r="M53" i="6" s="1"/>
  <c r="K56" i="6"/>
  <c r="K59" i="6"/>
  <c r="K53" i="6"/>
  <c r="F21" i="8"/>
  <c r="H24" i="6"/>
  <c r="M24" i="6" s="1"/>
  <c r="K27" i="6"/>
  <c r="K37" i="6"/>
  <c r="N21" i="58"/>
  <c r="E38" i="6"/>
  <c r="K45" i="6"/>
  <c r="H23" i="6"/>
  <c r="M23" i="6" s="1"/>
  <c r="H23" i="58"/>
  <c r="M123" i="20"/>
  <c r="M32" i="20"/>
  <c r="H30" i="6"/>
  <c r="M30" i="6" s="1"/>
  <c r="H21" i="10"/>
  <c r="H21" i="8"/>
  <c r="H27" i="6"/>
  <c r="M27" i="6" s="1"/>
  <c r="K51" i="6"/>
  <c r="E48" i="6"/>
  <c r="E31" i="6"/>
  <c r="D22" i="58"/>
  <c r="H47" i="6"/>
  <c r="M47" i="6" s="1"/>
  <c r="K50" i="6"/>
  <c r="K39" i="6"/>
  <c r="H19" i="6"/>
  <c r="M19" i="6" s="1"/>
  <c r="K20" i="6"/>
  <c r="E43" i="6"/>
  <c r="K17" i="6"/>
  <c r="S123" i="20"/>
  <c r="S32" i="20"/>
  <c r="H32" i="6"/>
  <c r="M32" i="6" s="1"/>
  <c r="E22" i="58"/>
  <c r="H56" i="6"/>
  <c r="M56" i="6" s="1"/>
  <c r="E49" i="6"/>
  <c r="D22" i="57"/>
  <c r="H45" i="6"/>
  <c r="M45" i="6" s="1"/>
  <c r="CJ24" i="21"/>
  <c r="CJ59" i="21" s="1"/>
  <c r="CJ22" i="21"/>
  <c r="G22" i="57"/>
  <c r="H58" i="6"/>
  <c r="M58" i="6" s="1"/>
  <c r="F22" i="58"/>
  <c r="H55" i="6"/>
  <c r="M55" i="6" s="1"/>
  <c r="H51" i="6"/>
  <c r="M51" i="6" s="1"/>
  <c r="E51" i="6"/>
  <c r="K31" i="6"/>
  <c r="BQ24" i="21"/>
  <c r="BQ59" i="21" s="1"/>
  <c r="BQ22" i="21"/>
  <c r="E45" i="6"/>
  <c r="E58" i="6"/>
  <c r="H50" i="6"/>
  <c r="M50" i="6" s="1"/>
  <c r="F20" i="8"/>
  <c r="H46" i="6"/>
  <c r="M46" i="6" s="1"/>
  <c r="E19" i="6"/>
  <c r="H39" i="6"/>
  <c r="M39" i="6" s="1"/>
  <c r="E46" i="6"/>
  <c r="K25" i="6"/>
  <c r="K55" i="6"/>
  <c r="H22" i="6"/>
  <c r="M22" i="6" s="1"/>
  <c r="AP24" i="21"/>
  <c r="AP59" i="21" s="1"/>
  <c r="G19" i="10" s="1"/>
  <c r="AP22" i="21"/>
  <c r="E18" i="6"/>
  <c r="K24" i="6"/>
  <c r="K28" i="6"/>
  <c r="H31" i="6"/>
  <c r="M31" i="6" s="1"/>
  <c r="H16" i="6"/>
  <c r="M16" i="6" s="1"/>
  <c r="Q35" i="20"/>
  <c r="Q74" i="20" s="1"/>
  <c r="AW59" i="21"/>
  <c r="K43" i="6"/>
  <c r="G24" i="21"/>
  <c r="G59" i="21" s="1"/>
  <c r="G22" i="21"/>
  <c r="E35" i="6"/>
  <c r="H41" i="6"/>
  <c r="M41" i="6" s="1"/>
  <c r="E25" i="6"/>
  <c r="D19" i="10"/>
  <c r="D19" i="8"/>
  <c r="X24" i="21"/>
  <c r="X59" i="21" s="1"/>
  <c r="X22" i="21"/>
  <c r="H40" i="6"/>
  <c r="M40" i="6" s="1"/>
  <c r="H18" i="6"/>
  <c r="M18" i="6" s="1"/>
  <c r="K36" i="6"/>
  <c r="Q123" i="20"/>
  <c r="Q32" i="20"/>
  <c r="E29" i="6"/>
  <c r="K19" i="6"/>
  <c r="H48" i="6"/>
  <c r="M48" i="6" s="1"/>
  <c r="H36" i="6"/>
  <c r="M36" i="6" s="1"/>
  <c r="AQ24" i="21"/>
  <c r="AQ59" i="21" s="1"/>
  <c r="AQ22" i="21"/>
  <c r="K18" i="6"/>
  <c r="I21" i="8"/>
  <c r="H43" i="6"/>
  <c r="M43" i="6" s="1"/>
  <c r="E55" i="6"/>
  <c r="E33" i="6"/>
  <c r="H37" i="6"/>
  <c r="M37" i="6" s="1"/>
  <c r="E22" i="6"/>
  <c r="E23" i="6"/>
  <c r="K30" i="6"/>
  <c r="E24" i="6"/>
  <c r="K46" i="6"/>
  <c r="BY24" i="21"/>
  <c r="BY59" i="21" s="1"/>
  <c r="BY22" i="21"/>
  <c r="K47" i="6"/>
  <c r="H38" i="6"/>
  <c r="M38" i="6" s="1"/>
  <c r="P24" i="21"/>
  <c r="P59" i="21" s="1"/>
  <c r="P22" i="21"/>
  <c r="K32" i="6"/>
  <c r="K22" i="6"/>
  <c r="BW24" i="21"/>
  <c r="BW59" i="21" s="1"/>
  <c r="BW22" i="21"/>
  <c r="E32" i="6"/>
  <c r="K38" i="6"/>
  <c r="J30" i="20"/>
  <c r="AK24" i="21"/>
  <c r="K16" i="6"/>
  <c r="E24" i="21"/>
  <c r="E59" i="21" s="1"/>
  <c r="E22" i="21"/>
  <c r="E56" i="6"/>
  <c r="E36" i="6"/>
  <c r="O35" i="20"/>
  <c r="O74" i="20" s="1"/>
  <c r="K33" i="6"/>
  <c r="S35" i="20"/>
  <c r="S74" i="20" s="1"/>
  <c r="FD59" i="21"/>
  <c r="K35" i="6"/>
  <c r="V30" i="20"/>
  <c r="BE24" i="21"/>
  <c r="BE22" i="21"/>
  <c r="K123" i="20"/>
  <c r="K32" i="20"/>
  <c r="X27" i="20"/>
  <c r="K41" i="6"/>
  <c r="E53" i="6"/>
  <c r="E47" i="6"/>
  <c r="E16" i="6"/>
  <c r="E40" i="6"/>
  <c r="F22" i="57"/>
  <c r="E28" i="6"/>
  <c r="K49" i="6"/>
  <c r="K23" i="58" l="1"/>
  <c r="J23" i="58"/>
  <c r="I23" i="58"/>
  <c r="K35" i="20"/>
  <c r="K74" i="20" s="1"/>
  <c r="N20" i="58"/>
  <c r="F20" i="57"/>
  <c r="U20" i="57" s="1"/>
  <c r="G20" i="10"/>
  <c r="E15" i="6"/>
  <c r="K34" i="6"/>
  <c r="L22" i="58"/>
  <c r="N22" i="58"/>
  <c r="E21" i="10"/>
  <c r="E21" i="8"/>
  <c r="J21" i="8" s="1"/>
  <c r="H15" i="6"/>
  <c r="M15" i="6" s="1"/>
  <c r="H21" i="6"/>
  <c r="M21" i="6" s="1"/>
  <c r="K26" i="6"/>
  <c r="F20" i="10"/>
  <c r="I35" i="20"/>
  <c r="AK59" i="21"/>
  <c r="K21" i="6"/>
  <c r="L86" i="20"/>
  <c r="L33" i="20"/>
  <c r="K124" i="20"/>
  <c r="S145" i="20" s="1"/>
  <c r="R86" i="20"/>
  <c r="R33" i="20"/>
  <c r="Q124" i="20"/>
  <c r="V145" i="20" s="1"/>
  <c r="U35" i="20"/>
  <c r="U74" i="20" s="1"/>
  <c r="BE59" i="21"/>
  <c r="U123" i="20"/>
  <c r="U32" i="20"/>
  <c r="I123" i="20"/>
  <c r="X30" i="20"/>
  <c r="I32" i="20"/>
  <c r="K23" i="6"/>
  <c r="K15" i="6"/>
  <c r="P86" i="20"/>
  <c r="P33" i="20"/>
  <c r="O124" i="20"/>
  <c r="U145" i="20" s="1"/>
  <c r="H35" i="6"/>
  <c r="M35" i="6" s="1"/>
  <c r="E20" i="10"/>
  <c r="E26" i="6"/>
  <c r="G21" i="10"/>
  <c r="H20" i="6"/>
  <c r="M20" i="6" s="1"/>
  <c r="T86" i="20"/>
  <c r="T33" i="20"/>
  <c r="S124" i="20"/>
  <c r="W145" i="20" s="1"/>
  <c r="E34" i="6"/>
  <c r="H33" i="6"/>
  <c r="M33" i="6" s="1"/>
  <c r="U22" i="57"/>
  <c r="N86" i="20"/>
  <c r="N33" i="20"/>
  <c r="M124" i="20"/>
  <c r="T145" i="20" s="1"/>
  <c r="F21" i="10"/>
  <c r="H34" i="6"/>
  <c r="M34" i="6" s="1"/>
  <c r="E20" i="8"/>
  <c r="L20" i="8" s="1"/>
  <c r="E17" i="6"/>
  <c r="H19" i="8"/>
  <c r="H19" i="10"/>
  <c r="L20" i="10" l="1"/>
  <c r="L21" i="8"/>
  <c r="L21" i="10"/>
  <c r="J21" i="10"/>
  <c r="X32" i="20"/>
  <c r="J86" i="20"/>
  <c r="J33" i="20"/>
  <c r="I124" i="20"/>
  <c r="R145" i="20" s="1"/>
  <c r="W32" i="20"/>
  <c r="V33" i="20"/>
  <c r="V86" i="20"/>
  <c r="U124" i="20"/>
  <c r="X145" i="20" s="1"/>
  <c r="E19" i="10"/>
  <c r="L19" i="10" s="1"/>
  <c r="E19" i="8"/>
  <c r="L19" i="8" s="1"/>
  <c r="X35" i="20"/>
  <c r="W35" i="20"/>
  <c r="W74" i="20" s="1"/>
  <c r="I74" i="20"/>
  <c r="L84" i="20"/>
  <c r="L83" i="20"/>
  <c r="L88" i="20"/>
  <c r="L87" i="20"/>
  <c r="L85" i="20"/>
  <c r="L89" i="20"/>
  <c r="P88" i="20"/>
  <c r="P83" i="20"/>
  <c r="P84" i="20"/>
  <c r="P85" i="20"/>
  <c r="P89" i="20"/>
  <c r="P87" i="20"/>
  <c r="R84" i="20"/>
  <c r="R87" i="20"/>
  <c r="R83" i="20"/>
  <c r="R88" i="20"/>
  <c r="R89" i="20"/>
  <c r="R85" i="20"/>
  <c r="N85" i="20"/>
  <c r="N83" i="20"/>
  <c r="N89" i="20"/>
  <c r="N88" i="20"/>
  <c r="N87" i="20"/>
  <c r="N84" i="20"/>
  <c r="T85" i="20"/>
  <c r="T87" i="20"/>
  <c r="T84" i="20"/>
  <c r="T88" i="20"/>
  <c r="T83" i="20"/>
  <c r="T89" i="20"/>
  <c r="J85" i="20" l="1"/>
  <c r="J83" i="20"/>
  <c r="J87" i="20"/>
  <c r="J84" i="20"/>
  <c r="J89" i="20"/>
  <c r="J88" i="20"/>
  <c r="V87" i="20"/>
  <c r="V83" i="20"/>
  <c r="V85" i="20"/>
  <c r="V88" i="20"/>
  <c r="V84" i="20"/>
  <c r="V89" i="20"/>
  <c r="W124" i="20"/>
  <c r="X86" i="20"/>
  <c r="X33" i="20"/>
  <c r="W33" i="20"/>
  <c r="X89" i="20" l="1"/>
  <c r="X88" i="20"/>
  <c r="X83" i="20"/>
  <c r="X87" i="20"/>
  <c r="X84" i="20"/>
  <c r="X85" i="20"/>
  <c r="D16" i="96" l="1"/>
  <c r="P89" i="96" l="1"/>
  <c r="P74" i="96"/>
  <c r="P44" i="96"/>
  <c r="AN33" i="21"/>
  <c r="CM33" i="21"/>
  <c r="CJ33" i="21"/>
  <c r="I33" i="21"/>
  <c r="AQ33" i="21"/>
  <c r="AD33" i="21"/>
  <c r="D33" i="21"/>
  <c r="BA33" i="21"/>
  <c r="BU33" i="21"/>
  <c r="H33" i="21"/>
  <c r="V33" i="21"/>
  <c r="K33" i="21"/>
  <c r="CH33" i="21"/>
  <c r="CQ33" i="21"/>
  <c r="AS33" i="21"/>
  <c r="AM33" i="21"/>
  <c r="CE33" i="21"/>
  <c r="BT33" i="21"/>
  <c r="AE33" i="21"/>
  <c r="BF33" i="21"/>
  <c r="X33" i="21"/>
  <c r="BX33" i="21"/>
  <c r="Y33" i="21"/>
  <c r="AB33" i="21"/>
  <c r="BE33" i="21"/>
  <c r="CP33" i="21"/>
  <c r="Q33" i="21"/>
  <c r="U33" i="21"/>
  <c r="BY33" i="21"/>
  <c r="F33" i="21"/>
  <c r="BH33" i="21"/>
  <c r="CR33" i="21"/>
  <c r="AK33" i="21"/>
  <c r="BQ33" i="21"/>
  <c r="O33" i="21"/>
  <c r="T33" i="21"/>
  <c r="BP33" i="21"/>
  <c r="CS33" i="21"/>
  <c r="CN33" i="21"/>
  <c r="M33" i="21"/>
  <c r="J33" i="21"/>
  <c r="S33" i="21"/>
  <c r="AW33" i="21"/>
  <c r="BM33" i="21"/>
  <c r="AO33" i="21"/>
  <c r="BL33" i="21"/>
  <c r="BB33" i="21"/>
  <c r="G33" i="21"/>
  <c r="CL33" i="21"/>
  <c r="BW33" i="21"/>
  <c r="BZ33" i="21"/>
  <c r="P33" i="21"/>
  <c r="BR33" i="21"/>
  <c r="AL33" i="21"/>
  <c r="CK33" i="21"/>
  <c r="AP33" i="21"/>
  <c r="CC33" i="21"/>
  <c r="E33" i="21"/>
  <c r="BJ33" i="21"/>
  <c r="BS33" i="21"/>
  <c r="AU33" i="21"/>
  <c r="AC33" i="21"/>
  <c r="CG33" i="21"/>
  <c r="CB33" i="21"/>
  <c r="AG33" i="21"/>
  <c r="AY33" i="21"/>
  <c r="N33" i="21"/>
  <c r="BV33" i="21"/>
  <c r="AF33" i="21"/>
  <c r="BD33" i="21"/>
  <c r="CO33" i="21"/>
  <c r="AR33" i="21"/>
  <c r="Z33" i="21"/>
  <c r="AT33" i="21"/>
  <c r="AA33" i="21"/>
  <c r="AJ33" i="21"/>
  <c r="BI33" i="21"/>
  <c r="AZ33" i="21"/>
  <c r="AV33" i="21"/>
  <c r="CA33" i="21"/>
  <c r="BK33" i="21"/>
  <c r="L33" i="21"/>
  <c r="CF33" i="21"/>
  <c r="BG33" i="21"/>
  <c r="E188" i="18"/>
  <c r="F188" i="18" s="1"/>
  <c r="C32" i="21"/>
  <c r="G40" i="20"/>
  <c r="M40" i="20" l="1"/>
  <c r="S40" i="20"/>
  <c r="I40" i="20"/>
  <c r="Q40" i="20"/>
  <c r="O40" i="20"/>
  <c r="K40" i="20"/>
  <c r="U40" i="20"/>
  <c r="BH32" i="21"/>
  <c r="AJ32" i="21"/>
  <c r="BP32" i="21"/>
  <c r="BN32" i="21"/>
  <c r="BW32" i="21"/>
  <c r="AM32" i="21"/>
  <c r="AE32" i="21"/>
  <c r="Y32" i="21"/>
  <c r="BR32" i="21"/>
  <c r="BU32" i="21"/>
  <c r="CA32" i="21"/>
  <c r="X32" i="21"/>
  <c r="AU32" i="21"/>
  <c r="BQ32" i="21"/>
  <c r="M32" i="21"/>
  <c r="CT32" i="21"/>
  <c r="J32" i="21"/>
  <c r="BF32" i="21"/>
  <c r="BA32" i="21"/>
  <c r="E32" i="21"/>
  <c r="BG32" i="21"/>
  <c r="BM32" i="21"/>
  <c r="AW32" i="21"/>
  <c r="CB32" i="21"/>
  <c r="BD32" i="21"/>
  <c r="CH32" i="21"/>
  <c r="CK32" i="21"/>
  <c r="AL32" i="21"/>
  <c r="AB32" i="21"/>
  <c r="CP32" i="21"/>
  <c r="BV32" i="21"/>
  <c r="CF32" i="21"/>
  <c r="CO32" i="21"/>
  <c r="K32" i="21"/>
  <c r="I32" i="21"/>
  <c r="O32" i="21"/>
  <c r="CC32" i="21"/>
  <c r="Z32" i="21"/>
  <c r="CN32" i="21"/>
  <c r="BB32" i="21"/>
  <c r="AK32" i="21"/>
  <c r="AD32" i="21"/>
  <c r="BI32" i="21"/>
  <c r="CM32" i="21"/>
  <c r="CG32" i="21"/>
  <c r="CS32" i="21"/>
  <c r="AT32" i="21"/>
  <c r="D32" i="21"/>
  <c r="CL32" i="21"/>
  <c r="AR32" i="21"/>
  <c r="AV32" i="21"/>
  <c r="P32" i="21"/>
  <c r="AF32" i="21"/>
  <c r="CQ32" i="21"/>
  <c r="V32" i="21"/>
  <c r="AN32" i="21"/>
  <c r="BT32" i="21"/>
  <c r="AY32" i="21"/>
  <c r="G32" i="21"/>
  <c r="Q32" i="21"/>
  <c r="AC32" i="21"/>
  <c r="AG32" i="21"/>
  <c r="BJ32" i="21"/>
  <c r="BS32" i="21"/>
  <c r="U32" i="21"/>
  <c r="AQ32" i="21"/>
  <c r="N32" i="21"/>
  <c r="AZ32" i="21"/>
  <c r="CJ32" i="21"/>
  <c r="CE32" i="21"/>
  <c r="BK32" i="21"/>
  <c r="AO32" i="21"/>
  <c r="BE32" i="21"/>
  <c r="AS32" i="21"/>
  <c r="BZ32" i="21"/>
  <c r="H32" i="21"/>
  <c r="T32" i="21"/>
  <c r="BY32" i="21"/>
  <c r="AP32" i="21"/>
  <c r="AA32" i="21"/>
  <c r="S32" i="21"/>
  <c r="DX32" i="21"/>
  <c r="BL32" i="21"/>
  <c r="F32" i="21"/>
  <c r="FI32" i="21"/>
  <c r="ER32" i="21"/>
  <c r="DL32" i="21"/>
  <c r="CR32" i="21"/>
  <c r="FE32" i="21"/>
  <c r="DN32" i="21"/>
  <c r="DK32" i="21"/>
  <c r="EC32" i="21"/>
  <c r="EU32" i="21"/>
  <c r="EV32" i="21"/>
  <c r="L32" i="21"/>
  <c r="BX32" i="21"/>
  <c r="FJ32" i="21"/>
  <c r="FD32" i="21"/>
  <c r="DU32" i="21"/>
  <c r="FG32" i="21"/>
  <c r="EL32" i="21"/>
  <c r="CZ32" i="21"/>
  <c r="DE32" i="21"/>
  <c r="CY32" i="21"/>
  <c r="ET32" i="21"/>
  <c r="FM32" i="21"/>
  <c r="DP32" i="21"/>
  <c r="DZ32" i="21"/>
  <c r="DO32" i="21"/>
  <c r="DI32" i="21"/>
  <c r="DH32" i="21"/>
  <c r="EK32" i="21"/>
  <c r="EY32" i="21"/>
  <c r="DV32" i="21"/>
  <c r="FF32" i="21"/>
  <c r="FA32" i="21"/>
  <c r="FH32" i="21"/>
  <c r="EF32" i="21"/>
  <c r="DC32" i="21"/>
  <c r="DW32" i="21"/>
  <c r="DA32" i="21"/>
  <c r="EA32" i="21"/>
  <c r="EX32" i="21"/>
  <c r="AH32" i="21"/>
  <c r="EZ32" i="21"/>
  <c r="DD32" i="21"/>
  <c r="EE32" i="21"/>
  <c r="DR32" i="21"/>
  <c r="EO32" i="21"/>
  <c r="ED32" i="21"/>
  <c r="ES32" i="21"/>
  <c r="EP32" i="21"/>
  <c r="EH32" i="21"/>
  <c r="DM32" i="21"/>
  <c r="FL32" i="21"/>
  <c r="DS32" i="21"/>
  <c r="CX32" i="21"/>
  <c r="DG32" i="21"/>
  <c r="DB32" i="21"/>
  <c r="EG32" i="21"/>
  <c r="EB32" i="21"/>
  <c r="EM32" i="21"/>
  <c r="EW32" i="21"/>
  <c r="FC32" i="21"/>
  <c r="EJ32" i="21"/>
  <c r="EI32" i="21"/>
  <c r="FB32" i="21"/>
  <c r="DJ32" i="21"/>
  <c r="DY32" i="21"/>
  <c r="DF32" i="21"/>
  <c r="P47" i="96"/>
  <c r="Q44" i="96"/>
  <c r="Q47" i="96" s="1"/>
  <c r="T44" i="96"/>
  <c r="T47" i="96" s="1"/>
  <c r="Q74" i="96"/>
  <c r="T74" i="96"/>
  <c r="F189" i="18"/>
  <c r="H188" i="18"/>
  <c r="H189" i="18" s="1"/>
  <c r="Q89" i="96"/>
  <c r="T89" i="96"/>
  <c r="FC47" i="21" l="1"/>
  <c r="FC34" i="21"/>
  <c r="DV47" i="21"/>
  <c r="DV34" i="21"/>
  <c r="FM34" i="21"/>
  <c r="FM47" i="21"/>
  <c r="DU34" i="21"/>
  <c r="DU47" i="21"/>
  <c r="DK47" i="21"/>
  <c r="DK34" i="21"/>
  <c r="BL34" i="21"/>
  <c r="BL47" i="21"/>
  <c r="BZ34" i="21"/>
  <c r="BZ47" i="21"/>
  <c r="AC34" i="21"/>
  <c r="AC47" i="21"/>
  <c r="AF34" i="21"/>
  <c r="AF47" i="21"/>
  <c r="CG34" i="21"/>
  <c r="CG47" i="21"/>
  <c r="CC34" i="21"/>
  <c r="CC47" i="21"/>
  <c r="CP34" i="21"/>
  <c r="CP47" i="21"/>
  <c r="M34" i="21"/>
  <c r="M47" i="21"/>
  <c r="AE34" i="21"/>
  <c r="AE47" i="21"/>
  <c r="BH34" i="21"/>
  <c r="BH47" i="21"/>
  <c r="Q48" i="96"/>
  <c r="Q55" i="96"/>
  <c r="Q75" i="96" s="1"/>
  <c r="EW47" i="21"/>
  <c r="EW34" i="21"/>
  <c r="EY47" i="21"/>
  <c r="EY34" i="21"/>
  <c r="DN34" i="21"/>
  <c r="DN47" i="21"/>
  <c r="DX47" i="21"/>
  <c r="DX34" i="21"/>
  <c r="AS34" i="21"/>
  <c r="AS47" i="21"/>
  <c r="AZ34" i="21"/>
  <c r="AZ47" i="21"/>
  <c r="Q34" i="21"/>
  <c r="Q47" i="21"/>
  <c r="P34" i="21"/>
  <c r="P47" i="21"/>
  <c r="CM34" i="21"/>
  <c r="CM47" i="21"/>
  <c r="O34" i="21"/>
  <c r="O47" i="21"/>
  <c r="AB34" i="21"/>
  <c r="AB47" i="21"/>
  <c r="BM34" i="21"/>
  <c r="BM47" i="21"/>
  <c r="BQ34" i="21"/>
  <c r="BQ47" i="21"/>
  <c r="U129" i="20"/>
  <c r="DS47" i="21"/>
  <c r="DS34" i="21"/>
  <c r="FL47" i="21"/>
  <c r="FL34" i="21"/>
  <c r="DF47" i="21"/>
  <c r="DF34" i="21"/>
  <c r="EK47" i="21"/>
  <c r="EK34" i="21"/>
  <c r="CY47" i="21"/>
  <c r="CY34" i="21"/>
  <c r="FE47" i="21"/>
  <c r="FE34" i="21"/>
  <c r="S34" i="21"/>
  <c r="S47" i="21"/>
  <c r="BE34" i="21"/>
  <c r="BE47" i="21"/>
  <c r="N34" i="21"/>
  <c r="N47" i="21"/>
  <c r="G34" i="21"/>
  <c r="G47" i="21"/>
  <c r="AV34" i="21"/>
  <c r="AV47" i="21"/>
  <c r="BI34" i="21"/>
  <c r="BI47" i="21"/>
  <c r="I34" i="21"/>
  <c r="I47" i="21"/>
  <c r="AL34" i="21"/>
  <c r="AL47" i="21"/>
  <c r="BG34" i="21"/>
  <c r="BG47" i="21"/>
  <c r="AU34" i="21"/>
  <c r="AU47" i="21"/>
  <c r="AM34" i="21"/>
  <c r="AM47" i="21"/>
  <c r="K129" i="20"/>
  <c r="DA34" i="21"/>
  <c r="DA47" i="21"/>
  <c r="FJ47" i="21"/>
  <c r="FJ34" i="21"/>
  <c r="DY47" i="21"/>
  <c r="DY34" i="21"/>
  <c r="EB34" i="21"/>
  <c r="EB47" i="21"/>
  <c r="EH47" i="21"/>
  <c r="EH34" i="21"/>
  <c r="DD47" i="21"/>
  <c r="DD34" i="21"/>
  <c r="DC47" i="21"/>
  <c r="DC34" i="21"/>
  <c r="DH47" i="21"/>
  <c r="DH34" i="21"/>
  <c r="BX34" i="21"/>
  <c r="BX47" i="21"/>
  <c r="CR34" i="21"/>
  <c r="CR47" i="21"/>
  <c r="AA34" i="21"/>
  <c r="AA47" i="21"/>
  <c r="AO34" i="21"/>
  <c r="AO47" i="21"/>
  <c r="AQ34" i="21"/>
  <c r="AQ47" i="21"/>
  <c r="AY34" i="21"/>
  <c r="AY47" i="21"/>
  <c r="AR34" i="21"/>
  <c r="AR47" i="21"/>
  <c r="AD34" i="21"/>
  <c r="AD47" i="21"/>
  <c r="K34" i="21"/>
  <c r="K47" i="21"/>
  <c r="CK34" i="21"/>
  <c r="CK47" i="21"/>
  <c r="E34" i="21"/>
  <c r="E47" i="21"/>
  <c r="X34" i="21"/>
  <c r="X47" i="21"/>
  <c r="BW34" i="21"/>
  <c r="BW47" i="21"/>
  <c r="O129" i="20"/>
  <c r="P48" i="96"/>
  <c r="P55" i="96"/>
  <c r="ET47" i="21"/>
  <c r="ET34" i="21"/>
  <c r="EE47" i="21"/>
  <c r="EE34" i="21"/>
  <c r="EP47" i="21"/>
  <c r="EP34" i="21"/>
  <c r="DI47" i="21"/>
  <c r="DI34" i="21"/>
  <c r="DE34" i="21"/>
  <c r="DE47" i="21"/>
  <c r="L34" i="21"/>
  <c r="L47" i="21"/>
  <c r="BK34" i="21"/>
  <c r="BK47" i="21"/>
  <c r="U34" i="21"/>
  <c r="U47" i="21"/>
  <c r="BT34" i="21"/>
  <c r="BT47" i="21"/>
  <c r="CL34" i="21"/>
  <c r="CL47" i="21"/>
  <c r="AK34" i="21"/>
  <c r="AK47" i="21"/>
  <c r="CO34" i="21"/>
  <c r="CO47" i="21"/>
  <c r="CH34" i="21"/>
  <c r="CH47" i="21"/>
  <c r="BA34" i="21"/>
  <c r="BA47" i="21"/>
  <c r="CA34" i="21"/>
  <c r="CA47" i="21"/>
  <c r="BN34" i="21"/>
  <c r="BN47" i="21"/>
  <c r="Q129" i="20"/>
  <c r="DW47" i="21"/>
  <c r="DW34" i="21"/>
  <c r="DM47" i="21"/>
  <c r="DM34" i="21"/>
  <c r="EG47" i="21"/>
  <c r="EG34" i="21"/>
  <c r="EF47" i="21"/>
  <c r="EF34" i="21"/>
  <c r="DL47" i="21"/>
  <c r="DL34" i="21"/>
  <c r="FB47" i="21"/>
  <c r="FB34" i="21"/>
  <c r="DB47" i="21"/>
  <c r="DB34" i="21"/>
  <c r="ES47" i="21"/>
  <c r="ES34" i="21"/>
  <c r="AH47" i="21"/>
  <c r="AH34" i="21"/>
  <c r="FH47" i="21"/>
  <c r="FH34" i="21"/>
  <c r="DO47" i="21"/>
  <c r="DO34" i="21"/>
  <c r="CZ47" i="21"/>
  <c r="CZ34" i="21"/>
  <c r="EV47" i="21"/>
  <c r="EV34" i="21"/>
  <c r="ER47" i="21"/>
  <c r="ER34" i="21"/>
  <c r="BY34" i="21"/>
  <c r="BY47" i="21"/>
  <c r="CE34" i="21"/>
  <c r="CE47" i="21"/>
  <c r="BS34" i="21"/>
  <c r="BS47" i="21"/>
  <c r="AN34" i="21"/>
  <c r="AN47" i="21"/>
  <c r="D34" i="21"/>
  <c r="D47" i="21"/>
  <c r="BB34" i="21"/>
  <c r="BB47" i="21"/>
  <c r="CF34" i="21"/>
  <c r="CF47" i="21"/>
  <c r="BD34" i="21"/>
  <c r="BD47" i="21"/>
  <c r="BF34" i="21"/>
  <c r="BF47" i="21"/>
  <c r="BU34" i="21"/>
  <c r="BU47" i="21"/>
  <c r="I129" i="20"/>
  <c r="X40" i="20"/>
  <c r="W40" i="20"/>
  <c r="DR47" i="21"/>
  <c r="DR34" i="21"/>
  <c r="DJ47" i="21"/>
  <c r="DJ34" i="21"/>
  <c r="EZ47" i="21"/>
  <c r="EZ34" i="21"/>
  <c r="AP34" i="21"/>
  <c r="AP47" i="21"/>
  <c r="EI47" i="21"/>
  <c r="EI34" i="21"/>
  <c r="DG34" i="21"/>
  <c r="DG47" i="21"/>
  <c r="ED47" i="21"/>
  <c r="ED34" i="21"/>
  <c r="EX47" i="21"/>
  <c r="EX34" i="21"/>
  <c r="FA34" i="21"/>
  <c r="FA47" i="21"/>
  <c r="DZ47" i="21"/>
  <c r="DZ34" i="21"/>
  <c r="EL47" i="21"/>
  <c r="EL34" i="21"/>
  <c r="EU47" i="21"/>
  <c r="EU34" i="21"/>
  <c r="FI47" i="21"/>
  <c r="FI34" i="21"/>
  <c r="T34" i="21"/>
  <c r="T47" i="21"/>
  <c r="BJ34" i="21"/>
  <c r="BJ47" i="21"/>
  <c r="V34" i="21"/>
  <c r="V47" i="21"/>
  <c r="AT34" i="21"/>
  <c r="AT47" i="21"/>
  <c r="CN34" i="21"/>
  <c r="CN47" i="21"/>
  <c r="CB34" i="21"/>
  <c r="CB47" i="21"/>
  <c r="J34" i="21"/>
  <c r="J47" i="21"/>
  <c r="BR34" i="21"/>
  <c r="BR47" i="21"/>
  <c r="BP34" i="21"/>
  <c r="BP47" i="21"/>
  <c r="S129" i="20"/>
  <c r="FD47" i="21"/>
  <c r="FD34" i="21"/>
  <c r="EM47" i="21"/>
  <c r="EM34" i="21"/>
  <c r="T48" i="96"/>
  <c r="T55" i="96"/>
  <c r="T75" i="96" s="1"/>
  <c r="EJ47" i="21"/>
  <c r="EJ34" i="21"/>
  <c r="CX47" i="21"/>
  <c r="CX34" i="21"/>
  <c r="EO47" i="21"/>
  <c r="EO34" i="21"/>
  <c r="EA47" i="21"/>
  <c r="EA34" i="21"/>
  <c r="FF47" i="21"/>
  <c r="FF34" i="21"/>
  <c r="DP47" i="21"/>
  <c r="DP34" i="21"/>
  <c r="FG34" i="21"/>
  <c r="FG47" i="21"/>
  <c r="EC47" i="21"/>
  <c r="EC34" i="21"/>
  <c r="F34" i="21"/>
  <c r="F47" i="21"/>
  <c r="H34" i="21"/>
  <c r="H47" i="21"/>
  <c r="CJ34" i="21"/>
  <c r="CJ47" i="21"/>
  <c r="AG34" i="21"/>
  <c r="AG47" i="21"/>
  <c r="CQ34" i="21"/>
  <c r="CQ47" i="21"/>
  <c r="CS34" i="21"/>
  <c r="CS47" i="21"/>
  <c r="Z34" i="21"/>
  <c r="Z47" i="21"/>
  <c r="BV34" i="21"/>
  <c r="BV47" i="21"/>
  <c r="AW34" i="21"/>
  <c r="AW47" i="21"/>
  <c r="CT34" i="21"/>
  <c r="CT47" i="21"/>
  <c r="Y34" i="21"/>
  <c r="Y47" i="21"/>
  <c r="AJ34" i="21"/>
  <c r="AJ47" i="21"/>
  <c r="M129" i="20"/>
  <c r="T76" i="96" l="1"/>
  <c r="T80" i="96"/>
  <c r="EO35" i="21"/>
  <c r="EO49" i="21"/>
  <c r="BP35" i="21"/>
  <c r="BP49" i="21"/>
  <c r="BJ49" i="21"/>
  <c r="BJ35" i="21"/>
  <c r="AP35" i="21"/>
  <c r="AP49" i="21"/>
  <c r="CZ49" i="21"/>
  <c r="CZ35" i="21"/>
  <c r="ES49" i="21"/>
  <c r="ES35" i="21"/>
  <c r="DW35" i="21"/>
  <c r="DW49" i="21"/>
  <c r="BN35" i="21"/>
  <c r="BN49" i="21"/>
  <c r="CO49" i="21"/>
  <c r="CO35" i="21"/>
  <c r="U49" i="21"/>
  <c r="U35" i="21"/>
  <c r="DH49" i="21"/>
  <c r="DH35" i="21"/>
  <c r="BG49" i="21"/>
  <c r="BG35" i="21"/>
  <c r="AV35" i="21"/>
  <c r="AV49" i="21"/>
  <c r="S35" i="21"/>
  <c r="S49" i="21"/>
  <c r="EY49" i="21"/>
  <c r="EY35" i="21"/>
  <c r="EZ49" i="21"/>
  <c r="EZ35" i="21"/>
  <c r="BU49" i="21"/>
  <c r="BU35" i="21"/>
  <c r="BB49" i="21"/>
  <c r="BB35" i="21"/>
  <c r="CE49" i="21"/>
  <c r="CE35" i="21"/>
  <c r="EF49" i="21"/>
  <c r="EF35" i="21"/>
  <c r="EP49" i="21"/>
  <c r="EP35" i="21"/>
  <c r="E49" i="21"/>
  <c r="E35" i="21"/>
  <c r="AR49" i="21"/>
  <c r="AR35" i="21"/>
  <c r="AA49" i="21"/>
  <c r="AA35" i="21"/>
  <c r="EB49" i="21"/>
  <c r="EB35" i="21"/>
  <c r="FE35" i="21"/>
  <c r="FE49" i="21"/>
  <c r="FL49" i="21"/>
  <c r="FL35" i="21"/>
  <c r="O49" i="21"/>
  <c r="O35" i="21"/>
  <c r="AZ49" i="21"/>
  <c r="AZ35" i="21"/>
  <c r="AE49" i="21"/>
  <c r="AE35" i="21"/>
  <c r="CC49" i="21"/>
  <c r="CC35" i="21"/>
  <c r="DU49" i="21"/>
  <c r="DU35" i="21"/>
  <c r="FG49" i="21"/>
  <c r="FG35" i="21"/>
  <c r="ED35" i="21"/>
  <c r="ED49" i="21"/>
  <c r="CX49" i="21"/>
  <c r="CX35" i="21"/>
  <c r="FD35" i="21"/>
  <c r="FD49" i="21"/>
  <c r="BR35" i="21"/>
  <c r="BR49" i="21"/>
  <c r="CN49" i="21"/>
  <c r="CN35" i="21"/>
  <c r="DB35" i="21"/>
  <c r="DB49" i="21"/>
  <c r="CA35" i="21"/>
  <c r="CA49" i="21"/>
  <c r="AK49" i="21"/>
  <c r="AK35" i="21"/>
  <c r="BK49" i="21"/>
  <c r="BK35" i="21"/>
  <c r="DC49" i="21"/>
  <c r="DC35" i="21"/>
  <c r="DY35" i="21"/>
  <c r="DY49" i="21"/>
  <c r="AL49" i="21"/>
  <c r="AL35" i="21"/>
  <c r="G35" i="21"/>
  <c r="G49" i="21"/>
  <c r="EW35" i="21"/>
  <c r="EW49" i="21"/>
  <c r="H35" i="21"/>
  <c r="H49" i="21"/>
  <c r="DZ49" i="21"/>
  <c r="DZ35" i="21"/>
  <c r="DJ49" i="21"/>
  <c r="DJ35" i="21"/>
  <c r="W129" i="20"/>
  <c r="BF49" i="21"/>
  <c r="BF35" i="21"/>
  <c r="D35" i="21"/>
  <c r="D49" i="21"/>
  <c r="BY49" i="21"/>
  <c r="BY35" i="21"/>
  <c r="EG49" i="21"/>
  <c r="EG35" i="21"/>
  <c r="EE49" i="21"/>
  <c r="EE35" i="21"/>
  <c r="CK35" i="21"/>
  <c r="CK49" i="21"/>
  <c r="AY49" i="21"/>
  <c r="AY35" i="21"/>
  <c r="CR49" i="21"/>
  <c r="CR35" i="21"/>
  <c r="CY49" i="21"/>
  <c r="CY35" i="21"/>
  <c r="DS35" i="21"/>
  <c r="DS49" i="21"/>
  <c r="BQ35" i="21"/>
  <c r="BQ49" i="21"/>
  <c r="CM49" i="21"/>
  <c r="CM35" i="21"/>
  <c r="AS49" i="21"/>
  <c r="AS35" i="21"/>
  <c r="M49" i="21"/>
  <c r="M35" i="21"/>
  <c r="CG49" i="21"/>
  <c r="CG35" i="21"/>
  <c r="BZ35" i="21"/>
  <c r="BZ49" i="21"/>
  <c r="FM35" i="21"/>
  <c r="FM49" i="21"/>
  <c r="Z35" i="21"/>
  <c r="Z49" i="21"/>
  <c r="CS35" i="21"/>
  <c r="CS49" i="21"/>
  <c r="AT49" i="21"/>
  <c r="AT35" i="21"/>
  <c r="T35" i="21"/>
  <c r="T49" i="21"/>
  <c r="DG49" i="21"/>
  <c r="DG35" i="21"/>
  <c r="ER35" i="21"/>
  <c r="ER49" i="21"/>
  <c r="FB49" i="21"/>
  <c r="FB35" i="21"/>
  <c r="BA49" i="21"/>
  <c r="BA35" i="21"/>
  <c r="CL49" i="21"/>
  <c r="CL35" i="21"/>
  <c r="L49" i="21"/>
  <c r="L35" i="21"/>
  <c r="DD49" i="21"/>
  <c r="DD35" i="21"/>
  <c r="AM49" i="21"/>
  <c r="AM35" i="21"/>
  <c r="I49" i="21"/>
  <c r="I35" i="21"/>
  <c r="N49" i="21"/>
  <c r="N35" i="21"/>
  <c r="DX35" i="21"/>
  <c r="DX49" i="21"/>
  <c r="Q57" i="96"/>
  <c r="Q60" i="96"/>
  <c r="Q56" i="96"/>
  <c r="Q58" i="96" s="1"/>
  <c r="DV35" i="21"/>
  <c r="DV49" i="21"/>
  <c r="EJ49" i="21"/>
  <c r="EJ35" i="21"/>
  <c r="AW49" i="21"/>
  <c r="AW35" i="21"/>
  <c r="EI49" i="21"/>
  <c r="EI35" i="21"/>
  <c r="BD35" i="21"/>
  <c r="BD49" i="21"/>
  <c r="AN49" i="21"/>
  <c r="AN35" i="21"/>
  <c r="ET35" i="21"/>
  <c r="ET49" i="21"/>
  <c r="BW49" i="21"/>
  <c r="BW35" i="21"/>
  <c r="K35" i="21"/>
  <c r="K49" i="21"/>
  <c r="AQ49" i="21"/>
  <c r="AQ35" i="21"/>
  <c r="BX49" i="21"/>
  <c r="BX35" i="21"/>
  <c r="BM49" i="21"/>
  <c r="BM35" i="21"/>
  <c r="P35" i="21"/>
  <c r="P49" i="21"/>
  <c r="AF49" i="21"/>
  <c r="AF35" i="21"/>
  <c r="BL49" i="21"/>
  <c r="BL53" i="21" s="1"/>
  <c r="BL57" i="21" s="1"/>
  <c r="BL35" i="21"/>
  <c r="BL38" i="21" s="1"/>
  <c r="BL44" i="21" s="1"/>
  <c r="BL45" i="21" s="1"/>
  <c r="BL46" i="21" s="1"/>
  <c r="CJ49" i="21"/>
  <c r="CJ35" i="21"/>
  <c r="J35" i="21"/>
  <c r="J49" i="21"/>
  <c r="F35" i="21"/>
  <c r="F49" i="21"/>
  <c r="EC35" i="21"/>
  <c r="EC49" i="21"/>
  <c r="EA49" i="21"/>
  <c r="EA35" i="21"/>
  <c r="T60" i="96"/>
  <c r="T56" i="96"/>
  <c r="CB35" i="21"/>
  <c r="CB49" i="21"/>
  <c r="V35" i="21"/>
  <c r="V49" i="21"/>
  <c r="FA35" i="21"/>
  <c r="FA49" i="21"/>
  <c r="EV35" i="21"/>
  <c r="EV49" i="21"/>
  <c r="AH49" i="21"/>
  <c r="AH35" i="21"/>
  <c r="Q77" i="96"/>
  <c r="Q80" i="96"/>
  <c r="Q76" i="96"/>
  <c r="Q78" i="96" s="1"/>
  <c r="DM49" i="21"/>
  <c r="DM35" i="21"/>
  <c r="CH35" i="21"/>
  <c r="CH49" i="21"/>
  <c r="BT49" i="21"/>
  <c r="BT35" i="21"/>
  <c r="DE35" i="21"/>
  <c r="DE49" i="21"/>
  <c r="EH49" i="21"/>
  <c r="EH35" i="21"/>
  <c r="AU35" i="21"/>
  <c r="AU49" i="21"/>
  <c r="BI35" i="21"/>
  <c r="BI49" i="21"/>
  <c r="BE49" i="21"/>
  <c r="BE35" i="21"/>
  <c r="DK49" i="21"/>
  <c r="DK35" i="21"/>
  <c r="FC49" i="21"/>
  <c r="FC35" i="21"/>
  <c r="Y35" i="21"/>
  <c r="Y49" i="21"/>
  <c r="CT35" i="21"/>
  <c r="CT49" i="21"/>
  <c r="FF49" i="21"/>
  <c r="FF35" i="21"/>
  <c r="CQ49" i="21"/>
  <c r="CQ35" i="21"/>
  <c r="AJ49" i="21"/>
  <c r="AJ35" i="21"/>
  <c r="BV35" i="21"/>
  <c r="BV49" i="21"/>
  <c r="AG35" i="21"/>
  <c r="AG49" i="21"/>
  <c r="EU35" i="21"/>
  <c r="EU49" i="21"/>
  <c r="EX49" i="21"/>
  <c r="EX35" i="21"/>
  <c r="DR49" i="21"/>
  <c r="DR35" i="21"/>
  <c r="CF49" i="21"/>
  <c r="CF35" i="21"/>
  <c r="BS35" i="21"/>
  <c r="BS49" i="21"/>
  <c r="DL35" i="21"/>
  <c r="DL49" i="21"/>
  <c r="DI49" i="21"/>
  <c r="DI35" i="21"/>
  <c r="P57" i="96"/>
  <c r="P56" i="96"/>
  <c r="P58" i="96" s="1"/>
  <c r="P60" i="96"/>
  <c r="P75" i="96"/>
  <c r="X49" i="21"/>
  <c r="X35" i="21"/>
  <c r="AD35" i="21"/>
  <c r="AD49" i="21"/>
  <c r="AO35" i="21"/>
  <c r="AO49" i="21"/>
  <c r="DA49" i="21"/>
  <c r="DA35" i="21"/>
  <c r="DF49" i="21"/>
  <c r="DF35" i="21"/>
  <c r="AB35" i="21"/>
  <c r="AB49" i="21"/>
  <c r="Q49" i="21"/>
  <c r="Q35" i="21"/>
  <c r="BH49" i="21"/>
  <c r="BH35" i="21"/>
  <c r="CP49" i="21"/>
  <c r="CP35" i="21"/>
  <c r="AC35" i="21"/>
  <c r="AC49" i="21"/>
  <c r="FL38" i="21" l="1"/>
  <c r="FL39" i="21" s="1"/>
  <c r="FL36" i="21"/>
  <c r="FL53" i="21"/>
  <c r="FL50" i="21"/>
  <c r="EO53" i="21"/>
  <c r="EO50" i="21"/>
  <c r="EO38" i="21"/>
  <c r="EO39" i="21" s="1"/>
  <c r="EO36" i="21"/>
  <c r="DR53" i="21"/>
  <c r="DR50" i="21"/>
  <c r="DR38" i="21"/>
  <c r="DR39" i="21" s="1"/>
  <c r="DR36" i="21"/>
  <c r="FM53" i="21"/>
  <c r="FM50" i="21"/>
  <c r="FM38" i="21"/>
  <c r="FM39" i="21" s="1"/>
  <c r="FM36" i="21"/>
  <c r="DS53" i="21"/>
  <c r="DS50" i="21"/>
  <c r="DS38" i="21"/>
  <c r="DS39" i="21" s="1"/>
  <c r="DS36" i="21"/>
  <c r="CR53" i="21"/>
  <c r="CR50" i="21"/>
  <c r="CR38" i="21"/>
  <c r="CR36" i="21"/>
  <c r="AF53" i="21"/>
  <c r="AF50" i="21"/>
  <c r="AF38" i="21"/>
  <c r="AF36" i="21"/>
  <c r="EP38" i="21"/>
  <c r="EP39" i="21" s="1"/>
  <c r="EP36" i="21"/>
  <c r="EP53" i="21"/>
  <c r="EP50" i="21"/>
  <c r="DA36" i="21"/>
  <c r="P77" i="96"/>
  <c r="P80" i="96"/>
  <c r="P76" i="96"/>
  <c r="P78" i="96" s="1"/>
  <c r="BS50" i="21"/>
  <c r="EX36" i="21"/>
  <c r="AJ36" i="21"/>
  <c r="Y50" i="21"/>
  <c r="BE36" i="21"/>
  <c r="AH50" i="21"/>
  <c r="CB36" i="21"/>
  <c r="F36" i="21"/>
  <c r="BM50" i="21"/>
  <c r="K36" i="21"/>
  <c r="BD36" i="21"/>
  <c r="AW50" i="21"/>
  <c r="DX50" i="21"/>
  <c r="BA36" i="21"/>
  <c r="DG36" i="21"/>
  <c r="CS50" i="21"/>
  <c r="CG36" i="21"/>
  <c r="BQ50" i="21"/>
  <c r="AY36" i="21"/>
  <c r="BY36" i="21"/>
  <c r="DJ36" i="21"/>
  <c r="G50" i="21"/>
  <c r="BK36" i="21"/>
  <c r="DB50" i="21"/>
  <c r="CX36" i="21"/>
  <c r="DU36" i="21"/>
  <c r="AZ36" i="21"/>
  <c r="FE50" i="21"/>
  <c r="E36" i="21"/>
  <c r="CE36" i="21"/>
  <c r="BG36" i="21"/>
  <c r="CO36" i="21"/>
  <c r="CZ36" i="21"/>
  <c r="BP50" i="21"/>
  <c r="EX50" i="21"/>
  <c r="BE50" i="21"/>
  <c r="EV50" i="21"/>
  <c r="J50" i="21"/>
  <c r="BW36" i="21"/>
  <c r="EJ36" i="21"/>
  <c r="DX36" i="21"/>
  <c r="BA50" i="21"/>
  <c r="DG50" i="21"/>
  <c r="CS36" i="21"/>
  <c r="CG50" i="21"/>
  <c r="BQ36" i="21"/>
  <c r="AY50" i="21"/>
  <c r="BY50" i="21"/>
  <c r="DJ50" i="21"/>
  <c r="G36" i="21"/>
  <c r="BK50" i="21"/>
  <c r="DB36" i="21"/>
  <c r="CX50" i="21"/>
  <c r="DU50" i="21"/>
  <c r="AZ50" i="21"/>
  <c r="FE36" i="21"/>
  <c r="E50" i="21"/>
  <c r="CE50" i="21"/>
  <c r="BG50" i="21"/>
  <c r="CO50" i="21"/>
  <c r="CZ50" i="21"/>
  <c r="BP36" i="21"/>
  <c r="AJ50" i="21"/>
  <c r="EU50" i="21"/>
  <c r="FC36" i="21"/>
  <c r="BI50" i="21"/>
  <c r="DE50" i="21"/>
  <c r="DM36" i="21"/>
  <c r="EV36" i="21"/>
  <c r="J36" i="21"/>
  <c r="BW50" i="21"/>
  <c r="EJ50" i="21"/>
  <c r="N36" i="21"/>
  <c r="DD36" i="21"/>
  <c r="FB36" i="21"/>
  <c r="T50" i="21"/>
  <c r="Z50" i="21"/>
  <c r="M36" i="21"/>
  <c r="CK50" i="21"/>
  <c r="D50" i="21"/>
  <c r="DZ36" i="21"/>
  <c r="AL36" i="21"/>
  <c r="AK36" i="21"/>
  <c r="CN36" i="21"/>
  <c r="O36" i="21"/>
  <c r="EB36" i="21"/>
  <c r="BB36" i="21"/>
  <c r="EY36" i="21"/>
  <c r="BN50" i="21"/>
  <c r="AP50" i="21"/>
  <c r="DA50" i="21"/>
  <c r="Y36" i="21"/>
  <c r="AC50" i="21"/>
  <c r="AO50" i="21"/>
  <c r="CF36" i="21"/>
  <c r="CQ36" i="21"/>
  <c r="AC36" i="21"/>
  <c r="Q50" i="21"/>
  <c r="AO36" i="21"/>
  <c r="CF50" i="21"/>
  <c r="EU36" i="21"/>
  <c r="CQ50" i="21"/>
  <c r="FC50" i="21"/>
  <c r="BI36" i="21"/>
  <c r="DE36" i="21"/>
  <c r="DM50" i="21"/>
  <c r="FA50" i="21"/>
  <c r="EA36" i="21"/>
  <c r="BX36" i="21"/>
  <c r="ET50" i="21"/>
  <c r="EI36" i="21"/>
  <c r="DV50" i="21"/>
  <c r="N50" i="21"/>
  <c r="DD50" i="21"/>
  <c r="FB50" i="21"/>
  <c r="T36" i="21"/>
  <c r="Z36" i="21"/>
  <c r="M50" i="21"/>
  <c r="CK36" i="21"/>
  <c r="D36" i="21"/>
  <c r="DZ50" i="21"/>
  <c r="AL50" i="21"/>
  <c r="AK50" i="21"/>
  <c r="CN50" i="21"/>
  <c r="O50" i="21"/>
  <c r="EB50" i="21"/>
  <c r="BB50" i="21"/>
  <c r="EY50" i="21"/>
  <c r="BN36" i="21"/>
  <c r="AP36" i="21"/>
  <c r="Q36" i="21"/>
  <c r="CP36" i="21"/>
  <c r="AB50" i="21"/>
  <c r="AD50" i="21"/>
  <c r="DI36" i="21"/>
  <c r="AG50" i="21"/>
  <c r="FF36" i="21"/>
  <c r="DK36" i="21"/>
  <c r="AU50" i="21"/>
  <c r="BT36" i="21"/>
  <c r="FA36" i="21"/>
  <c r="EA50" i="21"/>
  <c r="BX50" i="21"/>
  <c r="ET36" i="21"/>
  <c r="EI50" i="21"/>
  <c r="DV36" i="21"/>
  <c r="I36" i="21"/>
  <c r="L36" i="21"/>
  <c r="AT36" i="21"/>
  <c r="AS36" i="21"/>
  <c r="CY36" i="21"/>
  <c r="EE36" i="21"/>
  <c r="BF36" i="21"/>
  <c r="H50" i="21"/>
  <c r="DY50" i="21"/>
  <c r="CA50" i="21"/>
  <c r="BR50" i="21"/>
  <c r="ED50" i="21"/>
  <c r="CC36" i="21"/>
  <c r="AA36" i="21"/>
  <c r="BU36" i="21"/>
  <c r="S50" i="21"/>
  <c r="DH36" i="21"/>
  <c r="DW50" i="21"/>
  <c r="BJ36" i="21"/>
  <c r="CP50" i="21"/>
  <c r="DI50" i="21"/>
  <c r="AG36" i="21"/>
  <c r="FF50" i="21"/>
  <c r="DK50" i="21"/>
  <c r="AU36" i="21"/>
  <c r="BT50" i="21"/>
  <c r="Q81" i="96"/>
  <c r="Q83" i="96" s="1"/>
  <c r="Q82" i="96"/>
  <c r="Q90" i="96"/>
  <c r="V50" i="21"/>
  <c r="EC50" i="21"/>
  <c r="CJ36" i="21"/>
  <c r="P50" i="21"/>
  <c r="AQ36" i="21"/>
  <c r="AN36" i="21"/>
  <c r="I50" i="21"/>
  <c r="L50" i="21"/>
  <c r="AT50" i="21"/>
  <c r="AS50" i="21"/>
  <c r="CY50" i="21"/>
  <c r="EE50" i="21"/>
  <c r="BF50" i="21"/>
  <c r="H36" i="21"/>
  <c r="DY36" i="21"/>
  <c r="CA36" i="21"/>
  <c r="BR36" i="21"/>
  <c r="ED36" i="21"/>
  <c r="CC50" i="21"/>
  <c r="AA50" i="21"/>
  <c r="BU50" i="21"/>
  <c r="S36" i="21"/>
  <c r="DH50" i="21"/>
  <c r="DW36" i="21"/>
  <c r="BJ50" i="21"/>
  <c r="AB36" i="21"/>
  <c r="AD36" i="21"/>
  <c r="BH36" i="21"/>
  <c r="DF36" i="21"/>
  <c r="X36" i="21"/>
  <c r="DL50" i="21"/>
  <c r="BV50" i="21"/>
  <c r="CT50" i="21"/>
  <c r="EH36" i="21"/>
  <c r="CH50" i="21"/>
  <c r="V36" i="21"/>
  <c r="EC36" i="21"/>
  <c r="CJ50" i="21"/>
  <c r="P36" i="21"/>
  <c r="AQ50" i="21"/>
  <c r="AN50" i="21"/>
  <c r="AM36" i="21"/>
  <c r="CL36" i="21"/>
  <c r="ER50" i="21"/>
  <c r="BZ50" i="21"/>
  <c r="CM36" i="21"/>
  <c r="EG36" i="21"/>
  <c r="EW50" i="21"/>
  <c r="DC36" i="21"/>
  <c r="FD50" i="21"/>
  <c r="FG36" i="21"/>
  <c r="AE36" i="21"/>
  <c r="AR36" i="21"/>
  <c r="EF36" i="21"/>
  <c r="EZ36" i="21"/>
  <c r="AV50" i="21"/>
  <c r="U36" i="21"/>
  <c r="ES36" i="21"/>
  <c r="T81" i="96"/>
  <c r="T90" i="96"/>
  <c r="T91" i="96" s="1"/>
  <c r="BS36" i="21"/>
  <c r="BH50" i="21"/>
  <c r="DF50" i="21"/>
  <c r="X50" i="21"/>
  <c r="DL36" i="21"/>
  <c r="BV36" i="21"/>
  <c r="CT36" i="21"/>
  <c r="EH50" i="21"/>
  <c r="CH36" i="21"/>
  <c r="AH36" i="21"/>
  <c r="CB50" i="21"/>
  <c r="F50" i="21"/>
  <c r="BM36" i="21"/>
  <c r="K50" i="21"/>
  <c r="BD50" i="21"/>
  <c r="AW36" i="21"/>
  <c r="AM50" i="21"/>
  <c r="CL50" i="21"/>
  <c r="ER36" i="21"/>
  <c r="BZ36" i="21"/>
  <c r="CM50" i="21"/>
  <c r="EG50" i="21"/>
  <c r="EW36" i="21"/>
  <c r="DC50" i="21"/>
  <c r="FD36" i="21"/>
  <c r="FG50" i="21"/>
  <c r="AE50" i="21"/>
  <c r="AR50" i="21"/>
  <c r="EF50" i="21"/>
  <c r="EZ50" i="21"/>
  <c r="AV36" i="21"/>
  <c r="U50" i="21"/>
  <c r="ES50" i="21"/>
  <c r="DR42" i="21" l="1"/>
  <c r="FL44" i="21"/>
  <c r="FL45" i="21" s="1"/>
  <c r="FL46" i="21" s="1"/>
  <c r="FL42" i="21"/>
  <c r="FM42" i="21"/>
  <c r="DR44" i="21"/>
  <c r="DR45" i="21" s="1"/>
  <c r="DR46" i="21" s="1"/>
  <c r="DS44" i="21"/>
  <c r="DS45" i="21" s="1"/>
  <c r="DS46" i="21" s="1"/>
  <c r="FM44" i="21"/>
  <c r="FM45" i="21" s="1"/>
  <c r="FM46" i="21" s="1"/>
  <c r="EO44" i="21"/>
  <c r="EO45" i="21" s="1"/>
  <c r="EO46" i="21" s="1"/>
  <c r="EO42" i="21"/>
  <c r="FL57" i="21"/>
  <c r="FL58" i="21" s="1"/>
  <c r="FL54" i="21"/>
  <c r="EO57" i="21"/>
  <c r="EO58" i="21" s="1"/>
  <c r="EO54" i="21"/>
  <c r="DR57" i="21"/>
  <c r="DR58" i="21" s="1"/>
  <c r="DR54" i="21"/>
  <c r="FM57" i="21"/>
  <c r="FM58" i="21" s="1"/>
  <c r="FM54" i="21"/>
  <c r="DS42" i="21"/>
  <c r="DS57" i="21"/>
  <c r="DS58" i="21" s="1"/>
  <c r="DS54" i="21"/>
  <c r="CR44" i="21"/>
  <c r="CR45" i="21" s="1"/>
  <c r="CR46" i="21" s="1"/>
  <c r="CR39" i="21"/>
  <c r="CR57" i="21"/>
  <c r="CR58" i="21" s="1"/>
  <c r="CR54" i="21"/>
  <c r="AF44" i="21"/>
  <c r="AF45" i="21" s="1"/>
  <c r="AF46" i="21" s="1"/>
  <c r="AF39" i="21"/>
  <c r="AF57" i="21"/>
  <c r="AF58" i="21" s="1"/>
  <c r="AF54" i="21"/>
  <c r="EP42" i="21"/>
  <c r="EP44" i="21"/>
  <c r="EP45" i="21" s="1"/>
  <c r="EP46" i="21" s="1"/>
  <c r="EP57" i="21"/>
  <c r="EP58" i="21" s="1"/>
  <c r="EP54" i="21"/>
  <c r="Q92" i="96"/>
  <c r="Q91" i="96"/>
  <c r="Q93" i="96" s="1"/>
  <c r="P82" i="96"/>
  <c r="P81" i="96"/>
  <c r="P83" i="96" s="1"/>
  <c r="P90" i="96"/>
  <c r="P92" i="96" l="1"/>
  <c r="P91" i="96"/>
  <c r="P93" i="96" s="1"/>
  <c r="O43" i="60" l="1"/>
  <c r="G9" i="85" s="1"/>
  <c r="O44" i="60"/>
  <c r="G9" i="86" s="1"/>
  <c r="O25" i="60"/>
  <c r="G9" i="87" s="1"/>
  <c r="FJ7" i="21" s="1"/>
  <c r="FH7" i="21" l="1"/>
  <c r="EK7" i="21"/>
  <c r="Q10" i="57" s="1"/>
  <c r="L9" i="86"/>
  <c r="M7" i="86" s="1"/>
  <c r="I9" i="86"/>
  <c r="J7" i="86" s="1"/>
  <c r="FI7" i="21"/>
  <c r="O9" i="85"/>
  <c r="DO7" i="21"/>
  <c r="I9" i="85"/>
  <c r="O9" i="87"/>
  <c r="N70" i="87" s="1"/>
  <c r="P69" i="87" s="1"/>
  <c r="P75" i="87" s="1"/>
  <c r="EM7" i="21"/>
  <c r="R10" i="57" s="1"/>
  <c r="I9" i="87"/>
  <c r="L9" i="87"/>
  <c r="M7" i="87" s="1"/>
  <c r="O9" i="86"/>
  <c r="DP7" i="21"/>
  <c r="EL7" i="21"/>
  <c r="DN7" i="21"/>
  <c r="L9" i="85"/>
  <c r="Y13" i="86" l="1"/>
  <c r="K70" i="87"/>
  <c r="M69" i="87" s="1"/>
  <c r="EM19" i="21" s="1"/>
  <c r="EM8" i="21"/>
  <c r="R11" i="57" s="1"/>
  <c r="FJ8" i="21"/>
  <c r="FJ11" i="21" s="1"/>
  <c r="FJ19" i="21"/>
  <c r="FJ21" i="21" s="1"/>
  <c r="EK8" i="21"/>
  <c r="Q11" i="57" s="1"/>
  <c r="P7" i="87"/>
  <c r="K70" i="86"/>
  <c r="M69" i="86" s="1"/>
  <c r="M75" i="86" s="1"/>
  <c r="P7" i="85"/>
  <c r="FI8" i="21"/>
  <c r="N70" i="85"/>
  <c r="P69" i="85" s="1"/>
  <c r="DO8" i="21"/>
  <c r="J7" i="85"/>
  <c r="H70" i="86"/>
  <c r="J69" i="86" s="1"/>
  <c r="DN19" i="21" s="1"/>
  <c r="DN8" i="21"/>
  <c r="H70" i="85"/>
  <c r="J69" i="85" s="1"/>
  <c r="DO19" i="21" s="1"/>
  <c r="H70" i="87"/>
  <c r="J69" i="87" s="1"/>
  <c r="DP8" i="21"/>
  <c r="J7" i="87"/>
  <c r="M7" i="85"/>
  <c r="EL8" i="21"/>
  <c r="K70" i="85"/>
  <c r="M69" i="85" s="1"/>
  <c r="P7" i="86"/>
  <c r="FH8" i="21"/>
  <c r="N70" i="86"/>
  <c r="P69" i="86" s="1"/>
  <c r="X13" i="86"/>
  <c r="H30" i="86" s="1"/>
  <c r="I30" i="86" s="1"/>
  <c r="J27" i="86" s="1"/>
  <c r="M75" i="87" l="1"/>
  <c r="X13" i="85"/>
  <c r="H30" i="85" s="1"/>
  <c r="I30" i="85" s="1"/>
  <c r="J27" i="85" s="1"/>
  <c r="DO13" i="21" s="1"/>
  <c r="DO21" i="21" s="1"/>
  <c r="DO24" i="21" s="1"/>
  <c r="DO59" i="21" s="1"/>
  <c r="Z13" i="85"/>
  <c r="EM48" i="21"/>
  <c r="EM11" i="21"/>
  <c r="FJ48" i="21"/>
  <c r="EK48" i="21"/>
  <c r="EK11" i="21"/>
  <c r="EK19" i="21"/>
  <c r="EK21" i="21" s="1"/>
  <c r="DP48" i="21"/>
  <c r="DP11" i="21"/>
  <c r="FI48" i="21"/>
  <c r="FI11" i="21"/>
  <c r="J75" i="87"/>
  <c r="DP19" i="21"/>
  <c r="DP21" i="21" s="1"/>
  <c r="DP24" i="21" s="1"/>
  <c r="DP59" i="21" s="1"/>
  <c r="FI19" i="21"/>
  <c r="FI21" i="21" s="1"/>
  <c r="FI24" i="21" s="1"/>
  <c r="FI59" i="21" s="1"/>
  <c r="P75" i="85"/>
  <c r="DN48" i="21"/>
  <c r="DN11" i="21"/>
  <c r="DO48" i="21"/>
  <c r="DO11" i="21"/>
  <c r="FJ22" i="21"/>
  <c r="K62" i="6" s="1"/>
  <c r="FJ24" i="21"/>
  <c r="FJ59" i="21" s="1"/>
  <c r="J75" i="86"/>
  <c r="DN13" i="21"/>
  <c r="DN21" i="21" s="1"/>
  <c r="P75" i="86"/>
  <c r="FH19" i="21"/>
  <c r="EL19" i="21"/>
  <c r="M75" i="85"/>
  <c r="EM21" i="21"/>
  <c r="FH48" i="21"/>
  <c r="FH11" i="21"/>
  <c r="EL48" i="21"/>
  <c r="EL11" i="21"/>
  <c r="Z13" i="86"/>
  <c r="Y13" i="85"/>
  <c r="J75" i="85" l="1"/>
  <c r="EM22" i="21"/>
  <c r="R22" i="57" s="1"/>
  <c r="DP49" i="21"/>
  <c r="DO22" i="21"/>
  <c r="E61" i="6" s="1"/>
  <c r="FI22" i="21"/>
  <c r="DP22" i="21"/>
  <c r="FJ49" i="21"/>
  <c r="FJ50" i="21" s="1"/>
  <c r="DO49" i="21"/>
  <c r="DN24" i="21"/>
  <c r="DN59" i="21" s="1"/>
  <c r="DN22" i="21"/>
  <c r="EK24" i="21"/>
  <c r="EK59" i="21" s="1"/>
  <c r="Q20" i="57" s="1"/>
  <c r="Q21" i="57"/>
  <c r="EK22" i="21"/>
  <c r="EM24" i="21"/>
  <c r="EM59" i="21" s="1"/>
  <c r="R20" i="57" s="1"/>
  <c r="R21" i="57"/>
  <c r="FJ35" i="21"/>
  <c r="FI49" i="21"/>
  <c r="FH21" i="21"/>
  <c r="FH22" i="21" s="1"/>
  <c r="EL21" i="21"/>
  <c r="EL22" i="21" s="1"/>
  <c r="H62" i="6" l="1"/>
  <c r="M62" i="6" s="1"/>
  <c r="K61" i="6"/>
  <c r="DP50" i="21"/>
  <c r="DO35" i="21"/>
  <c r="DO36" i="21" s="1"/>
  <c r="FI35" i="21"/>
  <c r="E62" i="6"/>
  <c r="DP35" i="21"/>
  <c r="DO50" i="21"/>
  <c r="EM35" i="21"/>
  <c r="EM36" i="21" s="1"/>
  <c r="EM49" i="21"/>
  <c r="EM50" i="21" s="1"/>
  <c r="H61" i="6"/>
  <c r="M61" i="6" s="1"/>
  <c r="K60" i="6"/>
  <c r="H60" i="6"/>
  <c r="M60" i="6" s="1"/>
  <c r="EK35" i="21"/>
  <c r="Q22" i="57"/>
  <c r="S22" i="57" s="1"/>
  <c r="DN35" i="21"/>
  <c r="E60" i="6"/>
  <c r="EK49" i="21"/>
  <c r="DN49" i="21"/>
  <c r="EL24" i="21"/>
  <c r="EL59" i="21" s="1"/>
  <c r="FI50" i="21"/>
  <c r="FJ36" i="21"/>
  <c r="FH24" i="21"/>
  <c r="FH59" i="21" s="1"/>
  <c r="FI36" i="21" l="1"/>
  <c r="DP36" i="21"/>
  <c r="FH49" i="21"/>
  <c r="FH50" i="21" s="1"/>
  <c r="EK36" i="21"/>
  <c r="FH35" i="21"/>
  <c r="EL49" i="21"/>
  <c r="DN50" i="21"/>
  <c r="DN36" i="21"/>
  <c r="EK50" i="21"/>
  <c r="EL35" i="21"/>
  <c r="FH36" i="21" l="1"/>
  <c r="EL36" i="21"/>
  <c r="EL50" i="21"/>
  <c r="N74" i="13" l="1"/>
  <c r="M18" i="23" l="1"/>
  <c r="M18" i="22"/>
  <c r="I19" i="29"/>
  <c r="J18" i="29" s="1"/>
  <c r="I19" i="26"/>
  <c r="J18" i="26" s="1"/>
  <c r="L18" i="101"/>
  <c r="M17" i="101" s="1"/>
  <c r="S18" i="101" s="1"/>
  <c r="O19" i="87"/>
  <c r="P18" i="87" s="1"/>
  <c r="P1" i="87" s="1"/>
  <c r="M18" i="78"/>
  <c r="M1" i="78" s="1"/>
  <c r="M18" i="87"/>
  <c r="M1" i="87" s="1"/>
  <c r="I19" i="81"/>
  <c r="J18" i="81" s="1"/>
  <c r="J1" i="81" s="1"/>
  <c r="O19" i="78"/>
  <c r="P18" i="78" s="1"/>
  <c r="P1" i="78" s="1"/>
  <c r="O19" i="72"/>
  <c r="P18" i="72" s="1"/>
  <c r="I19" i="43"/>
  <c r="J18" i="43" s="1"/>
  <c r="I19" i="33"/>
  <c r="J18" i="33" s="1"/>
  <c r="O19" i="24"/>
  <c r="P18" i="24" s="1"/>
  <c r="I19" i="46"/>
  <c r="J18" i="46" s="1"/>
  <c r="O19" i="36"/>
  <c r="P18" i="36" s="1"/>
  <c r="O19" i="23"/>
  <c r="P18" i="23" s="1"/>
  <c r="M18" i="48"/>
  <c r="I19" i="37"/>
  <c r="J18" i="37" s="1"/>
  <c r="O19" i="28"/>
  <c r="P18" i="28" s="1"/>
  <c r="I19" i="48"/>
  <c r="J18" i="48" s="1"/>
  <c r="O19" i="38"/>
  <c r="P18" i="38" s="1"/>
  <c r="M18" i="28"/>
  <c r="I18" i="101"/>
  <c r="J17" i="101" s="1"/>
  <c r="R18" i="101" s="1"/>
  <c r="M18" i="77"/>
  <c r="M1" i="77" s="1"/>
  <c r="M18" i="82"/>
  <c r="M1" i="82" s="1"/>
  <c r="M18" i="91"/>
  <c r="O19" i="79"/>
  <c r="P18" i="79" s="1"/>
  <c r="P1" i="79" s="1"/>
  <c r="O19" i="84"/>
  <c r="I19" i="71"/>
  <c r="J18" i="71" s="1"/>
  <c r="M18" i="42"/>
  <c r="M18" i="32"/>
  <c r="I19" i="22"/>
  <c r="J18" i="22" s="1"/>
  <c r="M18" i="45"/>
  <c r="I19" i="32"/>
  <c r="J18" i="32" s="1"/>
  <c r="M18" i="73"/>
  <c r="M1" i="73" s="1"/>
  <c r="O19" i="47"/>
  <c r="P18" i="47" s="1"/>
  <c r="M18" i="36"/>
  <c r="I19" i="24"/>
  <c r="J18" i="24" s="1"/>
  <c r="M18" i="47"/>
  <c r="I19" i="36"/>
  <c r="J18" i="36" s="1"/>
  <c r="O19" i="27"/>
  <c r="P18" i="27" s="1"/>
  <c r="M18" i="35"/>
  <c r="I19" i="84"/>
  <c r="M18" i="109"/>
  <c r="M1" i="109" s="1"/>
  <c r="M18" i="81"/>
  <c r="M1" i="81" s="1"/>
  <c r="M18" i="86"/>
  <c r="M1" i="86" s="1"/>
  <c r="I19" i="87"/>
  <c r="J18" i="87" s="1"/>
  <c r="J1" i="87" s="1"/>
  <c r="I19" i="78"/>
  <c r="J18" i="78" s="1"/>
  <c r="J1" i="78" s="1"/>
  <c r="I19" i="74"/>
  <c r="J18" i="74" s="1"/>
  <c r="J1" i="74" s="1"/>
  <c r="I19" i="77"/>
  <c r="J18" i="77" s="1"/>
  <c r="J1" i="77" s="1"/>
  <c r="P18" i="51"/>
  <c r="O19" i="41"/>
  <c r="P18" i="41" s="1"/>
  <c r="O19" i="31"/>
  <c r="P18" i="31" s="1"/>
  <c r="P18" i="73"/>
  <c r="P1" i="73" s="1"/>
  <c r="O19" i="44"/>
  <c r="P18" i="44" s="1"/>
  <c r="M18" i="31"/>
  <c r="I19" i="72"/>
  <c r="J18" i="72" s="1"/>
  <c r="I19" i="45"/>
  <c r="J18" i="45" s="1"/>
  <c r="O19" i="35"/>
  <c r="P18" i="35" s="1"/>
  <c r="O19" i="46"/>
  <c r="P18" i="46" s="1"/>
  <c r="O19" i="26"/>
  <c r="P18" i="26" s="1"/>
  <c r="O18" i="101"/>
  <c r="P17" i="101" s="1"/>
  <c r="T18" i="101" s="1"/>
  <c r="O19" i="109"/>
  <c r="P18" i="109" s="1"/>
  <c r="P1" i="109" s="1"/>
  <c r="M18" i="85"/>
  <c r="M1" i="85" s="1"/>
  <c r="I19" i="86"/>
  <c r="J18" i="86" s="1"/>
  <c r="J1" i="86" s="1"/>
  <c r="I19" i="91"/>
  <c r="J18" i="91" s="1"/>
  <c r="O19" i="91"/>
  <c r="P18" i="91" s="1"/>
  <c r="O19" i="77"/>
  <c r="P18" i="77" s="1"/>
  <c r="P1" i="77" s="1"/>
  <c r="I19" i="82"/>
  <c r="J18" i="82" s="1"/>
  <c r="J1" i="82" s="1"/>
  <c r="M18" i="50"/>
  <c r="I19" i="39"/>
  <c r="J18" i="39" s="1"/>
  <c r="M18" i="72"/>
  <c r="I19" i="42"/>
  <c r="J18" i="42" s="1"/>
  <c r="O19" i="30"/>
  <c r="P18" i="30" s="1"/>
  <c r="O19" i="71"/>
  <c r="P18" i="71" s="1"/>
  <c r="M18" i="44"/>
  <c r="O19" i="34"/>
  <c r="P18" i="34" s="1"/>
  <c r="O19" i="22"/>
  <c r="P18" i="22" s="1"/>
  <c r="I19" i="44"/>
  <c r="J18" i="44" s="1"/>
  <c r="M18" i="34"/>
  <c r="O19" i="25"/>
  <c r="P18" i="25" s="1"/>
  <c r="I19" i="109"/>
  <c r="J18" i="109" s="1"/>
  <c r="J1" i="109" s="1"/>
  <c r="I19" i="85"/>
  <c r="J18" i="85" s="1"/>
  <c r="J1" i="85" s="1"/>
  <c r="O19" i="85"/>
  <c r="P18" i="85" s="1"/>
  <c r="P1" i="85" s="1"/>
  <c r="O19" i="86"/>
  <c r="P18" i="86" s="1"/>
  <c r="P1" i="86" s="1"/>
  <c r="O19" i="80"/>
  <c r="P18" i="80" s="1"/>
  <c r="P1" i="80" s="1"/>
  <c r="I19" i="79"/>
  <c r="J18" i="79" s="1"/>
  <c r="J1" i="79" s="1"/>
  <c r="O19" i="76"/>
  <c r="P18" i="76" s="1"/>
  <c r="P1" i="76" s="1"/>
  <c r="O19" i="49"/>
  <c r="P18" i="49" s="1"/>
  <c r="M18" i="38"/>
  <c r="I19" i="28"/>
  <c r="J18" i="28" s="1"/>
  <c r="M18" i="51"/>
  <c r="M18" i="41"/>
  <c r="I19" i="27"/>
  <c r="J18" i="27" s="1"/>
  <c r="O19" i="70"/>
  <c r="P18" i="70" s="1"/>
  <c r="P1" i="70" s="1"/>
  <c r="O19" i="43"/>
  <c r="P18" i="43" s="1"/>
  <c r="O19" i="33"/>
  <c r="P18" i="33" s="1"/>
  <c r="I19" i="73"/>
  <c r="J18" i="73" s="1"/>
  <c r="M18" i="43"/>
  <c r="M18" i="33"/>
  <c r="I19" i="23"/>
  <c r="J18" i="23" s="1"/>
  <c r="O19" i="75"/>
  <c r="P18" i="75" s="1"/>
  <c r="P1" i="75" s="1"/>
  <c r="M18" i="75"/>
  <c r="M1" i="75" s="1"/>
  <c r="M18" i="76"/>
  <c r="M1" i="76" s="1"/>
  <c r="O19" i="83"/>
  <c r="P18" i="83" s="1"/>
  <c r="P1" i="83" s="1"/>
  <c r="O19" i="82"/>
  <c r="P18" i="82" s="1"/>
  <c r="P1" i="82" s="1"/>
  <c r="I19" i="47"/>
  <c r="J18" i="47" s="1"/>
  <c r="O19" i="37"/>
  <c r="P18" i="37" s="1"/>
  <c r="M18" i="27"/>
  <c r="I19" i="50"/>
  <c r="J18" i="50" s="1"/>
  <c r="O19" i="40"/>
  <c r="P18" i="40" s="1"/>
  <c r="M18" i="70"/>
  <c r="M1" i="70" s="1"/>
  <c r="I19" i="41"/>
  <c r="J18" i="41" s="1"/>
  <c r="I19" i="31"/>
  <c r="J18" i="31" s="1"/>
  <c r="M18" i="71"/>
  <c r="O19" i="42"/>
  <c r="P18" i="42" s="1"/>
  <c r="O19" i="32"/>
  <c r="P18" i="32" s="1"/>
  <c r="I19" i="75"/>
  <c r="J18" i="75" s="1"/>
  <c r="J1" i="75" s="1"/>
  <c r="M18" i="79"/>
  <c r="M1" i="79" s="1"/>
  <c r="M18" i="80"/>
  <c r="M1" i="80" s="1"/>
  <c r="I19" i="83"/>
  <c r="J18" i="83" s="1"/>
  <c r="J1" i="83" s="1"/>
  <c r="I19" i="80"/>
  <c r="J18" i="80" s="1"/>
  <c r="J1" i="80" s="1"/>
  <c r="M18" i="46"/>
  <c r="I19" i="35"/>
  <c r="J18" i="35" s="1"/>
  <c r="R19" i="35" s="1"/>
  <c r="M18" i="26"/>
  <c r="M18" i="49"/>
  <c r="I19" i="38"/>
  <c r="J18" i="38" s="1"/>
  <c r="I19" i="25"/>
  <c r="J18" i="25" s="1"/>
  <c r="J18" i="51"/>
  <c r="M18" i="40"/>
  <c r="M18" i="30"/>
  <c r="I19" i="70"/>
  <c r="J18" i="70" s="1"/>
  <c r="J1" i="70" s="1"/>
  <c r="I19" i="40"/>
  <c r="J18" i="40" s="1"/>
  <c r="I19" i="30"/>
  <c r="J18" i="30" s="1"/>
  <c r="O19" i="74"/>
  <c r="P18" i="74" s="1"/>
  <c r="P1" i="74" s="1"/>
  <c r="M18" i="74"/>
  <c r="M1" i="74" s="1"/>
  <c r="M18" i="83"/>
  <c r="M1" i="83" s="1"/>
  <c r="M1" i="84"/>
  <c r="I19" i="76"/>
  <c r="J18" i="76" s="1"/>
  <c r="J1" i="76" s="1"/>
  <c r="O19" i="81"/>
  <c r="P18" i="81" s="1"/>
  <c r="P1" i="81" s="1"/>
  <c r="O19" i="45"/>
  <c r="P18" i="45" s="1"/>
  <c r="I19" i="34"/>
  <c r="J18" i="34" s="1"/>
  <c r="M18" i="25"/>
  <c r="O19" i="48"/>
  <c r="P18" i="48" s="1"/>
  <c r="M18" i="37"/>
  <c r="M18" i="24"/>
  <c r="I19" i="49"/>
  <c r="J18" i="49" s="1"/>
  <c r="O19" i="39"/>
  <c r="P18" i="39" s="1"/>
  <c r="O19" i="29"/>
  <c r="P18" i="29" s="1"/>
  <c r="O19" i="50"/>
  <c r="P18" i="50" s="1"/>
  <c r="M18" i="39"/>
  <c r="M18" i="29"/>
  <c r="P18" i="84" l="1"/>
  <c r="P1" i="84" s="1"/>
  <c r="J1" i="84"/>
  <c r="J18" i="84"/>
  <c r="AM63" i="21"/>
  <c r="S19" i="25"/>
  <c r="M1" i="25"/>
  <c r="EV63" i="21"/>
  <c r="T19" i="74"/>
  <c r="T63" i="21"/>
  <c r="R19" i="38"/>
  <c r="J1" i="38"/>
  <c r="ED63" i="21"/>
  <c r="S19" i="79"/>
  <c r="DU63" i="21"/>
  <c r="S19" i="70"/>
  <c r="EA63" i="21"/>
  <c r="S19" i="76"/>
  <c r="CK63" i="21"/>
  <c r="T19" i="43"/>
  <c r="P1" i="43"/>
  <c r="EX63" i="21"/>
  <c r="T19" i="76"/>
  <c r="AV63" i="21"/>
  <c r="S19" i="34"/>
  <c r="M1" i="34"/>
  <c r="DW63" i="21"/>
  <c r="S19" i="72"/>
  <c r="EL63" i="21"/>
  <c r="S19" i="85"/>
  <c r="CZ63" i="21"/>
  <c r="R19" i="72"/>
  <c r="DB63" i="21"/>
  <c r="R19" i="74"/>
  <c r="BU63" i="21"/>
  <c r="T19" i="27"/>
  <c r="P1" i="27"/>
  <c r="BG63" i="21"/>
  <c r="S19" i="45"/>
  <c r="M1" i="45"/>
  <c r="EH63" i="21"/>
  <c r="S19" i="82"/>
  <c r="BJ63" i="21"/>
  <c r="S19" i="48"/>
  <c r="M1" i="48"/>
  <c r="EZ63" i="21"/>
  <c r="T19" i="78"/>
  <c r="S19" i="49"/>
  <c r="M1" i="49"/>
  <c r="DC63" i="21"/>
  <c r="R19" i="75"/>
  <c r="CH63" i="21"/>
  <c r="T19" i="40"/>
  <c r="P1" i="40"/>
  <c r="DZ63" i="21"/>
  <c r="S19" i="75"/>
  <c r="ER63" i="21"/>
  <c r="T19" i="70"/>
  <c r="DG63" i="21"/>
  <c r="R19" i="79"/>
  <c r="Z63" i="21"/>
  <c r="R19" i="44"/>
  <c r="J1" i="44"/>
  <c r="U63" i="21"/>
  <c r="R19" i="39"/>
  <c r="J1" i="39"/>
  <c r="FB63" i="21"/>
  <c r="T19" i="109"/>
  <c r="AS63" i="21"/>
  <c r="S19" i="31"/>
  <c r="M1" i="31"/>
  <c r="DF63" i="21"/>
  <c r="R19" i="78"/>
  <c r="R19" i="36"/>
  <c r="J1" i="36"/>
  <c r="D63" i="21"/>
  <c r="R19" i="22"/>
  <c r="J1" i="22"/>
  <c r="EB63" i="21"/>
  <c r="S19" i="77"/>
  <c r="BQ63" i="21"/>
  <c r="T19" i="23"/>
  <c r="P1" i="23"/>
  <c r="DJ63" i="21"/>
  <c r="R19" i="81"/>
  <c r="P63" i="21"/>
  <c r="R19" i="34"/>
  <c r="J1" i="34"/>
  <c r="V63" i="21"/>
  <c r="R19" i="40"/>
  <c r="J1" i="40"/>
  <c r="AN63" i="21"/>
  <c r="S19" i="26"/>
  <c r="M1" i="26"/>
  <c r="AJ63" i="21"/>
  <c r="S19" i="22"/>
  <c r="M1" i="22"/>
  <c r="AG63" i="21"/>
  <c r="R19" i="50"/>
  <c r="J1" i="50"/>
  <c r="EW63" i="21"/>
  <c r="T19" i="75"/>
  <c r="I63" i="21"/>
  <c r="R19" i="27"/>
  <c r="J1" i="27"/>
  <c r="FC63" i="21"/>
  <c r="T19" i="80"/>
  <c r="BP63" i="21"/>
  <c r="T19" i="22"/>
  <c r="P1" i="22"/>
  <c r="BM63" i="21"/>
  <c r="S19" i="50"/>
  <c r="M1" i="50"/>
  <c r="CL63" i="21"/>
  <c r="T19" i="44"/>
  <c r="P1" i="44"/>
  <c r="DP63" i="21"/>
  <c r="R19" i="87"/>
  <c r="BI63" i="21"/>
  <c r="S19" i="47"/>
  <c r="M1" i="47"/>
  <c r="AT63" i="21"/>
  <c r="S19" i="32"/>
  <c r="M1" i="32"/>
  <c r="T19" i="36"/>
  <c r="P1" i="36"/>
  <c r="EM63" i="21"/>
  <c r="S19" i="87"/>
  <c r="CM63" i="21"/>
  <c r="T19" i="45"/>
  <c r="P1" i="45"/>
  <c r="CG63" i="21"/>
  <c r="T19" i="39"/>
  <c r="P1" i="39"/>
  <c r="FD63" i="21"/>
  <c r="S16" i="20" s="1"/>
  <c r="S18" i="20" s="1"/>
  <c r="T19" i="81"/>
  <c r="CX63" i="21"/>
  <c r="R19" i="70"/>
  <c r="Q63" i="21"/>
  <c r="J1" i="35"/>
  <c r="BZ63" i="21"/>
  <c r="T19" i="32"/>
  <c r="P1" i="32"/>
  <c r="AO63" i="21"/>
  <c r="S19" i="27"/>
  <c r="M1" i="27"/>
  <c r="E63" i="21"/>
  <c r="R19" i="23"/>
  <c r="J1" i="23"/>
  <c r="S19" i="41"/>
  <c r="M1" i="41"/>
  <c r="FH63" i="21"/>
  <c r="T19" i="86"/>
  <c r="CB63" i="21"/>
  <c r="T19" i="34"/>
  <c r="P1" i="34"/>
  <c r="DK63" i="21"/>
  <c r="R19" i="82"/>
  <c r="BT63" i="21"/>
  <c r="T19" i="26"/>
  <c r="P1" i="26"/>
  <c r="EU63" i="21"/>
  <c r="T19" i="73"/>
  <c r="EK63" i="21"/>
  <c r="S19" i="86"/>
  <c r="F63" i="21"/>
  <c r="R19" i="24"/>
  <c r="J1" i="24"/>
  <c r="BD63" i="21"/>
  <c r="S19" i="42"/>
  <c r="M1" i="42"/>
  <c r="AP63" i="21"/>
  <c r="S19" i="28"/>
  <c r="M1" i="28"/>
  <c r="AB63" i="21"/>
  <c r="R19" i="46"/>
  <c r="J1" i="46"/>
  <c r="EC63" i="21"/>
  <c r="S19" i="78"/>
  <c r="BW63" i="21"/>
  <c r="T19" i="29"/>
  <c r="P1" i="29"/>
  <c r="AE63" i="21"/>
  <c r="R19" i="49"/>
  <c r="J1" i="49"/>
  <c r="DD63" i="21"/>
  <c r="R19" i="76"/>
  <c r="AR63" i="21"/>
  <c r="S19" i="30"/>
  <c r="M1" i="30"/>
  <c r="BH63" i="21"/>
  <c r="S19" i="46"/>
  <c r="M1" i="46"/>
  <c r="CJ63" i="21"/>
  <c r="T19" i="42"/>
  <c r="P1" i="42"/>
  <c r="CE63" i="21"/>
  <c r="T19" i="37"/>
  <c r="P1" i="37"/>
  <c r="AU63" i="21"/>
  <c r="S19" i="33"/>
  <c r="M1" i="33"/>
  <c r="BN63" i="21"/>
  <c r="S19" i="51"/>
  <c r="M1" i="51"/>
  <c r="FI63" i="21"/>
  <c r="T19" i="85"/>
  <c r="BF63" i="21"/>
  <c r="S19" i="44"/>
  <c r="M1" i="44"/>
  <c r="EY63" i="21"/>
  <c r="T19" i="77"/>
  <c r="CN63" i="21"/>
  <c r="T19" i="46"/>
  <c r="P1" i="46"/>
  <c r="BY63" i="21"/>
  <c r="T19" i="31"/>
  <c r="P1" i="31"/>
  <c r="EG63" i="21"/>
  <c r="S19" i="81"/>
  <c r="S19" i="36"/>
  <c r="M1" i="36"/>
  <c r="CY63" i="21"/>
  <c r="R19" i="71"/>
  <c r="CF63" i="21"/>
  <c r="T19" i="38"/>
  <c r="P1" i="38"/>
  <c r="BR63" i="21"/>
  <c r="T19" i="24"/>
  <c r="P1" i="24"/>
  <c r="FJ63" i="21"/>
  <c r="T19" i="87"/>
  <c r="CS63" i="21"/>
  <c r="T19" i="50"/>
  <c r="P1" i="50"/>
  <c r="AL63" i="21"/>
  <c r="S19" i="24"/>
  <c r="M1" i="24"/>
  <c r="EJ63" i="21"/>
  <c r="S19" i="84"/>
  <c r="BB63" i="21"/>
  <c r="S19" i="40"/>
  <c r="M1" i="40"/>
  <c r="DI63" i="21"/>
  <c r="R19" i="80"/>
  <c r="DV63" i="21"/>
  <c r="S19" i="71"/>
  <c r="AC63" i="21"/>
  <c r="R19" i="47"/>
  <c r="J1" i="47"/>
  <c r="BE63" i="21"/>
  <c r="S19" i="43"/>
  <c r="M1" i="43"/>
  <c r="J63" i="21"/>
  <c r="R19" i="28"/>
  <c r="J1" i="28"/>
  <c r="DO63" i="21"/>
  <c r="R19" i="85"/>
  <c r="ES63" i="21"/>
  <c r="T19" i="71"/>
  <c r="T19" i="91"/>
  <c r="AK63" i="21"/>
  <c r="I16" i="20" s="1"/>
  <c r="S19" i="23"/>
  <c r="M1" i="23"/>
  <c r="T19" i="41"/>
  <c r="P1" i="41"/>
  <c r="EE63" i="21"/>
  <c r="S19" i="109"/>
  <c r="CO63" i="21"/>
  <c r="T19" i="47"/>
  <c r="P1" i="47"/>
  <c r="AD63" i="21"/>
  <c r="R19" i="48"/>
  <c r="J1" i="48"/>
  <c r="O63" i="21"/>
  <c r="R19" i="33"/>
  <c r="J1" i="33"/>
  <c r="BA63" i="21"/>
  <c r="S19" i="39"/>
  <c r="M1" i="39"/>
  <c r="AY63" i="21"/>
  <c r="O16" i="20" s="1"/>
  <c r="O18" i="20" s="1"/>
  <c r="S19" i="37"/>
  <c r="M1" i="37"/>
  <c r="EI63" i="21"/>
  <c r="S19" i="83"/>
  <c r="AH63" i="21"/>
  <c r="R19" i="51"/>
  <c r="J1" i="51"/>
  <c r="DL63" i="21"/>
  <c r="R19" i="83"/>
  <c r="M63" i="21"/>
  <c r="R19" i="31"/>
  <c r="J1" i="31"/>
  <c r="FE63" i="21"/>
  <c r="T19" i="82"/>
  <c r="DA63" i="21"/>
  <c r="R19" i="73"/>
  <c r="AZ63" i="21"/>
  <c r="S19" i="38"/>
  <c r="M1" i="38"/>
  <c r="DH63" i="21"/>
  <c r="R19" i="109"/>
  <c r="BX63" i="21"/>
  <c r="T19" i="30"/>
  <c r="P1" i="30"/>
  <c r="R19" i="91"/>
  <c r="CC63" i="21"/>
  <c r="T19" i="35"/>
  <c r="P1" i="35"/>
  <c r="CT63" i="21"/>
  <c r="T19" i="51"/>
  <c r="P1" i="51"/>
  <c r="DM63" i="21"/>
  <c r="R19" i="84"/>
  <c r="DX63" i="21"/>
  <c r="S19" i="73"/>
  <c r="FA63" i="21"/>
  <c r="T19" i="79"/>
  <c r="BV63" i="21"/>
  <c r="T19" i="28"/>
  <c r="P1" i="28"/>
  <c r="Y63" i="21"/>
  <c r="R19" i="43"/>
  <c r="J1" i="43"/>
  <c r="H63" i="21"/>
  <c r="R19" i="26"/>
  <c r="J1" i="26"/>
  <c r="L63" i="21"/>
  <c r="R19" i="30"/>
  <c r="J1" i="30"/>
  <c r="AQ63" i="21"/>
  <c r="S19" i="29"/>
  <c r="M1" i="29"/>
  <c r="CP63" i="21"/>
  <c r="T19" i="48"/>
  <c r="P1" i="48"/>
  <c r="DY63" i="21"/>
  <c r="S19" i="74"/>
  <c r="G63" i="21"/>
  <c r="R19" i="25"/>
  <c r="J1" i="25"/>
  <c r="EF63" i="21"/>
  <c r="S19" i="80"/>
  <c r="R19" i="41"/>
  <c r="J1" i="41"/>
  <c r="FF63" i="21"/>
  <c r="T19" i="83"/>
  <c r="CA63" i="21"/>
  <c r="T19" i="33"/>
  <c r="P1" i="33"/>
  <c r="CQ63" i="21"/>
  <c r="T19" i="49"/>
  <c r="P1" i="49"/>
  <c r="BS63" i="21"/>
  <c r="T19" i="25"/>
  <c r="P1" i="25"/>
  <c r="X63" i="21"/>
  <c r="R19" i="42"/>
  <c r="J1" i="42"/>
  <c r="DN63" i="21"/>
  <c r="R19" i="86"/>
  <c r="AA63" i="21"/>
  <c r="R19" i="45"/>
  <c r="J1" i="45"/>
  <c r="DE63" i="21"/>
  <c r="R19" i="77"/>
  <c r="AW63" i="21"/>
  <c r="M16" i="20" s="1"/>
  <c r="M18" i="20" s="1"/>
  <c r="S19" i="35"/>
  <c r="M1" i="35"/>
  <c r="N63" i="21"/>
  <c r="R19" i="32"/>
  <c r="J1" i="32"/>
  <c r="S19" i="91"/>
  <c r="S63" i="21"/>
  <c r="R19" i="37"/>
  <c r="J1" i="37"/>
  <c r="ET63" i="21"/>
  <c r="T19" i="72"/>
  <c r="K63" i="21"/>
  <c r="R19" i="29"/>
  <c r="J1" i="29"/>
  <c r="K16" i="20" l="1"/>
  <c r="K18" i="20" s="1"/>
  <c r="K34" i="20" s="1"/>
  <c r="T19" i="84"/>
  <c r="FG63" i="21"/>
  <c r="N1" i="31"/>
  <c r="N1" i="47"/>
  <c r="K1" i="44"/>
  <c r="K1" i="36"/>
  <c r="N1" i="87"/>
  <c r="N1" i="25"/>
  <c r="N1" i="49"/>
  <c r="K1" i="38"/>
  <c r="K1" i="27"/>
  <c r="N1" i="79"/>
  <c r="N1" i="48"/>
  <c r="K1" i="79"/>
  <c r="N1" i="34"/>
  <c r="N1" i="50"/>
  <c r="N1" i="32"/>
  <c r="K1" i="74"/>
  <c r="N1" i="45"/>
  <c r="N1" i="30"/>
  <c r="K1" i="81"/>
  <c r="N1" i="72"/>
  <c r="K1" i="39"/>
  <c r="K1" i="73"/>
  <c r="N1" i="85"/>
  <c r="K1" i="50"/>
  <c r="N1" i="41"/>
  <c r="K1" i="72"/>
  <c r="N1" i="28"/>
  <c r="K1" i="40"/>
  <c r="N1" i="26"/>
  <c r="K1" i="75"/>
  <c r="K1" i="91"/>
  <c r="K1" i="51"/>
  <c r="N1" i="42"/>
  <c r="K1" i="109"/>
  <c r="K1" i="86"/>
  <c r="N1" i="84"/>
  <c r="N1" i="38"/>
  <c r="N1" i="75"/>
  <c r="N1" i="76"/>
  <c r="N1" i="33"/>
  <c r="K1" i="23"/>
  <c r="K1" i="24"/>
  <c r="N1" i="77"/>
  <c r="N1" i="70"/>
  <c r="N1" i="29"/>
  <c r="N1" i="86"/>
  <c r="N1" i="82"/>
  <c r="K1" i="78"/>
  <c r="K1" i="87"/>
  <c r="N1" i="83"/>
  <c r="H37" i="21"/>
  <c r="H23" i="21"/>
  <c r="AZ23" i="21"/>
  <c r="AZ37" i="21"/>
  <c r="BA23" i="21"/>
  <c r="BA37" i="21"/>
  <c r="J23" i="21"/>
  <c r="J37" i="21"/>
  <c r="K1" i="71"/>
  <c r="CS23" i="21"/>
  <c r="CS37" i="21"/>
  <c r="CN23" i="21"/>
  <c r="CN37" i="21"/>
  <c r="BH23" i="21"/>
  <c r="BH37" i="21"/>
  <c r="BD37" i="21"/>
  <c r="BD23" i="21"/>
  <c r="N1" i="73"/>
  <c r="CM37" i="21"/>
  <c r="CM23" i="21"/>
  <c r="K1" i="32"/>
  <c r="BP23" i="21"/>
  <c r="BP37" i="21"/>
  <c r="P23" i="21"/>
  <c r="P37" i="21"/>
  <c r="K1" i="77"/>
  <c r="FB37" i="21"/>
  <c r="FB23" i="21"/>
  <c r="BK23" i="21"/>
  <c r="BK37" i="21"/>
  <c r="K1" i="82"/>
  <c r="EL23" i="21"/>
  <c r="EL37" i="21"/>
  <c r="U16" i="20"/>
  <c r="U18" i="20" s="1"/>
  <c r="T37" i="21"/>
  <c r="T23" i="21"/>
  <c r="M121" i="20"/>
  <c r="M34" i="20"/>
  <c r="M52" i="20"/>
  <c r="M19" i="20"/>
  <c r="M122" i="20" s="1"/>
  <c r="G23" i="21"/>
  <c r="G37" i="21"/>
  <c r="K1" i="29"/>
  <c r="FA37" i="21"/>
  <c r="FA23" i="21"/>
  <c r="N1" i="51"/>
  <c r="M23" i="21"/>
  <c r="M37" i="21"/>
  <c r="K1" i="83"/>
  <c r="FG23" i="21"/>
  <c r="FG37" i="21"/>
  <c r="N1" i="71"/>
  <c r="DV37" i="21"/>
  <c r="DV23" i="21"/>
  <c r="K1" i="84"/>
  <c r="CF37" i="21"/>
  <c r="CF23" i="21"/>
  <c r="FI37" i="21"/>
  <c r="FI23" i="21"/>
  <c r="N1" i="37"/>
  <c r="AE23" i="21"/>
  <c r="AE37" i="21"/>
  <c r="EU23" i="21"/>
  <c r="EU37" i="21"/>
  <c r="BZ37" i="21"/>
  <c r="BZ23" i="21"/>
  <c r="N1" i="81"/>
  <c r="AT23" i="21"/>
  <c r="AT37" i="21"/>
  <c r="N1" i="44"/>
  <c r="EW37" i="21"/>
  <c r="EW23" i="21"/>
  <c r="K1" i="26"/>
  <c r="EB23" i="21"/>
  <c r="EB37" i="21"/>
  <c r="DG23" i="21"/>
  <c r="DG37" i="21"/>
  <c r="N1" i="40"/>
  <c r="EH23" i="21"/>
  <c r="EH37" i="21"/>
  <c r="EX23" i="21"/>
  <c r="EX37" i="21"/>
  <c r="K1" i="70"/>
  <c r="S23" i="21"/>
  <c r="S37" i="21"/>
  <c r="AW37" i="21"/>
  <c r="AW23" i="21"/>
  <c r="FF37" i="21"/>
  <c r="FF23" i="21"/>
  <c r="DN23" i="21"/>
  <c r="DN37" i="21"/>
  <c r="K23" i="21"/>
  <c r="K37" i="21"/>
  <c r="CQ23" i="21"/>
  <c r="CQ37" i="21"/>
  <c r="AQ37" i="21"/>
  <c r="AQ23" i="21"/>
  <c r="CT37" i="21"/>
  <c r="CT23" i="21"/>
  <c r="BX23" i="21"/>
  <c r="BX37" i="21"/>
  <c r="EI37" i="21"/>
  <c r="EI23" i="21"/>
  <c r="ES37" i="21"/>
  <c r="ES23" i="21"/>
  <c r="K1" i="43"/>
  <c r="EJ23" i="21"/>
  <c r="EJ37" i="21"/>
  <c r="EG23" i="21"/>
  <c r="EG37" i="21"/>
  <c r="CE23" i="21"/>
  <c r="CE37" i="21"/>
  <c r="K1" i="30"/>
  <c r="AB37" i="21"/>
  <c r="AB23" i="21"/>
  <c r="CB23" i="21"/>
  <c r="CB37" i="21"/>
  <c r="FD37" i="21"/>
  <c r="FD23" i="21"/>
  <c r="CL37" i="21"/>
  <c r="CL23" i="21"/>
  <c r="N1" i="80"/>
  <c r="AN23" i="21"/>
  <c r="AN37" i="21"/>
  <c r="DF23" i="21"/>
  <c r="DF37" i="21"/>
  <c r="CH23" i="21"/>
  <c r="CH37" i="21"/>
  <c r="N1" i="78"/>
  <c r="DB23" i="21"/>
  <c r="DB37" i="21"/>
  <c r="DU37" i="21"/>
  <c r="DU23" i="21"/>
  <c r="N1" i="74"/>
  <c r="DE23" i="21"/>
  <c r="DE37" i="21"/>
  <c r="DA23" i="21"/>
  <c r="DA37" i="21"/>
  <c r="O37" i="21"/>
  <c r="O23" i="21"/>
  <c r="BE37" i="21"/>
  <c r="BE23" i="21"/>
  <c r="E23" i="21"/>
  <c r="E37" i="21"/>
  <c r="S121" i="20"/>
  <c r="S34" i="20"/>
  <c r="S52" i="20"/>
  <c r="S19" i="20"/>
  <c r="S122" i="20" s="1"/>
  <c r="EM37" i="21"/>
  <c r="EM23" i="21"/>
  <c r="K1" i="47"/>
  <c r="FC23" i="21"/>
  <c r="FC37" i="21"/>
  <c r="DJ23" i="21"/>
  <c r="DJ37" i="21"/>
  <c r="K1" i="22"/>
  <c r="U23" i="21"/>
  <c r="U37" i="21"/>
  <c r="EZ37" i="21"/>
  <c r="EZ23" i="21"/>
  <c r="K1" i="45"/>
  <c r="DW37" i="21"/>
  <c r="DW23" i="21"/>
  <c r="N1" i="43"/>
  <c r="EV23" i="21"/>
  <c r="EV37" i="21"/>
  <c r="Y23" i="21"/>
  <c r="Y37" i="21"/>
  <c r="X37" i="21"/>
  <c r="X23" i="21"/>
  <c r="N1" i="35"/>
  <c r="DL23" i="21"/>
  <c r="DL37" i="21"/>
  <c r="K1" i="37"/>
  <c r="CO23" i="21"/>
  <c r="CO37" i="21"/>
  <c r="DI23" i="21"/>
  <c r="DI37" i="21"/>
  <c r="CY23" i="21"/>
  <c r="CY37" i="21"/>
  <c r="BN37" i="21"/>
  <c r="BN23" i="21"/>
  <c r="BW23" i="21"/>
  <c r="BW37" i="21"/>
  <c r="K1" i="28"/>
  <c r="BT23" i="21"/>
  <c r="BT37" i="21"/>
  <c r="Q23" i="21"/>
  <c r="Q37" i="21"/>
  <c r="N1" i="39"/>
  <c r="BI37" i="21"/>
  <c r="BI23" i="21"/>
  <c r="AG23" i="21"/>
  <c r="AG37" i="21"/>
  <c r="D23" i="21"/>
  <c r="D37" i="21"/>
  <c r="K1" i="31"/>
  <c r="ER23" i="21"/>
  <c r="ER37" i="21"/>
  <c r="BG23" i="21"/>
  <c r="BG37" i="21"/>
  <c r="CK23" i="21"/>
  <c r="CK37" i="21"/>
  <c r="FJ37" i="21"/>
  <c r="FJ23" i="21"/>
  <c r="EY23" i="21"/>
  <c r="EY37" i="21"/>
  <c r="AR23" i="21"/>
  <c r="AR37" i="21"/>
  <c r="F23" i="21"/>
  <c r="F37" i="21"/>
  <c r="DY37" i="21"/>
  <c r="DY23" i="21"/>
  <c r="DX23" i="21"/>
  <c r="DX37" i="21"/>
  <c r="ET37" i="21"/>
  <c r="ET23" i="21"/>
  <c r="N23" i="21"/>
  <c r="N37" i="21"/>
  <c r="CA37" i="21"/>
  <c r="CA23" i="21"/>
  <c r="K1" i="80"/>
  <c r="L23" i="21"/>
  <c r="L37" i="21"/>
  <c r="CC37" i="21"/>
  <c r="CC23" i="21"/>
  <c r="DH23" i="21"/>
  <c r="DH37" i="21"/>
  <c r="AY23" i="21"/>
  <c r="AY37" i="21"/>
  <c r="AK37" i="21"/>
  <c r="AK23" i="21"/>
  <c r="DO23" i="21"/>
  <c r="DO37" i="21"/>
  <c r="AL37" i="21"/>
  <c r="AL23" i="21"/>
  <c r="N1" i="24"/>
  <c r="BY37" i="21"/>
  <c r="BY23" i="21"/>
  <c r="CJ37" i="21"/>
  <c r="CJ23" i="21"/>
  <c r="AP37" i="21"/>
  <c r="AP23" i="21"/>
  <c r="FH23" i="21"/>
  <c r="FH37" i="21"/>
  <c r="CG23" i="21"/>
  <c r="CG37" i="21"/>
  <c r="N1" i="36"/>
  <c r="BM37" i="21"/>
  <c r="BM23" i="21"/>
  <c r="V23" i="21"/>
  <c r="V37" i="21"/>
  <c r="N1" i="23"/>
  <c r="AS37" i="21"/>
  <c r="AS23" i="21"/>
  <c r="DC23" i="21"/>
  <c r="DC37" i="21"/>
  <c r="K1" i="48"/>
  <c r="CZ23" i="21"/>
  <c r="CZ37" i="21"/>
  <c r="K1" i="34"/>
  <c r="ED37" i="21"/>
  <c r="ED23" i="21"/>
  <c r="K1" i="25"/>
  <c r="AA23" i="21"/>
  <c r="AA37" i="21"/>
  <c r="EF23" i="21"/>
  <c r="EF37" i="21"/>
  <c r="BV37" i="21"/>
  <c r="BV23" i="21"/>
  <c r="O34" i="20"/>
  <c r="O121" i="20"/>
  <c r="O52" i="20"/>
  <c r="O19" i="20"/>
  <c r="O122" i="20" s="1"/>
  <c r="AD23" i="21"/>
  <c r="AD37" i="21"/>
  <c r="I18" i="20"/>
  <c r="AC23" i="21"/>
  <c r="AC37" i="21"/>
  <c r="BR37" i="21"/>
  <c r="BR23" i="21"/>
  <c r="BF37" i="21"/>
  <c r="BF23" i="21"/>
  <c r="K1" i="33"/>
  <c r="DD23" i="21"/>
  <c r="DD37" i="21"/>
  <c r="EK23" i="21"/>
  <c r="EK37" i="21"/>
  <c r="AO37" i="21"/>
  <c r="AO23" i="21"/>
  <c r="I23" i="21"/>
  <c r="I37" i="21"/>
  <c r="BQ23" i="21"/>
  <c r="BQ37" i="21"/>
  <c r="Z23" i="21"/>
  <c r="Z37" i="21"/>
  <c r="BJ37" i="21"/>
  <c r="BJ23" i="21"/>
  <c r="N1" i="27"/>
  <c r="AV23" i="21"/>
  <c r="AV37" i="21"/>
  <c r="K1" i="76"/>
  <c r="Q16" i="20"/>
  <c r="Q18" i="20" s="1"/>
  <c r="AM23" i="21"/>
  <c r="AM37" i="21"/>
  <c r="FE23" i="21"/>
  <c r="FE37" i="21"/>
  <c r="K1" i="35"/>
  <c r="BS37" i="21"/>
  <c r="BS23" i="21"/>
  <c r="CP23" i="21"/>
  <c r="CP37" i="21"/>
  <c r="DM37" i="21"/>
  <c r="DM23" i="21"/>
  <c r="AH23" i="21"/>
  <c r="AH37" i="21"/>
  <c r="EE23" i="21"/>
  <c r="EE37" i="21"/>
  <c r="N1" i="91"/>
  <c r="BB37" i="21"/>
  <c r="BB23" i="21"/>
  <c r="AU23" i="21"/>
  <c r="AU37" i="21"/>
  <c r="N1" i="46"/>
  <c r="K1" i="46"/>
  <c r="EC37" i="21"/>
  <c r="EC23" i="21"/>
  <c r="K1" i="42"/>
  <c r="DK23" i="21"/>
  <c r="DK37" i="21"/>
  <c r="K1" i="41"/>
  <c r="CX23" i="21"/>
  <c r="CX37" i="21"/>
  <c r="DP23" i="21"/>
  <c r="DP37" i="21"/>
  <c r="N1" i="22"/>
  <c r="AJ37" i="21"/>
  <c r="AJ23" i="21"/>
  <c r="N1" i="109"/>
  <c r="DZ37" i="21"/>
  <c r="DZ23" i="21"/>
  <c r="K1" i="49"/>
  <c r="BU23" i="21"/>
  <c r="BU37" i="21"/>
  <c r="K1" i="85"/>
  <c r="EA37" i="21"/>
  <c r="EA23" i="21"/>
  <c r="DK55" i="21" l="1"/>
  <c r="DK56" i="21" s="1"/>
  <c r="DK38" i="21"/>
  <c r="EA55" i="21"/>
  <c r="EA56" i="21" s="1"/>
  <c r="EA38" i="21"/>
  <c r="CX51" i="21"/>
  <c r="CX25" i="21"/>
  <c r="EE55" i="21"/>
  <c r="EE56" i="21" s="1"/>
  <c r="EE38" i="21"/>
  <c r="AP55" i="21"/>
  <c r="AP56" i="21" s="1"/>
  <c r="AP38" i="21"/>
  <c r="AG55" i="21"/>
  <c r="AG56" i="21" s="1"/>
  <c r="AG38" i="21"/>
  <c r="AU55" i="21"/>
  <c r="AU56" i="21" s="1"/>
  <c r="AU38" i="21"/>
  <c r="EE51" i="21"/>
  <c r="H14" i="57"/>
  <c r="H15" i="57"/>
  <c r="EE25" i="21"/>
  <c r="H23" i="57" s="1"/>
  <c r="BS55" i="21"/>
  <c r="BS56" i="21" s="1"/>
  <c r="BS38" i="21"/>
  <c r="AV55" i="21"/>
  <c r="AV56" i="21" s="1"/>
  <c r="AV38" i="21"/>
  <c r="BQ51" i="21"/>
  <c r="BQ25" i="21"/>
  <c r="Q14" i="57"/>
  <c r="EK51" i="21"/>
  <c r="Q15" i="57"/>
  <c r="EK25" i="21"/>
  <c r="Q23" i="57" s="1"/>
  <c r="AC55" i="21"/>
  <c r="AC56" i="21" s="1"/>
  <c r="AC38" i="21"/>
  <c r="O70" i="20"/>
  <c r="AA51" i="21"/>
  <c r="AA25" i="21"/>
  <c r="DC55" i="21"/>
  <c r="DC56" i="21" s="1"/>
  <c r="DC38" i="21"/>
  <c r="BM55" i="21"/>
  <c r="BM56" i="21" s="1"/>
  <c r="BM38" i="21"/>
  <c r="CJ51" i="21"/>
  <c r="CJ25" i="21"/>
  <c r="DO51" i="21"/>
  <c r="DO25" i="21"/>
  <c r="CC55" i="21"/>
  <c r="CC56" i="21" s="1"/>
  <c r="CC38" i="21"/>
  <c r="ET51" i="21"/>
  <c r="ET25" i="21"/>
  <c r="AR55" i="21"/>
  <c r="AR56" i="21" s="1"/>
  <c r="AR38" i="21"/>
  <c r="BG55" i="21"/>
  <c r="BG56" i="21" s="1"/>
  <c r="BG38" i="21"/>
  <c r="AG51" i="21"/>
  <c r="AG25" i="21"/>
  <c r="DI51" i="21"/>
  <c r="DI25" i="21"/>
  <c r="X55" i="21"/>
  <c r="X56" i="21" s="1"/>
  <c r="X38" i="21"/>
  <c r="FC55" i="21"/>
  <c r="FC56" i="21" s="1"/>
  <c r="FC38" i="21"/>
  <c r="DA51" i="21"/>
  <c r="DA25" i="21"/>
  <c r="CL51" i="21"/>
  <c r="CL25" i="21"/>
  <c r="ES51" i="21"/>
  <c r="ES25" i="21"/>
  <c r="CT51" i="21"/>
  <c r="CT25" i="21"/>
  <c r="DN55" i="21"/>
  <c r="DN56" i="21" s="1"/>
  <c r="DN38" i="21"/>
  <c r="EB55" i="21"/>
  <c r="EB56" i="21" s="1"/>
  <c r="EB38" i="21"/>
  <c r="FI51" i="21"/>
  <c r="FI25" i="21"/>
  <c r="FG55" i="21"/>
  <c r="FG56" i="21" s="1"/>
  <c r="FG38" i="21"/>
  <c r="T55" i="21"/>
  <c r="T56" i="21" s="1"/>
  <c r="T38" i="21"/>
  <c r="FB51" i="21"/>
  <c r="FB25" i="21"/>
  <c r="CM51" i="21"/>
  <c r="CM25" i="21"/>
  <c r="BH51" i="21"/>
  <c r="BH25" i="21"/>
  <c r="BA55" i="21"/>
  <c r="BA56" i="21" s="1"/>
  <c r="BA38" i="21"/>
  <c r="I55" i="21"/>
  <c r="I56" i="21" s="1"/>
  <c r="I38" i="21"/>
  <c r="L55" i="21"/>
  <c r="L56" i="21" s="1"/>
  <c r="L38" i="21"/>
  <c r="BW55" i="21"/>
  <c r="BW56" i="21" s="1"/>
  <c r="BW38" i="21"/>
  <c r="Y55" i="21"/>
  <c r="Y56" i="21" s="1"/>
  <c r="Y38" i="21"/>
  <c r="DE55" i="21"/>
  <c r="DE56" i="21" s="1"/>
  <c r="DE38" i="21"/>
  <c r="CH55" i="21"/>
  <c r="CH56" i="21" s="1"/>
  <c r="CH38" i="21"/>
  <c r="CL55" i="21"/>
  <c r="CL56" i="21" s="1"/>
  <c r="CL38" i="21"/>
  <c r="CE55" i="21"/>
  <c r="CE56" i="21" s="1"/>
  <c r="CE38" i="21"/>
  <c r="ES55" i="21"/>
  <c r="ES56" i="21" s="1"/>
  <c r="ES38" i="21"/>
  <c r="EB51" i="21"/>
  <c r="EB25" i="21"/>
  <c r="FI55" i="21"/>
  <c r="FI56" i="21" s="1"/>
  <c r="FI38" i="21"/>
  <c r="FG51" i="21"/>
  <c r="FG25" i="21"/>
  <c r="G55" i="21"/>
  <c r="G56" i="21" s="1"/>
  <c r="G38" i="21"/>
  <c r="U52" i="20"/>
  <c r="U34" i="20"/>
  <c r="U121" i="20"/>
  <c r="U19" i="20"/>
  <c r="U122" i="20" s="1"/>
  <c r="FB55" i="21"/>
  <c r="FB56" i="21" s="1"/>
  <c r="FB38" i="21"/>
  <c r="CM55" i="21"/>
  <c r="CM56" i="21" s="1"/>
  <c r="CM38" i="21"/>
  <c r="CN55" i="21"/>
  <c r="CN56" i="21" s="1"/>
  <c r="CN38" i="21"/>
  <c r="BA51" i="21"/>
  <c r="BA25" i="21"/>
  <c r="AV51" i="21"/>
  <c r="AV25" i="21"/>
  <c r="BG51" i="21"/>
  <c r="BG25" i="21"/>
  <c r="CT55" i="21"/>
  <c r="CT56" i="21" s="1"/>
  <c r="CT38" i="21"/>
  <c r="FE55" i="21"/>
  <c r="FE56" i="21" s="1"/>
  <c r="FE38" i="21"/>
  <c r="W16" i="20"/>
  <c r="O75" i="20"/>
  <c r="O36" i="20"/>
  <c r="J14" i="57"/>
  <c r="ED51" i="21"/>
  <c r="J15" i="57"/>
  <c r="ED25" i="21"/>
  <c r="J23" i="57" s="1"/>
  <c r="AS51" i="21"/>
  <c r="AS25" i="21"/>
  <c r="CG55" i="21"/>
  <c r="CG56" i="21" s="1"/>
  <c r="CG38" i="21"/>
  <c r="BY51" i="21"/>
  <c r="BY25" i="21"/>
  <c r="AK55" i="21"/>
  <c r="AK56" i="21" s="1"/>
  <c r="AK38" i="21"/>
  <c r="L51" i="21"/>
  <c r="L25" i="21"/>
  <c r="DX55" i="21"/>
  <c r="DX56" i="21" s="1"/>
  <c r="DX38" i="21"/>
  <c r="EY55" i="21"/>
  <c r="EY56" i="21" s="1"/>
  <c r="EY38" i="21"/>
  <c r="ER55" i="21"/>
  <c r="ER56" i="21" s="1"/>
  <c r="ER38" i="21"/>
  <c r="BI55" i="21"/>
  <c r="BI56" i="21" s="1"/>
  <c r="BI38" i="21"/>
  <c r="BW51" i="21"/>
  <c r="BW25" i="21"/>
  <c r="CO51" i="21"/>
  <c r="CO25" i="21"/>
  <c r="Y51" i="21"/>
  <c r="Y25" i="21"/>
  <c r="EZ55" i="21"/>
  <c r="EZ56" i="21" s="1"/>
  <c r="EZ38" i="21"/>
  <c r="E51" i="21"/>
  <c r="E13" i="8"/>
  <c r="E14" i="8"/>
  <c r="E25" i="21"/>
  <c r="E22" i="8" s="1"/>
  <c r="DE51" i="21"/>
  <c r="DE25" i="21"/>
  <c r="CH51" i="21"/>
  <c r="CH25" i="21"/>
  <c r="FD51" i="21"/>
  <c r="FD25" i="21"/>
  <c r="CE51" i="21"/>
  <c r="CE25" i="21"/>
  <c r="AQ51" i="21"/>
  <c r="AQ25" i="21"/>
  <c r="FF51" i="21"/>
  <c r="FF25" i="21"/>
  <c r="EX51" i="21"/>
  <c r="EX25" i="21"/>
  <c r="BZ55" i="21"/>
  <c r="BZ56" i="21" s="1"/>
  <c r="BZ38" i="21"/>
  <c r="CF51" i="21"/>
  <c r="CF25" i="21"/>
  <c r="G51" i="21"/>
  <c r="G25" i="21"/>
  <c r="EL55" i="21"/>
  <c r="EL56" i="21" s="1"/>
  <c r="EL38" i="21"/>
  <c r="CN51" i="21"/>
  <c r="CN25" i="21"/>
  <c r="AZ55" i="21"/>
  <c r="AZ56" i="21" s="1"/>
  <c r="AZ38" i="21"/>
  <c r="AH55" i="21"/>
  <c r="AH56" i="21" s="1"/>
  <c r="AH38" i="21"/>
  <c r="DC51" i="21"/>
  <c r="DC25" i="21"/>
  <c r="ET55" i="21"/>
  <c r="ET56" i="21" s="1"/>
  <c r="ET38" i="21"/>
  <c r="EZ51" i="21"/>
  <c r="EZ25" i="21"/>
  <c r="BZ51" i="21"/>
  <c r="BZ25" i="21"/>
  <c r="DK51" i="21"/>
  <c r="DK25" i="21"/>
  <c r="AH51" i="21"/>
  <c r="I13" i="8"/>
  <c r="I14" i="8"/>
  <c r="AH25" i="21"/>
  <c r="I22" i="8" s="1"/>
  <c r="DD51" i="21"/>
  <c r="DD25" i="21"/>
  <c r="DM51" i="21"/>
  <c r="DM25" i="21"/>
  <c r="FE51" i="21"/>
  <c r="FE25" i="21"/>
  <c r="BJ51" i="21"/>
  <c r="BJ25" i="21"/>
  <c r="I121" i="20"/>
  <c r="I34" i="20"/>
  <c r="I52" i="20"/>
  <c r="W18" i="20"/>
  <c r="W121" i="20" s="1"/>
  <c r="I19" i="20"/>
  <c r="BV51" i="21"/>
  <c r="BV25" i="21"/>
  <c r="ED55" i="21"/>
  <c r="ED56" i="21" s="1"/>
  <c r="ED38" i="21"/>
  <c r="AS55" i="21"/>
  <c r="AS56" i="21" s="1"/>
  <c r="AS38" i="21"/>
  <c r="CG51" i="21"/>
  <c r="CG25" i="21"/>
  <c r="BY55" i="21"/>
  <c r="BY56" i="21" s="1"/>
  <c r="BY38" i="21"/>
  <c r="AY55" i="21"/>
  <c r="AY56" i="21" s="1"/>
  <c r="AY38" i="21"/>
  <c r="DX51" i="21"/>
  <c r="E14" i="57"/>
  <c r="E15" i="57"/>
  <c r="DX25" i="21"/>
  <c r="E23" i="57" s="1"/>
  <c r="EY51" i="21"/>
  <c r="EY25" i="21"/>
  <c r="ER51" i="21"/>
  <c r="ER25" i="21"/>
  <c r="BN51" i="21"/>
  <c r="BN25" i="21"/>
  <c r="EV55" i="21"/>
  <c r="EV56" i="21" s="1"/>
  <c r="EV38" i="21"/>
  <c r="U55" i="21"/>
  <c r="U56" i="21" s="1"/>
  <c r="U38" i="21"/>
  <c r="R14" i="57"/>
  <c r="EM51" i="21"/>
  <c r="R15" i="57"/>
  <c r="EM25" i="21"/>
  <c r="R23" i="57" s="1"/>
  <c r="BE51" i="21"/>
  <c r="BE25" i="21"/>
  <c r="DF55" i="21"/>
  <c r="DF56" i="21" s="1"/>
  <c r="DF38" i="21"/>
  <c r="FD55" i="21"/>
  <c r="FD56" i="21" s="1"/>
  <c r="FD38" i="21"/>
  <c r="EG55" i="21"/>
  <c r="EG56" i="21" s="1"/>
  <c r="EG38" i="21"/>
  <c r="AQ55" i="21"/>
  <c r="AQ56" i="21" s="1"/>
  <c r="AQ38" i="21"/>
  <c r="FF55" i="21"/>
  <c r="FF56" i="21" s="1"/>
  <c r="FF38" i="21"/>
  <c r="EH55" i="21"/>
  <c r="EH56" i="21" s="1"/>
  <c r="EH38" i="21"/>
  <c r="EW51" i="21"/>
  <c r="EW25" i="21"/>
  <c r="EU55" i="21"/>
  <c r="EU56" i="21" s="1"/>
  <c r="EU38" i="21"/>
  <c r="CF55" i="21"/>
  <c r="CF56" i="21" s="1"/>
  <c r="CF38" i="21"/>
  <c r="M55" i="21"/>
  <c r="M56" i="21" s="1"/>
  <c r="M38" i="21"/>
  <c r="EL51" i="21"/>
  <c r="EL25" i="21"/>
  <c r="P55" i="21"/>
  <c r="P56" i="21" s="1"/>
  <c r="P38" i="21"/>
  <c r="CS55" i="21"/>
  <c r="CS56" i="21" s="1"/>
  <c r="CS38" i="21"/>
  <c r="AZ51" i="21"/>
  <c r="AZ25" i="21"/>
  <c r="AU51" i="21"/>
  <c r="AU25" i="21"/>
  <c r="DD55" i="21"/>
  <c r="DD56" i="21" s="1"/>
  <c r="DD38" i="21"/>
  <c r="AK51" i="21"/>
  <c r="E13" i="10"/>
  <c r="E14" i="10"/>
  <c r="AK25" i="21"/>
  <c r="E22" i="10" s="1"/>
  <c r="BI51" i="21"/>
  <c r="BI25" i="21"/>
  <c r="FC51" i="21"/>
  <c r="FC25" i="21"/>
  <c r="DN51" i="21"/>
  <c r="DN25" i="21"/>
  <c r="AJ55" i="21"/>
  <c r="AJ56" i="21" s="1"/>
  <c r="AJ38" i="21"/>
  <c r="DP55" i="21"/>
  <c r="DP56" i="21" s="1"/>
  <c r="DP38" i="21"/>
  <c r="DM55" i="21"/>
  <c r="DM56" i="21" s="1"/>
  <c r="DM38" i="21"/>
  <c r="X16" i="20"/>
  <c r="BV55" i="21"/>
  <c r="BV56" i="21" s="1"/>
  <c r="BV38" i="21"/>
  <c r="FH55" i="21"/>
  <c r="FH56" i="21" s="1"/>
  <c r="FH38" i="21"/>
  <c r="AY51" i="21"/>
  <c r="D13" i="10"/>
  <c r="D14" i="10"/>
  <c r="AY25" i="21"/>
  <c r="D22" i="10" s="1"/>
  <c r="CA51" i="21"/>
  <c r="CA25" i="21"/>
  <c r="L14" i="57"/>
  <c r="DY51" i="21"/>
  <c r="G14" i="58"/>
  <c r="G15" i="58"/>
  <c r="L15" i="57"/>
  <c r="DY25" i="21"/>
  <c r="FJ51" i="21"/>
  <c r="FJ25" i="21"/>
  <c r="Q55" i="21"/>
  <c r="Q56" i="21" s="1"/>
  <c r="Q38" i="21"/>
  <c r="BN55" i="21"/>
  <c r="BN56" i="21" s="1"/>
  <c r="BN38" i="21"/>
  <c r="DL55" i="21"/>
  <c r="DL56" i="21" s="1"/>
  <c r="DL38" i="21"/>
  <c r="EV51" i="21"/>
  <c r="EV25" i="21"/>
  <c r="U51" i="21"/>
  <c r="U25" i="21"/>
  <c r="EM55" i="21"/>
  <c r="EM56" i="21" s="1"/>
  <c r="EM38" i="21"/>
  <c r="BE55" i="21"/>
  <c r="BE56" i="21" s="1"/>
  <c r="BE38" i="21"/>
  <c r="DU51" i="21"/>
  <c r="DU25" i="21"/>
  <c r="DF51" i="21"/>
  <c r="DF25" i="21"/>
  <c r="CB55" i="21"/>
  <c r="CB56" i="21" s="1"/>
  <c r="CB38" i="21"/>
  <c r="P14" i="57"/>
  <c r="EG51" i="21"/>
  <c r="P15" i="57"/>
  <c r="EG25" i="21"/>
  <c r="P23" i="57" s="1"/>
  <c r="N14" i="57"/>
  <c r="EI51" i="21"/>
  <c r="N15" i="57"/>
  <c r="EI25" i="21"/>
  <c r="N23" i="57" s="1"/>
  <c r="CQ55" i="21"/>
  <c r="CQ56" i="21" s="1"/>
  <c r="CQ38" i="21"/>
  <c r="AW51" i="21"/>
  <c r="H13" i="10"/>
  <c r="H14" i="10"/>
  <c r="AW25" i="21"/>
  <c r="H22" i="10" s="1"/>
  <c r="EH51" i="21"/>
  <c r="M14" i="57"/>
  <c r="F14" i="58"/>
  <c r="M15" i="57"/>
  <c r="F15" i="58"/>
  <c r="EH25" i="21"/>
  <c r="M23" i="57" s="1"/>
  <c r="EW55" i="21"/>
  <c r="EW56" i="21" s="1"/>
  <c r="EW38" i="21"/>
  <c r="EU51" i="21"/>
  <c r="EU25" i="21"/>
  <c r="M51" i="21"/>
  <c r="M25" i="21"/>
  <c r="M70" i="20"/>
  <c r="P51" i="21"/>
  <c r="P25" i="21"/>
  <c r="CS51" i="21"/>
  <c r="CS25" i="21"/>
  <c r="H51" i="21"/>
  <c r="H25" i="21"/>
  <c r="AC51" i="21"/>
  <c r="AC25" i="21"/>
  <c r="CJ55" i="21"/>
  <c r="CJ56" i="21" s="1"/>
  <c r="CJ38" i="21"/>
  <c r="AR51" i="21"/>
  <c r="AR25" i="21"/>
  <c r="CO55" i="21"/>
  <c r="CO56" i="21" s="1"/>
  <c r="CO38" i="21"/>
  <c r="E55" i="21"/>
  <c r="E56" i="21" s="1"/>
  <c r="E38" i="21"/>
  <c r="EX55" i="21"/>
  <c r="EX56" i="21" s="1"/>
  <c r="EX38" i="21"/>
  <c r="BU51" i="21"/>
  <c r="BU25" i="21"/>
  <c r="I51" i="21"/>
  <c r="I25" i="21"/>
  <c r="DZ51" i="21"/>
  <c r="G14" i="57"/>
  <c r="G15" i="57"/>
  <c r="DZ25" i="21"/>
  <c r="G23" i="57" s="1"/>
  <c r="E14" i="58"/>
  <c r="F14" i="57"/>
  <c r="EC51" i="21"/>
  <c r="F15" i="57"/>
  <c r="E15" i="58"/>
  <c r="EC25" i="21"/>
  <c r="BB51" i="21"/>
  <c r="BB25" i="21"/>
  <c r="AM55" i="21"/>
  <c r="AM56" i="21" s="1"/>
  <c r="AM38" i="21"/>
  <c r="BJ55" i="21"/>
  <c r="BJ56" i="21" s="1"/>
  <c r="BJ38" i="21"/>
  <c r="BF51" i="21"/>
  <c r="BF25" i="21"/>
  <c r="DZ55" i="21"/>
  <c r="DZ56" i="21" s="1"/>
  <c r="DZ38" i="21"/>
  <c r="DP51" i="21"/>
  <c r="DP25" i="21"/>
  <c r="EC55" i="21"/>
  <c r="EC56" i="21" s="1"/>
  <c r="EC38" i="21"/>
  <c r="BB55" i="21"/>
  <c r="BB56" i="21" s="1"/>
  <c r="BB38" i="21"/>
  <c r="CP55" i="21"/>
  <c r="CP56" i="21" s="1"/>
  <c r="CP38" i="21"/>
  <c r="AM51" i="21"/>
  <c r="AM25" i="21"/>
  <c r="Z55" i="21"/>
  <c r="Z56" i="21" s="1"/>
  <c r="Z38" i="21"/>
  <c r="AO51" i="21"/>
  <c r="AO25" i="21"/>
  <c r="BF55" i="21"/>
  <c r="BF56" i="21" s="1"/>
  <c r="BF38" i="21"/>
  <c r="AD55" i="21"/>
  <c r="AD56" i="21" s="1"/>
  <c r="AD38" i="21"/>
  <c r="EF55" i="21"/>
  <c r="EF56" i="21" s="1"/>
  <c r="EF38" i="21"/>
  <c r="CZ55" i="21"/>
  <c r="CZ56" i="21" s="1"/>
  <c r="CZ38" i="21"/>
  <c r="V55" i="21"/>
  <c r="V56" i="21" s="1"/>
  <c r="V38" i="21"/>
  <c r="FH51" i="21"/>
  <c r="FH25" i="21"/>
  <c r="AL51" i="21"/>
  <c r="AL25" i="21"/>
  <c r="DH55" i="21"/>
  <c r="DH56" i="21" s="1"/>
  <c r="DH38" i="21"/>
  <c r="CA55" i="21"/>
  <c r="CA56" i="21" s="1"/>
  <c r="CA38" i="21"/>
  <c r="DY55" i="21"/>
  <c r="DY56" i="21" s="1"/>
  <c r="DY38" i="21"/>
  <c r="FJ55" i="21"/>
  <c r="FJ56" i="21" s="1"/>
  <c r="FJ38" i="21"/>
  <c r="D55" i="21"/>
  <c r="D56" i="21" s="1"/>
  <c r="D38" i="21"/>
  <c r="Q51" i="21"/>
  <c r="H13" i="8"/>
  <c r="H14" i="8"/>
  <c r="Q25" i="21"/>
  <c r="H22" i="8" s="1"/>
  <c r="CY55" i="21"/>
  <c r="CY56" i="21" s="1"/>
  <c r="CY38" i="21"/>
  <c r="DL51" i="21"/>
  <c r="DL25" i="21"/>
  <c r="O51" i="21"/>
  <c r="O25" i="21"/>
  <c r="DU55" i="21"/>
  <c r="DU56" i="21" s="1"/>
  <c r="DU38" i="21"/>
  <c r="AN55" i="21"/>
  <c r="AN56" i="21" s="1"/>
  <c r="AN38" i="21"/>
  <c r="CB51" i="21"/>
  <c r="CB25" i="21"/>
  <c r="EJ55" i="21"/>
  <c r="EJ56" i="21" s="1"/>
  <c r="EJ38" i="21"/>
  <c r="EI55" i="21"/>
  <c r="EI56" i="21" s="1"/>
  <c r="EI38" i="21"/>
  <c r="CQ51" i="21"/>
  <c r="CQ25" i="21"/>
  <c r="AW55" i="21"/>
  <c r="AW56" i="21" s="1"/>
  <c r="AW38" i="21"/>
  <c r="AE55" i="21"/>
  <c r="AE56" i="21" s="1"/>
  <c r="AE38" i="21"/>
  <c r="DV51" i="21"/>
  <c r="D15" i="58"/>
  <c r="D14" i="57"/>
  <c r="D14" i="58"/>
  <c r="D15" i="57"/>
  <c r="DV25" i="21"/>
  <c r="M75" i="20"/>
  <c r="M36" i="20"/>
  <c r="BK55" i="21"/>
  <c r="BK56" i="21" s="1"/>
  <c r="BK38" i="21"/>
  <c r="BP55" i="21"/>
  <c r="BP56" i="21" s="1"/>
  <c r="BP38" i="21"/>
  <c r="BD51" i="21"/>
  <c r="F13" i="10"/>
  <c r="F14" i="10"/>
  <c r="BD25" i="21"/>
  <c r="F22" i="10" s="1"/>
  <c r="H55" i="21"/>
  <c r="H56" i="21" s="1"/>
  <c r="H38" i="21"/>
  <c r="AJ51" i="21"/>
  <c r="AJ25" i="21"/>
  <c r="Q121" i="20"/>
  <c r="Q34" i="20"/>
  <c r="Q52" i="20"/>
  <c r="Q19" i="20"/>
  <c r="Q122" i="20" s="1"/>
  <c r="Z51" i="21"/>
  <c r="Z25" i="21"/>
  <c r="AO55" i="21"/>
  <c r="AO56" i="21" s="1"/>
  <c r="AO38" i="21"/>
  <c r="BR51" i="21"/>
  <c r="BR25" i="21"/>
  <c r="AD51" i="21"/>
  <c r="AD25" i="21"/>
  <c r="EF51" i="21"/>
  <c r="I14" i="57"/>
  <c r="I15" i="57"/>
  <c r="EF25" i="21"/>
  <c r="CZ51" i="21"/>
  <c r="CZ25" i="21"/>
  <c r="V51" i="21"/>
  <c r="V25" i="21"/>
  <c r="AP51" i="21"/>
  <c r="G13" i="10"/>
  <c r="G14" i="10"/>
  <c r="AP25" i="21"/>
  <c r="G22" i="10" s="1"/>
  <c r="AL55" i="21"/>
  <c r="AL56" i="21" s="1"/>
  <c r="AL38" i="21"/>
  <c r="DH51" i="21"/>
  <c r="DH25" i="21"/>
  <c r="N55" i="21"/>
  <c r="N56" i="21" s="1"/>
  <c r="N38" i="21"/>
  <c r="F55" i="21"/>
  <c r="F56" i="21" s="1"/>
  <c r="F38" i="21"/>
  <c r="CK55" i="21"/>
  <c r="CK56" i="21" s="1"/>
  <c r="CK38" i="21"/>
  <c r="D51" i="21"/>
  <c r="G13" i="8"/>
  <c r="G14" i="8"/>
  <c r="D25" i="21"/>
  <c r="G22" i="8" s="1"/>
  <c r="BT55" i="21"/>
  <c r="BT56" i="21" s="1"/>
  <c r="BT38" i="21"/>
  <c r="CY51" i="21"/>
  <c r="CY25" i="21"/>
  <c r="DW51" i="21"/>
  <c r="DW25" i="21"/>
  <c r="DJ55" i="21"/>
  <c r="DJ56" i="21" s="1"/>
  <c r="DJ38" i="21"/>
  <c r="S70" i="20"/>
  <c r="O55" i="21"/>
  <c r="O56" i="21" s="1"/>
  <c r="O38" i="21"/>
  <c r="DB55" i="21"/>
  <c r="DB56" i="21" s="1"/>
  <c r="DB38" i="21"/>
  <c r="AN51" i="21"/>
  <c r="AN25" i="21"/>
  <c r="AB51" i="21"/>
  <c r="AB25" i="21"/>
  <c r="O14" i="57"/>
  <c r="O15" i="57"/>
  <c r="EJ51" i="21"/>
  <c r="EJ25" i="21"/>
  <c r="O23" i="57" s="1"/>
  <c r="BX55" i="21"/>
  <c r="BX56" i="21" s="1"/>
  <c r="BX38" i="21"/>
  <c r="K55" i="21"/>
  <c r="K56" i="21" s="1"/>
  <c r="K38" i="21"/>
  <c r="S55" i="21"/>
  <c r="S56" i="21" s="1"/>
  <c r="S38" i="21"/>
  <c r="DG55" i="21"/>
  <c r="DG56" i="21" s="1"/>
  <c r="DG38" i="21"/>
  <c r="AT55" i="21"/>
  <c r="AT56" i="21" s="1"/>
  <c r="AT38" i="21"/>
  <c r="AE51" i="21"/>
  <c r="AE25" i="21"/>
  <c r="DV55" i="21"/>
  <c r="DV56" i="21" s="1"/>
  <c r="DV38" i="21"/>
  <c r="FA51" i="21"/>
  <c r="FA25" i="21"/>
  <c r="BK51" i="21"/>
  <c r="BK25" i="21"/>
  <c r="BP51" i="21"/>
  <c r="BP25" i="21"/>
  <c r="BD55" i="21"/>
  <c r="BD56" i="21" s="1"/>
  <c r="BD38" i="21"/>
  <c r="J55" i="21"/>
  <c r="J56" i="21" s="1"/>
  <c r="J38" i="21"/>
  <c r="BU55" i="21"/>
  <c r="BU56" i="21" s="1"/>
  <c r="BU38" i="21"/>
  <c r="K15" i="57"/>
  <c r="EA51" i="21"/>
  <c r="K14" i="57"/>
  <c r="EA25" i="21"/>
  <c r="K23" i="57" s="1"/>
  <c r="CX55" i="21"/>
  <c r="CX56" i="21" s="1"/>
  <c r="CX38" i="21"/>
  <c r="CP51" i="21"/>
  <c r="CP25" i="21"/>
  <c r="BS51" i="21"/>
  <c r="BS25" i="21"/>
  <c r="BQ55" i="21"/>
  <c r="BQ56" i="21" s="1"/>
  <c r="BQ38" i="21"/>
  <c r="EK55" i="21"/>
  <c r="EK56" i="21" s="1"/>
  <c r="EK38" i="21"/>
  <c r="BR55" i="21"/>
  <c r="BR56" i="21" s="1"/>
  <c r="BR38" i="21"/>
  <c r="AA55" i="21"/>
  <c r="AA56" i="21" s="1"/>
  <c r="AA38" i="21"/>
  <c r="BM51" i="21"/>
  <c r="BM25" i="21"/>
  <c r="DO55" i="21"/>
  <c r="DO56" i="21" s="1"/>
  <c r="DO38" i="21"/>
  <c r="CC51" i="21"/>
  <c r="CC25" i="21"/>
  <c r="N51" i="21"/>
  <c r="F13" i="8"/>
  <c r="F14" i="8"/>
  <c r="N25" i="21"/>
  <c r="F22" i="8" s="1"/>
  <c r="F51" i="21"/>
  <c r="F25" i="21"/>
  <c r="CK51" i="21"/>
  <c r="CK25" i="21"/>
  <c r="BT51" i="21"/>
  <c r="BT25" i="21"/>
  <c r="DI55" i="21"/>
  <c r="DI56" i="21" s="1"/>
  <c r="DI38" i="21"/>
  <c r="X51" i="21"/>
  <c r="X25" i="21"/>
  <c r="DW55" i="21"/>
  <c r="DW56" i="21" s="1"/>
  <c r="DW38" i="21"/>
  <c r="DJ51" i="21"/>
  <c r="DJ25" i="21"/>
  <c r="S36" i="20"/>
  <c r="S75" i="20"/>
  <c r="DA55" i="21"/>
  <c r="DA56" i="21" s="1"/>
  <c r="DA38" i="21"/>
  <c r="DB51" i="21"/>
  <c r="DB25" i="21"/>
  <c r="AB55" i="21"/>
  <c r="AB56" i="21" s="1"/>
  <c r="AB38" i="21"/>
  <c r="BX51" i="21"/>
  <c r="BX25" i="21"/>
  <c r="K51" i="21"/>
  <c r="K25" i="21"/>
  <c r="S51" i="21"/>
  <c r="D13" i="8"/>
  <c r="D14" i="8"/>
  <c r="S25" i="21"/>
  <c r="D22" i="8" s="1"/>
  <c r="DG51" i="21"/>
  <c r="DG25" i="21"/>
  <c r="AT51" i="21"/>
  <c r="AT25" i="21"/>
  <c r="FA55" i="21"/>
  <c r="FA56" i="21" s="1"/>
  <c r="FA38" i="21"/>
  <c r="T51" i="21"/>
  <c r="T25" i="21"/>
  <c r="X18" i="20"/>
  <c r="K52" i="20"/>
  <c r="K121" i="20"/>
  <c r="K19" i="20"/>
  <c r="K122" i="20" s="1"/>
  <c r="BH55" i="21"/>
  <c r="BH56" i="21" s="1"/>
  <c r="BH38" i="21"/>
  <c r="J51" i="21"/>
  <c r="J25" i="21"/>
  <c r="N15" i="58" l="1"/>
  <c r="H44" i="21"/>
  <c r="H45" i="21" s="1"/>
  <c r="H46" i="21" s="1"/>
  <c r="H39" i="21"/>
  <c r="H42" i="21"/>
  <c r="BX52" i="21"/>
  <c r="BX53" i="21"/>
  <c r="K75" i="20"/>
  <c r="K36" i="20"/>
  <c r="AT52" i="21"/>
  <c r="AT53" i="21"/>
  <c r="K52" i="21"/>
  <c r="K53" i="21"/>
  <c r="X52" i="21"/>
  <c r="X53" i="21"/>
  <c r="F52" i="21"/>
  <c r="F53" i="21"/>
  <c r="CP52" i="21"/>
  <c r="CP53" i="21"/>
  <c r="BP52" i="21"/>
  <c r="BP53" i="21"/>
  <c r="AE52" i="21"/>
  <c r="AE53" i="21"/>
  <c r="AB52" i="21"/>
  <c r="AB53" i="21"/>
  <c r="T70" i="20"/>
  <c r="AJ52" i="21"/>
  <c r="AJ53" i="21"/>
  <c r="U14" i="57"/>
  <c r="CQ52" i="21"/>
  <c r="CQ53" i="21"/>
  <c r="AL52" i="21"/>
  <c r="AL53" i="21"/>
  <c r="EC52" i="21"/>
  <c r="EC53" i="21"/>
  <c r="I52" i="21"/>
  <c r="I53" i="21"/>
  <c r="AC52" i="21"/>
  <c r="AC53" i="21"/>
  <c r="N70" i="20"/>
  <c r="AW52" i="21"/>
  <c r="AW53" i="21"/>
  <c r="DU52" i="21"/>
  <c r="DU53" i="21"/>
  <c r="EV52" i="21"/>
  <c r="EV53" i="21"/>
  <c r="FJ52" i="21"/>
  <c r="FJ53" i="21"/>
  <c r="CA52" i="21"/>
  <c r="CA53" i="21"/>
  <c r="AJ39" i="21"/>
  <c r="AJ42" i="21"/>
  <c r="AJ44" i="21"/>
  <c r="AJ45" i="21" s="1"/>
  <c r="AJ46" i="21" s="1"/>
  <c r="L22" i="10"/>
  <c r="EV42" i="21"/>
  <c r="EV39" i="21"/>
  <c r="EV44" i="21"/>
  <c r="EV45" i="21" s="1"/>
  <c r="EV46" i="21" s="1"/>
  <c r="W19" i="20"/>
  <c r="W122" i="20" s="1"/>
  <c r="I122" i="20"/>
  <c r="X19" i="20"/>
  <c r="BJ52" i="21"/>
  <c r="BJ53" i="21"/>
  <c r="DD52" i="21"/>
  <c r="DD53" i="21"/>
  <c r="BZ52" i="21"/>
  <c r="BZ53" i="21"/>
  <c r="EX52" i="21"/>
  <c r="EX53" i="21"/>
  <c r="CE52" i="21"/>
  <c r="CE53" i="21"/>
  <c r="CO52" i="21"/>
  <c r="CO53" i="21"/>
  <c r="BY52" i="21"/>
  <c r="BY53" i="21"/>
  <c r="CM39" i="21"/>
  <c r="CM44" i="21"/>
  <c r="CM45" i="21" s="1"/>
  <c r="CM46" i="21" s="1"/>
  <c r="CM42" i="21"/>
  <c r="G42" i="21"/>
  <c r="G39" i="21"/>
  <c r="G44" i="21"/>
  <c r="G45" i="21" s="1"/>
  <c r="G46" i="21" s="1"/>
  <c r="ES42" i="21"/>
  <c r="ES39" i="21"/>
  <c r="ES44" i="21"/>
  <c r="ES45" i="21" s="1"/>
  <c r="ES46" i="21" s="1"/>
  <c r="DE39" i="21"/>
  <c r="DE42" i="21"/>
  <c r="DE44" i="21"/>
  <c r="DE45" i="21" s="1"/>
  <c r="DE46" i="21" s="1"/>
  <c r="I44" i="21"/>
  <c r="I45" i="21" s="1"/>
  <c r="I46" i="21" s="1"/>
  <c r="I39" i="21"/>
  <c r="I42" i="21"/>
  <c r="EB42" i="21"/>
  <c r="EB39" i="21"/>
  <c r="EB44" i="21"/>
  <c r="EB45" i="21" s="1"/>
  <c r="EB46" i="21" s="1"/>
  <c r="BM39" i="21"/>
  <c r="BM44" i="21"/>
  <c r="BM45" i="21" s="1"/>
  <c r="BM46" i="21" s="1"/>
  <c r="BM42" i="21"/>
  <c r="AC39" i="21"/>
  <c r="AC44" i="21"/>
  <c r="AC45" i="21" s="1"/>
  <c r="AC46" i="21" s="1"/>
  <c r="AC42" i="21"/>
  <c r="AV44" i="21"/>
  <c r="AV45" i="21" s="1"/>
  <c r="AV46" i="21" s="1"/>
  <c r="AV39" i="21"/>
  <c r="AV42" i="21"/>
  <c r="AU44" i="21"/>
  <c r="AU45" i="21" s="1"/>
  <c r="AU46" i="21" s="1"/>
  <c r="AU39" i="21"/>
  <c r="AU42" i="21"/>
  <c r="EE39" i="21"/>
  <c r="EE42" i="21"/>
  <c r="EE44" i="21"/>
  <c r="EE45" i="21" s="1"/>
  <c r="EE46" i="21" s="1"/>
  <c r="BQ39" i="21"/>
  <c r="BQ44" i="21"/>
  <c r="BQ45" i="21" s="1"/>
  <c r="BQ46" i="21" s="1"/>
  <c r="BQ42" i="21"/>
  <c r="BX39" i="21"/>
  <c r="BX44" i="21"/>
  <c r="BX45" i="21" s="1"/>
  <c r="BX46" i="21" s="1"/>
  <c r="BX42" i="21"/>
  <c r="N39" i="21"/>
  <c r="N44" i="21"/>
  <c r="N45" i="21" s="1"/>
  <c r="N46" i="21" s="1"/>
  <c r="N42" i="21"/>
  <c r="EI44" i="21"/>
  <c r="EI45" i="21" s="1"/>
  <c r="EI46" i="21" s="1"/>
  <c r="EI39" i="21"/>
  <c r="EI42" i="21"/>
  <c r="DU39" i="21"/>
  <c r="DU42" i="21"/>
  <c r="DU44" i="21"/>
  <c r="DU45" i="21" s="1"/>
  <c r="DU46" i="21" s="1"/>
  <c r="DY42" i="21"/>
  <c r="DY44" i="21"/>
  <c r="DY45" i="21" s="1"/>
  <c r="DY46" i="21" s="1"/>
  <c r="DY39" i="21"/>
  <c r="AD44" i="21"/>
  <c r="AD45" i="21" s="1"/>
  <c r="AD46" i="21" s="1"/>
  <c r="AD39" i="21"/>
  <c r="AD42" i="21"/>
  <c r="AM39" i="21"/>
  <c r="AM44" i="21"/>
  <c r="AM45" i="21" s="1"/>
  <c r="AM46" i="21" s="1"/>
  <c r="AM42" i="21"/>
  <c r="CO44" i="21"/>
  <c r="CO45" i="21" s="1"/>
  <c r="CO46" i="21" s="1"/>
  <c r="CO42" i="21"/>
  <c r="CO39" i="21"/>
  <c r="CQ39" i="21"/>
  <c r="CQ44" i="21"/>
  <c r="CQ45" i="21" s="1"/>
  <c r="CQ46" i="21" s="1"/>
  <c r="CQ42" i="21"/>
  <c r="EG52" i="21"/>
  <c r="EG53" i="21"/>
  <c r="BE39" i="21"/>
  <c r="BE44" i="21"/>
  <c r="BE45" i="21" s="1"/>
  <c r="BE46" i="21" s="1"/>
  <c r="BE42" i="21"/>
  <c r="DL39" i="21"/>
  <c r="DL44" i="21"/>
  <c r="DL45" i="21" s="1"/>
  <c r="DL46" i="21" s="1"/>
  <c r="DL42" i="21"/>
  <c r="G23" i="58"/>
  <c r="L23" i="57"/>
  <c r="J22" i="10"/>
  <c r="AZ52" i="21"/>
  <c r="AZ53" i="21"/>
  <c r="EL52" i="21"/>
  <c r="EL53" i="21"/>
  <c r="EW52" i="21"/>
  <c r="EW53" i="21"/>
  <c r="BE52" i="21"/>
  <c r="BE53" i="21"/>
  <c r="CG52" i="21"/>
  <c r="CG53" i="21"/>
  <c r="AZ44" i="21"/>
  <c r="AZ45" i="21" s="1"/>
  <c r="AZ46" i="21" s="1"/>
  <c r="AZ39" i="21"/>
  <c r="AZ42" i="21"/>
  <c r="DX42" i="21"/>
  <c r="DX44" i="21"/>
  <c r="DX45" i="21" s="1"/>
  <c r="DX46" i="21" s="1"/>
  <c r="DX39" i="21"/>
  <c r="CG39" i="21"/>
  <c r="CG42" i="21"/>
  <c r="CG44" i="21"/>
  <c r="CG45" i="21" s="1"/>
  <c r="CG46" i="21" s="1"/>
  <c r="O42" i="20"/>
  <c r="O37" i="20"/>
  <c r="O125" i="20"/>
  <c r="U146" i="20" s="1"/>
  <c r="O43" i="20"/>
  <c r="O130" i="20" s="1"/>
  <c r="O41" i="20"/>
  <c r="O45" i="20"/>
  <c r="BG52" i="21"/>
  <c r="BG53" i="21"/>
  <c r="FB52" i="21"/>
  <c r="FB53" i="21"/>
  <c r="CL52" i="21"/>
  <c r="CL53" i="21"/>
  <c r="DI52" i="21"/>
  <c r="DI53" i="21"/>
  <c r="ET52" i="21"/>
  <c r="ET53" i="21"/>
  <c r="AP52" i="21"/>
  <c r="AP53" i="21"/>
  <c r="EF52" i="21"/>
  <c r="EF53" i="21"/>
  <c r="Z52" i="21"/>
  <c r="Z53" i="21"/>
  <c r="DV52" i="21"/>
  <c r="DV53" i="21"/>
  <c r="FH52" i="21"/>
  <c r="FH53" i="21"/>
  <c r="AM52" i="21"/>
  <c r="AM53" i="21"/>
  <c r="DP52" i="21"/>
  <c r="DP53" i="21"/>
  <c r="H52" i="21"/>
  <c r="H53" i="21"/>
  <c r="M52" i="21"/>
  <c r="M53" i="21"/>
  <c r="L14" i="10"/>
  <c r="CS39" i="21"/>
  <c r="CS42" i="21"/>
  <c r="CS44" i="21"/>
  <c r="CS45" i="21" s="1"/>
  <c r="CS46" i="21" s="1"/>
  <c r="M39" i="21"/>
  <c r="M44" i="21"/>
  <c r="M45" i="21" s="1"/>
  <c r="M46" i="21" s="1"/>
  <c r="M42" i="21"/>
  <c r="EH44" i="21"/>
  <c r="EH45" i="21" s="1"/>
  <c r="EH46" i="21" s="1"/>
  <c r="EH39" i="21"/>
  <c r="EH42" i="21"/>
  <c r="EG42" i="21"/>
  <c r="EG39" i="21"/>
  <c r="EG44" i="21"/>
  <c r="EG45" i="21" s="1"/>
  <c r="EG46" i="21" s="1"/>
  <c r="AS44" i="21"/>
  <c r="AS45" i="21" s="1"/>
  <c r="AS46" i="21" s="1"/>
  <c r="AS39" i="21"/>
  <c r="AS42" i="21"/>
  <c r="I70" i="20"/>
  <c r="W52" i="20"/>
  <c r="W70" i="20" s="1"/>
  <c r="X52" i="20"/>
  <c r="FE52" i="21"/>
  <c r="FE53" i="21"/>
  <c r="L14" i="8"/>
  <c r="EZ52" i="21"/>
  <c r="EZ53" i="21"/>
  <c r="G52" i="21"/>
  <c r="G53" i="21"/>
  <c r="FF52" i="21"/>
  <c r="FF53" i="21"/>
  <c r="FD52" i="21"/>
  <c r="FD53" i="21"/>
  <c r="E52" i="21"/>
  <c r="E53" i="21"/>
  <c r="BW52" i="21"/>
  <c r="BW53" i="21"/>
  <c r="FB44" i="21"/>
  <c r="FB45" i="21" s="1"/>
  <c r="FB46" i="21" s="1"/>
  <c r="FB42" i="21"/>
  <c r="FB39" i="21"/>
  <c r="CE42" i="21"/>
  <c r="CE39" i="21"/>
  <c r="CE44" i="21"/>
  <c r="CE45" i="21" s="1"/>
  <c r="CE46" i="21" s="1"/>
  <c r="Y39" i="21"/>
  <c r="Y44" i="21"/>
  <c r="Y45" i="21" s="1"/>
  <c r="Y46" i="21" s="1"/>
  <c r="Y42" i="21"/>
  <c r="BA44" i="21"/>
  <c r="BA45" i="21" s="1"/>
  <c r="BA46" i="21" s="1"/>
  <c r="BA39" i="21"/>
  <c r="BA42" i="21"/>
  <c r="T42" i="21"/>
  <c r="T44" i="21"/>
  <c r="T45" i="21" s="1"/>
  <c r="T46" i="21" s="1"/>
  <c r="T39" i="21"/>
  <c r="DN42" i="21"/>
  <c r="DN39" i="21"/>
  <c r="DN44" i="21"/>
  <c r="DN45" i="21" s="1"/>
  <c r="DN46" i="21" s="1"/>
  <c r="CC44" i="21"/>
  <c r="CC45" i="21" s="1"/>
  <c r="CC46" i="21" s="1"/>
  <c r="CC39" i="21"/>
  <c r="CC42" i="21"/>
  <c r="DC39" i="21"/>
  <c r="DC42" i="21"/>
  <c r="DC44" i="21"/>
  <c r="DC45" i="21" s="1"/>
  <c r="DC46" i="21" s="1"/>
  <c r="BS44" i="21"/>
  <c r="BS45" i="21" s="1"/>
  <c r="BS46" i="21" s="1"/>
  <c r="BS39" i="21"/>
  <c r="BS42" i="21"/>
  <c r="AT39" i="21"/>
  <c r="AT44" i="21"/>
  <c r="AT45" i="21" s="1"/>
  <c r="AT46" i="21" s="1"/>
  <c r="AT42" i="21"/>
  <c r="DJ39" i="21"/>
  <c r="DJ42" i="21"/>
  <c r="DJ44" i="21"/>
  <c r="DJ45" i="21" s="1"/>
  <c r="DJ46" i="21" s="1"/>
  <c r="BK42" i="21"/>
  <c r="BK44" i="21"/>
  <c r="BK45" i="21" s="1"/>
  <c r="BK46" i="21" s="1"/>
  <c r="BK39" i="21"/>
  <c r="DG52" i="21"/>
  <c r="DG53" i="21"/>
  <c r="AN52" i="21"/>
  <c r="AN53" i="21"/>
  <c r="J39" i="21"/>
  <c r="J44" i="21"/>
  <c r="J45" i="21" s="1"/>
  <c r="J46" i="21" s="1"/>
  <c r="J42" i="21"/>
  <c r="DG42" i="21"/>
  <c r="DG39" i="21"/>
  <c r="DG44" i="21"/>
  <c r="DG45" i="21" s="1"/>
  <c r="DG46" i="21" s="1"/>
  <c r="DB42" i="21"/>
  <c r="DB39" i="21"/>
  <c r="DB44" i="21"/>
  <c r="DB45" i="21" s="1"/>
  <c r="DB46" i="21" s="1"/>
  <c r="M43" i="20"/>
  <c r="M130" i="20" s="1"/>
  <c r="M41" i="20"/>
  <c r="M125" i="20"/>
  <c r="T146" i="20" s="1"/>
  <c r="M37" i="20"/>
  <c r="M42" i="20"/>
  <c r="M45" i="20"/>
  <c r="AE39" i="21"/>
  <c r="AE42" i="21"/>
  <c r="AE44" i="21"/>
  <c r="AE45" i="21" s="1"/>
  <c r="AE46" i="21" s="1"/>
  <c r="EJ42" i="21"/>
  <c r="EJ39" i="21"/>
  <c r="EJ44" i="21"/>
  <c r="EJ45" i="21" s="1"/>
  <c r="EJ46" i="21" s="1"/>
  <c r="CA44" i="21"/>
  <c r="CA45" i="21" s="1"/>
  <c r="CA46" i="21" s="1"/>
  <c r="CA39" i="21"/>
  <c r="CA42" i="21"/>
  <c r="V44" i="21"/>
  <c r="V45" i="21" s="1"/>
  <c r="V46" i="21" s="1"/>
  <c r="V39" i="21"/>
  <c r="V42" i="21"/>
  <c r="BF42" i="21"/>
  <c r="BF44" i="21"/>
  <c r="BF45" i="21" s="1"/>
  <c r="BF46" i="21" s="1"/>
  <c r="BF39" i="21"/>
  <c r="CP39" i="21"/>
  <c r="CP44" i="21"/>
  <c r="CP45" i="21" s="1"/>
  <c r="CP46" i="21" s="1"/>
  <c r="CP42" i="21"/>
  <c r="DZ39" i="21"/>
  <c r="DZ42" i="21"/>
  <c r="DZ44" i="21"/>
  <c r="DZ45" i="21" s="1"/>
  <c r="DZ46" i="21" s="1"/>
  <c r="CB44" i="21"/>
  <c r="CB45" i="21" s="1"/>
  <c r="CB46" i="21" s="1"/>
  <c r="CB42" i="21"/>
  <c r="CB39" i="21"/>
  <c r="EM42" i="21"/>
  <c r="EM44" i="21"/>
  <c r="EM45" i="21" s="1"/>
  <c r="EM46" i="21" s="1"/>
  <c r="EM39" i="21"/>
  <c r="BN42" i="21"/>
  <c r="BN39" i="21"/>
  <c r="BN44" i="21"/>
  <c r="BN45" i="21" s="1"/>
  <c r="BN46" i="21" s="1"/>
  <c r="L13" i="10"/>
  <c r="DN52" i="21"/>
  <c r="DN53" i="21"/>
  <c r="AK52" i="21"/>
  <c r="AK53" i="21"/>
  <c r="BN52" i="21"/>
  <c r="BN53" i="21"/>
  <c r="DX52" i="21"/>
  <c r="DX53" i="21"/>
  <c r="X34" i="20"/>
  <c r="W34" i="20"/>
  <c r="W75" i="20" s="1"/>
  <c r="I36" i="20"/>
  <c r="I75" i="20"/>
  <c r="ET44" i="21"/>
  <c r="ET45" i="21" s="1"/>
  <c r="ET46" i="21" s="1"/>
  <c r="ET39" i="21"/>
  <c r="ET42" i="21"/>
  <c r="EZ42" i="21"/>
  <c r="EZ39" i="21"/>
  <c r="EZ44" i="21"/>
  <c r="EZ45" i="21" s="1"/>
  <c r="EZ46" i="21" s="1"/>
  <c r="BI39" i="21"/>
  <c r="BI42" i="21"/>
  <c r="BI44" i="21"/>
  <c r="BI45" i="21" s="1"/>
  <c r="BI46" i="21" s="1"/>
  <c r="AV52" i="21"/>
  <c r="AV53" i="21"/>
  <c r="FG52" i="21"/>
  <c r="FG53" i="21"/>
  <c r="DA52" i="21"/>
  <c r="DA53" i="21"/>
  <c r="AG52" i="21"/>
  <c r="AG53" i="21"/>
  <c r="CX52" i="21"/>
  <c r="CX53" i="21"/>
  <c r="CX39" i="21"/>
  <c r="CX42" i="21"/>
  <c r="CX44" i="21"/>
  <c r="CX45" i="21" s="1"/>
  <c r="CX46" i="21" s="1"/>
  <c r="L22" i="8"/>
  <c r="BH39" i="21"/>
  <c r="BH44" i="21"/>
  <c r="BH45" i="21" s="1"/>
  <c r="BH46" i="21" s="1"/>
  <c r="BH42" i="21"/>
  <c r="T52" i="21"/>
  <c r="T53" i="21"/>
  <c r="DJ52" i="21"/>
  <c r="DJ53" i="21"/>
  <c r="BT52" i="21"/>
  <c r="BT53" i="21"/>
  <c r="N52" i="21"/>
  <c r="N53" i="21"/>
  <c r="BS52" i="21"/>
  <c r="BS53" i="21"/>
  <c r="FA52" i="21"/>
  <c r="FA53" i="21"/>
  <c r="EJ52" i="21"/>
  <c r="EJ53" i="21"/>
  <c r="DW52" i="21"/>
  <c r="DW53" i="21"/>
  <c r="D52" i="21"/>
  <c r="D53" i="21"/>
  <c r="DH52" i="21"/>
  <c r="DH53" i="21"/>
  <c r="V52" i="21"/>
  <c r="V53" i="21"/>
  <c r="AD52" i="21"/>
  <c r="AD53" i="21"/>
  <c r="Q70" i="20"/>
  <c r="O52" i="21"/>
  <c r="O53" i="21"/>
  <c r="Q52" i="21"/>
  <c r="Q53" i="21"/>
  <c r="BB52" i="21"/>
  <c r="BB53" i="21"/>
  <c r="BU52" i="21"/>
  <c r="BU53" i="21"/>
  <c r="AR52" i="21"/>
  <c r="AR53" i="21"/>
  <c r="CS52" i="21"/>
  <c r="CS53" i="21"/>
  <c r="EU52" i="21"/>
  <c r="EU53" i="21"/>
  <c r="EH52" i="21"/>
  <c r="EH53" i="21"/>
  <c r="AY52" i="21"/>
  <c r="AY53" i="21"/>
  <c r="DM42" i="21"/>
  <c r="DM39" i="21"/>
  <c r="DM44" i="21"/>
  <c r="DM45" i="21" s="1"/>
  <c r="DM46" i="21" s="1"/>
  <c r="DD39" i="21"/>
  <c r="DD44" i="21"/>
  <c r="DD45" i="21" s="1"/>
  <c r="DD46" i="21" s="1"/>
  <c r="DD42" i="21"/>
  <c r="CF39" i="21"/>
  <c r="CF44" i="21"/>
  <c r="CF45" i="21" s="1"/>
  <c r="CF46" i="21" s="1"/>
  <c r="CF42" i="21"/>
  <c r="FF44" i="21"/>
  <c r="FF45" i="21" s="1"/>
  <c r="FF46" i="21" s="1"/>
  <c r="FF39" i="21"/>
  <c r="FF42" i="21"/>
  <c r="FD42" i="21"/>
  <c r="FD44" i="21"/>
  <c r="FD45" i="21" s="1"/>
  <c r="FD46" i="21" s="1"/>
  <c r="FD39" i="21"/>
  <c r="EM52" i="21"/>
  <c r="EM53" i="21"/>
  <c r="AY44" i="21"/>
  <c r="AY45" i="21" s="1"/>
  <c r="AY46" i="21" s="1"/>
  <c r="AY42" i="21"/>
  <c r="AY39" i="21"/>
  <c r="ED39" i="21"/>
  <c r="ED44" i="21"/>
  <c r="ED45" i="21" s="1"/>
  <c r="ED46" i="21" s="1"/>
  <c r="ED42" i="21"/>
  <c r="DM52" i="21"/>
  <c r="DM53" i="21"/>
  <c r="AH52" i="21"/>
  <c r="AH53" i="21"/>
  <c r="CN52" i="21"/>
  <c r="CN53" i="21"/>
  <c r="CF52" i="21"/>
  <c r="CF53" i="21"/>
  <c r="AQ52" i="21"/>
  <c r="AQ53" i="21"/>
  <c r="CH52" i="21"/>
  <c r="CH53" i="21"/>
  <c r="L52" i="21"/>
  <c r="L53" i="21"/>
  <c r="AS52" i="21"/>
  <c r="AS53" i="21"/>
  <c r="FE42" i="21"/>
  <c r="FE39" i="21"/>
  <c r="FE44" i="21"/>
  <c r="FE45" i="21" s="1"/>
  <c r="FE46" i="21" s="1"/>
  <c r="FI44" i="21"/>
  <c r="FI45" i="21" s="1"/>
  <c r="FI46" i="21" s="1"/>
  <c r="FI42" i="21"/>
  <c r="FI39" i="21"/>
  <c r="CL44" i="21"/>
  <c r="CL45" i="21" s="1"/>
  <c r="CL46" i="21" s="1"/>
  <c r="CL39" i="21"/>
  <c r="CL42" i="21"/>
  <c r="BW39" i="21"/>
  <c r="BW44" i="21"/>
  <c r="BW45" i="21" s="1"/>
  <c r="BW46" i="21" s="1"/>
  <c r="BW42" i="21"/>
  <c r="FG39" i="21"/>
  <c r="FG42" i="21"/>
  <c r="FG44" i="21"/>
  <c r="FG45" i="21" s="1"/>
  <c r="FG46" i="21" s="1"/>
  <c r="FC44" i="21"/>
  <c r="FC45" i="21" s="1"/>
  <c r="FC46" i="21" s="1"/>
  <c r="FC39" i="21"/>
  <c r="FC42" i="21"/>
  <c r="BG39" i="21"/>
  <c r="BG44" i="21"/>
  <c r="BG45" i="21" s="1"/>
  <c r="BG46" i="21" s="1"/>
  <c r="BG42" i="21"/>
  <c r="EK52" i="21"/>
  <c r="EK53" i="21"/>
  <c r="AG44" i="21"/>
  <c r="AG45" i="21" s="1"/>
  <c r="AG46" i="21" s="1"/>
  <c r="AG39" i="21"/>
  <c r="AG42" i="21"/>
  <c r="EA44" i="21"/>
  <c r="EA45" i="21" s="1"/>
  <c r="EA46" i="21" s="1"/>
  <c r="EA39" i="21"/>
  <c r="EA42" i="21"/>
  <c r="S43" i="20"/>
  <c r="S130" i="20" s="1"/>
  <c r="S125" i="20"/>
  <c r="W146" i="20" s="1"/>
  <c r="S37" i="20"/>
  <c r="S41" i="20"/>
  <c r="S42" i="20"/>
  <c r="S45" i="20"/>
  <c r="J52" i="21"/>
  <c r="J53" i="21"/>
  <c r="AB44" i="21"/>
  <c r="AB45" i="21" s="1"/>
  <c r="AB46" i="21" s="1"/>
  <c r="AB39" i="21"/>
  <c r="AB42" i="21"/>
  <c r="L13" i="8"/>
  <c r="DW42" i="21"/>
  <c r="DW39" i="21"/>
  <c r="DW44" i="21"/>
  <c r="DW45" i="21" s="1"/>
  <c r="DW46" i="21" s="1"/>
  <c r="BR39" i="21"/>
  <c r="BR44" i="21"/>
  <c r="BR45" i="21" s="1"/>
  <c r="BR46" i="21" s="1"/>
  <c r="BR42" i="21"/>
  <c r="EA52" i="21"/>
  <c r="EA53" i="21"/>
  <c r="BD39" i="21"/>
  <c r="BD44" i="21"/>
  <c r="BD45" i="21" s="1"/>
  <c r="BD46" i="21" s="1"/>
  <c r="BD42" i="21"/>
  <c r="DV39" i="21"/>
  <c r="DV42" i="21"/>
  <c r="DV44" i="21"/>
  <c r="DV45" i="21" s="1"/>
  <c r="DV46" i="21" s="1"/>
  <c r="S44" i="21"/>
  <c r="S45" i="21" s="1"/>
  <c r="S46" i="21" s="1"/>
  <c r="S39" i="21"/>
  <c r="S42" i="21"/>
  <c r="O44" i="21"/>
  <c r="O45" i="21" s="1"/>
  <c r="O46" i="21" s="1"/>
  <c r="O39" i="21"/>
  <c r="O42" i="21"/>
  <c r="CK39" i="21"/>
  <c r="CK44" i="21"/>
  <c r="CK45" i="21" s="1"/>
  <c r="CK46" i="21" s="1"/>
  <c r="CK42" i="21"/>
  <c r="AL39" i="21"/>
  <c r="AL44" i="21"/>
  <c r="AL45" i="21" s="1"/>
  <c r="AL46" i="21" s="1"/>
  <c r="AL42" i="21"/>
  <c r="Q75" i="20"/>
  <c r="Q36" i="20"/>
  <c r="D23" i="58"/>
  <c r="D23" i="57"/>
  <c r="AW44" i="21"/>
  <c r="AW45" i="21" s="1"/>
  <c r="AW46" i="21" s="1"/>
  <c r="AW39" i="21"/>
  <c r="AW42" i="21"/>
  <c r="D42" i="21"/>
  <c r="D44" i="21"/>
  <c r="D45" i="21" s="1"/>
  <c r="D46" i="21" s="1"/>
  <c r="D39" i="21"/>
  <c r="DH39" i="21"/>
  <c r="DH42" i="21"/>
  <c r="DH44" i="21"/>
  <c r="DH45" i="21" s="1"/>
  <c r="DH46" i="21" s="1"/>
  <c r="CZ44" i="21"/>
  <c r="CZ45" i="21" s="1"/>
  <c r="CZ46" i="21" s="1"/>
  <c r="CZ42" i="21"/>
  <c r="CZ39" i="21"/>
  <c r="BB39" i="21"/>
  <c r="BB42" i="21"/>
  <c r="BB44" i="21"/>
  <c r="BB45" i="21" s="1"/>
  <c r="BB46" i="21" s="1"/>
  <c r="F23" i="57"/>
  <c r="E23" i="58"/>
  <c r="EX42" i="21"/>
  <c r="EX39" i="21"/>
  <c r="EX44" i="21"/>
  <c r="EX45" i="21" s="1"/>
  <c r="EX46" i="21" s="1"/>
  <c r="CJ44" i="21"/>
  <c r="CJ45" i="21" s="1"/>
  <c r="CJ46" i="21" s="1"/>
  <c r="CJ39" i="21"/>
  <c r="CJ42" i="21"/>
  <c r="EW44" i="21"/>
  <c r="EW45" i="21" s="1"/>
  <c r="EW46" i="21" s="1"/>
  <c r="EW42" i="21"/>
  <c r="EW39" i="21"/>
  <c r="EI52" i="21"/>
  <c r="EI53" i="21"/>
  <c r="Q42" i="21"/>
  <c r="Q39" i="21"/>
  <c r="Q44" i="21"/>
  <c r="Q45" i="21" s="1"/>
  <c r="Q46" i="21" s="1"/>
  <c r="DY52" i="21"/>
  <c r="DY53" i="21"/>
  <c r="FH42" i="21"/>
  <c r="FH44" i="21"/>
  <c r="FH45" i="21" s="1"/>
  <c r="FH46" i="21" s="1"/>
  <c r="FH39" i="21"/>
  <c r="FC52" i="21"/>
  <c r="FC53" i="21"/>
  <c r="ER52" i="21"/>
  <c r="ER53" i="21"/>
  <c r="BZ44" i="21"/>
  <c r="BZ45" i="21" s="1"/>
  <c r="BZ46" i="21" s="1"/>
  <c r="BZ39" i="21"/>
  <c r="BZ42" i="21"/>
  <c r="ER44" i="21"/>
  <c r="ER45" i="21" s="1"/>
  <c r="ER46" i="21" s="1"/>
  <c r="ER42" i="21"/>
  <c r="ER39" i="21"/>
  <c r="AK44" i="21"/>
  <c r="AK45" i="21" s="1"/>
  <c r="AK46" i="21" s="1"/>
  <c r="AK39" i="21"/>
  <c r="AK42" i="21"/>
  <c r="BA52" i="21"/>
  <c r="BA53" i="21"/>
  <c r="BH52" i="21"/>
  <c r="BH53" i="21"/>
  <c r="CT52" i="21"/>
  <c r="CT53" i="21"/>
  <c r="DO52" i="21"/>
  <c r="DO53" i="21"/>
  <c r="AA52" i="21"/>
  <c r="AA53" i="21"/>
  <c r="K70" i="20"/>
  <c r="DI39" i="21"/>
  <c r="DI42" i="21"/>
  <c r="DI44" i="21"/>
  <c r="DI45" i="21" s="1"/>
  <c r="DI46" i="21" s="1"/>
  <c r="BM52" i="21"/>
  <c r="BM53" i="21"/>
  <c r="BK52" i="21"/>
  <c r="BK53" i="21"/>
  <c r="CY52" i="21"/>
  <c r="CY53" i="21"/>
  <c r="CZ52" i="21"/>
  <c r="CZ53" i="21"/>
  <c r="BR52" i="21"/>
  <c r="BR53" i="21"/>
  <c r="BD52" i="21"/>
  <c r="BD53" i="21"/>
  <c r="U15" i="57"/>
  <c r="CB52" i="21"/>
  <c r="CB53" i="21"/>
  <c r="DL52" i="21"/>
  <c r="DL53" i="21"/>
  <c r="AO52" i="21"/>
  <c r="AO53" i="21"/>
  <c r="BF52" i="21"/>
  <c r="BF53" i="21"/>
  <c r="DZ52" i="21"/>
  <c r="DZ53" i="21"/>
  <c r="P52" i="21"/>
  <c r="P53" i="21"/>
  <c r="DF52" i="21"/>
  <c r="DF53" i="21"/>
  <c r="U52" i="21"/>
  <c r="U53" i="21"/>
  <c r="DP44" i="21"/>
  <c r="DP45" i="21" s="1"/>
  <c r="DP46" i="21" s="1"/>
  <c r="DP42" i="21"/>
  <c r="DP39" i="21"/>
  <c r="P39" i="21"/>
  <c r="P44" i="21"/>
  <c r="P45" i="21" s="1"/>
  <c r="P46" i="21" s="1"/>
  <c r="P42" i="21"/>
  <c r="EU44" i="21"/>
  <c r="EU45" i="21" s="1"/>
  <c r="EU46" i="21" s="1"/>
  <c r="EU42" i="21"/>
  <c r="EU39" i="21"/>
  <c r="AQ39" i="21"/>
  <c r="AQ44" i="21"/>
  <c r="AQ45" i="21" s="1"/>
  <c r="AQ46" i="21" s="1"/>
  <c r="AQ42" i="21"/>
  <c r="DF39" i="21"/>
  <c r="DF42" i="21"/>
  <c r="DF44" i="21"/>
  <c r="DF45" i="21" s="1"/>
  <c r="DF46" i="21" s="1"/>
  <c r="U39" i="21"/>
  <c r="U44" i="21"/>
  <c r="U45" i="21" s="1"/>
  <c r="U46" i="21" s="1"/>
  <c r="U42" i="21"/>
  <c r="BY44" i="21"/>
  <c r="BY45" i="21" s="1"/>
  <c r="BY46" i="21" s="1"/>
  <c r="BY42" i="21"/>
  <c r="BY39" i="21"/>
  <c r="DK52" i="21"/>
  <c r="DK53" i="21"/>
  <c r="DC52" i="21"/>
  <c r="DC53" i="21"/>
  <c r="DE52" i="21"/>
  <c r="DE53" i="21"/>
  <c r="Y52" i="21"/>
  <c r="Y53" i="21"/>
  <c r="CT44" i="21"/>
  <c r="CT45" i="21" s="1"/>
  <c r="CT46" i="21" s="1"/>
  <c r="CT39" i="21"/>
  <c r="CT42" i="21"/>
  <c r="CN44" i="21"/>
  <c r="CN45" i="21" s="1"/>
  <c r="CN46" i="21" s="1"/>
  <c r="CN39" i="21"/>
  <c r="CN42" i="21"/>
  <c r="U75" i="20"/>
  <c r="U36" i="20"/>
  <c r="CH44" i="21"/>
  <c r="CH45" i="21" s="1"/>
  <c r="CH46" i="21" s="1"/>
  <c r="CH39" i="21"/>
  <c r="CH42" i="21"/>
  <c r="L42" i="21"/>
  <c r="L44" i="21"/>
  <c r="L45" i="21" s="1"/>
  <c r="L46" i="21" s="1"/>
  <c r="L39" i="21"/>
  <c r="X39" i="21"/>
  <c r="X44" i="21"/>
  <c r="X45" i="21" s="1"/>
  <c r="X46" i="21" s="1"/>
  <c r="X42" i="21"/>
  <c r="AR39" i="21"/>
  <c r="AR44" i="21"/>
  <c r="AR45" i="21" s="1"/>
  <c r="AR46" i="21" s="1"/>
  <c r="AR42" i="21"/>
  <c r="AP39" i="21"/>
  <c r="AP44" i="21"/>
  <c r="AP45" i="21" s="1"/>
  <c r="AP46" i="21" s="1"/>
  <c r="AP42" i="21"/>
  <c r="DK39" i="21"/>
  <c r="DK42" i="21"/>
  <c r="DK44" i="21"/>
  <c r="DK45" i="21" s="1"/>
  <c r="DK46" i="21" s="1"/>
  <c r="AA39" i="21"/>
  <c r="AA44" i="21"/>
  <c r="AA45" i="21" s="1"/>
  <c r="AA46" i="21" s="1"/>
  <c r="AA42" i="21"/>
  <c r="FA42" i="21"/>
  <c r="FA39" i="21"/>
  <c r="FA44" i="21"/>
  <c r="FA45" i="21" s="1"/>
  <c r="FA46" i="21" s="1"/>
  <c r="S52" i="21"/>
  <c r="S53" i="21"/>
  <c r="DB52" i="21"/>
  <c r="DB53" i="21"/>
  <c r="CK52" i="21"/>
  <c r="CK53" i="21"/>
  <c r="CC52" i="21"/>
  <c r="CC53" i="21"/>
  <c r="DA42" i="21"/>
  <c r="DA39" i="21"/>
  <c r="DA44" i="21"/>
  <c r="DA45" i="21" s="1"/>
  <c r="DA46" i="21" s="1"/>
  <c r="DO39" i="21"/>
  <c r="DO42" i="21"/>
  <c r="DO44" i="21"/>
  <c r="DO45" i="21" s="1"/>
  <c r="DO46" i="21" s="1"/>
  <c r="EK44" i="21"/>
  <c r="EK45" i="21" s="1"/>
  <c r="EK46" i="21" s="1"/>
  <c r="EK39" i="21"/>
  <c r="EK42" i="21"/>
  <c r="BU39" i="21"/>
  <c r="BU44" i="21"/>
  <c r="BU45" i="21" s="1"/>
  <c r="BU46" i="21" s="1"/>
  <c r="BU42" i="21"/>
  <c r="K39" i="21"/>
  <c r="K44" i="21"/>
  <c r="K45" i="21" s="1"/>
  <c r="K46" i="21" s="1"/>
  <c r="K42" i="21"/>
  <c r="BT39" i="21"/>
  <c r="BT44" i="21"/>
  <c r="BT45" i="21" s="1"/>
  <c r="BT46" i="21" s="1"/>
  <c r="BT42" i="21"/>
  <c r="F39" i="21"/>
  <c r="F44" i="21"/>
  <c r="F45" i="21" s="1"/>
  <c r="F46" i="21" s="1"/>
  <c r="F42" i="21"/>
  <c r="F23" i="58"/>
  <c r="I23" i="57"/>
  <c r="AO44" i="21"/>
  <c r="AO45" i="21" s="1"/>
  <c r="AO46" i="21" s="1"/>
  <c r="AO39" i="21"/>
  <c r="AO42" i="21"/>
  <c r="BP39" i="21"/>
  <c r="BP44" i="21"/>
  <c r="BP45" i="21" s="1"/>
  <c r="BP46" i="21" s="1"/>
  <c r="BP42" i="21"/>
  <c r="AN44" i="21"/>
  <c r="AN45" i="21" s="1"/>
  <c r="AN46" i="21" s="1"/>
  <c r="AN39" i="21"/>
  <c r="AN42" i="21"/>
  <c r="CY39" i="21"/>
  <c r="CY42" i="21"/>
  <c r="CY44" i="21"/>
  <c r="CY45" i="21" s="1"/>
  <c r="CY46" i="21" s="1"/>
  <c r="FJ42" i="21"/>
  <c r="FJ39" i="21"/>
  <c r="FJ44" i="21"/>
  <c r="FJ45" i="21" s="1"/>
  <c r="FJ46" i="21" s="1"/>
  <c r="EF44" i="21"/>
  <c r="EF45" i="21" s="1"/>
  <c r="EF46" i="21" s="1"/>
  <c r="EF42" i="21"/>
  <c r="EF39" i="21"/>
  <c r="Z39" i="21"/>
  <c r="Z44" i="21"/>
  <c r="Z45" i="21" s="1"/>
  <c r="Z46" i="21" s="1"/>
  <c r="Z42" i="21"/>
  <c r="EC42" i="21"/>
  <c r="EC39" i="21"/>
  <c r="EC44" i="21"/>
  <c r="EC45" i="21" s="1"/>
  <c r="EC46" i="21" s="1"/>
  <c r="BJ42" i="21"/>
  <c r="BJ44" i="21"/>
  <c r="BJ45" i="21" s="1"/>
  <c r="BJ46" i="21" s="1"/>
  <c r="BJ39" i="21"/>
  <c r="E39" i="21"/>
  <c r="E44" i="21"/>
  <c r="E45" i="21" s="1"/>
  <c r="E46" i="21" s="1"/>
  <c r="E42" i="21"/>
  <c r="BV44" i="21"/>
  <c r="BV45" i="21" s="1"/>
  <c r="BV46" i="21" s="1"/>
  <c r="BV39" i="21"/>
  <c r="BV42" i="21"/>
  <c r="BI52" i="21"/>
  <c r="BI53" i="21"/>
  <c r="AU52" i="21"/>
  <c r="AU53" i="21"/>
  <c r="EY52" i="21"/>
  <c r="EY53" i="21"/>
  <c r="BV52" i="21"/>
  <c r="BV53" i="21"/>
  <c r="AH42" i="21"/>
  <c r="AH39" i="21"/>
  <c r="AH44" i="21"/>
  <c r="AH45" i="21" s="1"/>
  <c r="AH46" i="21" s="1"/>
  <c r="EL39" i="21"/>
  <c r="EL44" i="21"/>
  <c r="EL45" i="21" s="1"/>
  <c r="EL46" i="21" s="1"/>
  <c r="EL42" i="21"/>
  <c r="J22" i="8"/>
  <c r="EY39" i="21"/>
  <c r="EY44" i="21"/>
  <c r="EY45" i="21" s="1"/>
  <c r="EY46" i="21" s="1"/>
  <c r="EY42" i="21"/>
  <c r="ED52" i="21"/>
  <c r="ED53" i="21"/>
  <c r="U70" i="20"/>
  <c r="EB52" i="21"/>
  <c r="EB53" i="21"/>
  <c r="CM52" i="21"/>
  <c r="CM53" i="21"/>
  <c r="FI52" i="21"/>
  <c r="FI53" i="21"/>
  <c r="ES52" i="21"/>
  <c r="ES53" i="21"/>
  <c r="CJ52" i="21"/>
  <c r="CJ53" i="21"/>
  <c r="P70" i="20"/>
  <c r="BQ52" i="21"/>
  <c r="BQ53" i="21"/>
  <c r="EE52" i="21"/>
  <c r="EE53" i="21"/>
  <c r="M77" i="20" l="1"/>
  <c r="M78" i="20" s="1"/>
  <c r="M46" i="20"/>
  <c r="O77" i="20"/>
  <c r="O78" i="20" s="1"/>
  <c r="O46" i="20"/>
  <c r="S77" i="20"/>
  <c r="S78" i="20" s="1"/>
  <c r="S46" i="20"/>
  <c r="DE54" i="21"/>
  <c r="DE57" i="21"/>
  <c r="DE58" i="21" s="1"/>
  <c r="BR57" i="21"/>
  <c r="BR58" i="21" s="1"/>
  <c r="BR54" i="21"/>
  <c r="L70" i="20"/>
  <c r="L23" i="58"/>
  <c r="N23" i="58"/>
  <c r="AY57" i="21"/>
  <c r="AY58" i="21" s="1"/>
  <c r="AY54" i="21"/>
  <c r="AR54" i="21"/>
  <c r="AR57" i="21"/>
  <c r="AR58" i="21" s="1"/>
  <c r="O54" i="21"/>
  <c r="O57" i="21"/>
  <c r="O58" i="21" s="1"/>
  <c r="DH54" i="21"/>
  <c r="DH57" i="21"/>
  <c r="DH58" i="21" s="1"/>
  <c r="FA54" i="21"/>
  <c r="FA57" i="21"/>
  <c r="FA58" i="21" s="1"/>
  <c r="DJ54" i="21"/>
  <c r="DJ57" i="21"/>
  <c r="DJ58" i="21" s="1"/>
  <c r="AK54" i="21"/>
  <c r="AK57" i="21"/>
  <c r="AK58" i="21" s="1"/>
  <c r="FF54" i="21"/>
  <c r="FF57" i="21"/>
  <c r="FF58" i="21" s="1"/>
  <c r="M54" i="21"/>
  <c r="M57" i="21"/>
  <c r="M58" i="21" s="1"/>
  <c r="AM57" i="21"/>
  <c r="AM58" i="21" s="1"/>
  <c r="AM54" i="21"/>
  <c r="EF54" i="21"/>
  <c r="EF57" i="21"/>
  <c r="EF58" i="21" s="1"/>
  <c r="CL57" i="21"/>
  <c r="CL58" i="21" s="1"/>
  <c r="CL54" i="21"/>
  <c r="AE54" i="21"/>
  <c r="AE57" i="21"/>
  <c r="AE58" i="21" s="1"/>
  <c r="X54" i="21"/>
  <c r="X57" i="21"/>
  <c r="X58" i="21" s="1"/>
  <c r="P57" i="21"/>
  <c r="P58" i="21" s="1"/>
  <c r="P54" i="21"/>
  <c r="DL54" i="21"/>
  <c r="DL57" i="21"/>
  <c r="DL58" i="21" s="1"/>
  <c r="AA57" i="21"/>
  <c r="AA58" i="21" s="1"/>
  <c r="AA54" i="21"/>
  <c r="BA54" i="21"/>
  <c r="BA57" i="21"/>
  <c r="BA58" i="21" s="1"/>
  <c r="FC57" i="21"/>
  <c r="FC58" i="21" s="1"/>
  <c r="FC54" i="21"/>
  <c r="Q41" i="20"/>
  <c r="Q43" i="20"/>
  <c r="Q130" i="20" s="1"/>
  <c r="Q37" i="20"/>
  <c r="Q125" i="20"/>
  <c r="V146" i="20" s="1"/>
  <c r="Q42" i="20"/>
  <c r="Q45" i="20"/>
  <c r="AS57" i="21"/>
  <c r="AS58" i="21" s="1"/>
  <c r="AS54" i="21"/>
  <c r="CF57" i="21"/>
  <c r="CF58" i="21" s="1"/>
  <c r="CF54" i="21"/>
  <c r="DA54" i="21"/>
  <c r="DA57" i="21"/>
  <c r="DA58" i="21" s="1"/>
  <c r="X36" i="20"/>
  <c r="W36" i="20"/>
  <c r="W125" i="20" s="1"/>
  <c r="I42" i="20"/>
  <c r="I37" i="20"/>
  <c r="I125" i="20"/>
  <c r="R146" i="20" s="1"/>
  <c r="I41" i="20"/>
  <c r="I43" i="20"/>
  <c r="I45" i="20"/>
  <c r="EX54" i="21"/>
  <c r="EX57" i="21"/>
  <c r="EX58" i="21" s="1"/>
  <c r="DU57" i="21"/>
  <c r="DU58" i="21" s="1"/>
  <c r="DU54" i="21"/>
  <c r="I54" i="21"/>
  <c r="I57" i="21"/>
  <c r="I58" i="21" s="1"/>
  <c r="CJ54" i="21"/>
  <c r="CJ57" i="21"/>
  <c r="CJ58" i="21" s="1"/>
  <c r="EB54" i="21"/>
  <c r="EB57" i="21"/>
  <c r="EB58" i="21" s="1"/>
  <c r="BV54" i="21"/>
  <c r="BV57" i="21"/>
  <c r="BV58" i="21" s="1"/>
  <c r="CC57" i="21"/>
  <c r="CC58" i="21" s="1"/>
  <c r="CC54" i="21"/>
  <c r="DC57" i="21"/>
  <c r="DC58" i="21" s="1"/>
  <c r="DC54" i="21"/>
  <c r="CZ57" i="21"/>
  <c r="CZ58" i="21" s="1"/>
  <c r="CZ54" i="21"/>
  <c r="BM57" i="21"/>
  <c r="BM58" i="21" s="1"/>
  <c r="BM54" i="21"/>
  <c r="EK54" i="21"/>
  <c r="EK57" i="21"/>
  <c r="EK58" i="21" s="1"/>
  <c r="EH54" i="21"/>
  <c r="EH57" i="21"/>
  <c r="EH58" i="21" s="1"/>
  <c r="BU54" i="21"/>
  <c r="BU57" i="21"/>
  <c r="BU58" i="21" s="1"/>
  <c r="D54" i="21"/>
  <c r="D57" i="21"/>
  <c r="D58" i="21" s="1"/>
  <c r="BS57" i="21"/>
  <c r="BS58" i="21" s="1"/>
  <c r="BS54" i="21"/>
  <c r="T54" i="21"/>
  <c r="T57" i="21"/>
  <c r="T58" i="21" s="1"/>
  <c r="DN57" i="21"/>
  <c r="DN58" i="21" s="1"/>
  <c r="DN54" i="21"/>
  <c r="AN57" i="21"/>
  <c r="AN58" i="21" s="1"/>
  <c r="AN54" i="21"/>
  <c r="BW57" i="21"/>
  <c r="BW58" i="21" s="1"/>
  <c r="BW54" i="21"/>
  <c r="G57" i="21"/>
  <c r="G58" i="21" s="1"/>
  <c r="G54" i="21"/>
  <c r="H54" i="21"/>
  <c r="H57" i="21"/>
  <c r="H58" i="21" s="1"/>
  <c r="FH57" i="21"/>
  <c r="FH58" i="21" s="1"/>
  <c r="FH54" i="21"/>
  <c r="AP57" i="21"/>
  <c r="AP58" i="21" s="1"/>
  <c r="AP54" i="21"/>
  <c r="FB57" i="21"/>
  <c r="FB58" i="21" s="1"/>
  <c r="FB54" i="21"/>
  <c r="EG57" i="21"/>
  <c r="EG58" i="21" s="1"/>
  <c r="EG54" i="21"/>
  <c r="AJ54" i="21"/>
  <c r="AJ57" i="21"/>
  <c r="AJ58" i="21" s="1"/>
  <c r="BP57" i="21"/>
  <c r="BP58" i="21" s="1"/>
  <c r="BP54" i="21"/>
  <c r="K57" i="21"/>
  <c r="K58" i="21" s="1"/>
  <c r="K54" i="21"/>
  <c r="DZ54" i="21"/>
  <c r="DZ57" i="21"/>
  <c r="DZ58" i="21" s="1"/>
  <c r="CB57" i="21"/>
  <c r="CB58" i="21" s="1"/>
  <c r="CB54" i="21"/>
  <c r="DO54" i="21"/>
  <c r="DO57" i="21"/>
  <c r="DO58" i="21" s="1"/>
  <c r="EI54" i="21"/>
  <c r="EI57" i="21"/>
  <c r="EI58" i="21" s="1"/>
  <c r="L54" i="21"/>
  <c r="L57" i="21"/>
  <c r="L58" i="21" s="1"/>
  <c r="CN54" i="21"/>
  <c r="CN57" i="21"/>
  <c r="CN58" i="21" s="1"/>
  <c r="R70" i="20"/>
  <c r="CX54" i="21"/>
  <c r="CX57" i="21"/>
  <c r="CX58" i="21" s="1"/>
  <c r="FG57" i="21"/>
  <c r="FG58" i="21" s="1"/>
  <c r="FG54" i="21"/>
  <c r="M128" i="20"/>
  <c r="X70" i="20"/>
  <c r="EW54" i="21"/>
  <c r="EW57" i="21"/>
  <c r="EW58" i="21" s="1"/>
  <c r="BY57" i="21"/>
  <c r="BY58" i="21" s="1"/>
  <c r="BY54" i="21"/>
  <c r="BZ54" i="21"/>
  <c r="BZ57" i="21"/>
  <c r="BZ58" i="21" s="1"/>
  <c r="CA54" i="21"/>
  <c r="CA57" i="21"/>
  <c r="CA58" i="21" s="1"/>
  <c r="AW54" i="21"/>
  <c r="AW57" i="21"/>
  <c r="AW58" i="21" s="1"/>
  <c r="EC57" i="21"/>
  <c r="EC58" i="21" s="1"/>
  <c r="EC54" i="21"/>
  <c r="BX54" i="21"/>
  <c r="BX57" i="21"/>
  <c r="BX58" i="21" s="1"/>
  <c r="ES54" i="21"/>
  <c r="ES57" i="21"/>
  <c r="ES58" i="21" s="1"/>
  <c r="EY54" i="21"/>
  <c r="EY57" i="21"/>
  <c r="EY58" i="21" s="1"/>
  <c r="CK54" i="21"/>
  <c r="CK57" i="21"/>
  <c r="CK58" i="21" s="1"/>
  <c r="DK57" i="21"/>
  <c r="DK58" i="21" s="1"/>
  <c r="DK54" i="21"/>
  <c r="CY54" i="21"/>
  <c r="CY57" i="21"/>
  <c r="CY58" i="21" s="1"/>
  <c r="J57" i="21"/>
  <c r="J58" i="21" s="1"/>
  <c r="J54" i="21"/>
  <c r="EU54" i="21"/>
  <c r="EU57" i="21"/>
  <c r="EU58" i="21" s="1"/>
  <c r="BB54" i="21"/>
  <c r="BB57" i="21"/>
  <c r="BB58" i="21" s="1"/>
  <c r="AD54" i="21"/>
  <c r="AD57" i="21"/>
  <c r="AD58" i="21" s="1"/>
  <c r="DW54" i="21"/>
  <c r="DW57" i="21"/>
  <c r="DW58" i="21" s="1"/>
  <c r="N54" i="21"/>
  <c r="N57" i="21"/>
  <c r="N58" i="21" s="1"/>
  <c r="DX54" i="21"/>
  <c r="DX57" i="21"/>
  <c r="DX58" i="21" s="1"/>
  <c r="DG57" i="21"/>
  <c r="DG58" i="21" s="1"/>
  <c r="DG54" i="21"/>
  <c r="E54" i="21"/>
  <c r="E57" i="21"/>
  <c r="E58" i="21" s="1"/>
  <c r="EZ54" i="21"/>
  <c r="EZ57" i="21"/>
  <c r="EZ58" i="21" s="1"/>
  <c r="J70" i="20"/>
  <c r="DV54" i="21"/>
  <c r="DV57" i="21"/>
  <c r="DV58" i="21" s="1"/>
  <c r="ET54" i="21"/>
  <c r="ET57" i="21"/>
  <c r="ET58" i="21" s="1"/>
  <c r="BG57" i="21"/>
  <c r="BG58" i="21" s="1"/>
  <c r="BG54" i="21"/>
  <c r="CP54" i="21"/>
  <c r="CP57" i="21"/>
  <c r="CP58" i="21" s="1"/>
  <c r="AT54" i="21"/>
  <c r="AT57" i="21"/>
  <c r="AT58" i="21" s="1"/>
  <c r="CM57" i="21"/>
  <c r="CM58" i="21" s="1"/>
  <c r="CM54" i="21"/>
  <c r="BI57" i="21"/>
  <c r="BI58" i="21" s="1"/>
  <c r="BI54" i="21"/>
  <c r="S54" i="21"/>
  <c r="S57" i="21"/>
  <c r="S58" i="21" s="1"/>
  <c r="EE54" i="21"/>
  <c r="EE57" i="21"/>
  <c r="EE58" i="21" s="1"/>
  <c r="V70" i="20"/>
  <c r="U57" i="21"/>
  <c r="U58" i="21" s="1"/>
  <c r="U54" i="21"/>
  <c r="BF57" i="21"/>
  <c r="BF58" i="21" s="1"/>
  <c r="BF54" i="21"/>
  <c r="CT54" i="21"/>
  <c r="CT57" i="21"/>
  <c r="CT58" i="21" s="1"/>
  <c r="ER54" i="21"/>
  <c r="ER57" i="21"/>
  <c r="ER58" i="21" s="1"/>
  <c r="EA54" i="21"/>
  <c r="EA57" i="21"/>
  <c r="EA58" i="21" s="1"/>
  <c r="CH57" i="21"/>
  <c r="CH58" i="21" s="1"/>
  <c r="CH54" i="21"/>
  <c r="AH54" i="21"/>
  <c r="AH57" i="21"/>
  <c r="AH58" i="21" s="1"/>
  <c r="AV57" i="21"/>
  <c r="AV58" i="21" s="1"/>
  <c r="AV54" i="21"/>
  <c r="CG54" i="21"/>
  <c r="CG57" i="21"/>
  <c r="CG58" i="21" s="1"/>
  <c r="EL54" i="21"/>
  <c r="EL57" i="21"/>
  <c r="EL58" i="21" s="1"/>
  <c r="CO54" i="21"/>
  <c r="CO57" i="21"/>
  <c r="CO58" i="21" s="1"/>
  <c r="DD54" i="21"/>
  <c r="DD57" i="21"/>
  <c r="DD58" i="21" s="1"/>
  <c r="FJ57" i="21"/>
  <c r="FJ58" i="21" s="1"/>
  <c r="FJ54" i="21"/>
  <c r="AL57" i="21"/>
  <c r="AL58" i="21" s="1"/>
  <c r="AL54" i="21"/>
  <c r="BQ57" i="21"/>
  <c r="BQ58" i="21" s="1"/>
  <c r="BQ54" i="21"/>
  <c r="FI54" i="21"/>
  <c r="FI57" i="21"/>
  <c r="FI58" i="21" s="1"/>
  <c r="ED54" i="21"/>
  <c r="ED57" i="21"/>
  <c r="ED58" i="21" s="1"/>
  <c r="AU57" i="21"/>
  <c r="AU58" i="21" s="1"/>
  <c r="AU54" i="21"/>
  <c r="DB54" i="21"/>
  <c r="DB57" i="21"/>
  <c r="DB58" i="21" s="1"/>
  <c r="U37" i="20"/>
  <c r="U42" i="20"/>
  <c r="U41" i="20"/>
  <c r="U125" i="20"/>
  <c r="X146" i="20" s="1"/>
  <c r="U43" i="20"/>
  <c r="U130" i="20" s="1"/>
  <c r="U45" i="20"/>
  <c r="Y57" i="21"/>
  <c r="Y58" i="21" s="1"/>
  <c r="Y54" i="21"/>
  <c r="BD54" i="21"/>
  <c r="BD57" i="21"/>
  <c r="BD58" i="21" s="1"/>
  <c r="BK57" i="21"/>
  <c r="BK58" i="21" s="1"/>
  <c r="BK54" i="21"/>
  <c r="DY57" i="21"/>
  <c r="DY58" i="21" s="1"/>
  <c r="DY54" i="21"/>
  <c r="S128" i="20"/>
  <c r="CS57" i="21"/>
  <c r="CS58" i="21" s="1"/>
  <c r="CS54" i="21"/>
  <c r="Q57" i="21"/>
  <c r="Q58" i="21" s="1"/>
  <c r="Q54" i="21"/>
  <c r="V54" i="21"/>
  <c r="V57" i="21"/>
  <c r="V58" i="21" s="1"/>
  <c r="EJ54" i="21"/>
  <c r="EJ57" i="21"/>
  <c r="EJ58" i="21" s="1"/>
  <c r="BT57" i="21"/>
  <c r="BT58" i="21" s="1"/>
  <c r="BT54" i="21"/>
  <c r="BN54" i="21"/>
  <c r="BN57" i="21"/>
  <c r="BN58" i="21" s="1"/>
  <c r="FD54" i="21"/>
  <c r="FD57" i="21"/>
  <c r="FD58" i="21" s="1"/>
  <c r="DP57" i="21"/>
  <c r="DP58" i="21" s="1"/>
  <c r="DP54" i="21"/>
  <c r="Z57" i="21"/>
  <c r="Z58" i="21" s="1"/>
  <c r="Z54" i="21"/>
  <c r="DI57" i="21"/>
  <c r="DI58" i="21" s="1"/>
  <c r="DI54" i="21"/>
  <c r="O128" i="20"/>
  <c r="AB57" i="21"/>
  <c r="AB58" i="21" s="1"/>
  <c r="AB54" i="21"/>
  <c r="F57" i="21"/>
  <c r="F58" i="21" s="1"/>
  <c r="F54" i="21"/>
  <c r="K42" i="20"/>
  <c r="K125" i="20"/>
  <c r="S146" i="20" s="1"/>
  <c r="K43" i="20"/>
  <c r="K130" i="20" s="1"/>
  <c r="K41" i="20"/>
  <c r="K37" i="20"/>
  <c r="K45" i="20"/>
  <c r="DF57" i="21"/>
  <c r="DF58" i="21" s="1"/>
  <c r="DF54" i="21"/>
  <c r="AO54" i="21"/>
  <c r="AO57" i="21"/>
  <c r="AO58" i="21" s="1"/>
  <c r="BH57" i="21"/>
  <c r="BH58" i="21" s="1"/>
  <c r="BH54" i="21"/>
  <c r="U23" i="57"/>
  <c r="S23" i="57"/>
  <c r="AQ54" i="21"/>
  <c r="AQ57" i="21"/>
  <c r="AQ58" i="21" s="1"/>
  <c r="DM57" i="21"/>
  <c r="DM58" i="21" s="1"/>
  <c r="DM54" i="21"/>
  <c r="EM57" i="21"/>
  <c r="EM58" i="21" s="1"/>
  <c r="EM54" i="21"/>
  <c r="AG57" i="21"/>
  <c r="AG58" i="21" s="1"/>
  <c r="AG54" i="21"/>
  <c r="FE54" i="21"/>
  <c r="FE57" i="21"/>
  <c r="FE58" i="21" s="1"/>
  <c r="BE54" i="21"/>
  <c r="BE57" i="21"/>
  <c r="BE58" i="21" s="1"/>
  <c r="AZ57" i="21"/>
  <c r="AZ58" i="21" s="1"/>
  <c r="AZ54" i="21"/>
  <c r="CE57" i="21"/>
  <c r="CE58" i="21" s="1"/>
  <c r="CE54" i="21"/>
  <c r="BJ57" i="21"/>
  <c r="BJ58" i="21" s="1"/>
  <c r="BJ54" i="21"/>
  <c r="EV57" i="21"/>
  <c r="EV58" i="21" s="1"/>
  <c r="EV54" i="21"/>
  <c r="AC57" i="21"/>
  <c r="AC58" i="21" s="1"/>
  <c r="AC54" i="21"/>
  <c r="CQ54" i="21"/>
  <c r="CQ57" i="21"/>
  <c r="CQ58" i="21" s="1"/>
  <c r="O131" i="20" l="1"/>
  <c r="O49" i="20"/>
  <c r="I46" i="20"/>
  <c r="Q77" i="20"/>
  <c r="Q78" i="20" s="1"/>
  <c r="Q46" i="20"/>
  <c r="M131" i="20"/>
  <c r="M49" i="20"/>
  <c r="U77" i="20"/>
  <c r="U78" i="20" s="1"/>
  <c r="U46" i="20"/>
  <c r="K77" i="20"/>
  <c r="K78" i="20" s="1"/>
  <c r="K46" i="20"/>
  <c r="S49" i="20"/>
  <c r="S131" i="20"/>
  <c r="Q128" i="20"/>
  <c r="U128" i="20"/>
  <c r="X37" i="20"/>
  <c r="W37" i="20"/>
  <c r="X42" i="20"/>
  <c r="W42" i="20"/>
  <c r="X45" i="20"/>
  <c r="W45" i="20"/>
  <c r="K128" i="20"/>
  <c r="I130" i="20"/>
  <c r="X43" i="20"/>
  <c r="W43" i="20"/>
  <c r="W130" i="20" s="1"/>
  <c r="W41" i="20"/>
  <c r="W77" i="20" s="1"/>
  <c r="W78" i="20" s="1"/>
  <c r="X41" i="20"/>
  <c r="I128" i="20"/>
  <c r="I77" i="20"/>
  <c r="I78" i="20" s="1"/>
  <c r="K131" i="20" l="1"/>
  <c r="K49" i="20"/>
  <c r="I131" i="20"/>
  <c r="X46" i="20"/>
  <c r="W46" i="20"/>
  <c r="W131" i="20" s="1"/>
  <c r="I49" i="20"/>
  <c r="Q131" i="20"/>
  <c r="Q49" i="20"/>
  <c r="O66" i="20"/>
  <c r="O50" i="20"/>
  <c r="M50" i="20"/>
  <c r="M66" i="20"/>
  <c r="U49" i="20"/>
  <c r="U131" i="20"/>
  <c r="S50" i="20"/>
  <c r="S66" i="20"/>
  <c r="W128" i="20"/>
  <c r="S51" i="20" l="1"/>
  <c r="S132" i="20"/>
  <c r="S97" i="20"/>
  <c r="S99" i="20" s="1"/>
  <c r="S102" i="20" s="1"/>
  <c r="S53" i="20"/>
  <c r="P66" i="20"/>
  <c r="P68" i="20" s="1"/>
  <c r="O68" i="20"/>
  <c r="O71" i="20" s="1"/>
  <c r="S68" i="20"/>
  <c r="S71" i="20" s="1"/>
  <c r="T66" i="20"/>
  <c r="T68" i="20" s="1"/>
  <c r="X49" i="20"/>
  <c r="I50" i="20"/>
  <c r="W49" i="20"/>
  <c r="W66" i="20" s="1"/>
  <c r="I66" i="20"/>
  <c r="U50" i="20"/>
  <c r="U66" i="20"/>
  <c r="Q50" i="20"/>
  <c r="Q66" i="20"/>
  <c r="M51" i="20"/>
  <c r="M132" i="20"/>
  <c r="M97" i="20"/>
  <c r="M99" i="20" s="1"/>
  <c r="M102" i="20" s="1"/>
  <c r="M53" i="20"/>
  <c r="N66" i="20"/>
  <c r="N68" i="20" s="1"/>
  <c r="M68" i="20"/>
  <c r="M71" i="20" s="1"/>
  <c r="O51" i="20"/>
  <c r="O132" i="20"/>
  <c r="O97" i="20"/>
  <c r="O99" i="20" s="1"/>
  <c r="O102" i="20" s="1"/>
  <c r="O53" i="20"/>
  <c r="K50" i="20"/>
  <c r="K66" i="20"/>
  <c r="W68" i="20" l="1"/>
  <c r="W71" i="20" s="1"/>
  <c r="X66" i="20"/>
  <c r="X68" i="20" s="1"/>
  <c r="S134" i="20"/>
  <c r="W176" i="20"/>
  <c r="T71" i="20"/>
  <c r="M54" i="20"/>
  <c r="M133" i="20"/>
  <c r="M59" i="20"/>
  <c r="N59" i="20" s="1"/>
  <c r="M136" i="20" s="1"/>
  <c r="M62" i="20"/>
  <c r="M137" i="20" s="1"/>
  <c r="Q51" i="20"/>
  <c r="Q97" i="20"/>
  <c r="Q99" i="20" s="1"/>
  <c r="Q102" i="20" s="1"/>
  <c r="Q132" i="20"/>
  <c r="Q53" i="20"/>
  <c r="K68" i="20"/>
  <c r="K71" i="20" s="1"/>
  <c r="L66" i="20"/>
  <c r="L68" i="20" s="1"/>
  <c r="J66" i="20"/>
  <c r="J68" i="20" s="1"/>
  <c r="I68" i="20"/>
  <c r="I71" i="20" s="1"/>
  <c r="S54" i="20"/>
  <c r="S133" i="20"/>
  <c r="S59" i="20"/>
  <c r="T59" i="20" s="1"/>
  <c r="S136" i="20" s="1"/>
  <c r="S62" i="20"/>
  <c r="S137" i="20" s="1"/>
  <c r="K97" i="20"/>
  <c r="K99" i="20" s="1"/>
  <c r="K102" i="20" s="1"/>
  <c r="K51" i="20"/>
  <c r="K132" i="20"/>
  <c r="K53" i="20"/>
  <c r="O59" i="20"/>
  <c r="P59" i="20" s="1"/>
  <c r="O136" i="20" s="1"/>
  <c r="O133" i="20"/>
  <c r="O54" i="20"/>
  <c r="O62" i="20"/>
  <c r="O137" i="20" s="1"/>
  <c r="W50" i="20"/>
  <c r="X50" i="20"/>
  <c r="I97" i="20"/>
  <c r="I99" i="20" s="1"/>
  <c r="I102" i="20" s="1"/>
  <c r="I51" i="20"/>
  <c r="I132" i="20"/>
  <c r="I53" i="20"/>
  <c r="R66" i="20"/>
  <c r="R68" i="20" s="1"/>
  <c r="Q68" i="20"/>
  <c r="Q71" i="20" s="1"/>
  <c r="U68" i="20"/>
  <c r="U71" i="20" s="1"/>
  <c r="V66" i="20"/>
  <c r="V68" i="20" s="1"/>
  <c r="M134" i="20"/>
  <c r="T176" i="20"/>
  <c r="N71" i="20"/>
  <c r="U51" i="20"/>
  <c r="U97" i="20"/>
  <c r="U99" i="20" s="1"/>
  <c r="U102" i="20" s="1"/>
  <c r="U132" i="20"/>
  <c r="U53" i="20"/>
  <c r="O134" i="20"/>
  <c r="U176" i="20"/>
  <c r="P71" i="20"/>
  <c r="U134" i="20" l="1"/>
  <c r="X176" i="20"/>
  <c r="V71" i="20"/>
  <c r="R176" i="20"/>
  <c r="I134" i="20"/>
  <c r="J71" i="20"/>
  <c r="Q54" i="20"/>
  <c r="Q133" i="20"/>
  <c r="Q59" i="20"/>
  <c r="R59" i="20" s="1"/>
  <c r="Q136" i="20" s="1"/>
  <c r="Q62" i="20"/>
  <c r="Q137" i="20" s="1"/>
  <c r="W177" i="20"/>
  <c r="S135" i="20"/>
  <c r="S176" i="20"/>
  <c r="K134" i="20"/>
  <c r="L71" i="20"/>
  <c r="I54" i="20"/>
  <c r="I133" i="20"/>
  <c r="W53" i="20"/>
  <c r="I59" i="20"/>
  <c r="J59" i="20" s="1"/>
  <c r="I136" i="20" s="1"/>
  <c r="X53" i="20"/>
  <c r="I62" i="20"/>
  <c r="I137" i="20" s="1"/>
  <c r="W132" i="20"/>
  <c r="W97" i="20"/>
  <c r="W99" i="20" s="1"/>
  <c r="W102" i="20" s="1"/>
  <c r="W134" i="20"/>
  <c r="X71" i="20"/>
  <c r="W135" i="20" s="1"/>
  <c r="U59" i="20"/>
  <c r="V59" i="20" s="1"/>
  <c r="U136" i="20" s="1"/>
  <c r="U54" i="20"/>
  <c r="U133" i="20"/>
  <c r="U62" i="20"/>
  <c r="U137" i="20" s="1"/>
  <c r="V176" i="20"/>
  <c r="Q134" i="20"/>
  <c r="R71" i="20"/>
  <c r="M135" i="20"/>
  <c r="T177" i="20"/>
  <c r="U177" i="20"/>
  <c r="O135" i="20"/>
  <c r="X51" i="20"/>
  <c r="W51" i="20"/>
  <c r="K59" i="20"/>
  <c r="L59" i="20" s="1"/>
  <c r="K136" i="20" s="1"/>
  <c r="K133" i="20"/>
  <c r="K54" i="20"/>
  <c r="K62" i="20"/>
  <c r="K137" i="20" s="1"/>
  <c r="K135" i="20" l="1"/>
  <c r="S177" i="20"/>
  <c r="V177" i="20"/>
  <c r="Q135" i="20"/>
  <c r="R177" i="20"/>
  <c r="I135" i="20"/>
  <c r="W133" i="20"/>
  <c r="W59" i="20"/>
  <c r="W62" i="20"/>
  <c r="W137" i="20" s="1"/>
  <c r="X54" i="20"/>
  <c r="W54" i="20"/>
  <c r="U135" i="20"/>
  <c r="X177" i="20"/>
  <c r="C71" i="97"/>
  <c r="C104" i="97"/>
  <c r="E76" i="97"/>
  <c r="C332" i="97"/>
  <c r="E252" i="97"/>
  <c r="C241" i="97"/>
  <c r="E173" i="97"/>
  <c r="C248" i="97"/>
  <c r="D187" i="97"/>
  <c r="E281" i="97"/>
  <c r="C191" i="97"/>
  <c r="E181" i="97"/>
  <c r="D214" i="97"/>
  <c r="D274" i="97"/>
  <c r="C359" i="97"/>
  <c r="C74" i="97"/>
  <c r="C63" i="97"/>
  <c r="D66" i="97"/>
  <c r="D60" i="97"/>
  <c r="D21" i="97"/>
  <c r="E358" i="97"/>
  <c r="E58" i="97"/>
  <c r="C207" i="97"/>
  <c r="C48" i="97"/>
  <c r="E275" i="97"/>
  <c r="E96" i="97"/>
  <c r="D152" i="97"/>
  <c r="D81" i="97"/>
  <c r="E223" i="97"/>
  <c r="C350" i="97"/>
  <c r="E45" i="97"/>
  <c r="C306" i="97"/>
  <c r="E37" i="97"/>
  <c r="D25" i="97"/>
  <c r="E296" i="97"/>
  <c r="D125" i="97"/>
  <c r="D261" i="97"/>
  <c r="E189" i="97"/>
  <c r="D54" i="97"/>
  <c r="C70" i="97"/>
  <c r="C275" i="97"/>
  <c r="D375" i="97"/>
  <c r="D250" i="97"/>
  <c r="E128" i="97"/>
  <c r="D262" i="97"/>
  <c r="D223" i="97"/>
  <c r="C14" i="97"/>
  <c r="D176" i="97"/>
  <c r="C121" i="97"/>
  <c r="C170" i="97"/>
  <c r="D299" i="97"/>
  <c r="E32" i="97"/>
  <c r="C187" i="97"/>
  <c r="C331" i="97"/>
  <c r="D53" i="97"/>
  <c r="E359" i="97"/>
  <c r="D149" i="97"/>
  <c r="C125" i="97"/>
  <c r="E246" i="97"/>
  <c r="E135" i="97"/>
  <c r="C242" i="97"/>
  <c r="D219" i="97"/>
  <c r="D265" i="97"/>
  <c r="D26" i="97"/>
  <c r="D139" i="97"/>
  <c r="D158" i="97"/>
  <c r="C149" i="97"/>
  <c r="C37" i="97"/>
  <c r="C327" i="97"/>
  <c r="C352" i="97"/>
  <c r="D113" i="97"/>
  <c r="D302" i="97"/>
  <c r="D82" i="97"/>
  <c r="C265" i="97"/>
  <c r="E141" i="97"/>
  <c r="C176" i="97"/>
  <c r="D62" i="97"/>
  <c r="D221" i="97"/>
  <c r="C36" i="97"/>
  <c r="C223" i="97"/>
  <c r="E118" i="97"/>
  <c r="C94" i="97"/>
  <c r="E39" i="97"/>
  <c r="D277" i="97"/>
  <c r="E24" i="97"/>
  <c r="E78" i="97"/>
  <c r="D27" i="97"/>
  <c r="E193" i="97"/>
  <c r="C132" i="97"/>
  <c r="D90" i="97"/>
  <c r="D186" i="97"/>
  <c r="C41" i="97"/>
  <c r="D155" i="97"/>
  <c r="D252" i="97"/>
  <c r="E63" i="97"/>
  <c r="D80" i="97"/>
  <c r="C136" i="97"/>
  <c r="C367" i="97"/>
  <c r="E159" i="97"/>
  <c r="D285" i="97"/>
  <c r="C342" i="97"/>
  <c r="E253" i="97"/>
  <c r="E144" i="97"/>
  <c r="C116" i="97"/>
  <c r="D231" i="97"/>
  <c r="C67" i="97"/>
  <c r="C291" i="97"/>
  <c r="C334" i="97"/>
  <c r="D117" i="97"/>
  <c r="E178" i="97"/>
  <c r="E56" i="97"/>
  <c r="E35" i="97"/>
  <c r="D213" i="97"/>
  <c r="E163" i="97"/>
  <c r="E327" i="97"/>
  <c r="C211" i="97"/>
  <c r="E66" i="97"/>
  <c r="C322" i="97"/>
  <c r="D114" i="97"/>
  <c r="C353" i="97"/>
  <c r="E278" i="97"/>
  <c r="E339" i="97"/>
  <c r="D364" i="97"/>
  <c r="C89" i="97"/>
  <c r="C299" i="97"/>
  <c r="C270" i="97"/>
  <c r="E292" i="97"/>
  <c r="C73" i="97"/>
  <c r="D165" i="97"/>
  <c r="E280" i="97"/>
  <c r="C294" i="97"/>
  <c r="E208" i="97"/>
  <c r="D30" i="97"/>
  <c r="E216" i="97"/>
  <c r="E315" i="97"/>
  <c r="D343" i="97"/>
  <c r="D89" i="97"/>
  <c r="C162" i="97"/>
  <c r="C30" i="97"/>
  <c r="D321" i="97"/>
  <c r="E130" i="97"/>
  <c r="D181" i="97"/>
  <c r="D133" i="97"/>
  <c r="C85" i="97"/>
  <c r="C284" i="97"/>
  <c r="E244" i="97"/>
  <c r="C103" i="97"/>
  <c r="D105" i="97"/>
  <c r="C360" i="97"/>
  <c r="E204" i="97"/>
  <c r="E351" i="97"/>
  <c r="D49" i="97"/>
  <c r="E83" i="97"/>
  <c r="D354" i="97"/>
  <c r="D349" i="97"/>
  <c r="E334" i="97"/>
  <c r="D355" i="97"/>
  <c r="D259" i="97"/>
  <c r="E202" i="97"/>
  <c r="C226" i="97"/>
  <c r="E151" i="97"/>
  <c r="E65" i="97"/>
  <c r="D131" i="97"/>
  <c r="E355" i="97"/>
  <c r="C260" i="97"/>
  <c r="D325" i="97"/>
  <c r="D332" i="97"/>
  <c r="D94" i="97"/>
  <c r="C182" i="97"/>
  <c r="D134" i="97"/>
  <c r="C311" i="97"/>
  <c r="E348" i="97"/>
  <c r="D41" i="97"/>
  <c r="E134" i="97"/>
  <c r="C117" i="97"/>
  <c r="E314" i="97"/>
  <c r="D336" i="97"/>
  <c r="D157" i="97"/>
  <c r="C229" i="97"/>
  <c r="E235" i="97"/>
  <c r="C346" i="97"/>
  <c r="E167" i="97"/>
  <c r="D236" i="97"/>
  <c r="D344" i="97"/>
  <c r="D308" i="97"/>
  <c r="D334" i="97"/>
  <c r="E147" i="97"/>
  <c r="E375" i="97"/>
  <c r="E13" i="97"/>
  <c r="C273" i="97"/>
  <c r="C254" i="97"/>
  <c r="C197" i="97"/>
  <c r="E191" i="97"/>
  <c r="C366" i="97"/>
  <c r="D310" i="97"/>
  <c r="D324" i="97"/>
  <c r="C208" i="97"/>
  <c r="C354" i="97"/>
  <c r="D202" i="97"/>
  <c r="C150" i="97"/>
  <c r="E288" i="97"/>
  <c r="D251" i="97"/>
  <c r="D168" i="97"/>
  <c r="C72" i="97"/>
  <c r="E42" i="97"/>
  <c r="C186" i="97"/>
  <c r="D201" i="97"/>
  <c r="C320" i="97"/>
  <c r="E53" i="97"/>
  <c r="C232" i="97"/>
  <c r="D331" i="97"/>
  <c r="E92" i="97"/>
  <c r="C46" i="97"/>
  <c r="E74" i="97"/>
  <c r="D372" i="97"/>
  <c r="E140" i="97"/>
  <c r="C314" i="97"/>
  <c r="C281" i="97"/>
  <c r="D345" i="97"/>
  <c r="D10" i="97"/>
  <c r="D108" i="97"/>
  <c r="D195" i="97"/>
  <c r="E222" i="97"/>
  <c r="C292" i="97"/>
  <c r="E254" i="97"/>
  <c r="D198" i="97"/>
  <c r="E133" i="97"/>
  <c r="C18" i="97"/>
  <c r="D34" i="97"/>
  <c r="E259" i="97"/>
  <c r="C245" i="97"/>
  <c r="D222" i="97"/>
  <c r="E270" i="97"/>
  <c r="C171" i="97"/>
  <c r="E228" i="97"/>
  <c r="C178" i="97"/>
  <c r="C159" i="97"/>
  <c r="D109" i="97"/>
  <c r="E179" i="97"/>
  <c r="D47" i="97"/>
  <c r="C217" i="97"/>
  <c r="C135" i="97"/>
  <c r="C52" i="97"/>
  <c r="C203" i="97"/>
  <c r="D327" i="97"/>
  <c r="D273" i="97"/>
  <c r="D291" i="97"/>
  <c r="E124" i="97"/>
  <c r="C362" i="97"/>
  <c r="D326" i="97"/>
  <c r="C120" i="97"/>
  <c r="D174" i="97"/>
  <c r="D322" i="97"/>
  <c r="E154" i="97"/>
  <c r="D205" i="97"/>
  <c r="D8" i="97"/>
  <c r="E108" i="97"/>
  <c r="E317" i="97"/>
  <c r="D340" i="97"/>
  <c r="C133" i="97"/>
  <c r="D48" i="97"/>
  <c r="C235" i="97"/>
  <c r="D106" i="97"/>
  <c r="E229" i="97"/>
  <c r="E290" i="97"/>
  <c r="D92" i="97"/>
  <c r="E242" i="97"/>
  <c r="E149" i="97"/>
  <c r="D79" i="97"/>
  <c r="C261" i="97"/>
  <c r="C308" i="97"/>
  <c r="C216" i="97"/>
  <c r="D120" i="97"/>
  <c r="C119" i="97"/>
  <c r="C146" i="97"/>
  <c r="E153" i="97"/>
  <c r="C114" i="97"/>
  <c r="D110" i="97"/>
  <c r="D314" i="97"/>
  <c r="D103" i="97"/>
  <c r="C155" i="97"/>
  <c r="D185" i="97"/>
  <c r="C66" i="97"/>
  <c r="C252" i="97"/>
  <c r="E85" i="97"/>
  <c r="D264" i="97"/>
  <c r="E162" i="97"/>
  <c r="D283" i="97"/>
  <c r="C7" i="97"/>
  <c r="D328" i="97"/>
  <c r="C234" i="97"/>
  <c r="E9" i="97"/>
  <c r="E261" i="97"/>
  <c r="C215" i="97"/>
  <c r="C29" i="97"/>
  <c r="C13" i="97"/>
  <c r="E321" i="97"/>
  <c r="C53" i="97"/>
  <c r="E87" i="97"/>
  <c r="E107" i="97"/>
  <c r="E51" i="97"/>
  <c r="C185" i="97"/>
  <c r="E365" i="97"/>
  <c r="E100" i="97"/>
  <c r="D295" i="97"/>
  <c r="D189" i="97"/>
  <c r="E115" i="97"/>
  <c r="E211" i="97"/>
  <c r="C123" i="97"/>
  <c r="D292" i="97"/>
  <c r="E14" i="97"/>
  <c r="E182" i="97"/>
  <c r="D67" i="97"/>
  <c r="E175" i="97"/>
  <c r="E148" i="97"/>
  <c r="E279" i="97"/>
  <c r="C238" i="97"/>
  <c r="E239" i="97"/>
  <c r="E131" i="97"/>
  <c r="C78" i="97"/>
  <c r="C249" i="97"/>
  <c r="C45" i="97"/>
  <c r="D269" i="97"/>
  <c r="E362" i="97"/>
  <c r="E332" i="97"/>
  <c r="D266" i="97"/>
  <c r="D71" i="97"/>
  <c r="C38" i="97"/>
  <c r="E137" i="97"/>
  <c r="C145" i="97"/>
  <c r="E213" i="97"/>
  <c r="D167" i="97"/>
  <c r="E233" i="97"/>
  <c r="D352" i="97"/>
  <c r="E282" i="97"/>
  <c r="D239" i="97"/>
  <c r="D138" i="97"/>
  <c r="D39" i="97"/>
  <c r="C239" i="97"/>
  <c r="D253" i="97"/>
  <c r="E236" i="97"/>
  <c r="C271" i="97"/>
  <c r="E372" i="97"/>
  <c r="D263" i="97"/>
  <c r="E340" i="97"/>
  <c r="D183" i="97"/>
  <c r="E67" i="97"/>
  <c r="E303" i="97"/>
  <c r="D136" i="97"/>
  <c r="E48" i="97"/>
  <c r="E350" i="97"/>
  <c r="C35" i="97"/>
  <c r="E34" i="97"/>
  <c r="C304" i="97"/>
  <c r="C11" i="97"/>
  <c r="D356" i="97"/>
  <c r="C96" i="97"/>
  <c r="D162" i="97"/>
  <c r="C140" i="97"/>
  <c r="E15" i="97"/>
  <c r="C356" i="97"/>
  <c r="C295" i="97"/>
  <c r="D347" i="97"/>
  <c r="C157" i="97"/>
  <c r="D180" i="97"/>
  <c r="E110" i="97"/>
  <c r="C5" i="97"/>
  <c r="C372" i="97"/>
  <c r="C42" i="97"/>
  <c r="D159" i="97"/>
  <c r="C156" i="97"/>
  <c r="C365" i="97"/>
  <c r="C177" i="97"/>
  <c r="C102" i="97"/>
  <c r="C143" i="97"/>
  <c r="C92" i="97"/>
  <c r="E265" i="97"/>
  <c r="D112" i="97"/>
  <c r="D161" i="97"/>
  <c r="E306" i="97"/>
  <c r="E77" i="97"/>
  <c r="C277" i="97"/>
  <c r="D254" i="97"/>
  <c r="E200" i="97"/>
  <c r="E70" i="97"/>
  <c r="C351" i="97"/>
  <c r="C107" i="97"/>
  <c r="E99" i="97"/>
  <c r="E356" i="97"/>
  <c r="D107" i="97"/>
  <c r="C282" i="97"/>
  <c r="C355" i="97"/>
  <c r="E71" i="97"/>
  <c r="E353" i="97"/>
  <c r="E62" i="97"/>
  <c r="C174" i="97"/>
  <c r="E245" i="97"/>
  <c r="D301" i="97"/>
  <c r="D248" i="97"/>
  <c r="D116" i="97"/>
  <c r="E113" i="97"/>
  <c r="D171" i="97"/>
  <c r="D93" i="97"/>
  <c r="D229" i="97"/>
  <c r="C221" i="97"/>
  <c r="C220" i="97"/>
  <c r="C111" i="97"/>
  <c r="D313" i="97"/>
  <c r="E247" i="97"/>
  <c r="D257" i="97"/>
  <c r="C199" i="97"/>
  <c r="E52" i="97"/>
  <c r="C330" i="97"/>
  <c r="D177" i="97"/>
  <c r="C112" i="97"/>
  <c r="D130" i="97"/>
  <c r="E188" i="97"/>
  <c r="D312" i="97"/>
  <c r="D211" i="97"/>
  <c r="E103" i="97"/>
  <c r="E224" i="97"/>
  <c r="C128" i="97"/>
  <c r="C161" i="97"/>
  <c r="C375" i="97"/>
  <c r="D63" i="97"/>
  <c r="D56" i="97"/>
  <c r="C347" i="97"/>
  <c r="D282" i="97"/>
  <c r="D150" i="97"/>
  <c r="D228" i="97"/>
  <c r="C154" i="97"/>
  <c r="D36" i="97"/>
  <c r="D74" i="97"/>
  <c r="D268" i="97"/>
  <c r="D88" i="97"/>
  <c r="E328" i="97"/>
  <c r="D22" i="97"/>
  <c r="C164" i="97"/>
  <c r="C10" i="97"/>
  <c r="D5" i="97"/>
  <c r="D166" i="97"/>
  <c r="D233" i="97"/>
  <c r="D320" i="97"/>
  <c r="E258" i="97"/>
  <c r="D83" i="97"/>
  <c r="C224" i="97"/>
  <c r="C25" i="97"/>
  <c r="C183" i="97"/>
  <c r="D243" i="97"/>
  <c r="E320" i="97"/>
  <c r="C194" i="97"/>
  <c r="D281" i="97"/>
  <c r="C75" i="97"/>
  <c r="D151" i="97"/>
  <c r="E260" i="97"/>
  <c r="D358" i="97"/>
  <c r="D78" i="97"/>
  <c r="C195" i="97"/>
  <c r="D145" i="97"/>
  <c r="C151" i="97"/>
  <c r="E364" i="97"/>
  <c r="E160" i="97"/>
  <c r="C56" i="97"/>
  <c r="D147" i="97"/>
  <c r="C147" i="97"/>
  <c r="E371" i="97"/>
  <c r="D275" i="97"/>
  <c r="C303" i="97"/>
  <c r="C231" i="97"/>
  <c r="D272" i="97"/>
  <c r="D224" i="97"/>
  <c r="D75" i="97"/>
  <c r="C33" i="97"/>
  <c r="D124" i="97"/>
  <c r="E174" i="97"/>
  <c r="C189" i="97"/>
  <c r="D58" i="97"/>
  <c r="D148" i="97"/>
  <c r="D289" i="97"/>
  <c r="E199" i="97"/>
  <c r="E220" i="97"/>
  <c r="C280" i="97"/>
  <c r="D179" i="97"/>
  <c r="D276" i="97"/>
  <c r="E291" i="97"/>
  <c r="E352" i="97"/>
  <c r="E266" i="97"/>
  <c r="E170" i="97"/>
  <c r="E146" i="97"/>
  <c r="C230" i="97"/>
  <c r="D369" i="97"/>
  <c r="C258" i="97"/>
  <c r="D17" i="97"/>
  <c r="D111" i="97"/>
  <c r="C340" i="97"/>
  <c r="E31" i="97"/>
  <c r="E298" i="97"/>
  <c r="C206" i="97"/>
  <c r="D87" i="97"/>
  <c r="D6" i="97"/>
  <c r="E166" i="97"/>
  <c r="C142" i="97"/>
  <c r="C255" i="97"/>
  <c r="C168" i="97"/>
  <c r="C289" i="97"/>
  <c r="D225" i="97"/>
  <c r="D370" i="97"/>
  <c r="D337" i="97"/>
  <c r="C54" i="97"/>
  <c r="C321" i="97"/>
  <c r="D142" i="97"/>
  <c r="E230" i="97"/>
  <c r="E187" i="97"/>
  <c r="C81" i="97"/>
  <c r="C84" i="97"/>
  <c r="C57" i="97"/>
  <c r="D127" i="97"/>
  <c r="C153" i="97"/>
  <c r="E164" i="97"/>
  <c r="D18" i="97"/>
  <c r="C374" i="97"/>
  <c r="C272" i="97"/>
  <c r="D339" i="97"/>
  <c r="E46" i="97"/>
  <c r="E176" i="97"/>
  <c r="E209" i="97"/>
  <c r="E219" i="97"/>
  <c r="D207" i="97"/>
  <c r="E210" i="97"/>
  <c r="E311" i="97"/>
  <c r="E338" i="97"/>
  <c r="E333" i="97"/>
  <c r="D206" i="97"/>
  <c r="C205" i="97"/>
  <c r="C318" i="97"/>
  <c r="D46" i="97"/>
  <c r="E132" i="97"/>
  <c r="C17" i="97"/>
  <c r="C222" i="97"/>
  <c r="D51" i="97"/>
  <c r="E206" i="97"/>
  <c r="D141" i="97"/>
  <c r="E112" i="97"/>
  <c r="C4" i="97"/>
  <c r="E234" i="97"/>
  <c r="C259" i="97"/>
  <c r="C184" i="97"/>
  <c r="E57" i="97"/>
  <c r="C34" i="97"/>
  <c r="C51" i="97"/>
  <c r="D170" i="97"/>
  <c r="C60" i="97"/>
  <c r="C129" i="97"/>
  <c r="D37" i="97"/>
  <c r="C361" i="97"/>
  <c r="C15" i="97"/>
  <c r="E273" i="97"/>
  <c r="D44" i="97"/>
  <c r="E89" i="97"/>
  <c r="D172" i="97"/>
  <c r="E114" i="97"/>
  <c r="E342" i="97"/>
  <c r="D330" i="97"/>
  <c r="C213" i="97"/>
  <c r="E241" i="97"/>
  <c r="D182" i="97"/>
  <c r="D115" i="97"/>
  <c r="C251" i="97"/>
  <c r="C373" i="97"/>
  <c r="E183" i="97"/>
  <c r="E21" i="97"/>
  <c r="E373" i="97"/>
  <c r="E68" i="97"/>
  <c r="D242" i="97"/>
  <c r="D144" i="97"/>
  <c r="C50" i="97"/>
  <c r="E302" i="97"/>
  <c r="C113" i="97"/>
  <c r="C165" i="97"/>
  <c r="C109" i="97"/>
  <c r="D38" i="97"/>
  <c r="E361" i="97"/>
  <c r="E192" i="97"/>
  <c r="D11" i="97"/>
  <c r="D235" i="97"/>
  <c r="D366" i="97"/>
  <c r="C298" i="97"/>
  <c r="C339" i="97"/>
  <c r="C166" i="97"/>
  <c r="D191" i="97"/>
  <c r="D319" i="97"/>
  <c r="D197" i="97"/>
  <c r="C288" i="97"/>
  <c r="E205" i="97"/>
  <c r="E316" i="97"/>
  <c r="D346" i="97"/>
  <c r="C253" i="97"/>
  <c r="E90" i="97"/>
  <c r="C180" i="97"/>
  <c r="E363" i="97"/>
  <c r="C293" i="97"/>
  <c r="E172" i="97"/>
  <c r="C22" i="97"/>
  <c r="D123" i="97"/>
  <c r="D98" i="97"/>
  <c r="C26" i="97"/>
  <c r="D270" i="97"/>
  <c r="D146" i="97"/>
  <c r="E263" i="97"/>
  <c r="E341" i="97"/>
  <c r="C227" i="97"/>
  <c r="C300" i="97"/>
  <c r="E119" i="97"/>
  <c r="C179" i="97"/>
  <c r="C124" i="97"/>
  <c r="C296" i="97"/>
  <c r="C100" i="97"/>
  <c r="E257" i="97"/>
  <c r="D153" i="97"/>
  <c r="D232" i="97"/>
  <c r="D190" i="97"/>
  <c r="E26" i="97"/>
  <c r="E256" i="97"/>
  <c r="E19" i="97"/>
  <c r="C193" i="97"/>
  <c r="D335" i="97"/>
  <c r="E184" i="97"/>
  <c r="C336" i="97"/>
  <c r="D100" i="97"/>
  <c r="C246" i="97"/>
  <c r="E4" i="97"/>
  <c r="E28" i="97"/>
  <c r="C76" i="97"/>
  <c r="E105" i="97"/>
  <c r="E91" i="97"/>
  <c r="D104" i="97"/>
  <c r="D255" i="97"/>
  <c r="D241" i="97"/>
  <c r="C24" i="97"/>
  <c r="E297" i="97"/>
  <c r="C358" i="97"/>
  <c r="E7" i="97"/>
  <c r="E251" i="97"/>
  <c r="E82" i="97"/>
  <c r="E367" i="97"/>
  <c r="E294" i="97"/>
  <c r="E11" i="97"/>
  <c r="E122" i="97"/>
  <c r="C274" i="97"/>
  <c r="E289" i="97"/>
  <c r="C219" i="97"/>
  <c r="C310" i="97"/>
  <c r="E117" i="97"/>
  <c r="C61" i="97"/>
  <c r="D306" i="97"/>
  <c r="E64" i="97"/>
  <c r="C192" i="97"/>
  <c r="E203" i="97"/>
  <c r="D69" i="97"/>
  <c r="D217" i="97"/>
  <c r="D9" i="97"/>
  <c r="E98" i="97"/>
  <c r="D367" i="97"/>
  <c r="E194" i="97"/>
  <c r="C160" i="97"/>
  <c r="D351" i="97"/>
  <c r="C138" i="97"/>
  <c r="C262" i="97"/>
  <c r="E86" i="97"/>
  <c r="C175" i="97"/>
  <c r="D204" i="97"/>
  <c r="C130" i="97"/>
  <c r="E262" i="97"/>
  <c r="C341" i="97"/>
  <c r="E345" i="97"/>
  <c r="E157" i="97"/>
  <c r="E331" i="97"/>
  <c r="D184" i="97"/>
  <c r="D210" i="97"/>
  <c r="D359" i="97"/>
  <c r="E111" i="97"/>
  <c r="E286" i="97"/>
  <c r="D121" i="97"/>
  <c r="E84" i="97"/>
  <c r="E335" i="97"/>
  <c r="D278" i="97"/>
  <c r="E94" i="97"/>
  <c r="C283" i="97"/>
  <c r="E20" i="97"/>
  <c r="E29" i="97"/>
  <c r="D357" i="97"/>
  <c r="C279" i="97"/>
  <c r="E227" i="97"/>
  <c r="D160" i="97"/>
  <c r="C240" i="97"/>
  <c r="E368" i="97"/>
  <c r="C28" i="97"/>
  <c r="C77" i="97"/>
  <c r="D23" i="97"/>
  <c r="C68" i="97"/>
  <c r="C297" i="97"/>
  <c r="E250" i="97"/>
  <c r="D279" i="97"/>
  <c r="D96" i="97"/>
  <c r="D102" i="97"/>
  <c r="D238" i="97"/>
  <c r="D363" i="97"/>
  <c r="E195" i="97"/>
  <c r="D212" i="97"/>
  <c r="E308" i="97"/>
  <c r="C225" i="97"/>
  <c r="C80" i="97"/>
  <c r="E324" i="97"/>
  <c r="E129" i="97"/>
  <c r="D315" i="97"/>
  <c r="C257" i="97"/>
  <c r="E231" i="97"/>
  <c r="C371" i="97"/>
  <c r="E212" i="97"/>
  <c r="D318" i="97"/>
  <c r="D341" i="97"/>
  <c r="C266" i="97"/>
  <c r="C158" i="97"/>
  <c r="D297" i="97"/>
  <c r="D286" i="97"/>
  <c r="C91" i="97"/>
  <c r="D15" i="97"/>
  <c r="C83" i="97"/>
  <c r="E142" i="97"/>
  <c r="D61" i="97"/>
  <c r="C357" i="97"/>
  <c r="D348" i="97"/>
  <c r="E180" i="97"/>
  <c r="E17" i="97"/>
  <c r="D31" i="97"/>
  <c r="E369" i="97"/>
  <c r="C148" i="97"/>
  <c r="D267" i="97"/>
  <c r="E127" i="97"/>
  <c r="D280" i="97"/>
  <c r="D246" i="97"/>
  <c r="D50" i="97"/>
  <c r="E318" i="97"/>
  <c r="D227" i="97"/>
  <c r="C243" i="97"/>
  <c r="D29" i="97"/>
  <c r="D32" i="97"/>
  <c r="E155" i="97"/>
  <c r="D178" i="97"/>
  <c r="E295" i="97"/>
  <c r="E337" i="97"/>
  <c r="C16" i="97"/>
  <c r="E169" i="97"/>
  <c r="C326" i="97"/>
  <c r="D119" i="97"/>
  <c r="E97" i="97"/>
  <c r="C256" i="97"/>
  <c r="E6" i="97"/>
  <c r="C62" i="97"/>
  <c r="D338" i="97"/>
  <c r="C139" i="97"/>
  <c r="E326" i="97"/>
  <c r="D294" i="97"/>
  <c r="E243" i="97"/>
  <c r="C290" i="97"/>
  <c r="E307" i="97"/>
  <c r="C250" i="97"/>
  <c r="C27" i="97"/>
  <c r="E25" i="97"/>
  <c r="C247" i="97"/>
  <c r="C122" i="97"/>
  <c r="C88" i="97"/>
  <c r="D156" i="97"/>
  <c r="D353" i="97"/>
  <c r="E171" i="97"/>
  <c r="C317" i="97"/>
  <c r="D293" i="97"/>
  <c r="D126" i="97"/>
  <c r="D311" i="97"/>
  <c r="D196" i="97"/>
  <c r="C364" i="97"/>
  <c r="C167" i="97"/>
  <c r="C200" i="97"/>
  <c r="D70" i="97"/>
  <c r="C101" i="97"/>
  <c r="D316" i="97"/>
  <c r="E121" i="97"/>
  <c r="E272" i="97"/>
  <c r="C163" i="97"/>
  <c r="D33" i="97"/>
  <c r="D323" i="97"/>
  <c r="E109" i="97"/>
  <c r="C6" i="97"/>
  <c r="D296" i="97"/>
  <c r="E49" i="97"/>
  <c r="D245" i="97"/>
  <c r="D24" i="97"/>
  <c r="C345" i="97"/>
  <c r="E138" i="97"/>
  <c r="D199" i="97"/>
  <c r="C144" i="97"/>
  <c r="E329" i="97"/>
  <c r="D333" i="97"/>
  <c r="C324" i="97"/>
  <c r="D19" i="97"/>
  <c r="C286" i="97"/>
  <c r="D143" i="97"/>
  <c r="C134" i="97"/>
  <c r="D216" i="97"/>
  <c r="E47" i="97"/>
  <c r="C59" i="97"/>
  <c r="E44" i="97"/>
  <c r="D303" i="97"/>
  <c r="C228" i="97"/>
  <c r="E88" i="97"/>
  <c r="E313" i="97"/>
  <c r="E186" i="97"/>
  <c r="C21" i="97"/>
  <c r="D169" i="97"/>
  <c r="E177" i="97"/>
  <c r="E322" i="97"/>
  <c r="C237" i="97"/>
  <c r="E125" i="97"/>
  <c r="D91" i="97"/>
  <c r="C169" i="97"/>
  <c r="C369" i="97"/>
  <c r="C172" i="97"/>
  <c r="C201" i="97"/>
  <c r="C319" i="97"/>
  <c r="E370" i="97"/>
  <c r="C316" i="97"/>
  <c r="E38" i="97"/>
  <c r="C323" i="97"/>
  <c r="E346" i="97"/>
  <c r="C214" i="97"/>
  <c r="E214" i="97"/>
  <c r="D14" i="97"/>
  <c r="D371" i="97"/>
  <c r="C127" i="97"/>
  <c r="E27" i="97"/>
  <c r="E196" i="97"/>
  <c r="E366" i="97"/>
  <c r="D237" i="97"/>
  <c r="E54" i="97"/>
  <c r="E150" i="97"/>
  <c r="D226" i="97"/>
  <c r="C82" i="97"/>
  <c r="C55" i="97"/>
  <c r="D84" i="97"/>
  <c r="C333" i="97"/>
  <c r="C196" i="97"/>
  <c r="C95" i="97"/>
  <c r="E55" i="97"/>
  <c r="C278" i="97"/>
  <c r="D173" i="97"/>
  <c r="C98" i="97"/>
  <c r="E325" i="97"/>
  <c r="E269" i="97"/>
  <c r="E225" i="97"/>
  <c r="C338" i="97"/>
  <c r="E50" i="97"/>
  <c r="C344" i="97"/>
  <c r="E349" i="97"/>
  <c r="E218" i="97"/>
  <c r="C40" i="97"/>
  <c r="D200" i="97"/>
  <c r="E69" i="97"/>
  <c r="D203" i="97"/>
  <c r="C209" i="97"/>
  <c r="D72" i="97"/>
  <c r="D45" i="97"/>
  <c r="C188" i="97"/>
  <c r="C181" i="97"/>
  <c r="E30" i="97"/>
  <c r="C236" i="97"/>
  <c r="D65" i="97"/>
  <c r="D230" i="97"/>
  <c r="E43" i="97"/>
  <c r="C264" i="97"/>
  <c r="C31" i="97"/>
  <c r="D43" i="97"/>
  <c r="C108" i="97"/>
  <c r="E12" i="97"/>
  <c r="D284" i="97"/>
  <c r="E330" i="97"/>
  <c r="E41" i="97"/>
  <c r="E336" i="97"/>
  <c r="C329" i="97"/>
  <c r="D16" i="97"/>
  <c r="D13" i="97"/>
  <c r="E300" i="97"/>
  <c r="C301" i="97"/>
  <c r="D365" i="97"/>
  <c r="E237" i="97"/>
  <c r="C115" i="97"/>
  <c r="E120" i="97"/>
  <c r="D85" i="97"/>
  <c r="E374" i="97"/>
  <c r="E267" i="97"/>
  <c r="D73" i="97"/>
  <c r="C348" i="97"/>
  <c r="C58" i="97"/>
  <c r="E304" i="97"/>
  <c r="C315" i="97"/>
  <c r="C263" i="97"/>
  <c r="D163" i="97"/>
  <c r="E323" i="97"/>
  <c r="D99" i="97"/>
  <c r="E240" i="97"/>
  <c r="D220" i="97"/>
  <c r="C312" i="97"/>
  <c r="D361" i="97"/>
  <c r="E201" i="97"/>
  <c r="D300" i="97"/>
  <c r="C285" i="97"/>
  <c r="C212" i="97"/>
  <c r="D7" i="97"/>
  <c r="E217" i="97"/>
  <c r="D260" i="97"/>
  <c r="D329" i="97"/>
  <c r="D35" i="97"/>
  <c r="C20" i="97"/>
  <c r="D271" i="97"/>
  <c r="D52" i="97"/>
  <c r="D95" i="97"/>
  <c r="E8" i="97"/>
  <c r="E93" i="97"/>
  <c r="D194" i="97"/>
  <c r="E40" i="97"/>
  <c r="D209" i="97"/>
  <c r="C268" i="97"/>
  <c r="C9" i="97"/>
  <c r="D28" i="97"/>
  <c r="E18" i="97"/>
  <c r="E165" i="97"/>
  <c r="E23" i="97"/>
  <c r="E116" i="97"/>
  <c r="E61" i="97"/>
  <c r="D218" i="97"/>
  <c r="C12" i="97"/>
  <c r="E190" i="97"/>
  <c r="D368" i="97"/>
  <c r="E276" i="97"/>
  <c r="E158" i="97"/>
  <c r="E248" i="97"/>
  <c r="E287" i="97"/>
  <c r="D122" i="97"/>
  <c r="D309" i="97"/>
  <c r="E343" i="97"/>
  <c r="E123" i="97"/>
  <c r="C93" i="97"/>
  <c r="E312" i="97"/>
  <c r="D305" i="97"/>
  <c r="D132" i="97"/>
  <c r="D129" i="97"/>
  <c r="D137" i="97"/>
  <c r="E299" i="97"/>
  <c r="C325" i="97"/>
  <c r="E293" i="97"/>
  <c r="E215" i="97"/>
  <c r="D373" i="97"/>
  <c r="D298" i="97"/>
  <c r="D287" i="97"/>
  <c r="C87" i="97"/>
  <c r="E33" i="97"/>
  <c r="E255" i="97"/>
  <c r="E145" i="97"/>
  <c r="E354" i="97"/>
  <c r="C105" i="97"/>
  <c r="E80" i="97"/>
  <c r="E284" i="97"/>
  <c r="D135" i="97"/>
  <c r="E101" i="97"/>
  <c r="D59" i="97"/>
  <c r="D249" i="97"/>
  <c r="E226" i="97"/>
  <c r="D350" i="97"/>
  <c r="E168" i="97"/>
  <c r="E264" i="97"/>
  <c r="D40" i="97"/>
  <c r="D68" i="97"/>
  <c r="E72" i="97"/>
  <c r="C190" i="97"/>
  <c r="C23" i="97"/>
  <c r="D247" i="97"/>
  <c r="E60" i="97"/>
  <c r="E305" i="97"/>
  <c r="C368" i="97"/>
  <c r="D97" i="97"/>
  <c r="E285" i="97"/>
  <c r="E156" i="97"/>
  <c r="E75" i="97"/>
  <c r="D342" i="97"/>
  <c r="C287" i="97"/>
  <c r="D244" i="97"/>
  <c r="D154" i="97"/>
  <c r="E344" i="97"/>
  <c r="E207" i="97"/>
  <c r="C69" i="97"/>
  <c r="C349" i="97"/>
  <c r="E319" i="97"/>
  <c r="E347" i="97"/>
  <c r="C363" i="97"/>
  <c r="D64" i="97"/>
  <c r="C302" i="97"/>
  <c r="C370" i="97"/>
  <c r="D140" i="97"/>
  <c r="C337" i="97"/>
  <c r="D256" i="97"/>
  <c r="C19" i="97"/>
  <c r="C47" i="97"/>
  <c r="C309" i="97"/>
  <c r="C65" i="97"/>
  <c r="C204" i="97"/>
  <c r="C39" i="97"/>
  <c r="D360" i="97"/>
  <c r="C202" i="97"/>
  <c r="D118" i="97"/>
  <c r="E185" i="97"/>
  <c r="D20" i="97"/>
  <c r="C79" i="97"/>
  <c r="C307" i="97"/>
  <c r="C43" i="97"/>
  <c r="C110" i="97"/>
  <c r="E268" i="97"/>
  <c r="E274" i="97"/>
  <c r="D4" i="97"/>
  <c r="E232" i="97"/>
  <c r="C126" i="97"/>
  <c r="C86" i="97"/>
  <c r="E95" i="97"/>
  <c r="D317" i="97"/>
  <c r="E197" i="97"/>
  <c r="C198" i="97"/>
  <c r="D175" i="97"/>
  <c r="C64" i="97"/>
  <c r="E360" i="97"/>
  <c r="C152" i="97"/>
  <c r="C328" i="97"/>
  <c r="D193" i="97"/>
  <c r="C106" i="97"/>
  <c r="D362" i="97"/>
  <c r="E5" i="97"/>
  <c r="E271" i="97"/>
  <c r="E10" i="97"/>
  <c r="C97" i="97"/>
  <c r="E152" i="97"/>
  <c r="E357" i="97"/>
  <c r="D164" i="97"/>
  <c r="C218" i="97"/>
  <c r="E22" i="97"/>
  <c r="D101" i="97"/>
  <c r="E221" i="97"/>
  <c r="C8" i="97"/>
  <c r="E161" i="97"/>
  <c r="C137" i="97"/>
  <c r="C313" i="97"/>
  <c r="C131" i="97"/>
  <c r="E59" i="97"/>
  <c r="E249" i="97"/>
  <c r="D307" i="97"/>
  <c r="D77" i="97"/>
  <c r="D208" i="97"/>
  <c r="D288" i="97"/>
  <c r="D290" i="97"/>
  <c r="D258" i="97"/>
  <c r="D240" i="97"/>
  <c r="D12" i="97"/>
  <c r="D215" i="97"/>
  <c r="E73" i="97"/>
  <c r="E36" i="97"/>
  <c r="C90" i="97"/>
  <c r="D234" i="97"/>
  <c r="E238" i="97"/>
  <c r="C305" i="97"/>
  <c r="E277" i="97"/>
  <c r="C267" i="97"/>
  <c r="D188" i="97"/>
  <c r="D76" i="97"/>
  <c r="E16" i="97"/>
  <c r="C343" i="97"/>
  <c r="C173" i="97"/>
  <c r="C335" i="97"/>
  <c r="C244" i="97"/>
  <c r="D86" i="97"/>
  <c r="C276" i="97"/>
  <c r="E143" i="97"/>
  <c r="C118" i="97"/>
  <c r="E81" i="97"/>
  <c r="C99" i="97"/>
  <c r="E102" i="97"/>
  <c r="C141" i="97"/>
  <c r="D192" i="97"/>
  <c r="C44" i="97"/>
  <c r="C269" i="97"/>
  <c r="E79" i="97"/>
  <c r="C233" i="97"/>
  <c r="E310" i="97"/>
  <c r="E126" i="97"/>
  <c r="E106" i="97"/>
  <c r="D55" i="97"/>
  <c r="E283" i="97"/>
  <c r="D42" i="97"/>
  <c r="D304" i="97"/>
  <c r="E104" i="97"/>
  <c r="E198" i="97"/>
  <c r="E139" i="97"/>
  <c r="E301" i="97"/>
  <c r="C32" i="97"/>
  <c r="D57" i="97"/>
  <c r="C49" i="97"/>
  <c r="C210" i="97"/>
  <c r="E309" i="97"/>
  <c r="D374" i="97"/>
  <c r="E136" i="97"/>
  <c r="D128" i="97"/>
  <c r="J40" i="99" l="1"/>
  <c r="K40" i="99" s="1"/>
  <c r="J28" i="99"/>
  <c r="K28" i="99" s="1"/>
  <c r="J45" i="99"/>
  <c r="K45" i="99" s="1"/>
  <c r="J17" i="99"/>
  <c r="K17" i="99" s="1"/>
  <c r="J86" i="99"/>
  <c r="K86" i="99" s="1"/>
  <c r="J46" i="99"/>
  <c r="K46" i="99" s="1"/>
  <c r="J69" i="99"/>
  <c r="K69" i="99" s="1"/>
  <c r="J43" i="99"/>
  <c r="K43" i="99" s="1"/>
  <c r="J32" i="99"/>
  <c r="K32" i="99" s="1"/>
  <c r="J77" i="99"/>
  <c r="K77" i="99" s="1"/>
  <c r="J85" i="99"/>
  <c r="K85" i="99" s="1"/>
  <c r="J52" i="99"/>
  <c r="K52" i="99" s="1"/>
  <c r="J25" i="99"/>
  <c r="K25" i="99" s="1"/>
  <c r="J21" i="99"/>
  <c r="K21" i="99" s="1"/>
  <c r="J73" i="99"/>
  <c r="K73" i="99" s="1"/>
  <c r="J24" i="99"/>
  <c r="K24" i="99" s="1"/>
  <c r="J55" i="99"/>
  <c r="K55" i="99" s="1"/>
  <c r="J64" i="99"/>
  <c r="K64" i="99" s="1"/>
  <c r="J41" i="99"/>
  <c r="K41" i="99" s="1"/>
  <c r="J44" i="99"/>
  <c r="K44" i="99" s="1"/>
  <c r="J63" i="99"/>
  <c r="K63" i="99" s="1"/>
  <c r="J34" i="99"/>
  <c r="K34" i="99" s="1"/>
  <c r="J80" i="99"/>
  <c r="K80" i="99" s="1"/>
  <c r="J19" i="99"/>
  <c r="K19" i="99" s="1"/>
  <c r="J71" i="99"/>
  <c r="K71" i="99" s="1"/>
  <c r="J27" i="99"/>
  <c r="K27" i="99" s="1"/>
  <c r="J13" i="99"/>
  <c r="K13" i="99" s="1"/>
  <c r="J56" i="99"/>
  <c r="K56" i="99" s="1"/>
  <c r="J62" i="99"/>
  <c r="K62" i="99" s="1"/>
  <c r="J39" i="99"/>
  <c r="K39" i="99" s="1"/>
  <c r="J61" i="99"/>
  <c r="K61" i="99" s="1"/>
  <c r="J20" i="99"/>
  <c r="K20" i="99" s="1"/>
  <c r="J47" i="99"/>
  <c r="K47" i="99" s="1"/>
  <c r="J33" i="99"/>
  <c r="K33" i="99" s="1"/>
  <c r="J84" i="99"/>
  <c r="K84" i="99" s="1"/>
  <c r="J18" i="99"/>
  <c r="K18" i="99" s="1"/>
  <c r="J22" i="99"/>
  <c r="K22" i="99" s="1"/>
  <c r="J72" i="99"/>
  <c r="K72" i="99" s="1"/>
  <c r="J78" i="99"/>
  <c r="K78" i="99" s="1"/>
  <c r="J65" i="99"/>
  <c r="K65" i="99" s="1"/>
  <c r="J31" i="99"/>
  <c r="K31" i="99" s="1"/>
  <c r="J58" i="99"/>
  <c r="K58" i="99" s="1"/>
  <c r="J15" i="99"/>
  <c r="K15" i="99" s="1"/>
  <c r="J76" i="99"/>
  <c r="K76" i="99" s="1"/>
  <c r="J48" i="99"/>
  <c r="K48" i="99" s="1"/>
  <c r="J67" i="99"/>
  <c r="K67" i="99" s="1"/>
  <c r="J60" i="99"/>
  <c r="K60" i="99" s="1"/>
  <c r="J36" i="99"/>
  <c r="K36" i="99" s="1"/>
  <c r="J37" i="99"/>
  <c r="K37" i="99" s="1"/>
  <c r="J74" i="99"/>
  <c r="K74" i="99" s="1"/>
  <c r="J53" i="99"/>
  <c r="K53" i="99" s="1"/>
  <c r="J42" i="99"/>
  <c r="K42" i="99" s="1"/>
  <c r="J66" i="99"/>
  <c r="K66" i="99" s="1"/>
  <c r="J38" i="99"/>
  <c r="K38" i="99" s="1"/>
  <c r="J30" i="99"/>
  <c r="K30" i="99" s="1"/>
  <c r="J26" i="99"/>
  <c r="K26" i="99" s="1"/>
  <c r="J29" i="99"/>
  <c r="K29" i="99" s="1"/>
  <c r="J82" i="99"/>
  <c r="K82" i="99" s="1"/>
  <c r="J54" i="99"/>
  <c r="K54" i="99" s="1"/>
  <c r="J81" i="99"/>
  <c r="K81" i="99" s="1"/>
  <c r="J35" i="99"/>
  <c r="K35" i="99" s="1"/>
  <c r="J23" i="99"/>
  <c r="K23" i="99" s="1"/>
  <c r="J83" i="99"/>
  <c r="K83" i="99" s="1"/>
  <c r="J70" i="99"/>
  <c r="K70" i="99" s="1"/>
  <c r="J50" i="99"/>
  <c r="K50" i="99" s="1"/>
  <c r="J16" i="99"/>
  <c r="K16" i="99" s="1"/>
  <c r="J57" i="99"/>
  <c r="K57" i="99" s="1"/>
  <c r="J75" i="99"/>
  <c r="K75" i="99" s="1"/>
  <c r="J59" i="99"/>
  <c r="K59" i="99" s="1"/>
  <c r="J68" i="99"/>
  <c r="K68" i="99" s="1"/>
  <c r="J49" i="99"/>
  <c r="K49" i="99" s="1"/>
  <c r="J79" i="99"/>
  <c r="K79" i="99" s="1"/>
  <c r="J14" i="99"/>
  <c r="K14" i="99" s="1"/>
  <c r="J51" i="99"/>
  <c r="K51" i="99" s="1"/>
</calcChain>
</file>

<file path=xl/comments1.xml><?xml version="1.0" encoding="utf-8"?>
<comments xmlns="http://schemas.openxmlformats.org/spreadsheetml/2006/main">
  <authors>
    <author>Richard Müller</author>
  </authors>
  <commentList>
    <comment ref="B5" authorId="0" shapeId="0">
      <text>
        <r>
          <rPr>
            <b/>
            <sz val="10"/>
            <color indexed="81"/>
            <rFont val="Arial"/>
            <family val="2"/>
          </rPr>
          <t>Von den insgesamt 33 möglichen Verfahren sollten für 
die grafische Darstellung aus Gründen der Übersicht-
lichkeit maximal 20 Verfahren ausgewählt werden.
Die Auswahl erfolgt, indem im Dropdownfeld "X" 
ausgewählt wird. Um wieder alle Verfahren anzuzeigen, 
ist im Dropdownfeld "(alle)" anzuklicken.</t>
        </r>
        <r>
          <rPr>
            <sz val="10"/>
            <color indexed="81"/>
            <rFont val="Arial"/>
            <family val="2"/>
          </rPr>
          <t xml:space="preserve">
</t>
        </r>
      </text>
    </comment>
  </commentList>
</comments>
</file>

<file path=xl/comments10.xml><?xml version="1.0" encoding="utf-8"?>
<comments xmlns="http://schemas.openxmlformats.org/spreadsheetml/2006/main">
  <authors>
    <author>Richard Müller</author>
    <author>Mayer, Veronika (LEL)</author>
    <author>SeggerV</author>
    <author>Krieg, Karl (LEL)</author>
    <author>Schabel, Katrin (LEL)</author>
    <author>Grupp, Bianca (LEL)</author>
  </authors>
  <commentList>
    <comment ref="I4" authorId="0" shapeId="0">
      <text>
        <r>
          <rPr>
            <sz val="10"/>
            <color indexed="81"/>
            <rFont val="Arial"/>
            <family val="2"/>
          </rPr>
          <t>Vergütung
2001: 0,1534 €/l
2002: 0,1841 €/l
seit 2003: 0,2148 €/l
Quelle: BW agrar 2/2002</t>
        </r>
      </text>
    </comment>
    <comment ref="D7" authorId="0" shapeId="0">
      <text>
        <r>
          <rPr>
            <sz val="10"/>
            <color indexed="81"/>
            <rFont val="Arial"/>
            <family val="2"/>
          </rPr>
          <t xml:space="preserve">1 kW = 1,36 PS
1 PS = 0,736 kW
</t>
        </r>
      </text>
    </comment>
    <comment ref="N23" authorId="1" shapeId="0">
      <text>
        <r>
          <rPr>
            <b/>
            <sz val="8"/>
            <color indexed="81"/>
            <rFont val="Tahoma"/>
            <family val="2"/>
          </rPr>
          <t>Mayer, Veronika (LEL):</t>
        </r>
        <r>
          <rPr>
            <sz val="8"/>
            <color indexed="81"/>
            <rFont val="Tahoma"/>
            <family val="2"/>
          </rPr>
          <t xml:space="preserve">
Arbeitszeit orientiert sich an gewähltem Arbeitsverfahren</t>
        </r>
      </text>
    </comment>
    <comment ref="N56" authorId="2" shapeId="0">
      <text>
        <r>
          <rPr>
            <b/>
            <sz val="8"/>
            <color indexed="81"/>
            <rFont val="Tahoma"/>
            <family val="2"/>
          </rPr>
          <t xml:space="preserve">Arbeitszeit für 6 t mit einem 5,7 t Kipper
</t>
        </r>
        <r>
          <rPr>
            <sz val="8"/>
            <color indexed="81"/>
            <rFont val="Tahoma"/>
            <family val="2"/>
          </rPr>
          <t xml:space="preserve">
</t>
        </r>
      </text>
    </comment>
    <comment ref="D82" authorId="3" shapeId="0">
      <text>
        <r>
          <rPr>
            <sz val="8"/>
            <color indexed="81"/>
            <rFont val="Tahoma"/>
            <family val="2"/>
          </rPr>
          <t xml:space="preserve">25 t * 0,20€/t
</t>
        </r>
      </text>
    </comment>
    <comment ref="C94" authorId="4" shapeId="0">
      <text>
        <r>
          <rPr>
            <sz val="8"/>
            <color indexed="81"/>
            <rFont val="Tahoma"/>
            <family val="2"/>
          </rPr>
          <t xml:space="preserve">Einzelbedarf siehe Tab. Anhaltswerte Handakh Feld
</t>
        </r>
      </text>
    </comment>
    <comment ref="C95" authorId="4" shapeId="0">
      <text>
        <r>
          <rPr>
            <sz val="8"/>
            <color indexed="81"/>
            <rFont val="Tahoma"/>
            <family val="2"/>
          </rPr>
          <t xml:space="preserve">Einzelbedarf siehe Tab. Anhaltswerte Handakh Feld
</t>
        </r>
      </text>
    </comment>
    <comment ref="C96" authorId="4" shapeId="0">
      <text>
        <r>
          <rPr>
            <sz val="8"/>
            <color indexed="81"/>
            <rFont val="Tahoma"/>
            <family val="2"/>
          </rPr>
          <t xml:space="preserve">Einzelbedarf siehe Tab. Anhaltswerte Handakh Feld
</t>
        </r>
      </text>
    </comment>
    <comment ref="D152" authorId="5" shapeId="0">
      <text>
        <r>
          <rPr>
            <b/>
            <sz val="8"/>
            <color indexed="81"/>
            <rFont val="Tahoma"/>
            <family val="2"/>
          </rPr>
          <t>Grupp, Bianca (LEL):</t>
        </r>
        <r>
          <rPr>
            <sz val="8"/>
            <color indexed="81"/>
            <rFont val="Tahoma"/>
            <family val="2"/>
          </rPr>
          <t xml:space="preserve">
Festfahren hier bereits mit einberechnet?
+(Festfahren 66 €/ha *0,94)
275*0,28*1,18?</t>
        </r>
      </text>
    </comment>
    <comment ref="D161" authorId="5" shapeId="0">
      <text>
        <r>
          <rPr>
            <b/>
            <sz val="8"/>
            <color indexed="81"/>
            <rFont val="Tahoma"/>
            <family val="2"/>
          </rPr>
          <t>Grupp, Bianca (LEL):</t>
        </r>
        <r>
          <rPr>
            <sz val="8"/>
            <color indexed="81"/>
            <rFont val="Tahoma"/>
            <family val="2"/>
          </rPr>
          <t xml:space="preserve">
Wozu?</t>
        </r>
      </text>
    </comment>
    <comment ref="D162" authorId="5" shapeId="0">
      <text>
        <r>
          <rPr>
            <b/>
            <sz val="8"/>
            <color indexed="81"/>
            <rFont val="Tahoma"/>
            <family val="2"/>
          </rPr>
          <t>Grupp, Bianca (LEL):</t>
        </r>
        <r>
          <rPr>
            <sz val="8"/>
            <color indexed="81"/>
            <rFont val="Tahoma"/>
            <family val="2"/>
          </rPr>
          <t xml:space="preserve">
Wozu?</t>
        </r>
      </text>
    </comment>
  </commentList>
</comments>
</file>

<file path=xl/comments11.xml><?xml version="1.0" encoding="utf-8"?>
<comments xmlns="http://schemas.openxmlformats.org/spreadsheetml/2006/main">
  <authors>
    <author>Praktikant2</author>
  </authors>
  <commentList>
    <comment ref="I24" authorId="0" shapeId="0">
      <text>
        <r>
          <rPr>
            <b/>
            <sz val="8"/>
            <color indexed="81"/>
            <rFont val="Tahoma"/>
            <family val="2"/>
          </rPr>
          <t>Benz:</t>
        </r>
        <r>
          <rPr>
            <sz val="8"/>
            <color indexed="81"/>
            <rFont val="Tahoma"/>
            <family val="2"/>
          </rPr>
          <t xml:space="preserve">
Quelle: HN, Himmelhan und Mitschke</t>
        </r>
      </text>
    </comment>
  </commentList>
</comments>
</file>

<file path=xl/comments12.xml><?xml version="1.0" encoding="utf-8"?>
<comments xmlns="http://schemas.openxmlformats.org/spreadsheetml/2006/main">
  <authors>
    <author>Praktikant2</author>
    <author>Hinderer, Axel (LEL)</author>
  </authors>
  <commentList>
    <comment ref="I29" authorId="0" shapeId="0">
      <text>
        <r>
          <rPr>
            <b/>
            <sz val="8"/>
            <color indexed="81"/>
            <rFont val="Tahoma"/>
            <family val="2"/>
          </rPr>
          <t>Benz:</t>
        </r>
        <r>
          <rPr>
            <sz val="8"/>
            <color indexed="81"/>
            <rFont val="Tahoma"/>
            <family val="2"/>
          </rPr>
          <t xml:space="preserve">
Quelle: HN, Himmelhan und Mitschke</t>
        </r>
      </text>
    </comment>
    <comment ref="L53" authorId="1" shapeId="0">
      <text>
        <r>
          <rPr>
            <b/>
            <sz val="8"/>
            <color indexed="81"/>
            <rFont val="Tahoma"/>
            <family val="2"/>
          </rPr>
          <t>Hinderer, Axel (LEL):</t>
        </r>
        <r>
          <rPr>
            <sz val="8"/>
            <color indexed="81"/>
            <rFont val="Tahoma"/>
            <family val="2"/>
          </rPr>
          <t xml:space="preserve">
wie am 16.07.2019 besprochen: 16,50 auch für 2020; 2021 --&gt; 16,75</t>
        </r>
      </text>
    </comment>
    <comment ref="M53" authorId="1" shapeId="0">
      <text>
        <r>
          <rPr>
            <b/>
            <sz val="8"/>
            <color indexed="81"/>
            <rFont val="Tahoma"/>
            <family val="2"/>
          </rPr>
          <t>Hinderer, Axel (LEL):</t>
        </r>
        <r>
          <rPr>
            <sz val="8"/>
            <color indexed="81"/>
            <rFont val="Tahoma"/>
            <family val="2"/>
          </rPr>
          <t xml:space="preserve">
wie am 16.07.2019 besprochen: 16,50 auch für 2020; 2021 --&gt; 16,75</t>
        </r>
      </text>
    </comment>
  </commentList>
</comments>
</file>

<file path=xl/comments13.xml><?xml version="1.0" encoding="utf-8"?>
<comments xmlns="http://schemas.openxmlformats.org/spreadsheetml/2006/main">
  <authors>
    <author>KriegK</author>
    <author>Hüsgen, Kerstin (LTZ)</author>
  </authors>
  <commentList>
    <comment ref="X4" authorId="0" shapeId="0">
      <text>
        <r>
          <rPr>
            <b/>
            <sz val="8"/>
            <color indexed="81"/>
            <rFont val="Tahoma"/>
            <family val="2"/>
          </rPr>
          <t xml:space="preserve"> = Körnererbsen</t>
        </r>
        <r>
          <rPr>
            <sz val="8"/>
            <color indexed="81"/>
            <rFont val="Tahoma"/>
            <family val="2"/>
          </rPr>
          <t xml:space="preserve">
</t>
        </r>
      </text>
    </comment>
    <comment ref="C12" authorId="1" shapeId="0">
      <text>
        <r>
          <rPr>
            <b/>
            <sz val="8"/>
            <color indexed="81"/>
            <rFont val="Tahoma"/>
            <family val="2"/>
          </rPr>
          <t>Hüsgen, Kerstin (LTZ):</t>
        </r>
        <r>
          <rPr>
            <sz val="8"/>
            <color indexed="81"/>
            <rFont val="Tahoma"/>
            <family val="2"/>
          </rPr>
          <t xml:space="preserve">
Atlantis WG durch Atlantis Flex + Biopower ersetzt</t>
        </r>
      </text>
    </comment>
    <comment ref="C19" authorId="1" shapeId="0">
      <text>
        <r>
          <rPr>
            <b/>
            <sz val="8"/>
            <color indexed="81"/>
            <rFont val="Tahoma"/>
            <family val="2"/>
          </rPr>
          <t>Hüsgen, Kerstin (LTZ):</t>
        </r>
        <r>
          <rPr>
            <sz val="8"/>
            <color indexed="81"/>
            <rFont val="Tahoma"/>
            <family val="2"/>
          </rPr>
          <t xml:space="preserve">
+ Dash eingefügt</t>
        </r>
      </text>
    </comment>
    <comment ref="C29" authorId="1" shapeId="0">
      <text>
        <r>
          <rPr>
            <b/>
            <sz val="8"/>
            <color indexed="81"/>
            <rFont val="Tahoma"/>
            <family val="2"/>
          </rPr>
          <t>Hüsgen, Kerstin (LTZ):</t>
        </r>
        <r>
          <rPr>
            <sz val="8"/>
            <color indexed="81"/>
            <rFont val="Tahoma"/>
            <family val="2"/>
          </rPr>
          <t xml:space="preserve">
Camposan Extra durch Cerone 660 ersetzt
</t>
        </r>
      </text>
    </comment>
    <comment ref="C38" authorId="1" shapeId="0">
      <text>
        <r>
          <rPr>
            <b/>
            <sz val="8"/>
            <color indexed="81"/>
            <rFont val="Tahoma"/>
            <family val="2"/>
          </rPr>
          <t>Hüsgen, Kerstin (LTZ):</t>
        </r>
        <r>
          <rPr>
            <sz val="8"/>
            <color indexed="81"/>
            <rFont val="Tahoma"/>
            <family val="2"/>
          </rPr>
          <t xml:space="preserve">
Name geändert; früher: Aviator Xpro Duo</t>
        </r>
      </text>
    </comment>
    <comment ref="C39" authorId="1" shapeId="0">
      <text>
        <r>
          <rPr>
            <b/>
            <sz val="8"/>
            <color indexed="81"/>
            <rFont val="Tahoma"/>
            <family val="2"/>
          </rPr>
          <t>Hüsgen, Kerstin (LTZ):</t>
        </r>
        <r>
          <rPr>
            <sz val="8"/>
            <color indexed="81"/>
            <rFont val="Tahoma"/>
            <family val="2"/>
          </rPr>
          <t xml:space="preserve">
Name aktualisiert</t>
        </r>
      </text>
    </comment>
    <comment ref="C88" authorId="1" shapeId="0">
      <text>
        <r>
          <rPr>
            <b/>
            <sz val="8"/>
            <color indexed="81"/>
            <rFont val="Tahoma"/>
            <family val="2"/>
          </rPr>
          <t>Hüsgen, Kerstin (LTZ):</t>
        </r>
        <r>
          <rPr>
            <sz val="8"/>
            <color indexed="81"/>
            <rFont val="Tahoma"/>
            <family val="2"/>
          </rPr>
          <t xml:space="preserve">
Zugelassen, aber nicht im Handel solo erhältlich</t>
        </r>
      </text>
    </comment>
    <comment ref="X109" authorId="0" shapeId="0">
      <text>
        <r>
          <rPr>
            <b/>
            <sz val="8"/>
            <color indexed="81"/>
            <rFont val="Tahoma"/>
            <family val="2"/>
          </rPr>
          <t xml:space="preserve"> = Körnererbsen</t>
        </r>
        <r>
          <rPr>
            <sz val="8"/>
            <color indexed="81"/>
            <rFont val="Tahoma"/>
            <family val="2"/>
          </rPr>
          <t xml:space="preserve">
</t>
        </r>
      </text>
    </comment>
    <comment ref="X213" authorId="0" shapeId="0">
      <text>
        <r>
          <rPr>
            <b/>
            <sz val="8"/>
            <color indexed="81"/>
            <rFont val="Tahoma"/>
            <family val="2"/>
          </rPr>
          <t xml:space="preserve"> = Körnererbsen</t>
        </r>
        <r>
          <rPr>
            <sz val="8"/>
            <color indexed="81"/>
            <rFont val="Tahoma"/>
            <family val="2"/>
          </rPr>
          <t xml:space="preserve">
</t>
        </r>
      </text>
    </comment>
  </commentList>
</comments>
</file>

<file path=xl/comments14.xml><?xml version="1.0" encoding="utf-8"?>
<comments xmlns="http://schemas.openxmlformats.org/spreadsheetml/2006/main">
  <authors>
    <author>Grupp, Bianca (LEL)</author>
  </authors>
  <commentList>
    <comment ref="N14" authorId="0" shapeId="0">
      <text>
        <r>
          <rPr>
            <b/>
            <sz val="8"/>
            <color indexed="81"/>
            <rFont val="Tahoma"/>
            <family val="2"/>
          </rPr>
          <t>Grupp, Bianca (LEL):</t>
        </r>
        <r>
          <rPr>
            <sz val="8"/>
            <color indexed="81"/>
            <rFont val="Tahoma"/>
            <family val="2"/>
          </rPr>
          <t xml:space="preserve">
6,6 €/dt siehe Seite 265 Bio 2017</t>
        </r>
      </text>
    </comment>
  </commentList>
</comments>
</file>

<file path=xl/comments15.xml><?xml version="1.0" encoding="utf-8"?>
<comments xmlns="http://schemas.openxmlformats.org/spreadsheetml/2006/main">
  <authors>
    <author>Hinderer, Axel (LEL)</author>
    <author>KriegK</author>
    <author>Richard Müller</author>
    <author>Mayer, Veronika (LEL)</author>
  </authors>
  <commentList>
    <comment ref="F38" authorId="0" shapeId="0">
      <text>
        <r>
          <rPr>
            <b/>
            <sz val="8"/>
            <color indexed="81"/>
            <rFont val="Tahoma"/>
            <family val="2"/>
          </rPr>
          <t>Hinderer, Axel (LEL):</t>
        </r>
        <r>
          <rPr>
            <sz val="8"/>
            <color indexed="81"/>
            <rFont val="Tahoma"/>
            <family val="2"/>
          </rPr>
          <t xml:space="preserve">
Quelle Nachbaulizenz: Saatgut-Treuhandverwaltungs GmbH www.stv-bonn.de (Vertragssortenliste 2018/2019)</t>
        </r>
      </text>
    </comment>
    <comment ref="F64" authorId="1" shapeId="0">
      <text>
        <r>
          <rPr>
            <sz val="8"/>
            <color indexed="81"/>
            <rFont val="Tahoma"/>
            <family val="2"/>
          </rPr>
          <t xml:space="preserve">einschl. Rhizobien-Impfung
</t>
        </r>
      </text>
    </comment>
    <comment ref="E69" authorId="2" shapeId="0">
      <text>
        <r>
          <rPr>
            <b/>
            <sz val="8"/>
            <color indexed="81"/>
            <rFont val="Tahoma"/>
            <family val="2"/>
          </rPr>
          <t>75 % A-, 25 % B-Rüben und Schnitzelpreis</t>
        </r>
        <r>
          <rPr>
            <sz val="8"/>
            <color indexed="81"/>
            <rFont val="Tahoma"/>
            <family val="2"/>
          </rPr>
          <t xml:space="preserve">
</t>
        </r>
      </text>
    </comment>
    <comment ref="H85" authorId="3" shapeId="0">
      <text>
        <r>
          <rPr>
            <b/>
            <sz val="8"/>
            <color indexed="81"/>
            <rFont val="Tahoma"/>
            <family val="2"/>
          </rPr>
          <t>Mayer, Veronika (LEL):</t>
        </r>
        <r>
          <rPr>
            <sz val="8"/>
            <color indexed="81"/>
            <rFont val="Tahoma"/>
            <family val="2"/>
          </rPr>
          <t xml:space="preserve">
für WW/WG zw. 5-15 dt/ha</t>
        </r>
      </text>
    </comment>
    <comment ref="H86" authorId="3" shapeId="0">
      <text>
        <r>
          <rPr>
            <b/>
            <sz val="8"/>
            <color indexed="81"/>
            <rFont val="Tahoma"/>
            <family val="2"/>
          </rPr>
          <t>Mayer, Veronika (LEL):</t>
        </r>
        <r>
          <rPr>
            <sz val="8"/>
            <color indexed="81"/>
            <rFont val="Tahoma"/>
            <family val="2"/>
          </rPr>
          <t xml:space="preserve">
für WW/WG zw. 1-3 dt/ha</t>
        </r>
      </text>
    </comment>
  </commentList>
</comments>
</file>

<file path=xl/comments16.xml><?xml version="1.0" encoding="utf-8"?>
<comments xmlns="http://schemas.openxmlformats.org/spreadsheetml/2006/main">
  <authors>
    <author>Zolic, Ena (LEL-SG)</author>
  </authors>
  <commentList>
    <comment ref="D28" authorId="0" shapeId="0">
      <text>
        <r>
          <rPr>
            <b/>
            <sz val="9"/>
            <color indexed="81"/>
            <rFont val="Segoe UI"/>
            <family val="2"/>
          </rPr>
          <t>Zolic, Ena (LEL-SG):</t>
        </r>
        <r>
          <rPr>
            <sz val="9"/>
            <color indexed="81"/>
            <rFont val="Segoe UI"/>
            <family val="2"/>
          </rPr>
          <t xml:space="preserve">
Differenz Haupternteprodukt und N-Fixierung</t>
        </r>
      </text>
    </comment>
    <comment ref="H28"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0" authorId="0" shapeId="0">
      <text>
        <r>
          <rPr>
            <b/>
            <sz val="9"/>
            <color indexed="81"/>
            <rFont val="Segoe UI"/>
            <family val="2"/>
          </rPr>
          <t>Zolic, Ena (LEL-SG):</t>
        </r>
        <r>
          <rPr>
            <sz val="9"/>
            <color indexed="81"/>
            <rFont val="Segoe UI"/>
            <family val="2"/>
          </rPr>
          <t xml:space="preserve">
Differenz Haupternteprodukt und N-Fixierung</t>
        </r>
      </text>
    </comment>
    <comment ref="H30"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1" authorId="0" shapeId="0">
      <text>
        <r>
          <rPr>
            <b/>
            <sz val="9"/>
            <color indexed="81"/>
            <rFont val="Segoe UI"/>
            <family val="2"/>
          </rPr>
          <t>Zolic, Ena (LEL-SG):</t>
        </r>
        <r>
          <rPr>
            <sz val="9"/>
            <color indexed="81"/>
            <rFont val="Segoe UI"/>
            <family val="2"/>
          </rPr>
          <t xml:space="preserve">
Differenz Haupternteprodukt und N-Fixierung</t>
        </r>
      </text>
    </comment>
    <comment ref="H31"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 ref="D32" authorId="0" shapeId="0">
      <text>
        <r>
          <rPr>
            <b/>
            <sz val="9"/>
            <color indexed="81"/>
            <rFont val="Segoe UI"/>
            <family val="2"/>
          </rPr>
          <t>Zolic, Ena (LEL-SG):</t>
        </r>
        <r>
          <rPr>
            <sz val="9"/>
            <color indexed="81"/>
            <rFont val="Segoe UI"/>
            <family val="2"/>
          </rPr>
          <t xml:space="preserve">
Differenz Haupternteprodukt und N-Fixierung</t>
        </r>
      </text>
    </comment>
    <comment ref="H32" authorId="0" shapeId="0">
      <text>
        <r>
          <rPr>
            <b/>
            <sz val="9"/>
            <color indexed="81"/>
            <rFont val="Segoe UI"/>
            <family val="2"/>
          </rPr>
          <t>Zolic, Ena (LEL-SG):</t>
        </r>
        <r>
          <rPr>
            <sz val="9"/>
            <color indexed="81"/>
            <rFont val="Segoe UI"/>
            <family val="2"/>
          </rPr>
          <t xml:space="preserve">
Differenz Abfuhr Hauptprodukt und Abfuht Haupt- und Nebenernteprodukt</t>
        </r>
      </text>
    </comment>
  </commentList>
</comments>
</file>

<file path=xl/comments17.xml><?xml version="1.0" encoding="utf-8"?>
<comments xmlns="http://schemas.openxmlformats.org/spreadsheetml/2006/main">
  <authors>
    <author>Richard Müller</author>
  </authors>
  <commentList>
    <comment ref="F75" authorId="0" shapeId="0">
      <text>
        <r>
          <rPr>
            <sz val="10"/>
            <color indexed="81"/>
            <rFont val="Arial"/>
            <family val="2"/>
          </rPr>
          <t xml:space="preserve">Summe aller Leistungen abzüglich Direktkosten
(Saatgut, Düngung, Pflanzenschutz, Trocknung/
Konservierung, Lagerung, Vermarktung, Beregnung,
Hagelversicherung, Sonstige variable Kosten).
</t>
        </r>
      </text>
    </comment>
  </commentList>
</comments>
</file>

<file path=xl/comments18.xml><?xml version="1.0" encoding="utf-8"?>
<comments xmlns="http://schemas.openxmlformats.org/spreadsheetml/2006/main">
  <authors>
    <author>KriegK</author>
  </authors>
  <commentList>
    <comment ref="H25" authorId="0" shapeId="0">
      <text>
        <r>
          <rPr>
            <sz val="8"/>
            <color indexed="81"/>
            <rFont val="Tahoma"/>
            <family val="2"/>
          </rPr>
          <t xml:space="preserve">Einheit = kg
</t>
        </r>
      </text>
    </comment>
  </commentList>
</comments>
</file>

<file path=xl/comments19.xml><?xml version="1.0" encoding="utf-8"?>
<comments xmlns="http://schemas.openxmlformats.org/spreadsheetml/2006/main">
  <authors>
    <author>KriegK</author>
  </authors>
  <commentList>
    <comment ref="D26" authorId="0" shapeId="0">
      <text>
        <r>
          <rPr>
            <sz val="8"/>
            <color indexed="81"/>
            <rFont val="Tahoma"/>
            <family val="2"/>
          </rPr>
          <t xml:space="preserve">hybridsaatgut wi-raps     0,3 einheiten beim saatgut
</t>
        </r>
      </text>
    </comment>
  </commentList>
</comments>
</file>

<file path=xl/comments2.xml><?xml version="1.0" encoding="utf-8"?>
<comments xmlns="http://schemas.openxmlformats.org/spreadsheetml/2006/main">
  <authors>
    <author>Zolic, Ena (LEL-SG)</author>
  </authors>
  <commentList>
    <comment ref="M9" authorId="0" shapeId="0">
      <text>
        <r>
          <rPr>
            <b/>
            <sz val="9"/>
            <color indexed="81"/>
            <rFont val="Segoe UI"/>
            <family val="2"/>
          </rPr>
          <t>Zolic, Ena (LEL-SG):</t>
        </r>
        <r>
          <rPr>
            <sz val="9"/>
            <color indexed="81"/>
            <rFont val="Segoe UI"/>
            <family val="2"/>
          </rPr>
          <t xml:space="preserve">
ab 2023 optierende Landwirte 9%
</t>
        </r>
      </text>
    </comment>
  </commentList>
</comments>
</file>

<file path=xl/comments20.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1.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2.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3.xml><?xml version="1.0" encoding="utf-8"?>
<comments xmlns="http://schemas.openxmlformats.org/spreadsheetml/2006/main">
  <authors>
    <author>KriegK</author>
  </authors>
  <commentList>
    <comment ref="E30" authorId="0" shapeId="0">
      <text>
        <r>
          <rPr>
            <sz val="8"/>
            <color indexed="81"/>
            <rFont val="Tahoma"/>
            <family val="2"/>
          </rPr>
          <t xml:space="preserve">Differenz zwischen N-Abfuhr und N-Lieferung
</t>
        </r>
      </text>
    </comment>
  </commentList>
</comments>
</file>

<file path=xl/comments24.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ca 80- ständige AK - Beregnung (15 Akh)</t>
        </r>
      </text>
    </comment>
    <comment ref="K66" authorId="0" shapeId="0">
      <text>
        <r>
          <rPr>
            <b/>
            <sz val="8"/>
            <color indexed="81"/>
            <rFont val="Tahoma"/>
            <family val="2"/>
          </rPr>
          <t>Göttling, Marie Joy Dr. (LEL):</t>
        </r>
        <r>
          <rPr>
            <sz val="8"/>
            <color indexed="81"/>
            <rFont val="Tahoma"/>
            <family val="2"/>
          </rPr>
          <t xml:space="preserve">
ca 80- ständige AK - Beregnung (15 Akh)</t>
        </r>
      </text>
    </comment>
    <comment ref="N66" authorId="0" shapeId="0">
      <text>
        <r>
          <rPr>
            <b/>
            <sz val="8"/>
            <color indexed="81"/>
            <rFont val="Tahoma"/>
            <family val="2"/>
          </rPr>
          <t>Göttling, Marie Joy Dr. (LEL):</t>
        </r>
        <r>
          <rPr>
            <sz val="8"/>
            <color indexed="81"/>
            <rFont val="Tahoma"/>
            <family val="2"/>
          </rPr>
          <t xml:space="preserve">
ca 80- ständige AK - Beregnung (15 Akh)</t>
        </r>
      </text>
    </comment>
  </commentList>
</comments>
</file>

<file path=xl/comments25.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140 - ständige Akh = angestrebter Wert</t>
        </r>
      </text>
    </comment>
    <comment ref="K66" authorId="0" shapeId="0">
      <text>
        <r>
          <rPr>
            <b/>
            <sz val="8"/>
            <color indexed="81"/>
            <rFont val="Tahoma"/>
            <family val="2"/>
          </rPr>
          <t>Göttling, Marie Joy Dr. (LEL):</t>
        </r>
        <r>
          <rPr>
            <sz val="8"/>
            <color indexed="81"/>
            <rFont val="Tahoma"/>
            <family val="2"/>
          </rPr>
          <t xml:space="preserve">
140 - ständige Akh = angestrebter Wert</t>
        </r>
      </text>
    </comment>
    <comment ref="N66" authorId="0" shapeId="0">
      <text>
        <r>
          <rPr>
            <b/>
            <sz val="8"/>
            <color indexed="81"/>
            <rFont val="Tahoma"/>
            <family val="2"/>
          </rPr>
          <t>Göttling, Marie Joy Dr. (LEL):</t>
        </r>
        <r>
          <rPr>
            <sz val="8"/>
            <color indexed="81"/>
            <rFont val="Tahoma"/>
            <family val="2"/>
          </rPr>
          <t xml:space="preserve">
140 - ständige Akh = angestrebter Wert</t>
        </r>
      </text>
    </comment>
  </commentList>
</comments>
</file>

<file path=xl/comments26.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50- ständige AK</t>
        </r>
      </text>
    </comment>
    <comment ref="K66" authorId="0" shapeId="0">
      <text>
        <r>
          <rPr>
            <b/>
            <sz val="8"/>
            <color indexed="81"/>
            <rFont val="Tahoma"/>
            <family val="2"/>
          </rPr>
          <t>Göttling, Marie Joy Dr. (LEL):</t>
        </r>
        <r>
          <rPr>
            <sz val="8"/>
            <color indexed="81"/>
            <rFont val="Tahoma"/>
            <family val="2"/>
          </rPr>
          <t xml:space="preserve">
50- ständige AK</t>
        </r>
      </text>
    </comment>
    <comment ref="N66" authorId="0" shapeId="0">
      <text>
        <r>
          <rPr>
            <b/>
            <sz val="8"/>
            <color indexed="81"/>
            <rFont val="Tahoma"/>
            <family val="2"/>
          </rPr>
          <t>Göttling, Marie Joy Dr. (LEL):</t>
        </r>
        <r>
          <rPr>
            <sz val="8"/>
            <color indexed="81"/>
            <rFont val="Tahoma"/>
            <family val="2"/>
          </rPr>
          <t xml:space="preserve">
50- ständige AK</t>
        </r>
      </text>
    </comment>
  </commentList>
</comments>
</file>

<file path=xl/comments27.xml><?xml version="1.0" encoding="utf-8"?>
<comments xmlns="http://schemas.openxmlformats.org/spreadsheetml/2006/main">
  <authors>
    <author>Göttling, Marie Joy Dr. (LEL)</author>
  </authors>
  <commentList>
    <comment ref="H66" authorId="0" shapeId="0">
      <text>
        <r>
          <rPr>
            <b/>
            <sz val="8"/>
            <color indexed="81"/>
            <rFont val="Tahoma"/>
            <family val="2"/>
          </rPr>
          <t>Göttling, Marie Joy Dr. (LEL):</t>
        </r>
        <r>
          <rPr>
            <sz val="8"/>
            <color indexed="81"/>
            <rFont val="Tahoma"/>
            <family val="2"/>
          </rPr>
          <t xml:space="preserve">
60- ständige AK</t>
        </r>
      </text>
    </comment>
    <comment ref="K66" authorId="0" shapeId="0">
      <text>
        <r>
          <rPr>
            <b/>
            <sz val="8"/>
            <color indexed="81"/>
            <rFont val="Tahoma"/>
            <family val="2"/>
          </rPr>
          <t>Göttling, Marie Joy Dr. (LEL):</t>
        </r>
        <r>
          <rPr>
            <sz val="8"/>
            <color indexed="81"/>
            <rFont val="Tahoma"/>
            <family val="2"/>
          </rPr>
          <t xml:space="preserve">
60- ständige AK</t>
        </r>
      </text>
    </comment>
    <comment ref="N66" authorId="0" shapeId="0">
      <text>
        <r>
          <rPr>
            <b/>
            <sz val="8"/>
            <color indexed="81"/>
            <rFont val="Tahoma"/>
            <family val="2"/>
          </rPr>
          <t>Göttling, Marie Joy Dr. (LEL):</t>
        </r>
        <r>
          <rPr>
            <sz val="8"/>
            <color indexed="81"/>
            <rFont val="Tahoma"/>
            <family val="2"/>
          </rPr>
          <t xml:space="preserve">
60- ständige AK</t>
        </r>
      </text>
    </comment>
  </commentList>
</comments>
</file>

<file path=xl/comments28.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29.xml><?xml version="1.0" encoding="utf-8"?>
<comments xmlns="http://schemas.openxmlformats.org/spreadsheetml/2006/main">
  <authors>
    <author>KriegK</author>
  </authors>
  <commentList>
    <comment ref="H25" authorId="0" shapeId="0">
      <text>
        <r>
          <rPr>
            <sz val="8"/>
            <color indexed="81"/>
            <rFont val="Tahoma"/>
            <family val="2"/>
          </rPr>
          <t xml:space="preserve">Enheit=kg
</t>
        </r>
      </text>
    </comment>
    <comment ref="K25" authorId="0" shapeId="0">
      <text>
        <r>
          <rPr>
            <sz val="8"/>
            <color indexed="81"/>
            <rFont val="Tahoma"/>
            <family val="2"/>
          </rPr>
          <t xml:space="preserve">Enheit=kg
</t>
        </r>
      </text>
    </comment>
  </commentList>
</comments>
</file>

<file path=xl/comments3.xml><?xml version="1.0" encoding="utf-8"?>
<comments xmlns="http://schemas.openxmlformats.org/spreadsheetml/2006/main">
  <authors>
    <author>Göttling, Marie Joy Dr. (LEL)</author>
  </authors>
  <commentList>
    <comment ref="I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E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30.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1.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2.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3.xml><?xml version="1.0" encoding="utf-8"?>
<comments xmlns="http://schemas.openxmlformats.org/spreadsheetml/2006/main">
  <authors>
    <author>Hinderer, Axel (LEL-SG)</author>
  </authors>
  <commentList>
    <comment ref="E30" authorId="0" shapeId="0">
      <text>
        <r>
          <rPr>
            <b/>
            <sz val="9"/>
            <color indexed="81"/>
            <rFont val="Segoe UI"/>
            <family val="2"/>
          </rPr>
          <t>Hinderer, Axel (LEL-SG):</t>
        </r>
        <r>
          <rPr>
            <sz val="9"/>
            <color indexed="81"/>
            <rFont val="Segoe UI"/>
            <family val="2"/>
          </rPr>
          <t xml:space="preserve">
Nährstoffentzug - N-Fixierung (pauschal) SD-sammlung Düngung BW</t>
        </r>
      </text>
    </comment>
  </commentList>
</comments>
</file>

<file path=xl/comments34.xml><?xml version="1.0" encoding="utf-8"?>
<comments xmlns="http://schemas.openxmlformats.org/spreadsheetml/2006/main">
  <authors>
    <author>Schabel, Katrin (LEL)</author>
    <author>KriegK</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FAKT D2 für ökologischen Ackerbau dargestellt. Weitere Leistungen können zusätzlich angewählt werden, müssen jedoch auf ihre Kombinierbarkeit überprüft werden (Blatt „Prämien“). </t>
        </r>
      </text>
    </comment>
    <comment ref="B20"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1"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5"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E28" authorId="1" shapeId="0">
      <text>
        <r>
          <rPr>
            <sz val="8"/>
            <color indexed="81"/>
            <rFont val="Tahoma"/>
            <family val="2"/>
          </rPr>
          <t xml:space="preserve">Differenz zwischen N-Abfuhr und N-Lieferung
</t>
        </r>
      </text>
    </comment>
    <comment ref="B32" authorId="0" shapeId="0">
      <text>
        <r>
          <rPr>
            <sz val="10"/>
            <color indexed="81"/>
            <rFont val="Tahoma"/>
            <family val="2"/>
          </rPr>
          <t xml:space="preserve">Einige </t>
        </r>
        <r>
          <rPr>
            <b/>
            <sz val="10"/>
            <color indexed="81"/>
            <rFont val="Tahoma"/>
            <family val="2"/>
          </rPr>
          <t>zugelassene Pflanzenschutzmittel und Präparate</t>
        </r>
        <r>
          <rPr>
            <sz val="10"/>
            <color indexed="81"/>
            <rFont val="Tahoma"/>
            <family val="2"/>
          </rPr>
          <t xml:space="preserve"> können hier individuell eingestellt werden. </t>
        </r>
        <r>
          <rPr>
            <b/>
            <sz val="10"/>
            <color indexed="81"/>
            <rFont val="Tahoma"/>
            <family val="2"/>
          </rPr>
          <t xml:space="preserve">Düngemittel </t>
        </r>
        <r>
          <rPr>
            <sz val="10"/>
            <color indexed="81"/>
            <rFont val="Tahoma"/>
            <family val="2"/>
          </rPr>
          <t xml:space="preserve">sollten nur dann ausgewäht werden keinen Bewertung der Nährstoffabfuhr mit pauschalen Nährstoffpreisen erfolgt (Einstellung siehe Blatt Preise) !   </t>
        </r>
      </text>
    </comment>
    <comment ref="B42"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7" authorId="0" shapeId="0">
      <text>
        <r>
          <rPr>
            <sz val="10"/>
            <color indexed="81"/>
            <rFont val="Tahoma"/>
            <family val="2"/>
          </rPr>
          <t xml:space="preserve">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2"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7"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69" authorId="0" shapeId="0">
      <text>
        <r>
          <rPr>
            <sz val="10"/>
            <color indexed="81"/>
            <rFont val="Tahoma"/>
            <family val="2"/>
          </rPr>
          <t xml:space="preserve">
Die Hagelversicherung bezieht sich immer auf die versicherte Kultur und ist vom erwarteten Ertrag abhängig. Die Werte stammen aus dem Datenblatt „Sonstige“.</t>
        </r>
      </text>
    </comment>
    <comment ref="B71"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5.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6.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7.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8.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39.xml><?xml version="1.0" encoding="utf-8"?>
<comments xmlns="http://schemas.openxmlformats.org/spreadsheetml/2006/main">
  <authors>
    <author>Schabel, Katrin (LEL)</author>
  </authors>
  <commentList>
    <comment ref="B7" authorId="0" shapeId="0">
      <text>
        <r>
          <rPr>
            <sz val="10"/>
            <color indexed="81"/>
            <rFont val="Tahoma"/>
            <family val="2"/>
          </rPr>
          <t xml:space="preserve">
Der Ertrag stellt sich, soweit  nicht anders  beschrieben, in </t>
        </r>
        <r>
          <rPr>
            <b/>
            <sz val="10"/>
            <color indexed="81"/>
            <rFont val="Tahoma"/>
            <family val="2"/>
          </rPr>
          <t>dt lagerfähig getrockneter Ware je ha</t>
        </r>
        <r>
          <rPr>
            <sz val="10"/>
            <color indexed="81"/>
            <rFont val="Tahoma"/>
            <family val="2"/>
          </rPr>
          <t xml:space="preserve"> dar. Für das Leistungsniveau „niedrig“ wird mit einem voreingestellten  Abschlag von 25% kalkuliert für das Leistungsniveau „hoch“ wird ein Zuschlag von 25%  gegeben. 
</t>
        </r>
        <r>
          <rPr>
            <sz val="10"/>
            <color indexed="81"/>
            <rFont val="Tahoma"/>
            <family val="2"/>
          </rPr>
          <t xml:space="preserve">
Der </t>
        </r>
        <r>
          <rPr>
            <b/>
            <sz val="10"/>
            <color indexed="81"/>
            <rFont val="Tahoma"/>
            <family val="2"/>
          </rPr>
          <t>Ertrag von Kleegras/ Luzernegras wird nicht monetär</t>
        </r>
        <r>
          <rPr>
            <sz val="10"/>
            <color indexed="81"/>
            <rFont val="Tahoma"/>
            <family val="2"/>
          </rPr>
          <t xml:space="preserve"> bewertet, da für den Marktfruchtbetrieb ein Mulchverfahren unterstellt wird. 
</t>
        </r>
      </text>
    </comment>
    <comment ref="B10" authorId="0" shapeId="0">
      <text>
        <r>
          <rPr>
            <sz val="10"/>
            <color indexed="81"/>
            <rFont val="Tahoma"/>
            <family val="2"/>
          </rPr>
          <t xml:space="preserve">
Als Nebenprodukt wird der </t>
        </r>
        <r>
          <rPr>
            <b/>
            <sz val="10"/>
            <color indexed="81"/>
            <rFont val="Tahoma"/>
            <family val="2"/>
          </rPr>
          <t>nichtmarktfähige Ertrag</t>
        </r>
        <r>
          <rPr>
            <sz val="10"/>
            <color indexed="81"/>
            <rFont val="Tahoma"/>
            <family val="2"/>
          </rPr>
          <t xml:space="preserve"> bezeichnet, der vom Gesamtertrag abgezogen wird. Dieser lässt sich unter Umständen z.B. als Futter monetär bewerten. </t>
        </r>
      </text>
    </comment>
    <comment ref="B11" authorId="0" shapeId="0">
      <text>
        <r>
          <rPr>
            <sz val="10"/>
            <color indexed="81"/>
            <rFont val="Tahoma"/>
            <family val="2"/>
          </rPr>
          <t xml:space="preserve">Das Nebenprodukt Stroh ist in 2 Varianten rechenbar: 
a) eigene Strohabfuhr – sie beinhaltet das Pressen und den Abtransport der Ballen vom Feld
b) Strohverkauf ab Feld- hier muss ein eigener Preis €/ha Stroh eingegeben werden. 
Bei beiden Varianten werden u.a. auch die mitverkauften </t>
        </r>
        <r>
          <rPr>
            <b/>
            <sz val="10"/>
            <color indexed="81"/>
            <rFont val="Tahoma"/>
            <family val="2"/>
          </rPr>
          <t>Nährstoffe</t>
        </r>
        <r>
          <rPr>
            <sz val="10"/>
            <color indexed="81"/>
            <rFont val="Tahoma"/>
            <family val="2"/>
          </rPr>
          <t xml:space="preserve"> monetär bewertet und entsprechend</t>
        </r>
        <r>
          <rPr>
            <b/>
            <sz val="10"/>
            <color indexed="81"/>
            <rFont val="Tahoma"/>
            <family val="2"/>
          </rPr>
          <t xml:space="preserve"> berücksichtigt</t>
        </r>
        <r>
          <rPr>
            <sz val="10"/>
            <color indexed="81"/>
            <rFont val="Tahoma"/>
            <family val="2"/>
          </rPr>
          <t>.</t>
        </r>
      </text>
    </comment>
    <comment ref="B13" authorId="0" shapeId="0">
      <text>
        <r>
          <rPr>
            <sz val="10"/>
            <color indexed="81"/>
            <rFont val="Tahoma"/>
            <family val="2"/>
          </rPr>
          <t xml:space="preserve">In der Grundeinstellung ist als Ausgleichsleistung das MEKA ND2 für ökologischen Ackerbau dargestellt. Weitere Leistungen können zusätzlich angewählt werden, müssen jedoch auf ihre Kombinierbarkeit überprüft werden (Blatt „Prämien“). </t>
        </r>
      </text>
    </comment>
    <comment ref="B19" authorId="0" shapeId="0">
      <text>
        <r>
          <rPr>
            <sz val="10"/>
            <color indexed="81"/>
            <rFont val="Tahoma"/>
            <family val="2"/>
          </rPr>
          <t xml:space="preserve">
Im Jahr 2005 wurden allen Betrieben Zahlungsansprüche (ZA) zugewiesen. Diese  gewähren einen Anspruch auf jährliche Prämien. Die Zahlungsansprüche sind nicht direkt an die Fläche gebunden, d.h. ein Flächenübergang zieht nicht automatisch einen Übergang eines ZA nach sich. werden. Zur Einlösung eines ZA ist jedoch zwingend 1 ha LF erforderlich. Es kann auch der Fall berücksichtigt werden, dass die Fläche ohne Zahlungsanspruch bewirtschaftet wird. </t>
        </r>
        <r>
          <rPr>
            <b/>
            <sz val="10"/>
            <color indexed="81"/>
            <rFont val="Tahoma"/>
            <family val="2"/>
          </rPr>
          <t>Die ZAs 2013 liegen, nach Modulation (-10%) unter Berücksichtigung des Freibetrages (5000€) für einen 100 ha Betrieb bei ca. 270 €</t>
        </r>
      </text>
    </comment>
    <comment ref="B22" authorId="0" shapeId="0">
      <text>
        <r>
          <rPr>
            <sz val="10"/>
            <color indexed="81"/>
            <rFont val="Tahoma"/>
            <family val="2"/>
          </rPr>
          <t xml:space="preserve">
Der Vorfruchtwert einer Kultur kann z.B. in einem </t>
        </r>
        <r>
          <rPr>
            <b/>
            <sz val="10"/>
            <color indexed="81"/>
            <rFont val="Tahoma"/>
            <family val="2"/>
          </rPr>
          <t>reduzierten Unkrautdruck</t>
        </r>
        <r>
          <rPr>
            <sz val="10"/>
            <color indexed="81"/>
            <rFont val="Tahoma"/>
            <family val="2"/>
          </rPr>
          <t xml:space="preserve"> oder einer </t>
        </r>
        <r>
          <rPr>
            <b/>
            <sz val="10"/>
            <color indexed="81"/>
            <rFont val="Tahoma"/>
            <family val="2"/>
          </rPr>
          <t>besseren Bodenstruktur</t>
        </r>
        <r>
          <rPr>
            <sz val="10"/>
            <color indexed="81"/>
            <rFont val="Tahoma"/>
            <family val="2"/>
          </rPr>
          <t xml:space="preserve"> für die Folgekultur liegen. Da dieser Wert letztendlich erst durch seine Stellung in der Fruchtfolge definieren werden kann, soll er in vorliegender Kalkulation nicht weiter berücksichtigt werden. Die Möglichkeit einer individuellen Angabe bleibt jedoch offen.
</t>
        </r>
      </text>
    </comment>
    <comment ref="B23" authorId="0" shapeId="0">
      <text>
        <r>
          <rPr>
            <sz val="10"/>
            <color indexed="81"/>
            <rFont val="Tahoma"/>
            <family val="2"/>
          </rPr>
          <t xml:space="preserve">
Als Saatgut wird </t>
        </r>
        <r>
          <rPr>
            <b/>
            <sz val="10"/>
            <color indexed="81"/>
            <rFont val="Tahoma"/>
            <family val="2"/>
          </rPr>
          <t>biologisches Z-Saatgut</t>
        </r>
        <r>
          <rPr>
            <sz val="10"/>
            <color indexed="81"/>
            <rFont val="Tahoma"/>
            <family val="2"/>
          </rPr>
          <t xml:space="preserve"> angenommen. Die Preise finden sich unter </t>
        </r>
        <r>
          <rPr>
            <b/>
            <sz val="10"/>
            <color indexed="81"/>
            <rFont val="Tahoma"/>
            <family val="2"/>
          </rPr>
          <t>„Sonstiges“,</t>
        </r>
        <r>
          <rPr>
            <sz val="10"/>
            <color indexed="81"/>
            <rFont val="Tahoma"/>
            <family val="2"/>
          </rPr>
          <t xml:space="preserve"> sind jedoch nicht mit den Berechnungsgrundlagen verbunden. Wird Nachbausaatgut verwendet können die Kosten für Nachbaulizenzen, Beizen und Reinigen ebenfalls unter „Sonstiges“ ermittelt werden.</t>
        </r>
      </text>
    </comment>
    <comment ref="B27" authorId="0" shapeId="0">
      <text>
        <r>
          <rPr>
            <sz val="10"/>
            <color indexed="81"/>
            <rFont val="Tahoma"/>
            <family val="2"/>
          </rPr>
          <t xml:space="preserve">
Die Kosten für die Düngung sind von der </t>
        </r>
        <r>
          <rPr>
            <b/>
            <sz val="10"/>
            <color indexed="81"/>
            <rFont val="Tahoma"/>
            <family val="2"/>
          </rPr>
          <t>Nährstoffabfuhr</t>
        </r>
        <r>
          <rPr>
            <sz val="10"/>
            <color indexed="81"/>
            <rFont val="Tahoma"/>
            <family val="2"/>
          </rPr>
          <t xml:space="preserve"> der jeweiligen Kultur abhängig. Die abgefahrenen Nährstoffe werden in der Voreinstellung bewertet und der Verlust dem jeweiligen Verfahren angelastet. </t>
        </r>
        <r>
          <rPr>
            <b/>
            <sz val="10"/>
            <color indexed="81"/>
            <rFont val="Tahoma"/>
            <family val="2"/>
          </rPr>
          <t>Es besteht im Blatt "Preise" die Möglichkeit die Bewertung der Nährstoffabfuhr auszuschalten</t>
        </r>
        <r>
          <rPr>
            <sz val="10"/>
            <color indexed="81"/>
            <rFont val="Tahoma"/>
            <family val="2"/>
          </rPr>
          <t xml:space="preserve"> oder den Wert der Nährstoffe zu verändern.
Die  Nährstoffe sind im Ökolandbau, abhängig von ihren Entstehungskosten, teurer bewertet als im konventionellen Landbau.  Die Kulturen Kleegras und Luzerne erhalten einen pauschalen Zuschlag für ihre Stickstoff fixierende Leistungen. Bei allen anderen Leguminosen erfolgt dieser Zuschlag in Form einer negativ ausgedrückten N-Abfuhr als ertragsabhängiger Faktor. 
Die Ausbringung von Wirtschaftsdünger wird dem Verfahren Tierhaltung zu gelastet. 
Fallen weitere Düngergaben an schlagen sich diese nur in den variablen Maschinenkosten nieder. 
</t>
        </r>
      </text>
    </comment>
    <comment ref="B34" authorId="0" shapeId="0">
      <text>
        <r>
          <rPr>
            <sz val="10"/>
            <color indexed="81"/>
            <rFont val="Tahoma"/>
            <family val="2"/>
          </rPr>
          <t xml:space="preserve">Einige </t>
        </r>
        <r>
          <rPr>
            <b/>
            <sz val="10"/>
            <color indexed="81"/>
            <rFont val="Tahoma"/>
            <family val="2"/>
          </rPr>
          <t>zugelassene Pflanzenschutzmittel</t>
        </r>
        <r>
          <rPr>
            <sz val="10"/>
            <color indexed="81"/>
            <rFont val="Tahoma"/>
            <family val="2"/>
          </rPr>
          <t xml:space="preserve"> können hier individuell eingestellt werden. Die Kosten für fertig aufbereitete  </t>
        </r>
        <r>
          <rPr>
            <b/>
            <sz val="10"/>
            <color indexed="81"/>
            <rFont val="Tahoma"/>
            <family val="2"/>
          </rPr>
          <t>bio-dynamische Präparate</t>
        </r>
        <r>
          <rPr>
            <sz val="10"/>
            <color indexed="81"/>
            <rFont val="Tahoma"/>
            <family val="2"/>
          </rPr>
          <t xml:space="preserve"> als Pflanzenstärkungsmittel können hier ebenfalls hinzugefügt werden. Kupfer darf im bio-dynamischen Anbau bei Kartoffeln nicht eingesetzt werden.      </t>
        </r>
      </text>
    </comment>
    <comment ref="B43" authorId="0" shapeId="0">
      <text>
        <r>
          <rPr>
            <sz val="10"/>
            <color indexed="81"/>
            <rFont val="Tahoma"/>
            <family val="2"/>
          </rPr>
          <t xml:space="preserve">
Generell sind an die Maschienenstunden die Arbeitsstunden (AKh Fahrer) direkt gekoppelt. Des Weiteren gibt es zur Erfassung von Handarbeiten einen Block „</t>
        </r>
        <r>
          <rPr>
            <b/>
            <sz val="10"/>
            <color indexed="81"/>
            <rFont val="Tahoma"/>
            <family val="2"/>
          </rPr>
          <t>Handarbeit Feld</t>
        </r>
        <r>
          <rPr>
            <sz val="10"/>
            <color indexed="81"/>
            <rFont val="Tahoma"/>
            <family val="2"/>
          </rPr>
          <t xml:space="preserve">“. Dieser Block setzt sich aus verschiedenen Positionen zusammen und kann im Blatt „Arbeitsgänge“ individuell zusammengestellt werden. Kommen zusätzliche Arbeitskräfte hinzu (Bsp. Sortierer auf dem Roder) müssen diese ebenfalls unter "Handarbeit Feld" eingefügt werden.
Ein </t>
        </r>
        <r>
          <rPr>
            <b/>
            <sz val="10"/>
            <color indexed="81"/>
            <rFont val="Tahoma"/>
            <family val="2"/>
          </rPr>
          <t>Transport</t>
        </r>
        <r>
          <rPr>
            <sz val="10"/>
            <color indexed="81"/>
            <rFont val="Tahoma"/>
            <family val="2"/>
          </rPr>
          <t xml:space="preserve">  vom Feld zum Hof über 2 km ist voreingestellt. Entstehen zusätzliche Transportkosten ist es (wie auch beim Abtransport vom Feld zum Hof)  notwendig die tatsächliche Erntemenge je ha durch die angenommen zu transportierende Menge je ha (4t bei Getreide) zu teilen um dadurch einen ertragsspezifischen Wert zu erhalten.  Die gewählte Größe des Hängers (Nutzmasse in t) kann im Blatt „Arbeitsgänge“  individuell verändert  werden. Voreingestellt ist ein Hänger mit 5,7 t Nutzmasse.
</t>
        </r>
      </text>
    </comment>
    <comment ref="B58" authorId="0" shapeId="0">
      <text>
        <r>
          <rPr>
            <sz val="10"/>
            <color indexed="81"/>
            <rFont val="Tahoma"/>
            <family val="2"/>
          </rPr>
          <t xml:space="preserve">
Vom Gesamt AKh Bedarf können die </t>
        </r>
        <r>
          <rPr>
            <b/>
            <sz val="10"/>
            <color indexed="81"/>
            <rFont val="Tahoma"/>
            <family val="2"/>
          </rPr>
          <t>variablen AKh individuell abgezogen</t>
        </r>
        <r>
          <rPr>
            <sz val="10"/>
            <color indexed="81"/>
            <rFont val="Tahoma"/>
            <family val="2"/>
          </rPr>
          <t xml:space="preserve"> und bewertet werden. Sie werden somit dem DB angelastet. Die restlichen AKh werden dann der </t>
        </r>
        <r>
          <rPr>
            <b/>
            <sz val="10"/>
            <color indexed="81"/>
            <rFont val="Tahoma"/>
            <family val="2"/>
          </rPr>
          <t>ständigen AK</t>
        </r>
        <r>
          <rPr>
            <sz val="10"/>
            <color indexed="81"/>
            <rFont val="Tahoma"/>
            <family val="2"/>
          </rPr>
          <t xml:space="preserve"> zugeschlagen und mit einem </t>
        </r>
        <r>
          <rPr>
            <b/>
            <sz val="10"/>
            <color indexed="81"/>
            <rFont val="Tahoma"/>
            <family val="2"/>
          </rPr>
          <t>Zuschlag von 80% für allgemeine Arbeiten bis max. 10 AKh</t>
        </r>
        <r>
          <rPr>
            <sz val="10"/>
            <color indexed="81"/>
            <rFont val="Tahoma"/>
            <family val="2"/>
          </rPr>
          <t xml:space="preserve"> zusätzlich bewertet.</t>
        </r>
      </text>
    </comment>
    <comment ref="B63" authorId="0" shapeId="0">
      <text>
        <r>
          <rPr>
            <sz val="10"/>
            <color indexed="81"/>
            <rFont val="Tahoma"/>
            <family val="2"/>
          </rPr>
          <t xml:space="preserve">Auswahl ist durch die Dropdown felder möglich. Alle Verfahren müssen auf den ha angepasst werden!
Die Daten stammen aus dem Blatt "Arbeitsgänge"
</t>
        </r>
      </text>
    </comment>
    <comment ref="B68" authorId="0" shapeId="0">
      <text>
        <r>
          <rPr>
            <sz val="10"/>
            <color indexed="81"/>
            <rFont val="Tahoma"/>
            <family val="2"/>
          </rPr>
          <t xml:space="preserve">
Hier kann der </t>
        </r>
        <r>
          <rPr>
            <b/>
            <sz val="10"/>
            <color indexed="81"/>
            <rFont val="Tahoma"/>
            <family val="2"/>
          </rPr>
          <t xml:space="preserve">Wassergehalt und  der Anteil des zu trocknenden Erntegutes </t>
        </r>
        <r>
          <rPr>
            <sz val="10"/>
            <color indexed="81"/>
            <rFont val="Tahoma"/>
            <family val="2"/>
          </rPr>
          <t xml:space="preserve">eingegeben werden. Hieraus werden die Trocknungskosten für die Trocknung der jeweiligen Kultur  im Lohn beim Abnehmer  ermittelt. 
Bei der </t>
        </r>
        <r>
          <rPr>
            <b/>
            <sz val="10"/>
            <color indexed="81"/>
            <rFont val="Tahoma"/>
            <family val="2"/>
          </rPr>
          <t>Biogastrocknung</t>
        </r>
        <r>
          <rPr>
            <sz val="10"/>
            <color indexed="81"/>
            <rFont val="Tahoma"/>
            <family val="2"/>
          </rPr>
          <t xml:space="preserve"> kann ein Pauschalwert je dt des zu trocknenden Ernteguts eingegeben werden. Hierbei </t>
        </r>
        <r>
          <rPr>
            <b/>
            <sz val="10"/>
            <color indexed="81"/>
            <rFont val="Tahoma"/>
            <family val="2"/>
          </rPr>
          <t>wird der Wassergehaltes nicht berücksichtigt</t>
        </r>
        <r>
          <rPr>
            <sz val="10"/>
            <color indexed="81"/>
            <rFont val="Tahoma"/>
            <family val="2"/>
          </rPr>
          <t xml:space="preserve"> wohl aber der Anteil des zu trocknenden Erntegutes</t>
        </r>
      </text>
    </comment>
    <comment ref="B70" authorId="0" shapeId="0">
      <text>
        <r>
          <rPr>
            <sz val="10"/>
            <color indexed="81"/>
            <rFont val="Tahoma"/>
            <family val="2"/>
          </rPr>
          <t xml:space="preserve">
Die Hagelversicherung bezieht sich immer auf die versicherte Kultur und ist vom erwarteten Ertrag abhängig. Sie differenziert zwischen Württemberg und Baden. Die Werte stammen aus dem Datenblatt „Sonstige“.</t>
        </r>
      </text>
    </comment>
    <comment ref="B72" authorId="0" shapeId="0">
      <text>
        <r>
          <rPr>
            <sz val="10"/>
            <color indexed="81"/>
            <rFont val="Tahoma"/>
            <family val="2"/>
          </rPr>
          <t xml:space="preserve">
Anhaltswerte zu weiteren verfahrensspezifischen Positionen finden sich im Blatt „Sonstige“. Entscheidend ist hierbei, dass die entstehenden </t>
        </r>
        <r>
          <rPr>
            <b/>
            <sz val="10"/>
            <color indexed="81"/>
            <rFont val="Tahoma"/>
            <family val="2"/>
          </rPr>
          <t xml:space="preserve">Kosten auf den ha bzw. mit dem entsprechenden Gesamtertrag </t>
        </r>
        <r>
          <rPr>
            <sz val="10"/>
            <color indexed="81"/>
            <rFont val="Tahoma"/>
            <family val="2"/>
          </rPr>
          <t xml:space="preserve">gerechnet werden müssen. Hierzu gehören z.B. die Beregnung der Fläche oder die Kosten einer Kalkung. 
</t>
        </r>
        <r>
          <rPr>
            <i/>
            <sz val="10"/>
            <color indexed="81"/>
            <rFont val="Tahoma"/>
            <family val="2"/>
          </rPr>
          <t xml:space="preserve">Auch Aufbereitung und Lagerung können, sofern sie als Lohnverfahren dargestellt werden und dadurch einen Lohnansatz sowie die fix Kosten berücksichtigen in den Kostenblock „Sonstige variable Kosten“ übernommen werden.   </t>
        </r>
        <r>
          <rPr>
            <sz val="10"/>
            <color indexed="81"/>
            <rFont val="Tahoma"/>
            <family val="2"/>
          </rPr>
          <t xml:space="preserve">                                                                                                                                    
</t>
        </r>
      </text>
    </comment>
  </commentList>
</comments>
</file>

<file path=xl/comments4.xml><?xml version="1.0" encoding="utf-8"?>
<comments xmlns="http://schemas.openxmlformats.org/spreadsheetml/2006/main">
  <authors>
    <author>Göttling, Marie Joy Dr. (LEL)</author>
  </authors>
  <commentList>
    <comment ref="K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F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5.xml><?xml version="1.0" encoding="utf-8"?>
<comments xmlns="http://schemas.openxmlformats.org/spreadsheetml/2006/main">
  <authors>
    <author>Göttling, Marie Joy Dr. (LEL)</author>
  </authors>
  <commentList>
    <comment ref="M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G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6.xml><?xml version="1.0" encoding="utf-8"?>
<comments xmlns="http://schemas.openxmlformats.org/spreadsheetml/2006/main">
  <authors>
    <author>Göttling, Marie Joy Dr. (LEL)</author>
  </authors>
  <commentList>
    <comment ref="O3" authorId="0" shapeId="0">
      <text>
        <r>
          <rPr>
            <b/>
            <sz val="8"/>
            <color indexed="81"/>
            <rFont val="Tahoma"/>
            <family val="2"/>
          </rPr>
          <t>Göttling, Marie Joy Dr. (LEL):</t>
        </r>
        <r>
          <rPr>
            <sz val="8"/>
            <color indexed="81"/>
            <rFont val="Tahoma"/>
            <family val="2"/>
          </rPr>
          <t xml:space="preserve">
im Durchschnitt der Erntemonate zum Stichtag 28.11.2017</t>
        </r>
      </text>
    </comment>
    <comment ref="H4" authorId="0" shapeId="0">
      <text>
        <r>
          <rPr>
            <b/>
            <sz val="8"/>
            <color indexed="81"/>
            <rFont val="Tahoma"/>
            <family val="2"/>
          </rPr>
          <t>Göttling, Marie Joy Dr. (LEL):</t>
        </r>
        <r>
          <rPr>
            <sz val="8"/>
            <color indexed="81"/>
            <rFont val="Tahoma"/>
            <family val="2"/>
          </rPr>
          <t xml:space="preserve">
Achtung beim Durchschnitt!!!!</t>
        </r>
      </text>
    </comment>
  </commentList>
</comments>
</file>

<file path=xl/comments7.xml><?xml version="1.0" encoding="utf-8"?>
<comments xmlns="http://schemas.openxmlformats.org/spreadsheetml/2006/main">
  <authors>
    <author>Zolic, Ena (LEL-SG)</author>
  </authors>
  <commentList>
    <comment ref="M9" authorId="0" shapeId="0">
      <text>
        <r>
          <rPr>
            <b/>
            <sz val="9"/>
            <color indexed="81"/>
            <rFont val="Segoe UI"/>
            <family val="2"/>
          </rPr>
          <t>Zolic, Ena (LEL-SG):</t>
        </r>
        <r>
          <rPr>
            <sz val="9"/>
            <color indexed="81"/>
            <rFont val="Segoe UI"/>
            <family val="2"/>
          </rPr>
          <t xml:space="preserve">
ab 2023 optierende Landwirte 9%
</t>
        </r>
      </text>
    </comment>
  </commentList>
</comments>
</file>

<file path=xl/comments8.xml><?xml version="1.0" encoding="utf-8"?>
<comments xmlns="http://schemas.openxmlformats.org/spreadsheetml/2006/main">
  <authors>
    <author>Zolic, Ena (LEL-SG)</author>
  </authors>
  <commentList>
    <comment ref="M43" authorId="0" shapeId="0">
      <text>
        <r>
          <rPr>
            <b/>
            <sz val="9"/>
            <color indexed="81"/>
            <rFont val="Segoe UI"/>
            <family val="2"/>
          </rPr>
          <t>Zolic, Ena (LEL-SG):</t>
        </r>
        <r>
          <rPr>
            <sz val="9"/>
            <color indexed="81"/>
            <rFont val="Segoe UI"/>
            <family val="2"/>
          </rPr>
          <t xml:space="preserve">
ab 2024: 100 €/ha
</t>
        </r>
      </text>
    </comment>
    <comment ref="M44" authorId="0" shapeId="0">
      <text>
        <r>
          <rPr>
            <b/>
            <sz val="9"/>
            <color indexed="81"/>
            <rFont val="Segoe UI"/>
            <family val="2"/>
          </rPr>
          <t>Zolic, Ena (LEL-SG):</t>
        </r>
        <r>
          <rPr>
            <sz val="9"/>
            <color indexed="81"/>
            <rFont val="Segoe UI"/>
            <family val="2"/>
          </rPr>
          <t xml:space="preserve">
ab 2024: 210 €/ha</t>
        </r>
      </text>
    </comment>
    <comment ref="M45" authorId="0" shapeId="0">
      <text>
        <r>
          <rPr>
            <b/>
            <sz val="9"/>
            <color indexed="81"/>
            <rFont val="Segoe UI"/>
            <family val="2"/>
          </rPr>
          <t>Zolic, Ena (LEL-SG):</t>
        </r>
        <r>
          <rPr>
            <sz val="9"/>
            <color indexed="81"/>
            <rFont val="Segoe UI"/>
            <family val="2"/>
          </rPr>
          <t xml:space="preserve">
ab 2024: 110 €/ha</t>
        </r>
      </text>
    </comment>
  </commentList>
</comments>
</file>

<file path=xl/comments9.xml><?xml version="1.0" encoding="utf-8"?>
<comments xmlns="http://schemas.openxmlformats.org/spreadsheetml/2006/main">
  <authors>
    <author>Richard Müller</author>
    <author>Mayer, Veronika (LEL)</author>
    <author>SeggerV</author>
    <author>Krieg, Karl (LEL)</author>
  </authors>
  <commentList>
    <comment ref="I5" authorId="0" shapeId="0">
      <text>
        <r>
          <rPr>
            <sz val="10"/>
            <color indexed="81"/>
            <rFont val="Arial"/>
            <family val="2"/>
          </rPr>
          <t>Vergütung
2001: 0,1534 €/l
2002: 0,1841 €/l
seit 2003: 0,2148 €/l
Quelle: BW agrar 2/2002</t>
        </r>
      </text>
    </comment>
    <comment ref="D8" authorId="0" shapeId="0">
      <text>
        <r>
          <rPr>
            <sz val="10"/>
            <color indexed="81"/>
            <rFont val="Arial"/>
            <family val="2"/>
          </rPr>
          <t xml:space="preserve">1 kW = 1,36 PS
1 PS = 0,736 kW
</t>
        </r>
      </text>
    </comment>
    <comment ref="N22" authorId="1" shapeId="0">
      <text>
        <r>
          <rPr>
            <b/>
            <sz val="8"/>
            <color indexed="81"/>
            <rFont val="Tahoma"/>
            <family val="2"/>
          </rPr>
          <t>Mayer, Veronika (LEL):</t>
        </r>
        <r>
          <rPr>
            <sz val="8"/>
            <color indexed="81"/>
            <rFont val="Tahoma"/>
            <family val="2"/>
          </rPr>
          <t xml:space="preserve">
Arbeitszeit orientiert sich an gewähltem Arbeitsverfahren</t>
        </r>
      </text>
    </comment>
    <comment ref="D54" authorId="2" shapeId="0">
      <text>
        <r>
          <rPr>
            <b/>
            <sz val="8"/>
            <color indexed="81"/>
            <rFont val="Tahoma"/>
            <family val="2"/>
          </rPr>
          <t xml:space="preserve">Transport der Erntemenge von 6 t
</t>
        </r>
        <r>
          <rPr>
            <sz val="8"/>
            <color indexed="81"/>
            <rFont val="Tahoma"/>
            <family val="2"/>
          </rPr>
          <t xml:space="preserve">
</t>
        </r>
      </text>
    </comment>
    <comment ref="N54" authorId="2" shapeId="0">
      <text>
        <r>
          <rPr>
            <b/>
            <sz val="8"/>
            <color indexed="81"/>
            <rFont val="Tahoma"/>
            <family val="2"/>
          </rPr>
          <t xml:space="preserve">Arbeitszeit für 6 t mit einem 5,7 t Kipper
</t>
        </r>
        <r>
          <rPr>
            <sz val="8"/>
            <color indexed="81"/>
            <rFont val="Tahoma"/>
            <family val="2"/>
          </rPr>
          <t xml:space="preserve">
</t>
        </r>
      </text>
    </comment>
    <comment ref="D56" authorId="3" shapeId="0">
      <text>
        <r>
          <rPr>
            <b/>
            <sz val="8"/>
            <color indexed="81"/>
            <rFont val="Tahoma"/>
            <family val="2"/>
          </rPr>
          <t>50t * 0,2€/t</t>
        </r>
        <r>
          <rPr>
            <sz val="8"/>
            <color indexed="81"/>
            <rFont val="Tahoma"/>
            <family val="2"/>
          </rPr>
          <t xml:space="preserve">
</t>
        </r>
      </text>
    </comment>
    <comment ref="D57" authorId="3" shapeId="0">
      <text>
        <r>
          <rPr>
            <sz val="8"/>
            <color indexed="81"/>
            <rFont val="Tahoma"/>
            <family val="2"/>
          </rPr>
          <t xml:space="preserve">da Schlepper mit Frontlader 0,20€/t für Transport
</t>
        </r>
      </text>
    </comment>
  </commentList>
</comments>
</file>

<file path=xl/sharedStrings.xml><?xml version="1.0" encoding="utf-8"?>
<sst xmlns="http://schemas.openxmlformats.org/spreadsheetml/2006/main" count="15857" uniqueCount="2235">
  <si>
    <t>ges. AF</t>
  </si>
  <si>
    <t>109/110</t>
  </si>
  <si>
    <t>Leer_Biomasse</t>
  </si>
  <si>
    <t>Leerformular Biomasse für Biogas</t>
  </si>
  <si>
    <t>Getreide_BG_mGR</t>
  </si>
  <si>
    <t>Getreide für Biogas; mit Güllerücklieferung</t>
  </si>
  <si>
    <t>KleeGS_2j_fS_mGR</t>
  </si>
  <si>
    <t>Kleegrassilage f.Biogas; 2jähr.; frei Silo incl.Einsilieren; mit Güllerückl.</t>
  </si>
  <si>
    <t>GS_5Nu_fS_mGR</t>
  </si>
  <si>
    <t>Grassilage f. Biogas; 5 Nutz.; frei Silo incl. Einsilieren; mit Güllerückl.</t>
  </si>
  <si>
    <t>GS_3Nu_fS_mGR</t>
  </si>
  <si>
    <t>Grassilage f. Biogas; 3 Nutz.; frei Silo incl. Einsilieren; mit Güllerückl.</t>
  </si>
  <si>
    <t>GPS_BG_fS_mGR</t>
  </si>
  <si>
    <t>GPS (WW) für Biogas; frei Silo incl.Einsilieren; mit Güllerücklieferung</t>
  </si>
  <si>
    <t>Silomais_BG_fS_mGR</t>
  </si>
  <si>
    <t>Silomais f.Biogas; frei Silo incl.Einsilieren; mit Güllerücklieferung</t>
  </si>
  <si>
    <t>Silomais_BG_fS_oGR</t>
  </si>
  <si>
    <t>Silomais f.Biogas; frei Silo incl.Einsilieren; o.Güllerücklieferung</t>
  </si>
  <si>
    <t>Silomais_BG_aF_mGR</t>
  </si>
  <si>
    <t>Silomais für Biogas; ab Feld; mit Güllerücklieferung</t>
  </si>
  <si>
    <t>Silomais_BG_aF_oGR</t>
  </si>
  <si>
    <t>Silomais für Biogas; ab Feld; ohne Güllerücklieferung</t>
  </si>
  <si>
    <t xml:space="preserve">     Biomasse für Biogas</t>
  </si>
  <si>
    <t>Kultur A</t>
  </si>
  <si>
    <t>Leerformular Marktfrucht</t>
  </si>
  <si>
    <t xml:space="preserve">     Neues Verfahren</t>
  </si>
  <si>
    <t>Beg</t>
  </si>
  <si>
    <t xml:space="preserve">     Begrünung</t>
  </si>
  <si>
    <t>FAKT-Brache</t>
  </si>
  <si>
    <t>Brachebegrünung mit Blühmischung (FAKT)</t>
  </si>
  <si>
    <t xml:space="preserve">     Nichtnutzung (Mulchen)</t>
  </si>
  <si>
    <t xml:space="preserve"> Hanf-komb. Nutzung</t>
  </si>
  <si>
    <t>Hanf (komb. Nutzung; ohne Lagerung)</t>
  </si>
  <si>
    <t xml:space="preserve"> Hanf-nur Strohnutzung</t>
  </si>
  <si>
    <t>Hanf (nur Strohnutzung; ohne Lagerung)</t>
  </si>
  <si>
    <t xml:space="preserve">     Faserpflanzen</t>
  </si>
  <si>
    <t>SpKaBer</t>
  </si>
  <si>
    <t>Speisekartoffeln spät, beregnet</t>
  </si>
  <si>
    <t>SpKa</t>
  </si>
  <si>
    <t>Speisekartoffel spät</t>
  </si>
  <si>
    <t>FrühKaFolieBer</t>
  </si>
  <si>
    <t>Frühkartoffel, Folie, beregnet</t>
  </si>
  <si>
    <t>FrühKa</t>
  </si>
  <si>
    <t>Frühkartoffel</t>
  </si>
  <si>
    <t>ZR</t>
  </si>
  <si>
    <t>Zuckerrüben</t>
  </si>
  <si>
    <t xml:space="preserve">     Hackfrüchte</t>
  </si>
  <si>
    <t>W-itriticale-Wi-erbsengemenge</t>
  </si>
  <si>
    <t>Wintertricale/Wintererbsengemenge</t>
  </si>
  <si>
    <t>Lu</t>
  </si>
  <si>
    <t>Lupinen</t>
  </si>
  <si>
    <t>AB</t>
  </si>
  <si>
    <t>Ackerbohnen</t>
  </si>
  <si>
    <t>FE</t>
  </si>
  <si>
    <t>Futtererbsen</t>
  </si>
  <si>
    <t xml:space="preserve">     Eiweißpflanzen</t>
  </si>
  <si>
    <t>Öl</t>
  </si>
  <si>
    <t>Öllein</t>
  </si>
  <si>
    <t>Soja</t>
  </si>
  <si>
    <t>SoBl</t>
  </si>
  <si>
    <t>Sonnenblumen</t>
  </si>
  <si>
    <t>SR</t>
  </si>
  <si>
    <t>Sommerraps</t>
  </si>
  <si>
    <t>WR</t>
  </si>
  <si>
    <t>Winterraps</t>
  </si>
  <si>
    <t xml:space="preserve">     Ölsaaten</t>
  </si>
  <si>
    <t>KH</t>
  </si>
  <si>
    <t>Körnerhirse</t>
  </si>
  <si>
    <t xml:space="preserve">     Hirse</t>
  </si>
  <si>
    <t>KöM</t>
  </si>
  <si>
    <t>Körnermais</t>
  </si>
  <si>
    <t xml:space="preserve">     Mais</t>
  </si>
  <si>
    <t>Du</t>
  </si>
  <si>
    <t>Durum</t>
  </si>
  <si>
    <t>Ha</t>
  </si>
  <si>
    <t>Hafer</t>
  </si>
  <si>
    <t>BG</t>
  </si>
  <si>
    <t>Braugerste</t>
  </si>
  <si>
    <t>SG-Fu</t>
  </si>
  <si>
    <t>Sommergerste (Futter-)</t>
  </si>
  <si>
    <t>SW</t>
  </si>
  <si>
    <t>Sommerweizen</t>
  </si>
  <si>
    <t xml:space="preserve">     Sommergetreide</t>
  </si>
  <si>
    <t>Di</t>
  </si>
  <si>
    <t>Dinkel</t>
  </si>
  <si>
    <t>WG</t>
  </si>
  <si>
    <t>Wintergerste</t>
  </si>
  <si>
    <t>Tr</t>
  </si>
  <si>
    <t>Triticale</t>
  </si>
  <si>
    <t>Wro</t>
  </si>
  <si>
    <t>Winterroggen</t>
  </si>
  <si>
    <t>WW4</t>
  </si>
  <si>
    <t>Winterweizen (Qualitäts-, E-Sorten)</t>
  </si>
  <si>
    <t>WW3</t>
  </si>
  <si>
    <t>Winterweizen (Aufmisch-)</t>
  </si>
  <si>
    <t>WW2</t>
  </si>
  <si>
    <t>Winterweizen (Brot-)</t>
  </si>
  <si>
    <t>WW1</t>
  </si>
  <si>
    <t>Winterweizen (Futter-)</t>
  </si>
  <si>
    <t xml:space="preserve">     Wintergetreide</t>
  </si>
  <si>
    <t>Kostenrechnung</t>
  </si>
  <si>
    <t>C. Kostenrechnung</t>
  </si>
  <si>
    <t>SD8</t>
  </si>
  <si>
    <t xml:space="preserve">     Nährstoffentzüge</t>
  </si>
  <si>
    <t>SD6</t>
  </si>
  <si>
    <t xml:space="preserve">     Trocknungskosten</t>
  </si>
  <si>
    <t>SD2</t>
  </si>
  <si>
    <t xml:space="preserve">     Ausgleichsleistungen / Prämien</t>
  </si>
  <si>
    <t>E2</t>
  </si>
  <si>
    <t>Deckungsbeiträge nach Leistungsniveau - Grafik (ohne Prämien)</t>
  </si>
  <si>
    <t>E1</t>
  </si>
  <si>
    <t>B. Relative Vorzüglichkeit der Produktionsverfahren</t>
  </si>
  <si>
    <t>A. Hinweise für die Benutzer</t>
  </si>
  <si>
    <t>%</t>
  </si>
  <si>
    <t>ha</t>
  </si>
  <si>
    <t>Inhaltsverzeichnis</t>
  </si>
  <si>
    <t>Stand:</t>
  </si>
  <si>
    <t>LEL, Abteilung II</t>
  </si>
  <si>
    <r>
      <rPr>
        <b/>
        <sz val="10"/>
        <rFont val="Arial"/>
        <family val="2"/>
      </rPr>
      <t xml:space="preserve">3.8. Differenzierung nach Leistungsniveau </t>
    </r>
    <r>
      <rPr>
        <sz val="10"/>
        <rFont val="Arial"/>
        <family val="2"/>
      </rPr>
      <t xml:space="preserve">
Faustzahlen bergen die Gefahr in sich, die tatsächliche Situation nur sehr unvollkommen - oder sogar falsch - wider zu  spiegeln, da die Ertrags- und Aufwandssituation in verschiedenen Betrieben zum Teil sehr unterschiedlich ist. Eine Differenzierung ist daher unumgänglich. 
In den vorliegenden Kalkulationsgrundlagen werden die Kulturen nach Leistungsniveau, d. h. nach Höhe des Ertrags und der  Anbauintensität, unterschieden. Für jede Kultur ergeben sich dadurch drei Produktionsverfahren (niedrige, mittlere bzw. hohe Bewirtschaftungsintensität). Eine Differenzierung erfolgt allerdings nur auf der Ebene der variablen Kosten und des Arbeitszeitbedarfs. Die festen Maschinen- und Gebäudekosten werden dagegen allen Kulturen bzw. Leistungsniveaus einheitlich zugeteilt. 
Beim Pachtansatz dient der durchschnittlich in Baden-Württemberg bezahlte Pachtpreis für Ackerland als Orientierung. Im Tabellenblatt "Festkosten" können den 3 Leistungsniveaus unterschiedliche Pachtpreise zugewiesen werden. </t>
    </r>
  </si>
  <si>
    <r>
      <rPr>
        <b/>
        <sz val="10"/>
        <rFont val="Arial"/>
        <family val="2"/>
      </rPr>
      <t xml:space="preserve">3.7 Kosten der Arbeitserledigung </t>
    </r>
    <r>
      <rPr>
        <sz val="10"/>
        <rFont val="Arial"/>
        <family val="2"/>
      </rPr>
      <t xml:space="preserve">
Diese Kennzahl ist wichtig, um Betriebe oder Produktionsverfahren mit unterschiedlicher Mechanisierung (z.B. eigener Mähdrescher oder Lohndrusch) vergleichen zu können. Zu den Arbeitserledigungskosten zählen alle Kosten, die in Verbindung mit Arbeit und Maschinen verursacht werden. Hierzu zählen die variablen Maschinenkosten (Maschinenunterhaltung, Treibstoff, Strom), Kosten für Lohnmaschinen, variable Lohnkosten, feste Maschinenkosten (Abschreibung Maschinen, Zinsansatz, Unterhaltung), Kosten für ständige Fremd-AK sowie der Lohnansatz für nichtentlohnte Arbeitskräfte.</t>
    </r>
  </si>
  <si>
    <r>
      <rPr>
        <b/>
        <sz val="10"/>
        <rFont val="Arial"/>
        <family val="2"/>
      </rPr>
      <t xml:space="preserve">3.6 Direktkosten und Direktkostenfreie Leistung  </t>
    </r>
    <r>
      <rPr>
        <sz val="10"/>
        <rFont val="Arial"/>
        <family val="2"/>
      </rPr>
      <t xml:space="preserve">  
Bei der Analyse von Betrieben wird in der Regel die von einer DLG-Arbeitsgruppe erarbeitete Systematik verwendet (vgl. Arbeiten der DLG/Band 197: Die neue Betriebszweigabrechnung). Bedeutend sind hier vor allem die Direktkosten und die Kosten der Arbeitserledigung. Sie werden, um einen Vergleich mit empirischen Betriebszweigabrechnungen zu ermöglichen, in den Zeilen 52 ff. ausgewiesen. Die Direktkosten des Betriebszweiges sind alle Kosten (ohne kalkulatorische Kosten), die einem Betriebszweig direkt zugerechnet werden können und leicht erfassbar sind: Saatgut, Dünger, Pflanzenschutz, Trocknung, Hagelversicherung und sonstige variable Kosten (Beregnung, Trocknung, Lagerung und Vermarktung). Im Gegensatz zu den variablen Kosten bei der DB-Kalkulation werden die variablen Maschinenkosten hier nicht berücksichtigt. Die direktkostenfreie Leistung errechnet sich wie folgt: Summe (Leistungen +Prämien) - Direktkosten. </t>
    </r>
  </si>
  <si>
    <r>
      <rPr>
        <b/>
        <sz val="10"/>
        <rFont val="Arial"/>
        <family val="2"/>
      </rPr>
      <t xml:space="preserve">3.5 Kostendeckender Erlös </t>
    </r>
    <r>
      <rPr>
        <sz val="10"/>
        <rFont val="Arial"/>
        <family val="2"/>
      </rPr>
      <t xml:space="preserve">
Der kostendeckende Erlös für das Hauptprodukt wird ausgewiesen je ha und je dt.
Er ist definiert als die Summe der gesamten Kosten abzüglich der Leistungen der Nebenprodukte.
Der kostendeckende Erlös muss langfristig für das Hauptprodukt erzielt werden, um alle variablen und festen Kosten einschließlich der unterstellten Kostenansätze für die eingesetzten Faktoren (Arbeit, Boden, und Kapital) abzudecken. Kann der kostendeckende Erlös tatsächlich am Markt realisiert werden, entsteht ein (positiver) Unternehmergewinn.      
</t>
    </r>
  </si>
  <si>
    <r>
      <rPr>
        <b/>
        <sz val="10"/>
        <rFont val="Arial"/>
        <family val="2"/>
      </rPr>
      <t xml:space="preserve">3.4 Verwertung knapper Faktoren </t>
    </r>
    <r>
      <rPr>
        <sz val="10"/>
        <rFont val="Arial"/>
        <family val="2"/>
      </rPr>
      <t xml:space="preserve">
Ist das kalkulatorische Betriebszweigergebnis kleiner/größer Null, so weicht die tatsächliche Entlohnung der eingesetzten betrieblichen Faktoren - hier Arbeit und Fläche - vom kalkulatorisch unterstellten Ansatz ab.
Das Arbeitseinkommen stellt die tatsächliche Entlohnung der ständigen AK dar und wird, wie auch der max. langfristig tragbare Pachtpreis der Fläche, inkl. aller Prämien dargestellt. </t>
    </r>
  </si>
  <si>
    <r>
      <rPr>
        <b/>
        <sz val="10"/>
        <rFont val="Arial"/>
        <family val="2"/>
      </rPr>
      <t xml:space="preserve">3.3 Kalkulatorisches Betriebszweigergebnis  </t>
    </r>
    <r>
      <rPr>
        <sz val="10"/>
        <rFont val="Arial"/>
        <family val="2"/>
      </rPr>
      <t xml:space="preserve"> 
Das kalkulatorische Betriebszweigergebnis kann mit dem Begriff des Unternehmergewinns gleichgesetzt werden. Hier werden neben den variablen Kosten auch die festen und kalkulatorischen Kosten den Produktionsverfahren zugeteilt.
Ist das Ergebnis gleich / größer Null, so sind alle Kosten - einschließlich Lohnansatz für die Familien-AK und Pachtansatz für die Fläche - gedeckt. Das kalkulatorische Betriebszweigergebnis dient zur Entlohnung des unternehmerischen Risikos. 
In der Landwirtschaft wird häufig keine zusätzliche Entlohnung des unternehmerischen Risikos erzielt, so dass ein negatives kalkulatorisches Betriebszweigergebnis entsteht. Dies bedeutet, dass die tatsächliche Entlohnung der eingesetzten betrieblichen Faktoren niedriger ist als der verwendete kalkulatorische Ansatz (Lohnansatz, Zinsansatz, Pachtansatz). Das Ergebnis kann allerdings nicht als kurzfristige Entscheidungshilfe für die Weiterführung oder Aufgabe eines Produktionsverfahrens dienen. Vielmehr stellt es eine Orientierungshilfe für die langfristige betriebliche Entwicklung dar (Konkurrenzfähigkeit von Betrieb und Standort).  
</t>
    </r>
  </si>
  <si>
    <r>
      <rPr>
        <b/>
        <sz val="10"/>
        <rFont val="Arial"/>
        <family val="2"/>
      </rPr>
      <t xml:space="preserve">3.2 Festkosten und Arbeit  </t>
    </r>
    <r>
      <rPr>
        <sz val="10"/>
        <rFont val="Arial"/>
        <family val="2"/>
      </rPr>
      <t xml:space="preserve">
Bei langfristiger Betrachtung zur Beurteilung eines Verfahrens sind die unterschiedlichen Festkosten und Arbeitsansprüche zu berücksichtigen. Die festen Maschinen- und Gebäudekosten werden allen Kulturen bzw. Leistungsniveaus einheitlich zugeteilt. Hierzu wird beispielhaft die Maschinen- und Gebäudeausstattung eines Marktfrucht(-modell)-Betriebes mit 150 ha LF herangezogen. 
Auch beim Pachtansatz wird für alle Verfahren ein einheitlicher Wert verwendet. Sowohl beim Pachtpreis als auch bei den festen Maschinen und Gebäudekosten ist es bei einer individuellen Kalkulation unumgänglich, diese Kosten differenzierter zu betrachten. Hier bestehen im Blatt "Festkosten" Änderungsmöglichkeiten. 
Ebenso kann für die ständigen AK der individuelle Lohnansatz AK im Blatt "Festkosten" verändert werden.
 </t>
    </r>
  </si>
  <si>
    <t>Der Deckungsbeitrag mit Prämien und mit Zinsansatz kennzeichnet die relative Vorzüglichkeit einzelner Produktionsverfahren. Er beinhaltet neben den Marktleistungen und variablen Kosten alle Ausgleichsleistungen (FAKT, SchALVO etc.) sowie die Betriebsprämie. Die Summe dieser (bewilligten) Prämien für den geplanten Betrieb ist zum Gesamt-DB zu addieren. Es muss dann jedoch darauf geachtet werden, dass die unterstellten FAKT-Verfahren umfangmäßig auch in der ausgewählten Betriebsorganisation sind. Zugleich stellt der DB die Grundlage für die Vollkostenermittlung dar. 
Zu Beginn der Datei (= erste Arbeitsblätter) sind die Deckungsbeiträge ohne Zinsansatz, ohne Prämien aller Verfahren im Blatt "E1" sowie in "E2" gegenübergestellt. Die MwSt wird dabei je nach Einstellung (Blatt "SD1") berücksichtigt oder nicht.
Die Auswertung einer individuellen Fruchtfolge kann im Blatt "E3" durch die Auswahl der Kultur in den gelben Dropdownfeldern geschehen. Hier wird auch der DB der gesamten Fruchtfolge ausgewiesen und im Blatt „E4“ in einem Säulendiagramm dargestellt. Mit der fünfgliedrigen Fruchtfolge ist hier ein Beispiel gegeben.</t>
  </si>
  <si>
    <r>
      <rPr>
        <b/>
        <sz val="10"/>
        <rFont val="Arial"/>
        <family val="2"/>
      </rPr>
      <t xml:space="preserve">3.1 Deckungsbeitrag (DB)    </t>
    </r>
    <r>
      <rPr>
        <sz val="10"/>
        <rFont val="Arial"/>
        <family val="2"/>
      </rPr>
      <t xml:space="preserve">  
Der Deckungsbeitrag stellt den Betrag dar, der zur Deckung der Fix-und Gemeinkosten beiträgt. Er ist bei kurzfristiger Betrachtungsweise ein Maßstab für die relative Vorzüglichkeit von Produktionsverfahren bei konstanter Kapazitätsausstattung.
Der Deckungsbeitrag ohne Prämien und ohne Zinsansatz ist definiert als die Differenz zwischen Leistungen und variablen Kosten und wird bei der Planung der Betriebsorganisation (z. B. im Investitionskonzept, LEL-Plan) verwendet. Hier sollte der Deckungsbeitrag (DB) ohne jegliche Prämien und ohne Zinsansatz verwendet werden, da es sich um einen kalkulatorischen Ansatz handelt. Eine generelle Berücksichtigung des Zinsansatzes im DB würde zu einer Unterschätzung des Gewinnes für den Ist-Betrieb führen. Bei einer Flächenaufstockung ist dann jedoch - bei exakter Kalkulation - das zusätzliche Umlaufvermögen zu quantifizieren und zu verzinsen. 
</t>
    </r>
  </si>
  <si>
    <t xml:space="preserve">Werden zusätzliche Verfahren benötigt, können im Tabellenblatt "Leer_1" neue Verfahren angelegt werden.
In der obersten Zeile der Berechnungsgrundlagen der einzelnen Verfahren ist der Deckungsbeitrag (einschl. Prämien) als Zwischenergebnis für schnelle Simulationen am Bildschirm ablesbar. </t>
  </si>
  <si>
    <t xml:space="preserve">In unserer Vollkostenkalkulation werden die Zahlungsansprüche wie folgt berücksichtigt: Es wird ein gemeinsamer Pachtansatz für die Fläche und einen dazugehörigen Zahlungsanspruch unterstellt.  Das heißt Fläche und ZA gehen gemeinsam über, und zwar zum durchschnittlichen Pachtpreisniveau von für Ackerland  bzw. Grünland. Der Anwender kann im entsprechenden Arbeitsblatt  "SD7" gewünschte Anpassungen beim Pachtpreis selbst vornehmen. Es kann aber auch der Fall berücksichtigt werden, dass die Fläche ohne Zahlungsanspruch bewirtschaftet wird  bzw. ein ZA auf dem freien Markt für die gepachtete Fläche erworben wird (Wirtschaftlichkeit des Kaufs des ZA ist in einer separaten Kalkulation vorzunehmen). 
Sollen weitere Erntejahre (z. B. Ernte 2016) gerechnet werden, sind zunächst in den Tabellenblättern "SD2" und "SD1"  die Grunddaten für das zu rechnende Erntejahr zu ergänzen. Anschließend ist im Tabellenblatt "SD1" das gewünschte  Erntejahr in das entsprechende gelb hinterlegte Datenfeld (M 3) einzugeben.  
</t>
  </si>
  <si>
    <t>Fruchtfolge</t>
  </si>
  <si>
    <t>5-gliedrige</t>
  </si>
  <si>
    <t>einer</t>
  </si>
  <si>
    <t>Verfahren</t>
  </si>
  <si>
    <t xml:space="preserve">Verfahren </t>
  </si>
  <si>
    <t xml:space="preserve">beitrag </t>
  </si>
  <si>
    <t>beitrag</t>
  </si>
  <si>
    <t>Deckungs-</t>
  </si>
  <si>
    <t>Verfahren)</t>
  </si>
  <si>
    <t>(einzelne</t>
  </si>
  <si>
    <t xml:space="preserve">der </t>
  </si>
  <si>
    <t>rechnung</t>
  </si>
  <si>
    <t>Übersicht</t>
  </si>
  <si>
    <t>Kosten-</t>
  </si>
  <si>
    <t>Futter</t>
  </si>
  <si>
    <t>.....</t>
  </si>
  <si>
    <t>mais</t>
  </si>
  <si>
    <t>weizen</t>
  </si>
  <si>
    <t>leer</t>
  </si>
  <si>
    <t>Körner-</t>
  </si>
  <si>
    <t>Winter-</t>
  </si>
  <si>
    <t>Berechnungsgrundlagen</t>
  </si>
  <si>
    <t>kosten</t>
  </si>
  <si>
    <t>mittel</t>
  </si>
  <si>
    <t>Gemein-</t>
  </si>
  <si>
    <t>leistungen)</t>
  </si>
  <si>
    <t>Kosten</t>
  </si>
  <si>
    <t>nungs-</t>
  </si>
  <si>
    <t>schutz-</t>
  </si>
  <si>
    <t>(Ausgleichs-</t>
  </si>
  <si>
    <t>Sonstige</t>
  </si>
  <si>
    <t>Trock-</t>
  </si>
  <si>
    <t>Pflanzen-</t>
  </si>
  <si>
    <t>Arbeits-</t>
  </si>
  <si>
    <t>Prämien</t>
  </si>
  <si>
    <t>Preise</t>
  </si>
  <si>
    <t>Stammdaten</t>
  </si>
  <si>
    <t>1 Aufbau der Datei</t>
  </si>
  <si>
    <t>Hinweise</t>
  </si>
  <si>
    <t>x</t>
  </si>
  <si>
    <t>Hackmaschine, angebaut, Mais 4 r, Arbeitsbreite 3 m</t>
  </si>
  <si>
    <t>Grafik</t>
  </si>
  <si>
    <t>€/ha</t>
  </si>
  <si>
    <t>dt/ha</t>
  </si>
  <si>
    <t>(max.20)</t>
  </si>
  <si>
    <r>
      <t>(</t>
    </r>
    <r>
      <rPr>
        <sz val="8"/>
        <color indexed="10"/>
        <rFont val="Arial Narrow"/>
        <family val="2"/>
      </rPr>
      <t>ohne Prämien</t>
    </r>
    <r>
      <rPr>
        <sz val="8"/>
        <rFont val="Arial Narrow"/>
        <family val="2"/>
      </rPr>
      <t xml:space="preserve"> u. Zinsansatz)</t>
    </r>
  </si>
  <si>
    <t>Hauptprodukt</t>
  </si>
  <si>
    <t>Ertrag</t>
  </si>
  <si>
    <t>( x )</t>
  </si>
  <si>
    <t>hoch</t>
  </si>
  <si>
    <t>niedrig</t>
  </si>
  <si>
    <t>für Grafik</t>
  </si>
  <si>
    <t>Leistungsniveau</t>
  </si>
  <si>
    <t xml:space="preserve"> Verfahren</t>
  </si>
  <si>
    <t>Auswahl</t>
  </si>
  <si>
    <t>Marktfrüchte</t>
  </si>
  <si>
    <t>mittleres Leistungsniveau</t>
  </si>
  <si>
    <t>Gewünschtes Leistungsniveau auswählen!</t>
  </si>
  <si>
    <t>hohes Leistungsniveau</t>
  </si>
  <si>
    <t>(ohne Zinsansatz, ohne Prämien)</t>
  </si>
  <si>
    <t>niedriges Leistungsniveau</t>
  </si>
  <si>
    <t>Deckungsbeiträge einzelner Leistungsniveaus</t>
  </si>
  <si>
    <t>Begrünung</t>
  </si>
  <si>
    <t>FAKT - Brachebegrünung</t>
  </si>
  <si>
    <t>Speisekartoffeln spät</t>
  </si>
  <si>
    <t>Frühkartoffeln, Folie, beregnet</t>
  </si>
  <si>
    <t>Frühkartoffeln</t>
  </si>
  <si>
    <t xml:space="preserve">Zuckerrüben </t>
  </si>
  <si>
    <t xml:space="preserve">Blaue Lupine </t>
  </si>
  <si>
    <t xml:space="preserve">Ackerbohnen </t>
  </si>
  <si>
    <t xml:space="preserve">Futtererbsen </t>
  </si>
  <si>
    <t xml:space="preserve">Öllein (Industrie) </t>
  </si>
  <si>
    <t xml:space="preserve">Sojabohne </t>
  </si>
  <si>
    <t xml:space="preserve">Sonnenblumen </t>
  </si>
  <si>
    <t xml:space="preserve">Sommerraps </t>
  </si>
  <si>
    <t>Körnerhirse (Lebens-/Futtermittel)</t>
  </si>
  <si>
    <t xml:space="preserve">Körnermais </t>
  </si>
  <si>
    <t xml:space="preserve">Hafer </t>
  </si>
  <si>
    <t xml:space="preserve">Sommerfuttergerste </t>
  </si>
  <si>
    <t xml:space="preserve">Sommerweizen </t>
  </si>
  <si>
    <t>Winterweizen (Qualität-; E-Sorte)</t>
  </si>
  <si>
    <t xml:space="preserve"> Hohes Leistungsniveau</t>
  </si>
  <si>
    <t>Winterweizen (Aufmisch-; A-Sort.)</t>
  </si>
  <si>
    <t xml:space="preserve"> Mittleres Leistungsniveau</t>
  </si>
  <si>
    <t xml:space="preserve"> Niedriges Leistungsniveau</t>
  </si>
  <si>
    <r>
      <t>Herbst</t>
    </r>
    <r>
      <rPr>
        <b/>
        <sz val="11"/>
        <color indexed="8"/>
        <rFont val="Arial"/>
        <family val="2"/>
      </rPr>
      <t>begrünung</t>
    </r>
    <r>
      <rPr>
        <sz val="11"/>
        <color indexed="8"/>
        <rFont val="Arial"/>
        <family val="2"/>
      </rPr>
      <t xml:space="preserve"> nur in Kombination mit Anbau einer Sommerung (Angabe des %-Anteils je ha AF)!  </t>
    </r>
  </si>
  <si>
    <r>
      <t xml:space="preserve"> Deckungsbeitrag
</t>
    </r>
    <r>
      <rPr>
        <sz val="8"/>
        <rFont val="Arial"/>
        <family val="2"/>
      </rPr>
      <t>(mit allen Prämien;mit Zinsansatz)</t>
    </r>
  </si>
  <si>
    <r>
      <t xml:space="preserve"> Deckungsbeitrag
</t>
    </r>
    <r>
      <rPr>
        <sz val="8"/>
        <rFont val="Arial"/>
        <family val="2"/>
      </rPr>
      <t>(ohne Prämien;ohne Zinsansatz)</t>
    </r>
  </si>
  <si>
    <t xml:space="preserve"> Summe variable Kosten</t>
  </si>
  <si>
    <t xml:space="preserve"> Sonstige variable Kosten</t>
  </si>
  <si>
    <t xml:space="preserve"> Maschinenkosten</t>
  </si>
  <si>
    <t xml:space="preserve"> Pflanzenschutz</t>
  </si>
  <si>
    <t xml:space="preserve"> Düngung</t>
  </si>
  <si>
    <t xml:space="preserve"> Saatgut</t>
  </si>
  <si>
    <t xml:space="preserve"> Leistungen insges.</t>
  </si>
  <si>
    <t>Ausgleichsleistungen</t>
  </si>
  <si>
    <t>Vorfruchtwert</t>
  </si>
  <si>
    <t>Nebenleistung</t>
  </si>
  <si>
    <t>Hauptleistung</t>
  </si>
  <si>
    <t>€/dt</t>
  </si>
  <si>
    <t xml:space="preserve"> Ertrag Hauptprodukt</t>
  </si>
  <si>
    <t xml:space="preserve"> Flächenanteil Fruchtfolge</t>
  </si>
  <si>
    <t xml:space="preserve">Ø DB je ha AF </t>
  </si>
  <si>
    <t>Einh.</t>
  </si>
  <si>
    <t xml:space="preserve">Bei Fünfgliedriger Fruchtfolge nach FAKT A 1 muss im Registerblatt der jeweiligen Kultur die verfahrensspezifische Ausgleichsleist. markiert werden! </t>
  </si>
  <si>
    <t>Bsp. Fünfgliedrige Fruchtfolge</t>
  </si>
  <si>
    <t>Zuckerrübenquote</t>
  </si>
  <si>
    <t>Gebäudevermögen</t>
  </si>
  <si>
    <t>Maschinenvermögen</t>
  </si>
  <si>
    <t>Umlaufvermögen</t>
  </si>
  <si>
    <t xml:space="preserve"> Zinssatz (i) für gebundenes Kapital %</t>
  </si>
  <si>
    <t>MgO</t>
  </si>
  <si>
    <t>Magnesium</t>
  </si>
  <si>
    <r>
      <t>K</t>
    </r>
    <r>
      <rPr>
        <vertAlign val="subscript"/>
        <sz val="11"/>
        <rFont val="Arial"/>
        <family val="2"/>
      </rPr>
      <t>2</t>
    </r>
    <r>
      <rPr>
        <sz val="11"/>
        <rFont val="Arial"/>
        <family val="2"/>
      </rPr>
      <t>O</t>
    </r>
  </si>
  <si>
    <t>Kalium</t>
  </si>
  <si>
    <r>
      <t>P</t>
    </r>
    <r>
      <rPr>
        <vertAlign val="subscript"/>
        <sz val="11"/>
        <rFont val="Arial"/>
        <family val="2"/>
      </rPr>
      <t>2</t>
    </r>
    <r>
      <rPr>
        <sz val="11"/>
        <rFont val="Arial"/>
        <family val="2"/>
      </rPr>
      <t>O</t>
    </r>
    <r>
      <rPr>
        <vertAlign val="subscript"/>
        <sz val="11"/>
        <rFont val="Arial"/>
        <family val="2"/>
      </rPr>
      <t>5</t>
    </r>
  </si>
  <si>
    <t>Phosphor</t>
  </si>
  <si>
    <t>N</t>
  </si>
  <si>
    <t>Stickstoff</t>
  </si>
  <si>
    <t>Nährstoffe</t>
  </si>
  <si>
    <t>ohne MwSt.</t>
  </si>
  <si>
    <t xml:space="preserve"> Nährstoffpreise (Reinnährstoff) €/kg </t>
  </si>
  <si>
    <t>Stroh (Großballen) gepresst</t>
  </si>
  <si>
    <t>0,50,-€ weniger</t>
  </si>
  <si>
    <t>Hanf (Kombi-Nutzung) nach Lagerung</t>
  </si>
  <si>
    <t>Hanf (Strohnutzung) ohne Lagerung</t>
  </si>
  <si>
    <t>Marktstelle LEL</t>
  </si>
  <si>
    <t>spät, beregnet, festk.</t>
  </si>
  <si>
    <t>Speisekartoffel</t>
  </si>
  <si>
    <t>Folie, beregnet</t>
  </si>
  <si>
    <t>ab 2017</t>
  </si>
  <si>
    <t>Basis &amp; Mehrrüben</t>
  </si>
  <si>
    <t xml:space="preserve">Überrüben </t>
  </si>
  <si>
    <t>Öllein (Speise-)</t>
  </si>
  <si>
    <t>Sojabohnen</t>
  </si>
  <si>
    <t>Konsum</t>
  </si>
  <si>
    <t>Raps</t>
  </si>
  <si>
    <t>(Futter-)</t>
  </si>
  <si>
    <t>Sommergerste</t>
  </si>
  <si>
    <t>(Qualitäts-, E)</t>
  </si>
  <si>
    <t>Winterweizen</t>
  </si>
  <si>
    <t>(Aufmisch-, A)</t>
  </si>
  <si>
    <t>(Brot-, B)</t>
  </si>
  <si>
    <t>Kulturen</t>
  </si>
  <si>
    <r>
      <t xml:space="preserve"> Erzeugerpreise </t>
    </r>
    <r>
      <rPr>
        <b/>
        <sz val="14"/>
        <rFont val="Arial"/>
        <family val="2"/>
      </rPr>
      <t>Hauptprodukt €/dt</t>
    </r>
  </si>
  <si>
    <t>Sonstige variable Kosten (Mittelwert)</t>
  </si>
  <si>
    <t>Einkauf sonstige Betriebsmittel</t>
  </si>
  <si>
    <t>Einkauf Saatgut</t>
  </si>
  <si>
    <t>ohne Mehrwertsteuer (Option)</t>
  </si>
  <si>
    <t>Verkauf landw. Erzeugnisse</t>
  </si>
  <si>
    <t>mit Mehrwertsteuer (Pauschalierung)</t>
  </si>
  <si>
    <t xml:space="preserve"> Mehrwertsteuersätze %</t>
  </si>
  <si>
    <t>ausgewählt, Nr.:</t>
  </si>
  <si>
    <t>Mehrwertsteuer</t>
  </si>
  <si>
    <t>Aktuell</t>
  </si>
  <si>
    <t>Erntejahr</t>
  </si>
  <si>
    <t>Erzeugerpreise / Nährstoffpreise / Zinsansatz</t>
  </si>
  <si>
    <t>Zahlungsanspruch Ø</t>
  </si>
  <si>
    <t>Nr.</t>
  </si>
  <si>
    <t xml:space="preserve">AZL Berggebiet - Ackerland </t>
  </si>
  <si>
    <t>F4    Reduzierte Bodenbearbeitung mit Strip Till</t>
  </si>
  <si>
    <t>F1    Winterbegrünung</t>
  </si>
  <si>
    <r>
      <t>E2.1 Brachebegrünung mit Blühmischungen (ohne ÖVF-Anrechnung)</t>
    </r>
    <r>
      <rPr>
        <vertAlign val="superscript"/>
        <sz val="10"/>
        <rFont val="Arial"/>
        <family val="2"/>
      </rPr>
      <t xml:space="preserve"> 1)</t>
    </r>
  </si>
  <si>
    <t>E1.2 Begrünungsmischungen im Acker/Gartenbau</t>
  </si>
  <si>
    <t>E1.1 Herbst-Begrünung im Acker/Gartenbau</t>
  </si>
  <si>
    <t xml:space="preserve">D2.2 Beibehaltung Ökolandbau - Acker/Grünl. </t>
  </si>
  <si>
    <t>D2.1 Einführung Ökolandbau - Acker/Grünl. (2 Jahre)</t>
  </si>
  <si>
    <t>Maßnahmen</t>
  </si>
  <si>
    <t xml:space="preserve"> Verfahrensspezifische Ausgleichsleistungen in €/ha</t>
  </si>
  <si>
    <t>Gülleausbringung (im Lohn); €/m³</t>
  </si>
  <si>
    <t>Nachsaatmaschine (¼ Betrag)</t>
  </si>
  <si>
    <t>GPS Häckseln/Festfahren im Lohn</t>
  </si>
  <si>
    <t>GPS Häckseln im Lohn</t>
  </si>
  <si>
    <t>Silomais Häckseln (im Lohn)</t>
  </si>
  <si>
    <t>Silomais Aussaat (im Lohn)</t>
  </si>
  <si>
    <t>Silomais Häckseln/Festfahren im Lohn</t>
  </si>
  <si>
    <t>Nr. 328 + Raumgewicht Stroh</t>
  </si>
  <si>
    <t>Stroh-Quaderballen pres. (Schneidw.)</t>
  </si>
  <si>
    <t>Stroh-Rundballen pressen je dt</t>
  </si>
  <si>
    <t>Nr. 314+Nr. 015 bei 3m Arbeitsbreite und 1,19 Akh/ha (KTBL Öko 2010 S. 170)</t>
  </si>
  <si>
    <t>Mulchen (Lohnunternehmer)</t>
  </si>
  <si>
    <t>2017:1,64 X 70 to (siehe Südzuckerrübenpreisabrechnung 2016 vom 13.03.2017)</t>
  </si>
  <si>
    <t>25% der Frachtkosten zahlt der Rübenanbauer (Quelle: Rübenanbau ab 2017; Beilage zur ddz Ausgabe Mai 2016)</t>
  </si>
  <si>
    <t>ZR - Laden, Abfuhr</t>
  </si>
  <si>
    <t>LTZ, Stolzenburg</t>
  </si>
  <si>
    <t>Pressen (10,7 t FM; 250 kg/Ba.)</t>
  </si>
  <si>
    <t>Pressen (8,3 t FM; 250 kg/Ba.)</t>
  </si>
  <si>
    <t>Hemp-Flax(Strohnutzung)</t>
  </si>
  <si>
    <t>KA - Schlägeln (m. Schl.+Fahrer)</t>
  </si>
  <si>
    <t>Mitschke, Dez.2007(nochmals bestätigt Mitschke, Mai 2009)</t>
  </si>
  <si>
    <t>Nr.459+017* 3,5*16€+10 €*14€ bei insgesamt 17,5 Akh/ha ( KTBL 16/17 S.197) (Telefonat mit Mitschke vom 09.08.2019 --&gt; 600€ nicht verlassen; Hi)</t>
  </si>
  <si>
    <t>KA - Vollernter mit Bunker, 2-reihig</t>
  </si>
  <si>
    <t>Nr. 485</t>
  </si>
  <si>
    <t>ZR - Roden, 6-reihig</t>
  </si>
  <si>
    <t>Nr. 403a + 404</t>
  </si>
  <si>
    <t>Mähdrescher - Getr. m. Strohhäcksler</t>
  </si>
  <si>
    <t>Nr. 409</t>
  </si>
  <si>
    <t>Mähdrescher - Körnermais</t>
  </si>
  <si>
    <t>Nr. 403a + 404 + 405</t>
  </si>
  <si>
    <t>Mähdrescher - Erbsen/Ackerbohnen</t>
  </si>
  <si>
    <t>Nr. 403a + 404 + 408</t>
  </si>
  <si>
    <t xml:space="preserve">Mähdrescher - Raps </t>
  </si>
  <si>
    <t>Nr. 403a</t>
  </si>
  <si>
    <t>Mähdrescher - Getreide</t>
  </si>
  <si>
    <t>Sonstige Quellen</t>
  </si>
  <si>
    <t>Verrechnungssätze MR 2017/18</t>
  </si>
  <si>
    <t>o. MwSt.</t>
  </si>
  <si>
    <t>Gerät €/ha</t>
  </si>
  <si>
    <t>Art</t>
  </si>
  <si>
    <t>var. Kosten</t>
  </si>
  <si>
    <t xml:space="preserve"> Lohnmaschinen</t>
  </si>
  <si>
    <t>13,56+4; 1,86+8,33</t>
  </si>
  <si>
    <t>KTBL Kartoffelproduktion S. 118</t>
  </si>
  <si>
    <t>Beregnung (Mobile Beregnungsmaschinen mit Einzelregnern)</t>
  </si>
  <si>
    <t>10,79+17,32; 7,14+7,97 (nur ständige Akh, nicht ständige 11 Akh werden variabelen Lohnkosten verrechnet)</t>
  </si>
  <si>
    <t>KTBL Kartoffelproduktion S. 119</t>
  </si>
  <si>
    <t>Folie legen, entfernen, entsorgen</t>
  </si>
  <si>
    <t>Kartoff. wiegen packen 45 t/ha</t>
  </si>
  <si>
    <t>Kartoffeln sortieren 45 t/ha</t>
  </si>
  <si>
    <t>Transport von Kartoffeln vom Feld zum Hof, Dreiseitenkippanhänger 10,5 t Nutzmasse, 45 t/ha</t>
  </si>
  <si>
    <t>Dreiseitenkipper, zweiachsig 10,5 t Nutzmasse</t>
  </si>
  <si>
    <t>Kartoff. Transp. z. Hof 45 t/ha (10,5 t Kipper)</t>
  </si>
  <si>
    <t/>
  </si>
  <si>
    <t>Transp Kartoffeln/Gemüse z. Hof 25 t/ha (5,7 t NmKipper)</t>
  </si>
  <si>
    <t>1 Sortierkkraft auf dem Roder = 10 Akh; siehe oben; in B.-W. rund 3-4 Ak/Roder (Mitschke, HN)</t>
  </si>
  <si>
    <t>Kartoffelernte mit Bunkerroder, angehängt, 6 t Nutzmasse; 1 + 3 AK, 2 r, 45 t/ha</t>
  </si>
  <si>
    <t xml:space="preserve">Kartoffelbunkerroder, angehängt, 2 r, 6 t </t>
  </si>
  <si>
    <t>Kartoffelbunkerroder, 2 r, 6 t Nutzmasse, 45 t/ha</t>
  </si>
  <si>
    <t>KTBL = 19,87 Akh/ha; 2 AK; Maschine = 9,95 Akh; Ansatz 10 Akh lt. H. Mitschke; (10-14 Akh/ha = "Realität in B.-W.)</t>
  </si>
  <si>
    <t>Kartoffelernte mit Bunkerroder, angehängt, 2 t Nutzmasse; 1 + 2 AK, 1 r, 45 t/ha</t>
  </si>
  <si>
    <t xml:space="preserve">Kartoffelbunkerroder, angehängt, 1 r, 4 t </t>
  </si>
  <si>
    <t>Kartoffelbunkerroder, 1 r, 2 t Nutzmasse, 45 t/ha</t>
  </si>
  <si>
    <t>Bunkerroder 3 t Nutzm. 1 r ohne Ak (bei Handarbeit!)</t>
  </si>
  <si>
    <t>Krautschläger 4 r</t>
  </si>
  <si>
    <t>HN, Himmelhan; von 100% auf 70% Motorbelastung verändert; Dr. Segger, 2005</t>
  </si>
  <si>
    <t>Häufeln von Kartoffeln Nachauflauf 4 r</t>
  </si>
  <si>
    <t>Kartoffelhäufler mit Dammformer 4 r</t>
  </si>
  <si>
    <t>Häufeln 4 r, Nachauflauf (Kartoffel)</t>
  </si>
  <si>
    <t>KTBL Gemüse (2017): S. 82+170; KTBL (2017) Leistungs-Kostenrechnung Pflanzenbau</t>
  </si>
  <si>
    <t>Hacken Nachauflauf 4 r</t>
  </si>
  <si>
    <t>Häufeln von Kartoffeln Vorauflauf 4 r</t>
  </si>
  <si>
    <t>Häufeln 4 r, Vorauflauf (Kartoffel)</t>
  </si>
  <si>
    <t>Kartoffeln legen ab Feld, lose Ware; angebaute Legemaschine mit Kippbunker; Füllung vom Anhänger direkt in Bunker, 4 r</t>
  </si>
  <si>
    <t>Kartoffellegemaschine mit Kippbunker 4 r, 1,9 t , angebaut</t>
  </si>
  <si>
    <t>S. 105+186</t>
  </si>
  <si>
    <t>Legemaschine mit Kippbunker 4 r (Kartoffel)</t>
  </si>
  <si>
    <t>+ Vorkeimfaktor; HN, Himmelhan, von 100% auf 70% Motorbelastung verändert; Dr. Segger, 2005</t>
  </si>
  <si>
    <t>Kartoffeln legen ab Feld, lose Ware; angebaute Legemaschine mit starrem Bunker; Füllung vom Anhänger direkt in Bunker, 4 r</t>
  </si>
  <si>
    <t>Kartoffellegemaschine mit starrem Bunker, angebaut 4 r, 1,2 t</t>
  </si>
  <si>
    <t>Legemaschine mit starrem Bunker 4 r (Kartoffel)</t>
  </si>
  <si>
    <t>Transport von Pflanzkartoffeln vom Hof zum Feld, lose Kartoffeln; Gabelstapler 2 t; Dreiseitenkippanhänger 5,7 t Nutzmasse</t>
  </si>
  <si>
    <t>Dreiseitenkipper, zweiachsig 5,7 t Nutzmasse &amp; Gabelstapler, Dieselmotor, 3 m, 2 t (0,07 h Änderung Mitschke) Schaufel 1,5m3, 2t, lose Kartoffeln</t>
  </si>
  <si>
    <t>S. 77+79+84+183</t>
  </si>
  <si>
    <t>Pflanzkartoffeltransport,-laden 2,5 t/ha</t>
  </si>
  <si>
    <t>S.199 KTBL Kartoffelproduktion</t>
  </si>
  <si>
    <t>Kartoffeln vorkeimen</t>
  </si>
  <si>
    <t>Grassilo festwalzen, 12 t FM</t>
  </si>
  <si>
    <t>prüfen</t>
  </si>
  <si>
    <t>LW Silage, o. Dosierwalzen; 12 t FM (28 m³, 4 t Nutzl.)</t>
  </si>
  <si>
    <t>Kreiselschwader 7,5m Seitenablage</t>
  </si>
  <si>
    <t>Kreiselwender 5,5m</t>
  </si>
  <si>
    <t>Rotationsmähwerk (Heck) m. Aufb. 2,8 m</t>
  </si>
  <si>
    <t>Mähkomb. Heck/Front (4,5m insges., ohne Aufb.)</t>
  </si>
  <si>
    <t>Wiesenegge 6 m</t>
  </si>
  <si>
    <t>Wiesenwalze 3 m</t>
  </si>
  <si>
    <t>Transport von Strohrundballen vom Feld zum Hof, Ballendurchmesser 1,5 m; Dreiseitenkippanhänger-Doppelzug 4 t/ha</t>
  </si>
  <si>
    <t>Dreiseitenkipper, zweiachsig 5,7 t Nutzmasse</t>
  </si>
  <si>
    <t>Stroh-Rundballen 4 t/ha laden, abfahren, stapeln, 3-S-Kipp.</t>
  </si>
  <si>
    <t>Silagetransport Mais/GPS, 3S.Kip. (10t Nutzl.), 50 t FM</t>
  </si>
  <si>
    <t>Transport von Mähdruschfrüchten mit Dreiseitenkippanhänger vom Feld zum Hof 13,5 t Nutzmasse, 6 t/ha</t>
  </si>
  <si>
    <t>Dreiseitenkipper, zweiachsig 13,5 t Nutzmasse (var. Maschinenkosten 0,2€/t)</t>
  </si>
  <si>
    <t>Transp. u. Abkip. Getr. 6 t/ha (13,5 t Ki.)</t>
  </si>
  <si>
    <t>Transport von Mähdruschfrüchten mit Dreiseitenkippanhänger vom Feld zum Hof 5,7 t Nutzmasse, 6 t/ha</t>
  </si>
  <si>
    <t>Dreiseitenkipper, zweiachsig 5,7 t Nutzmasse (var. Maschinenkosten 0,2€/t)</t>
  </si>
  <si>
    <t>Transp. u. Abkip. Getr. 6 t/ha (5,7 t Ki.)</t>
  </si>
  <si>
    <t>Bunkerroder Möhren 0,5 m Arbeitsbreite</t>
  </si>
  <si>
    <t>Mais/GPS Silage festwalzen, 50 t FM</t>
  </si>
  <si>
    <t>Hacken von Mais, Hackgerät 4 r</t>
  </si>
  <si>
    <t>Reihenhackgerät 3 m</t>
  </si>
  <si>
    <t xml:space="preserve">Striegeln von Getreide 9 m </t>
  </si>
  <si>
    <t>Hackstriegel 9 m, angebaut</t>
  </si>
  <si>
    <t>Hackstriegel 9 m</t>
  </si>
  <si>
    <t>Präparatespritze 6 m</t>
  </si>
  <si>
    <t>Mulchen 3 m</t>
  </si>
  <si>
    <t>Schlegelmulcher (Front- oder Heckanbau) 3m</t>
  </si>
  <si>
    <t>Mulchgerät 3 m</t>
  </si>
  <si>
    <t>Pflanzenschutzspritze, Behälter mit Pumpe, angehängt 3000 l &amp; Spritzgestänge 24 m</t>
  </si>
  <si>
    <t>Pflanzenschutzspritze 24 m, 300 l/ha</t>
  </si>
  <si>
    <t>Pflanzenschutzmittelausbringung ab Hof 12 m, 300 l/ha</t>
  </si>
  <si>
    <t>Pflanzenschutzspritze, Behälter mit Pumpe, angebaut 600 l &amp; Spritzgestänge 12 m</t>
  </si>
  <si>
    <t>Pflanzenschutzspritze 12 m, 300 l/ha</t>
  </si>
  <si>
    <t>Kalkstreuer 6 m³,15 m, 2l/ha (ab Feld, mit Beladen)</t>
  </si>
  <si>
    <t>Gülle ausbringen 20 m³/ha, (15 m³ Fass, Schleppschl. 7,5 m</t>
  </si>
  <si>
    <t>Mist/Kompost streuen 20 t/ha  (6 m, 10 t) inkl. Beladen</t>
  </si>
  <si>
    <t>Mineraldüngerausbringung ab Hof mit Anbauschleuderstreuer 12 m, 400 kg/ha</t>
  </si>
  <si>
    <t xml:space="preserve">Schleuderstreuer angebaut 600 l </t>
  </si>
  <si>
    <t xml:space="preserve">Düngerstreuer ab Hof 24 m, 400 kg/ha </t>
  </si>
  <si>
    <t xml:space="preserve">Düngerstreuer ab Hof 12 m, 400 kg/ha </t>
  </si>
  <si>
    <t>Direktsämaschine 3 m</t>
  </si>
  <si>
    <t>Direktsämaschine 3 m, 1000 l</t>
  </si>
  <si>
    <t>Einzelkornsaat ab Feld, Mais 6 m</t>
  </si>
  <si>
    <t>Einzelkornsämaschine Mais, 8-reihig, 6 m</t>
  </si>
  <si>
    <t>Einzelkornsaat 8 r (Mais)</t>
  </si>
  <si>
    <t>Einzelkornsaat ab Feld, Zuckerrüben 5 m</t>
  </si>
  <si>
    <t>Einzelkornsämaschine Zuckerrüben, 6-reihig, 3 m</t>
  </si>
  <si>
    <t>Einzelkornsaat 6 r (Rüben)</t>
  </si>
  <si>
    <t>Einzelkornsaat ab Feld, Mais 4 m</t>
  </si>
  <si>
    <t>Einzelkornsämaschine Mais, 4-reihig, 3 m</t>
  </si>
  <si>
    <t>Einzelkornsaat 4 r (Mais, Sonnenblume)</t>
  </si>
  <si>
    <t>Sämaschine 3 m</t>
  </si>
  <si>
    <t>Sämaschine, mechan., angebaut 3 m</t>
  </si>
  <si>
    <t>Sämaschine 3m</t>
  </si>
  <si>
    <t>Grubber-Kreiselegge-Sämaschinen-Kombination, mechan., 3 m</t>
  </si>
  <si>
    <t>Schwergrubber angebaut 3 m &amp; Kreiselegge 3 m, angebaut &amp; Sämaschine, mechan., angebaut 3 m</t>
  </si>
  <si>
    <t>Grubber-Kreiselegge-Säkomb. 3 m</t>
  </si>
  <si>
    <t>Kreiseleggen-Sämaschinen-Kombination 3 m</t>
  </si>
  <si>
    <t>Kreiselegge 3 m, angebaut &amp; Sämaschine, mechan., angebaut 3 m</t>
  </si>
  <si>
    <t>Kreiselegge-Säkomb. 3 m</t>
  </si>
  <si>
    <t>Bodenfräse 3m, angebaut</t>
  </si>
  <si>
    <t>Bodenfräse 3m</t>
  </si>
  <si>
    <t>Cambridgewalze 4,5 m</t>
  </si>
  <si>
    <t>Cambridgewalze 2,2 t, 4,5 m, aufgesattelt</t>
  </si>
  <si>
    <t>Kreiselegge 3 m</t>
  </si>
  <si>
    <t>Kreiselegge 3 m, angebaut</t>
  </si>
  <si>
    <t>Saatbettkombination 4 m</t>
  </si>
  <si>
    <t xml:space="preserve">Scheibenegge, tief, schräg zur Hauptarbeitsrichtung, 5 m </t>
  </si>
  <si>
    <t>Scheibenegge 5 m, aufgesattelt</t>
  </si>
  <si>
    <t>Scheibenegge 5 m</t>
  </si>
  <si>
    <t xml:space="preserve">Stoppelgrubber, tief, schräg zur Hauptarbeitsrichtung, 3 m </t>
  </si>
  <si>
    <t>Schwergrubber angebaut 3 m</t>
  </si>
  <si>
    <t>Schwergrubber 3 m</t>
  </si>
  <si>
    <t>Drehpflug, aufgesattelt, 6 Schare (2,10 m), mit Packer</t>
  </si>
  <si>
    <t>Drehpflug, aufgesattelt, 6 Schare (2,10 m)</t>
  </si>
  <si>
    <t>Drehpflug 2,10 m</t>
  </si>
  <si>
    <t>AKh/ha</t>
  </si>
  <si>
    <t>in €/h (o. Mwst.)</t>
  </si>
  <si>
    <t>Antrieb</t>
  </si>
  <si>
    <t>Schlepper</t>
  </si>
  <si>
    <t>kW /</t>
  </si>
  <si>
    <t>2 ha Schlag</t>
  </si>
  <si>
    <t>variable Kosten</t>
  </si>
  <si>
    <t>Motorbelastung</t>
  </si>
  <si>
    <t xml:space="preserve"> Schlepper</t>
  </si>
  <si>
    <t xml:space="preserve"> Geräte / Arbeitsgänge</t>
  </si>
  <si>
    <t>Schlepper 49-59 kW, Allrad LS</t>
  </si>
  <si>
    <t>S. 73</t>
  </si>
  <si>
    <t>Schlepper 49-59 kW, Allrad</t>
  </si>
  <si>
    <t>Schlepper 3 mit Frontlader 1750 daN</t>
  </si>
  <si>
    <t>S. 73+78</t>
  </si>
  <si>
    <t>Schlepper 4 mit Frontlader 2400 daN</t>
  </si>
  <si>
    <t>Schlepper 75-92 kW, Allrad LS</t>
  </si>
  <si>
    <t>Schlepper 75-92 kW, Allrad</t>
  </si>
  <si>
    <t>Schlepper 93-111 kW, Allrad LS</t>
  </si>
  <si>
    <t>Schlepper 93-111 kW, Allrad</t>
  </si>
  <si>
    <t>Schlepper 112-129 kW, Allrad CVT</t>
  </si>
  <si>
    <t>Schlepper 112-129 kW, Allrad</t>
  </si>
  <si>
    <r>
      <t xml:space="preserve">Schlepper 185-215 kW, Allrad </t>
    </r>
    <r>
      <rPr>
        <sz val="8"/>
        <color rgb="FFFF0000"/>
        <rFont val="Arial"/>
        <family val="2"/>
      </rPr>
      <t>CVT</t>
    </r>
  </si>
  <si>
    <t>Schlepper 185-215 kW, Allrad</t>
  </si>
  <si>
    <r>
      <t xml:space="preserve">Arbeitsverfahren </t>
    </r>
    <r>
      <rPr>
        <sz val="8"/>
        <rFont val="Arial"/>
        <family val="2"/>
      </rPr>
      <t>(Werte für Arbeitszeit)</t>
    </r>
  </si>
  <si>
    <t>Maschinenart</t>
  </si>
  <si>
    <t>KTBL (2018/19)</t>
  </si>
  <si>
    <t>€/h</t>
  </si>
  <si>
    <t>l/h</t>
  </si>
  <si>
    <t>Typ</t>
  </si>
  <si>
    <t xml:space="preserve"> Nr.</t>
  </si>
  <si>
    <t>Motorbelastung von ( in €/h )</t>
  </si>
  <si>
    <t xml:space="preserve"> ohne Diesel)</t>
  </si>
  <si>
    <t>€/l</t>
  </si>
  <si>
    <t>Dieselpreis und einer</t>
  </si>
  <si>
    <t>(var. Kosten</t>
  </si>
  <si>
    <t>(ohne MwSt.)</t>
  </si>
  <si>
    <t>verbrauch</t>
  </si>
  <si>
    <t xml:space="preserve">insgesamt bei aktuellem </t>
  </si>
  <si>
    <t>Reparaturkosten</t>
  </si>
  <si>
    <t xml:space="preserve">variable Kosten </t>
  </si>
  <si>
    <t>Diesel-</t>
  </si>
  <si>
    <t>Variable Kosten (ohne MwSt.)</t>
  </si>
  <si>
    <t xml:space="preserve"> €/l</t>
  </si>
  <si>
    <t>Preis Diesel aktuell  in €/l ohne Mwst</t>
  </si>
  <si>
    <t>Agrardiesel aktuell</t>
  </si>
  <si>
    <t>Gasölverbilligung</t>
  </si>
  <si>
    <t>MwSt.</t>
  </si>
  <si>
    <t>Preis Diesel aktuell  in €/l inkl. Mwst</t>
  </si>
  <si>
    <t>Variable Kosten und Arbeitszeitbedarf; Lohnmaschinen</t>
  </si>
  <si>
    <t>für ständige AK</t>
  </si>
  <si>
    <t xml:space="preserve">€/AKh </t>
  </si>
  <si>
    <t xml:space="preserve">Lohnansatz </t>
  </si>
  <si>
    <t>Rotes Heft 2017/18 S. 10-11 (Feste Spezial- und Gemeinkosten - Pachtzinsen/ ha LF - Unterhalt Gebäude - AfA Gebäude - AfA technische Anlagen und Maschinen = Gemeinkosten)</t>
  </si>
  <si>
    <r>
      <t xml:space="preserve">Gemeinkosten </t>
    </r>
    <r>
      <rPr>
        <vertAlign val="superscript"/>
        <sz val="11"/>
        <rFont val="Arial"/>
        <family val="2"/>
      </rPr>
      <t>2)</t>
    </r>
  </si>
  <si>
    <t xml:space="preserve">hoch </t>
  </si>
  <si>
    <t>Statistisches Landesamt Baden-Württemberg, 2017: Pachtjahresentgelt 270€/ha Ackerland</t>
  </si>
  <si>
    <t xml:space="preserve">mittel </t>
  </si>
  <si>
    <t xml:space="preserve">niedrig </t>
  </si>
  <si>
    <t>Leistungs-
niveau</t>
  </si>
  <si>
    <t xml:space="preserve">€/ha </t>
  </si>
  <si>
    <t>Pachtzins  223 € (50-100 ha) bzw. 202 € (&gt; 100 ha)</t>
  </si>
  <si>
    <t xml:space="preserve">Rotes Heft 17/18 Tab 21-22 Ackerbaubetriebe konventionell </t>
  </si>
  <si>
    <t>Satz</t>
  </si>
  <si>
    <t>zum Vergleich:</t>
  </si>
  <si>
    <t>aktuell</t>
  </si>
  <si>
    <t>MwSt.-</t>
  </si>
  <si>
    <t>Einheit</t>
  </si>
  <si>
    <r>
      <rPr>
        <vertAlign val="superscript"/>
        <sz val="9"/>
        <rFont val="Arial"/>
        <family val="2"/>
      </rPr>
      <t>1)</t>
    </r>
    <r>
      <rPr>
        <sz val="9"/>
        <rFont val="Arial"/>
        <family val="2"/>
      </rPr>
      <t xml:space="preserve"> Anschaffungswert abzgl. Anteil Lohnarbeiten (ca. 10-20%) und Anteil Restwert (ca. 15%).</t>
    </r>
  </si>
  <si>
    <r>
      <t xml:space="preserve">KTBL (2018/19):  </t>
    </r>
    <r>
      <rPr>
        <sz val="8"/>
        <rFont val="Arial"/>
        <family val="2"/>
      </rPr>
      <t>Offene Remise (77.800€)  S.152 bei 15% Restwert</t>
    </r>
  </si>
  <si>
    <t>Maschinen- und Lagerhalle</t>
  </si>
  <si>
    <t>Unterhaltung:</t>
  </si>
  <si>
    <t>Zinssatz (i):</t>
  </si>
  <si>
    <t xml:space="preserve">Feste Gebäudekosten </t>
  </si>
  <si>
    <t>30 Ballen/ha a 0,8*1,2*2,4 m³+Zuschlag</t>
  </si>
  <si>
    <t>Lager 500 m³ (25,- €/m³)</t>
  </si>
  <si>
    <t>Feste Gebäudekosten Hanf (mit Lagerung)</t>
  </si>
  <si>
    <t>Kartoffellager 300 t (m. Belüftung)</t>
  </si>
  <si>
    <t>Sortier- u. Aufbereitungseinrichtungen</t>
  </si>
  <si>
    <t>Feste Gebäudekosten Kartoffeln Direktvermarktung</t>
  </si>
  <si>
    <r>
      <t>KTBL (2018/19):</t>
    </r>
    <r>
      <rPr>
        <sz val="8"/>
        <rFont val="Arial"/>
        <family val="2"/>
      </rPr>
      <t>Traktorfrondlader (5.000€) S.77; Erdschaufel (1.700€), S.78; Leichtgutschaufel (1.850€) S.79 + 6400€ für Sonstiges und bei 15% Restwert</t>
    </r>
  </si>
  <si>
    <t>Sonstiges</t>
  </si>
  <si>
    <r>
      <t xml:space="preserve">KTBL (2018/19): </t>
    </r>
    <r>
      <rPr>
        <sz val="8"/>
        <rFont val="Arial"/>
        <family val="2"/>
      </rPr>
      <t>Dreiseitenkippanhänger, Einzelachse (7.400€) S.83; Dreiseitenkippanhänger, Tandemachse (16.000€) S.84; Dreiseitenkippanhänger, zwei Achsen (19.000€) S.84; bei 15% Restwert und 10% Lohnarbeiten</t>
    </r>
  </si>
  <si>
    <t>Transport</t>
  </si>
  <si>
    <r>
      <t xml:space="preserve">KTBL (2018/19) und KTBL (Öko 2017): </t>
    </r>
    <r>
      <rPr>
        <sz val="8"/>
        <rFont val="Arial"/>
        <family val="2"/>
      </rPr>
      <t>Mulchgerät (8.900€) S.115(ÖKO); Striegel (6.800€) S.106; Düngestreuer (5.700€) S.98; Pflanzenschutzspritze (9.000+13.700€) S.108 bei 15% Restwert + 10% Lohnarbeiten</t>
    </r>
  </si>
  <si>
    <t>Mineraldüng. / Pflanzenschutz / Pflege</t>
  </si>
  <si>
    <r>
      <t xml:space="preserve">KTBL (2018/19): </t>
    </r>
    <r>
      <rPr>
        <sz val="8"/>
        <rFont val="Arial"/>
        <family val="2"/>
      </rPr>
      <t>Pflug (14.000€) S. 88; Grubber (10.000€) S.92; Feingrubber (5.300€) S.92; Saatbeetkombi (13.500€) S.92; Kreiselegge (13.300€) S.95; Sämaschine (11.500€) S. 103; Walze (9.700€) S. 95; Bodenfräse (8.700€) S. 96; bei 15% Restwert und 10% Lohnarbeiten</t>
    </r>
  </si>
  <si>
    <t>Bodenbearbeitung / Bestellung</t>
  </si>
  <si>
    <r>
      <t xml:space="preserve">KTBL (2018/19): </t>
    </r>
    <r>
      <rPr>
        <sz val="8"/>
        <rFont val="Arial"/>
        <family val="2"/>
      </rPr>
      <t>Schlepper 120 kW (120.000€), 83 kW (75.000€), 54 kW (47.000€) S.72 bei 15% Restwert + 10% Lohnarbeiten</t>
    </r>
  </si>
  <si>
    <t xml:space="preserve"> - Gebäude bauliche Anlagen: 74 € (50-100 ha) bzw. 37 € (&gt; 100 ha)</t>
  </si>
  <si>
    <t xml:space="preserve"> - techn.Anlagen, Masch. PKW: 257 € (50-100 ha) bzw. 218 €(&gt;100 ha)</t>
  </si>
  <si>
    <t>Rotes Heft 17/18 Tab 21-22 Ackerbaubetriebe konventionell Abschreibungen</t>
  </si>
  <si>
    <r>
      <t xml:space="preserve">Feste Maschinenkosten </t>
    </r>
    <r>
      <rPr>
        <vertAlign val="superscript"/>
        <sz val="12"/>
        <rFont val="Arial"/>
        <family val="2"/>
      </rPr>
      <t>2)</t>
    </r>
  </si>
  <si>
    <t>€</t>
  </si>
  <si>
    <t>Jahre</t>
  </si>
  <si>
    <t>dauer</t>
  </si>
  <si>
    <t>und Gebäude:</t>
  </si>
  <si>
    <t>Gesamt</t>
  </si>
  <si>
    <t>Fläche</t>
  </si>
  <si>
    <t>Jahres-</t>
  </si>
  <si>
    <r>
      <t xml:space="preserve">Anschaffungswert </t>
    </r>
    <r>
      <rPr>
        <b/>
        <vertAlign val="superscript"/>
        <sz val="10"/>
        <rFont val="Arial"/>
        <family val="2"/>
      </rPr>
      <t>1)</t>
    </r>
  </si>
  <si>
    <t>Nutzungs-</t>
  </si>
  <si>
    <t xml:space="preserve">Mehrwertsteuersatz Maschinen </t>
  </si>
  <si>
    <t>Modellbetrieb mit 150 ha AF</t>
  </si>
  <si>
    <t>Feste Spezial- und Gemeinkosten</t>
  </si>
  <si>
    <t>Mulchen</t>
  </si>
  <si>
    <t>Legu-Gemenge</t>
  </si>
  <si>
    <t>KulturA</t>
  </si>
  <si>
    <t>Hanf</t>
  </si>
  <si>
    <t>Kart.</t>
  </si>
  <si>
    <t>ZuRüb</t>
  </si>
  <si>
    <t>AckBohn</t>
  </si>
  <si>
    <t>FuErbs</t>
  </si>
  <si>
    <t>SonnBlum</t>
  </si>
  <si>
    <t>SoRaps</t>
  </si>
  <si>
    <t>WiRaps</t>
  </si>
  <si>
    <t>KöMais</t>
  </si>
  <si>
    <t>KöHirse</t>
  </si>
  <si>
    <t>Einkorn</t>
  </si>
  <si>
    <t>BraugerstG</t>
  </si>
  <si>
    <t>SoGerst</t>
  </si>
  <si>
    <t>Soweizen</t>
  </si>
  <si>
    <t>WiGerst</t>
  </si>
  <si>
    <t>Tritic</t>
  </si>
  <si>
    <t>Wirogg</t>
  </si>
  <si>
    <t>Wiweiz</t>
  </si>
  <si>
    <t>Mittel</t>
  </si>
  <si>
    <t>Preis o.MwSt.</t>
  </si>
  <si>
    <t>lfd. Nr.</t>
  </si>
  <si>
    <t>ZEILEN AUSGEBLENDET (Datenspiegelung)</t>
  </si>
  <si>
    <t>I</t>
  </si>
  <si>
    <t>TRICHOGRAMMA</t>
  </si>
  <si>
    <t>Trebon 30 EC</t>
  </si>
  <si>
    <t>H</t>
  </si>
  <si>
    <t>Traxos</t>
  </si>
  <si>
    <t>F</t>
  </si>
  <si>
    <t>Tilmor</t>
  </si>
  <si>
    <t>Teppeki</t>
  </si>
  <si>
    <t>Stomp Aqua</t>
  </si>
  <si>
    <t>Steward</t>
  </si>
  <si>
    <t>Starane XL</t>
  </si>
  <si>
    <t>Shirlan</t>
  </si>
  <si>
    <t>Sencor Liquid</t>
  </si>
  <si>
    <t>Select 240 EC</t>
  </si>
  <si>
    <t>Seguris Opti, Seguris</t>
  </si>
  <si>
    <t>Seguris Opti, Amistar Opti</t>
  </si>
  <si>
    <t>Roundup Rekord</t>
  </si>
  <si>
    <t>Roundup Power Flex</t>
  </si>
  <si>
    <t>Revus</t>
  </si>
  <si>
    <t>Ranman Top</t>
  </si>
  <si>
    <t>Prosaro</t>
  </si>
  <si>
    <t>Propulse</t>
  </si>
  <si>
    <t>Proline</t>
  </si>
  <si>
    <t>Primus Perfect</t>
  </si>
  <si>
    <t>Polyram WG</t>
  </si>
  <si>
    <t>Pointer Plus</t>
  </si>
  <si>
    <t>Osiris</t>
  </si>
  <si>
    <t>Ortiva</t>
  </si>
  <si>
    <t>W</t>
  </si>
  <si>
    <t>Moddus</t>
  </si>
  <si>
    <t>Malibu</t>
  </si>
  <si>
    <t>MaisTer Power</t>
  </si>
  <si>
    <t>Mais Banvel WG</t>
  </si>
  <si>
    <t>Karate Zeon</t>
  </si>
  <si>
    <t>Juwel</t>
  </si>
  <si>
    <t>Input Xpro</t>
  </si>
  <si>
    <t>Input Classic</t>
  </si>
  <si>
    <t>Infinito</t>
  </si>
  <si>
    <t>Hoestar Super</t>
  </si>
  <si>
    <t>Herold SC</t>
  </si>
  <si>
    <t xml:space="preserve">Harmony SX </t>
  </si>
  <si>
    <t>Goltix Gold</t>
  </si>
  <si>
    <t>Fusilade MAX</t>
  </si>
  <si>
    <t>Folicur</t>
  </si>
  <si>
    <t>Focus Ultra</t>
  </si>
  <si>
    <t>Effigo</t>
  </si>
  <si>
    <t xml:space="preserve">Debut </t>
  </si>
  <si>
    <t>Coragen</t>
  </si>
  <si>
    <t>Colzor Trio</t>
  </si>
  <si>
    <t xml:space="preserve">Champion + Diamant Pack, Champion </t>
  </si>
  <si>
    <t>Centium 36 CS</t>
  </si>
  <si>
    <t>CCC 720</t>
  </si>
  <si>
    <t>Carax</t>
  </si>
  <si>
    <t>Cantus Gold</t>
  </si>
  <si>
    <t>Camposan Extra</t>
  </si>
  <si>
    <t>Callisto</t>
  </si>
  <si>
    <t>Butisan Top</t>
  </si>
  <si>
    <t>Broadway</t>
  </si>
  <si>
    <t>Boxer</t>
  </si>
  <si>
    <t>Biscaya</t>
  </si>
  <si>
    <t>Biathlon 4D</t>
  </si>
  <si>
    <t>Betanal Maxx Pro</t>
  </si>
  <si>
    <t>Bandur</t>
  </si>
  <si>
    <t>B235</t>
  </si>
  <si>
    <t>Axial 50</t>
  </si>
  <si>
    <t>Aviator Xpro Duo, Fandango</t>
  </si>
  <si>
    <t>Aviator Xpro Duo, Aviator Xpro</t>
  </si>
  <si>
    <t>Avaunt</t>
  </si>
  <si>
    <t>Preise: Stand 2016; Diese Liste ist beispielhaft und erhebt keinen Anspruch auf Vollständigkeit.</t>
  </si>
  <si>
    <t>Atlantis WG</t>
  </si>
  <si>
    <t>Artus</t>
  </si>
  <si>
    <t>Krautabtötung</t>
  </si>
  <si>
    <t>X</t>
  </si>
  <si>
    <t>Artist</t>
  </si>
  <si>
    <t>Wachstumsregler</t>
  </si>
  <si>
    <t>Ariane C</t>
  </si>
  <si>
    <t>Insektizid</t>
  </si>
  <si>
    <t>Agil-S</t>
  </si>
  <si>
    <t>Herbizid</t>
  </si>
  <si>
    <t>Adexar</t>
  </si>
  <si>
    <t>Fungizid</t>
  </si>
  <si>
    <t>Acrobat plus WG</t>
  </si>
  <si>
    <t>Pflanzenschutzmittel</t>
  </si>
  <si>
    <t>DRUCKBEREICH</t>
  </si>
  <si>
    <t xml:space="preserve">€/dt </t>
  </si>
  <si>
    <t>(2004)</t>
  </si>
  <si>
    <t>Erbsen und Ackerbohnen</t>
  </si>
  <si>
    <t>Getreide</t>
  </si>
  <si>
    <t>Trocknungskosten</t>
  </si>
  <si>
    <t xml:space="preserve"> Wasser- u. Bodenverband</t>
  </si>
  <si>
    <t>€/LVZ</t>
  </si>
  <si>
    <t>€/ha   bzw.</t>
  </si>
  <si>
    <t xml:space="preserve"> Berufsgenossenschaft</t>
  </si>
  <si>
    <t xml:space="preserve"> Quelle:</t>
  </si>
  <si>
    <t>Berufsgenossenschaft, Wasser- und Bodenverband</t>
  </si>
  <si>
    <t>€/mm</t>
  </si>
  <si>
    <t xml:space="preserve"> Kosten insgesamt je mm:</t>
  </si>
  <si>
    <t>DLZ 6/2001, S. 26</t>
  </si>
  <si>
    <t xml:space="preserve">Quelle: </t>
  </si>
  <si>
    <t>Beregnung</t>
  </si>
  <si>
    <t>Stand: 17.10.2017 - 16:57:11</t>
  </si>
  <si>
    <t>© Statistisches Bundesamt (Destatis), 2017  </t>
  </si>
  <si>
    <t>Bis 1990: Früheres Bundesgebiet ohne Berlin-West.</t>
  </si>
  <si>
    <t>__________</t>
  </si>
  <si>
    <t>Energie und Schmierstoffe zusammen</t>
  </si>
  <si>
    <t>Waren u. Dienstleist.d.lfd. landw. Verbrauchs zus.</t>
  </si>
  <si>
    <t>Indizes ohne Umsatzsteuer</t>
  </si>
  <si>
    <t>Landwirtschaftliche Betriebsmittel</t>
  </si>
  <si>
    <t>Index der Einkaufspreise landwirt. Betriebsmittel (2010=100)</t>
  </si>
  <si>
    <t>Deutschland</t>
  </si>
  <si>
    <t>Index der Einkaufspreise landwirt. Betriebsmittel</t>
  </si>
  <si>
    <t>Deutschland, Jahre, Messzahlen mit/ohne Umsatzsteuer,</t>
  </si>
  <si>
    <t>Index der Einkaufspreise landwirtschaftl. Betriebsmittel:</t>
  </si>
  <si>
    <t>Kosten pro Jahr</t>
  </si>
  <si>
    <t>Lohnansatz (245 h/a à 17 €/h)</t>
  </si>
  <si>
    <t>Lohnansatz</t>
  </si>
  <si>
    <t>Betriebsstoffe und Reparaturen</t>
  </si>
  <si>
    <t>Wartungskosten</t>
  </si>
  <si>
    <t>Zinsanspruch (5 %)</t>
  </si>
  <si>
    <t>Zinsanspruch</t>
  </si>
  <si>
    <t>Abschreibung</t>
  </si>
  <si>
    <t>Maschinen u. sonstige Ausrüstungsgüter zusammen</t>
  </si>
  <si>
    <t>je t</t>
  </si>
  <si>
    <t>gesamt</t>
  </si>
  <si>
    <t>jährliche Kosten</t>
  </si>
  <si>
    <t>Investitionskosten</t>
  </si>
  <si>
    <t>Reinigung/Trocknung/Belüftung</t>
  </si>
  <si>
    <t>Fördertechnik</t>
  </si>
  <si>
    <t>Rundsilos und Annahme</t>
  </si>
  <si>
    <t>Grundstück</t>
  </si>
  <si>
    <t>Nutzungsdauer</t>
  </si>
  <si>
    <t>Investitionsbedarf</t>
  </si>
  <si>
    <t>Quelle: Hilmar Gerdes (LWK Nd.), Bauernblatt 26. Mai 2012, S.30.</t>
  </si>
  <si>
    <t>Quelle: angepasst nach Hilmar Gerdes (LWK Nd.), Bauernblatt 26. Mai 2012, S.30; mittels Preisindizes 2015, Destatis.</t>
  </si>
  <si>
    <t>Tab. 1: Investitionsbedarf Neubau Getreidelager mit einer Lagerkapazität von 2.000 t</t>
  </si>
  <si>
    <t xml:space="preserve">Getreidelagerung mit einer Lagerkapazität von </t>
  </si>
  <si>
    <t xml:space="preserve"> Feste Kosten je dt:</t>
  </si>
  <si>
    <t>Hallenflachlagerung</t>
  </si>
  <si>
    <t xml:space="preserve"> Variable Kosten für 6 Monate je dt:</t>
  </si>
  <si>
    <t>Außenhochsilolagerung</t>
  </si>
  <si>
    <t>BW agrar 25/2001, S. 42</t>
  </si>
  <si>
    <t>Lagerung</t>
  </si>
  <si>
    <t xml:space="preserve"> Getreidemindestpreis bei Auslagerung (€/dt)</t>
  </si>
  <si>
    <t>Kosten pro Tonne und Jahr</t>
  </si>
  <si>
    <t>Masse Leergut</t>
  </si>
  <si>
    <t xml:space="preserve"> Gesamtkosten für Lagerung</t>
  </si>
  <si>
    <t>Kosten pro Jahr (fix u. variabel)</t>
  </si>
  <si>
    <r>
      <t xml:space="preserve"> </t>
    </r>
    <r>
      <rPr>
        <b/>
        <sz val="9"/>
        <rFont val="Symbol"/>
        <family val="1"/>
        <charset val="2"/>
      </rPr>
      <t>S</t>
    </r>
    <r>
      <rPr>
        <b/>
        <sz val="9"/>
        <rFont val="Arial"/>
        <family val="2"/>
      </rPr>
      <t xml:space="preserve"> Schwund- und Zinskosten</t>
    </r>
  </si>
  <si>
    <t xml:space="preserve"> Zinsentgang/Monat</t>
  </si>
  <si>
    <t>AKh-bedarf</t>
  </si>
  <si>
    <t xml:space="preserve"> Lagerverlust pro Monat</t>
  </si>
  <si>
    <t>Betriebsstoffe u- Reparaturen</t>
  </si>
  <si>
    <t>Variable Kosten</t>
  </si>
  <si>
    <t>je Monat</t>
  </si>
  <si>
    <t xml:space="preserve"> Schwund- und Zinskosten</t>
  </si>
  <si>
    <t>Wartung</t>
  </si>
  <si>
    <r>
      <t xml:space="preserve"> </t>
    </r>
    <r>
      <rPr>
        <b/>
        <sz val="9"/>
        <rFont val="Symbol"/>
        <family val="1"/>
        <charset val="2"/>
      </rPr>
      <t>S</t>
    </r>
    <r>
      <rPr>
        <b/>
        <sz val="9"/>
        <rFont val="Arial"/>
        <family val="2"/>
      </rPr>
      <t xml:space="preserve"> Variable Kosten</t>
    </r>
  </si>
  <si>
    <t>Zinsansatz</t>
  </si>
  <si>
    <t xml:space="preserve"> Sonstiges</t>
  </si>
  <si>
    <t>Abschreibungen</t>
  </si>
  <si>
    <t xml:space="preserve"> Strom, Reperaturen</t>
  </si>
  <si>
    <t>Fixkosten</t>
  </si>
  <si>
    <t>€/t</t>
  </si>
  <si>
    <t>Anschaffungspreis</t>
  </si>
  <si>
    <t>je dt</t>
  </si>
  <si>
    <t>Erntemenge</t>
  </si>
  <si>
    <t xml:space="preserve"> Variable Kosten</t>
  </si>
  <si>
    <t>22,5% Winterraps</t>
  </si>
  <si>
    <t>22,5% Körnermais</t>
  </si>
  <si>
    <t>32,5% Gerste</t>
  </si>
  <si>
    <r>
      <t xml:space="preserve"> </t>
    </r>
    <r>
      <rPr>
        <b/>
        <sz val="9"/>
        <rFont val="Symbol"/>
        <family val="1"/>
        <charset val="2"/>
      </rPr>
      <t>S</t>
    </r>
    <r>
      <rPr>
        <b/>
        <sz val="9"/>
        <rFont val="Arial"/>
        <family val="2"/>
      </rPr>
      <t xml:space="preserve"> Festkosten</t>
    </r>
  </si>
  <si>
    <t>77,5 % Weizen</t>
  </si>
  <si>
    <t>67,5 % Weizen</t>
  </si>
  <si>
    <t xml:space="preserve"> 100 %Weizen</t>
  </si>
  <si>
    <t>Gebäude</t>
  </si>
  <si>
    <t xml:space="preserve">Belegung </t>
  </si>
  <si>
    <t>Belegung</t>
  </si>
  <si>
    <t>Ergenisse von KTBL-Modellanlagen:</t>
  </si>
  <si>
    <t>Anlagetechnik</t>
  </si>
  <si>
    <t>Modell1d</t>
  </si>
  <si>
    <t>Modell1c</t>
  </si>
  <si>
    <t>Modell1b</t>
  </si>
  <si>
    <t>Modell1a</t>
  </si>
  <si>
    <t>Datensammlung: Konservierung -und Lagerung von Druschfrüchten, 2007</t>
  </si>
  <si>
    <t>ungskosten</t>
  </si>
  <si>
    <t>Vers.</t>
  </si>
  <si>
    <t>AfA</t>
  </si>
  <si>
    <t>Anschaff-</t>
  </si>
  <si>
    <t xml:space="preserve"> Festkosten</t>
  </si>
  <si>
    <t>vor Einlagerung</t>
  </si>
  <si>
    <t>Monate</t>
  </si>
  <si>
    <t xml:space="preserve"> Lagerdauer</t>
  </si>
  <si>
    <t xml:space="preserve"> €/dt</t>
  </si>
  <si>
    <t xml:space="preserve"> Getreidepreis</t>
  </si>
  <si>
    <t xml:space="preserve"> t</t>
  </si>
  <si>
    <t xml:space="preserve"> Lagergröße</t>
  </si>
  <si>
    <t>Kosten der Lagerhaltung</t>
  </si>
  <si>
    <t xml:space="preserve"> Kosten insgesamt</t>
  </si>
  <si>
    <r>
      <t xml:space="preserve"> </t>
    </r>
    <r>
      <rPr>
        <b/>
        <sz val="9"/>
        <rFont val="Symbol"/>
        <family val="1"/>
        <charset val="2"/>
      </rPr>
      <t>S</t>
    </r>
    <r>
      <rPr>
        <b/>
        <sz val="9"/>
        <rFont val="Arial"/>
        <family val="2"/>
      </rPr>
      <t xml:space="preserve"> variable Kosten</t>
    </r>
  </si>
  <si>
    <t>€/Jahr</t>
  </si>
  <si>
    <t xml:space="preserve"> Gesamtsummen </t>
  </si>
  <si>
    <t xml:space="preserve"> Reparaturkosten bei </t>
  </si>
  <si>
    <t xml:space="preserve"> pro Jahr</t>
  </si>
  <si>
    <t xml:space="preserve"> Servicekosten der Anlage</t>
  </si>
  <si>
    <t xml:space="preserve"> 2,35 kW-E-Motor</t>
  </si>
  <si>
    <t xml:space="preserve"> Auslagerungskosten mittels Folge- und Transportschnecke</t>
  </si>
  <si>
    <t xml:space="preserve"> Einlagerungskosten bei 17 t Stundenleistung mit Zellenradgebläse 7,87 kW-E-Motor 1,12 €/h.</t>
  </si>
  <si>
    <t>Bauten</t>
  </si>
  <si>
    <t xml:space="preserve"> Festkosten/Jahr</t>
  </si>
  <si>
    <t xml:space="preserve"> Zinssatz</t>
  </si>
  <si>
    <t xml:space="preserve"> Abschreibung</t>
  </si>
  <si>
    <t xml:space="preserve"> Investitionssumme</t>
  </si>
  <si>
    <t xml:space="preserve"> Kosten je m³</t>
  </si>
  <si>
    <t>m³</t>
  </si>
  <si>
    <t xml:space="preserve"> Lagerraum</t>
  </si>
  <si>
    <t>t</t>
  </si>
  <si>
    <t xml:space="preserve"> Getreidemenge</t>
  </si>
  <si>
    <t xml:space="preserve"> Getreidefläche</t>
  </si>
  <si>
    <t>Destatis 03/2015</t>
  </si>
  <si>
    <t>Quelle: in Anlehnung an DLZ 7/2001, S72 ff.; aktualisiert über Preisindizes des Stat. Bundesamtes (12/2014).</t>
  </si>
  <si>
    <t>Kosten der Feuchtgetreidelagerung</t>
  </si>
  <si>
    <t>* Nutzung als Ganzpflanzensilage</t>
  </si>
  <si>
    <t xml:space="preserve"> Zuckerrüben</t>
  </si>
  <si>
    <t xml:space="preserve"> Sonstige</t>
  </si>
  <si>
    <t xml:space="preserve"> Kartoffeln</t>
  </si>
  <si>
    <t xml:space="preserve"> Miscanthus</t>
  </si>
  <si>
    <t xml:space="preserve"> Körnerhirse</t>
  </si>
  <si>
    <t xml:space="preserve"> Topinambur</t>
  </si>
  <si>
    <t xml:space="preserve"> Sojabohnen</t>
  </si>
  <si>
    <t xml:space="preserve"> Durchwachsene Silphie</t>
  </si>
  <si>
    <t xml:space="preserve"> Erbsen</t>
  </si>
  <si>
    <t xml:space="preserve"> Kleegras / Ackergras</t>
  </si>
  <si>
    <t xml:space="preserve"> Ackerbohnen</t>
  </si>
  <si>
    <t xml:space="preserve"> Sonnenblumen für GPS*</t>
  </si>
  <si>
    <t xml:space="preserve"> Öllein</t>
  </si>
  <si>
    <t xml:space="preserve"> Sudangras für GPS*</t>
  </si>
  <si>
    <t xml:space="preserve"> Sonnenblumen</t>
  </si>
  <si>
    <t xml:space="preserve"> Zuckerhirse für GPS*</t>
  </si>
  <si>
    <t xml:space="preserve"> Raps</t>
  </si>
  <si>
    <t xml:space="preserve"> Sommergetreide für GPS*</t>
  </si>
  <si>
    <t xml:space="preserve"> Silomais</t>
  </si>
  <si>
    <t xml:space="preserve"> Wintergetreide für GPS*</t>
  </si>
  <si>
    <t xml:space="preserve"> Körnermais</t>
  </si>
  <si>
    <t xml:space="preserve"> Grünschnittroggen</t>
  </si>
  <si>
    <t xml:space="preserve"> Sommergetreide</t>
  </si>
  <si>
    <t xml:space="preserve"> Hanf</t>
  </si>
  <si>
    <t xml:space="preserve"> Wintergetreide</t>
  </si>
  <si>
    <t>je 1000 € Versicherungssumme</t>
  </si>
  <si>
    <t>Württemberg</t>
  </si>
  <si>
    <t xml:space="preserve"> Kultur</t>
  </si>
  <si>
    <t>Quelle: Vereinigte Hagelversicherung VVaG; Bezirksdirektion Stuttgart 07/2019.</t>
  </si>
  <si>
    <t>Hagelversicherung</t>
  </si>
  <si>
    <t xml:space="preserve"> Vorfruchtwert</t>
  </si>
  <si>
    <t>(0-70 €/ha)</t>
  </si>
  <si>
    <t xml:space="preserve"> Einsparung Pflanzenschutz Folgefrucht</t>
  </si>
  <si>
    <t>(20-60 €/ha)</t>
  </si>
  <si>
    <t xml:space="preserve"> Verringerter Aufwand Bodenbearbeitung</t>
  </si>
  <si>
    <t>(5-35 kg/ha)</t>
  </si>
  <si>
    <t xml:space="preserve"> Einsparung N-Dünger zur Folgefrucht</t>
  </si>
  <si>
    <t>€/kg</t>
  </si>
  <si>
    <t>kg/ha</t>
  </si>
  <si>
    <t>3.</t>
  </si>
  <si>
    <t>2.</t>
  </si>
  <si>
    <t>W-Weizen</t>
  </si>
  <si>
    <t>1.</t>
  </si>
  <si>
    <t>Nachfrucht</t>
  </si>
  <si>
    <t>Mehrerlös</t>
  </si>
  <si>
    <t>Mehrertrag</t>
  </si>
  <si>
    <t xml:space="preserve"> Mehrerlös Nachfrucht</t>
  </si>
  <si>
    <t>Erzeuger-preis</t>
  </si>
  <si>
    <t>Ackerbohne</t>
  </si>
  <si>
    <t>Beispiel:</t>
  </si>
  <si>
    <t>Dorothee Alpmann, Prof. Dr. Bernhard C. Schäfer, 
Fachhochschule Südwestfalen (UFOP, 2014).</t>
  </si>
  <si>
    <t xml:space="preserve">in Anlehnung an Vereinfachte Kalkulation des Vorfruchtwertes beim Anbau von Körnerleguminosen. </t>
  </si>
  <si>
    <t>FAKT-Blühmischung (Brachebegrünung)</t>
  </si>
  <si>
    <t>2) Information ZG Raiffeisen 03/2015 (zw. 58-65 €/Einh.).</t>
  </si>
  <si>
    <t>1) G = Gründüngung; F = Futternutzung.</t>
  </si>
  <si>
    <t>Speisefrühkartoffeln</t>
  </si>
  <si>
    <t xml:space="preserve">F+(G)          </t>
  </si>
  <si>
    <t>120-150</t>
  </si>
  <si>
    <t>Speisekartoffeln</t>
  </si>
  <si>
    <t xml:space="preserve">F          </t>
  </si>
  <si>
    <t>bitterstoffarm</t>
  </si>
  <si>
    <t xml:space="preserve">G          </t>
  </si>
  <si>
    <t>9-12</t>
  </si>
  <si>
    <t>Phacelia</t>
  </si>
  <si>
    <t xml:space="preserve">G+F          </t>
  </si>
  <si>
    <t>0,6-2,5</t>
  </si>
  <si>
    <t>Herbstrüben</t>
  </si>
  <si>
    <t>6-8</t>
  </si>
  <si>
    <t>Sareptasenf</t>
  </si>
  <si>
    <t>35</t>
  </si>
  <si>
    <t>Alexandrinerklee/einj. Weidelgras</t>
  </si>
  <si>
    <t>2)</t>
  </si>
  <si>
    <t>80-90</t>
  </si>
  <si>
    <t>Landsberger Gemenge</t>
  </si>
  <si>
    <t xml:space="preserve"> Mischungen</t>
  </si>
  <si>
    <t>20-25</t>
  </si>
  <si>
    <t>Gelbsenf (nematodenresistent)</t>
  </si>
  <si>
    <t>Gelbsenf</t>
  </si>
  <si>
    <t>Liniensorten</t>
  </si>
  <si>
    <t>Ölrettich (nematodenresistent)</t>
  </si>
  <si>
    <t>Hybridsorten</t>
  </si>
  <si>
    <t>Ölrettich</t>
  </si>
  <si>
    <t>400TK/Einheit</t>
  </si>
  <si>
    <t>8-12</t>
  </si>
  <si>
    <t>Sommerrübsen</t>
  </si>
  <si>
    <t>50TK/Einheit</t>
  </si>
  <si>
    <t xml:space="preserve">G+(F)          </t>
  </si>
  <si>
    <t>12-17</t>
  </si>
  <si>
    <t>Winterrübsen</t>
  </si>
  <si>
    <t>15-25</t>
  </si>
  <si>
    <t xml:space="preserve"> Ölsaaten</t>
  </si>
  <si>
    <t>Inkarnatklee</t>
  </si>
  <si>
    <t>Futtergerste</t>
  </si>
  <si>
    <t>Alexandrinerklee</t>
  </si>
  <si>
    <t>Backweizen; B</t>
  </si>
  <si>
    <t>Perserklee</t>
  </si>
  <si>
    <t xml:space="preserve"> Kleesaaten</t>
  </si>
  <si>
    <t>40-50</t>
  </si>
  <si>
    <t>Welsches Weidelgras</t>
  </si>
  <si>
    <t>Einj. Weidelgras</t>
  </si>
  <si>
    <t xml:space="preserve"> Gräser</t>
  </si>
  <si>
    <t>Gemenge (Erb/AB/Wi)</t>
  </si>
  <si>
    <t>150-200</t>
  </si>
  <si>
    <t>Populationssorten</t>
  </si>
  <si>
    <t>Winterwicken</t>
  </si>
  <si>
    <t>Eliteweizen; E</t>
  </si>
  <si>
    <t>Saatwicken</t>
  </si>
  <si>
    <t>Qualitätsweizen; A</t>
  </si>
  <si>
    <t>140-160</t>
  </si>
  <si>
    <t>Futtererbse</t>
  </si>
  <si>
    <t>180-200</t>
  </si>
  <si>
    <t>Hülsenfrüchte</t>
  </si>
  <si>
    <t>Futterweizen; C</t>
  </si>
  <si>
    <t>€/ha (o.MwSt.)</t>
  </si>
  <si>
    <r>
      <t>G/F</t>
    </r>
    <r>
      <rPr>
        <vertAlign val="superscript"/>
        <sz val="8"/>
        <rFont val="Arial"/>
        <family val="2"/>
      </rPr>
      <t>1)</t>
    </r>
  </si>
  <si>
    <t>€/dt bzw. Einh. (o.Mwst.)</t>
  </si>
  <si>
    <t>Saatgutkosten</t>
  </si>
  <si>
    <t>Nutzung</t>
  </si>
  <si>
    <t>Saatmenge</t>
  </si>
  <si>
    <t>Kultur</t>
  </si>
  <si>
    <t>Saat-/Pflanzgutpreis</t>
  </si>
  <si>
    <t xml:space="preserve"> Kulturen</t>
  </si>
  <si>
    <t>Quelle: BayWa Saatgut Agrar, 07/2019.</t>
  </si>
  <si>
    <t>Saatgut: Begrünung, Zwischenfrucht</t>
  </si>
  <si>
    <t>Saatgut</t>
  </si>
  <si>
    <t xml:space="preserve"> Summe</t>
  </si>
  <si>
    <t>€/dt      =</t>
  </si>
  <si>
    <t xml:space="preserve"> + Nachbaulizenz</t>
  </si>
  <si>
    <t xml:space="preserve"> Reinigen+Beizen</t>
  </si>
  <si>
    <t>Eigen *</t>
  </si>
  <si>
    <t>Zukauf *</t>
  </si>
  <si>
    <t xml:space="preserve"> Anteil Zukauf:</t>
  </si>
  <si>
    <t>130</t>
  </si>
  <si>
    <t xml:space="preserve"> Saatmenge:</t>
  </si>
  <si>
    <t>Berechnungsbeispiel</t>
  </si>
  <si>
    <t>(Stand:07/2019).</t>
  </si>
  <si>
    <t>Quelle: Saatgut-Treuhandverwaltungs GmbH www.stv-bonn.de (Vertragssortenliste 2018/2019)</t>
  </si>
  <si>
    <t xml:space="preserve">  </t>
  </si>
  <si>
    <t>3,80-20,00</t>
  </si>
  <si>
    <t>Kartoffeln</t>
  </si>
  <si>
    <t>10,90-13,00</t>
  </si>
  <si>
    <t>8,20-16,00</t>
  </si>
  <si>
    <t>Erbsen</t>
  </si>
  <si>
    <t>8,20-15,00</t>
  </si>
  <si>
    <t>4,87-35,00</t>
  </si>
  <si>
    <t>Züchterlizenzgebühren</t>
  </si>
  <si>
    <t xml:space="preserve"> 48 - 63,50 €</t>
  </si>
  <si>
    <t>Verkaufspreis an Landwirte</t>
  </si>
  <si>
    <t xml:space="preserve"> 01,00 - 07,00 €</t>
  </si>
  <si>
    <t>Lagerung u. Transport</t>
  </si>
  <si>
    <t xml:space="preserve"> 01,00 - 05,00 €</t>
  </si>
  <si>
    <t>Handelsspanne</t>
  </si>
  <si>
    <t xml:space="preserve"> 01,00 - 03,00 €</t>
  </si>
  <si>
    <t>Vo-Spanne</t>
  </si>
  <si>
    <t>07,00 - 10,50 €</t>
  </si>
  <si>
    <t>Züchterlizenz</t>
  </si>
  <si>
    <t>01,60 €</t>
  </si>
  <si>
    <t>Verpackung</t>
  </si>
  <si>
    <t>(Mittelkosten, Beizanlage, Beizlohn)</t>
  </si>
  <si>
    <t>09,30 €</t>
  </si>
  <si>
    <t>Beizung Fungizid</t>
  </si>
  <si>
    <t>Aufbereitung, Risikoausgleich)</t>
  </si>
  <si>
    <t xml:space="preserve">(Mehrkosten Basissaatgut, Bereinigung, </t>
  </si>
  <si>
    <t>06,25 €</t>
  </si>
  <si>
    <t>Vermehreraufschlag</t>
  </si>
  <si>
    <t>20,50 €</t>
  </si>
  <si>
    <t>Vermehrungsgrundpreis</t>
  </si>
  <si>
    <t>Quelle: BW-agrar, Nr.36/2011, S.61.</t>
  </si>
  <si>
    <t>So setzt sich der Saatgutpreis zusammen, Bsp. Winterweizen, (A-Qualität)</t>
  </si>
  <si>
    <t>verknüpft und können für individuelle Kalkulationen verwendet werden.</t>
  </si>
  <si>
    <t xml:space="preserve">Nachfolgende Spezialinformationen (Ausnahme: Hagelversicherung) sind mit den Berechnungsgrundlagen nicht </t>
  </si>
  <si>
    <t>Sonstige Kosten</t>
  </si>
  <si>
    <t>Begr</t>
  </si>
  <si>
    <t>Leer(1)</t>
  </si>
  <si>
    <t>F33</t>
  </si>
  <si>
    <t>F32</t>
  </si>
  <si>
    <t>F31</t>
  </si>
  <si>
    <t>F30</t>
  </si>
  <si>
    <t>E33</t>
  </si>
  <si>
    <t>E32</t>
  </si>
  <si>
    <t>E31</t>
  </si>
  <si>
    <t>E30</t>
  </si>
  <si>
    <t>K2O</t>
  </si>
  <si>
    <t>P2O5</t>
  </si>
  <si>
    <t>Blattname</t>
  </si>
  <si>
    <t>Anteil Nebenprodukt vom Hauptprodukt</t>
  </si>
  <si>
    <t>Entzug/Ertrag</t>
  </si>
  <si>
    <t>Nährstoffentzug</t>
  </si>
  <si>
    <t>Erzielte Verwertung der Fläche 
(maximaler Pachtpreis)</t>
  </si>
  <si>
    <t>€/AKh</t>
  </si>
  <si>
    <t>Erzielter Stundenlohn</t>
  </si>
  <si>
    <t>Kostendeckender Erlös mit Berücksichtigung von Prämien</t>
  </si>
  <si>
    <t>Kostendeckender Erlös ohne Berücksichtigung von Prämien</t>
  </si>
  <si>
    <t>Betriebszweigergebnis mit Prämien</t>
  </si>
  <si>
    <t>Betriebszweigergebnis ohne Prämien</t>
  </si>
  <si>
    <t>Summe Festkosten, Lohn- und Pachtansatz</t>
  </si>
  <si>
    <t>Pachtansatz</t>
  </si>
  <si>
    <t>Festkosten</t>
  </si>
  <si>
    <t>dt</t>
  </si>
  <si>
    <t>Deckungsbeitrag mit Prämien
 (und Zinsansatz für Umlaufvermögen)</t>
  </si>
  <si>
    <t>Deckungsbeitrag ohne Prämien</t>
  </si>
  <si>
    <t>variable Kosten (ohne Zinsansatz)</t>
  </si>
  <si>
    <t>Leistungen insgesamt</t>
  </si>
  <si>
    <t>Nebenleistungen</t>
  </si>
  <si>
    <t>Preis</t>
  </si>
  <si>
    <t>Ertragsniveau</t>
  </si>
  <si>
    <t>1) Erforderlicher Preis der Hauptkultur zur Erzielung des selben Kalkulatorischen Betriebszweigergebnisses der Vergleichskultur</t>
  </si>
  <si>
    <r>
      <t xml:space="preserve"> Gleichgewichtspreis der Hauptkultur </t>
    </r>
    <r>
      <rPr>
        <b/>
        <vertAlign val="superscript"/>
        <sz val="12"/>
        <rFont val="Arial"/>
        <family val="2"/>
      </rPr>
      <t xml:space="preserve">1) </t>
    </r>
    <r>
      <rPr>
        <sz val="12"/>
        <rFont val="Arial"/>
        <family val="2"/>
      </rPr>
      <t>(incl. Mwst.)</t>
    </r>
  </si>
  <si>
    <t>(Z.62 - 61)</t>
  </si>
  <si>
    <t>Differenz</t>
  </si>
  <si>
    <t xml:space="preserve">      (ohne Prämien aus ZA)</t>
  </si>
  <si>
    <r>
      <t xml:space="preserve"> Kalk. Betriebszweigergebnis der </t>
    </r>
    <r>
      <rPr>
        <b/>
        <sz val="12"/>
        <rFont val="Arial"/>
        <family val="2"/>
      </rPr>
      <t>Hauptkultur</t>
    </r>
    <r>
      <rPr>
        <sz val="12"/>
        <rFont val="Arial"/>
        <family val="2"/>
      </rPr>
      <t xml:space="preserve">       </t>
    </r>
    <r>
      <rPr>
        <sz val="8"/>
        <rFont val="Arial"/>
        <family val="2"/>
      </rPr>
      <t>(Z. 34)</t>
    </r>
  </si>
  <si>
    <r>
      <t xml:space="preserve"> Kalk. Betriebszweigergebnis der </t>
    </r>
    <r>
      <rPr>
        <b/>
        <sz val="12"/>
        <rFont val="Arial"/>
        <family val="2"/>
      </rPr>
      <t>Vergleichskultur</t>
    </r>
  </si>
  <si>
    <t>+50%</t>
  </si>
  <si>
    <t>+20%</t>
  </si>
  <si>
    <t>+10%</t>
  </si>
  <si>
    <t>-10%</t>
  </si>
  <si>
    <t>-25%</t>
  </si>
  <si>
    <t>-50%</t>
  </si>
  <si>
    <t>Marktpreis (ohne Mwst.)</t>
  </si>
  <si>
    <r>
      <t xml:space="preserve">Deckungsbeitrag
</t>
    </r>
    <r>
      <rPr>
        <sz val="9"/>
        <rFont val="Arial"/>
        <family val="2"/>
      </rPr>
      <t>(ohne Prämien, ohne Zinsansatz)</t>
    </r>
    <r>
      <rPr>
        <b/>
        <sz val="9"/>
        <rFont val="Arial"/>
        <family val="2"/>
      </rPr>
      <t/>
    </r>
  </si>
  <si>
    <t xml:space="preserve"> Deckungsbeitrag bei veränderten Preisen</t>
  </si>
  <si>
    <t xml:space="preserve"> (feste u. var. Makost, Lohnmaschinen, var. Lohnkosten, Lohnansatz)</t>
  </si>
  <si>
    <r>
      <t xml:space="preserve"> Kosten der Arbeitserledigung </t>
    </r>
    <r>
      <rPr>
        <sz val="8"/>
        <rFont val="Arial"/>
        <family val="2"/>
      </rPr>
      <t>(Z.18 + 19 + 20 + 28 + 29)</t>
    </r>
  </si>
  <si>
    <r>
      <t xml:space="preserve"> Direktkostenfreie Leistung </t>
    </r>
    <r>
      <rPr>
        <sz val="8"/>
        <rFont val="Arial"/>
        <family val="2"/>
      </rPr>
      <t>(Z.7 +10 - 52)</t>
    </r>
  </si>
  <si>
    <r>
      <t xml:space="preserve"> Direktkosten</t>
    </r>
    <r>
      <rPr>
        <sz val="10"/>
        <rFont val="Arial"/>
        <family val="2"/>
      </rPr>
      <t xml:space="preserve"> </t>
    </r>
    <r>
      <rPr>
        <sz val="8"/>
        <rFont val="Arial"/>
        <family val="2"/>
      </rPr>
      <t>(Summe Z.12 bis 17 + 24)</t>
    </r>
  </si>
  <si>
    <r>
      <t xml:space="preserve">mit Berücksichtigung von Prämien </t>
    </r>
    <r>
      <rPr>
        <sz val="8"/>
        <rFont val="Arial"/>
        <family val="2"/>
      </rPr>
      <t>(Z.47 - 49)</t>
    </r>
  </si>
  <si>
    <t xml:space="preserve">Kostendeckender Erlös für Hauptprodukt </t>
  </si>
  <si>
    <r>
      <t xml:space="preserve">abzgl. Prämien </t>
    </r>
    <r>
      <rPr>
        <sz val="8"/>
        <rFont val="Arial"/>
        <family val="2"/>
      </rPr>
      <t>(Z.10)</t>
    </r>
  </si>
  <si>
    <r>
      <t xml:space="preserve">ohne Berücksichtigung von Prämien </t>
    </r>
    <r>
      <rPr>
        <sz val="8"/>
        <rFont val="Arial"/>
        <family val="2"/>
      </rPr>
      <t>(Z.45 - 46)</t>
    </r>
  </si>
  <si>
    <r>
      <t>Kostendeckender Erlös für</t>
    </r>
    <r>
      <rPr>
        <sz val="12"/>
        <rFont val="Arial"/>
        <family val="2"/>
      </rPr>
      <t xml:space="preserve"> </t>
    </r>
    <r>
      <rPr>
        <b/>
        <sz val="12"/>
        <rFont val="Arial"/>
        <family val="2"/>
      </rPr>
      <t>Hauptprodukt</t>
    </r>
  </si>
  <si>
    <r>
      <t xml:space="preserve"> abzgl. Nebenleistungen </t>
    </r>
    <r>
      <rPr>
        <sz val="8"/>
        <rFont val="Arial"/>
        <family val="2"/>
      </rPr>
      <t>(Z.5 + 6)</t>
    </r>
  </si>
  <si>
    <r>
      <t xml:space="preserve">Summe Kosten </t>
    </r>
    <r>
      <rPr>
        <sz val="8"/>
        <rFont val="Arial"/>
        <family val="2"/>
      </rPr>
      <t>(Z.36)</t>
    </r>
  </si>
  <si>
    <t xml:space="preserve"> Kostendeckender Erlös</t>
  </si>
  <si>
    <t xml:space="preserve">  (Z.40 + 31) </t>
  </si>
  <si>
    <r>
      <t>Fläche,</t>
    </r>
    <r>
      <rPr>
        <sz val="10"/>
        <rFont val="Arial"/>
        <family val="2"/>
      </rPr>
      <t xml:space="preserve"> max. Pachtpreis langfristig, </t>
    </r>
    <r>
      <rPr>
        <b/>
        <sz val="10"/>
        <rFont val="Arial"/>
        <family val="2"/>
      </rPr>
      <t>mit</t>
    </r>
    <r>
      <rPr>
        <sz val="10"/>
        <rFont val="Arial"/>
        <family val="2"/>
      </rPr>
      <t xml:space="preserve"> Prämien</t>
    </r>
  </si>
  <si>
    <r>
      <t>Quote</t>
    </r>
    <r>
      <rPr>
        <sz val="11"/>
        <rFont val="Arial"/>
        <family val="2"/>
      </rPr>
      <t xml:space="preserve"> </t>
    </r>
    <r>
      <rPr>
        <sz val="10"/>
        <rFont val="Arial"/>
        <family val="2"/>
      </rPr>
      <t xml:space="preserve">(max. Kaufpreis/dt Quote)      </t>
    </r>
  </si>
  <si>
    <t xml:space="preserve">  (Z.40 + 28) </t>
  </si>
  <si>
    <r>
      <t>Arbeitseinkommen</t>
    </r>
    <r>
      <rPr>
        <sz val="12"/>
        <rFont val="Arial"/>
        <family val="2"/>
      </rPr>
      <t xml:space="preserve"> </t>
    </r>
    <r>
      <rPr>
        <sz val="10"/>
        <rFont val="Arial"/>
        <family val="2"/>
      </rPr>
      <t xml:space="preserve">(ständige AK); </t>
    </r>
    <r>
      <rPr>
        <b/>
        <sz val="10"/>
        <rFont val="Arial"/>
        <family val="2"/>
      </rPr>
      <t>mit</t>
    </r>
    <r>
      <rPr>
        <sz val="10"/>
        <rFont val="Arial"/>
        <family val="2"/>
      </rPr>
      <t xml:space="preserve"> Prämien            </t>
    </r>
  </si>
  <si>
    <t>€/Akh</t>
  </si>
  <si>
    <t xml:space="preserve"> Verwertung knapper Faktoren</t>
  </si>
  <si>
    <t>Kennwerte</t>
  </si>
  <si>
    <t xml:space="preserve"> mit Prämien</t>
  </si>
  <si>
    <r>
      <t xml:space="preserve"> </t>
    </r>
    <r>
      <rPr>
        <b/>
        <sz val="11"/>
        <rFont val="Arial"/>
        <family val="2"/>
      </rPr>
      <t>€/ha</t>
    </r>
  </si>
  <si>
    <r>
      <t xml:space="preserve"> Kalkulatorisches Betriebszweigergebnis  </t>
    </r>
    <r>
      <rPr>
        <sz val="8"/>
        <rFont val="Arial"/>
        <family val="2"/>
      </rPr>
      <t xml:space="preserve">(Z.37 + 39)         </t>
    </r>
  </si>
  <si>
    <t xml:space="preserve">+ Prämien </t>
  </si>
  <si>
    <t xml:space="preserve"> ohne Prämien </t>
  </si>
  <si>
    <r>
      <t xml:space="preserve"> Kalkulatorisches Betriebszweigergebnis    </t>
    </r>
    <r>
      <rPr>
        <sz val="8"/>
        <rFont val="Arial"/>
        <family val="2"/>
      </rPr>
      <t xml:space="preserve">(Z.35 - 36)      </t>
    </r>
  </si>
  <si>
    <r>
      <t>Summe Kosten</t>
    </r>
    <r>
      <rPr>
        <sz val="11"/>
        <rFont val="Arial"/>
        <family val="2"/>
      </rPr>
      <t xml:space="preserve"> </t>
    </r>
    <r>
      <rPr>
        <sz val="8"/>
        <rFont val="Arial"/>
        <family val="2"/>
      </rPr>
      <t>(var. Kosten, Zinsansatz, Festkosten einschl. Lohnansatz)</t>
    </r>
  </si>
  <si>
    <r>
      <t>Summe Leistungen</t>
    </r>
    <r>
      <rPr>
        <sz val="11"/>
        <rFont val="Arial"/>
        <family val="2"/>
      </rPr>
      <t xml:space="preserve"> </t>
    </r>
    <r>
      <rPr>
        <sz val="8"/>
        <rFont val="Arial"/>
        <family val="2"/>
      </rPr>
      <t>(</t>
    </r>
    <r>
      <rPr>
        <b/>
        <sz val="8"/>
        <rFont val="Arial"/>
        <family val="2"/>
      </rPr>
      <t>ohne</t>
    </r>
    <r>
      <rPr>
        <sz val="8"/>
        <rFont val="Arial"/>
        <family val="2"/>
      </rPr>
      <t xml:space="preserve"> Prämien)</t>
    </r>
  </si>
  <si>
    <t>Kalk. Betriebzweigergebnis</t>
  </si>
  <si>
    <t xml:space="preserve"> Summe Festkosten einschl. Lohnansatz </t>
  </si>
  <si>
    <t>Sonstige Festkosten</t>
  </si>
  <si>
    <t>Kosten für Quote</t>
  </si>
  <si>
    <r>
      <t>Kosten für Fläche und</t>
    </r>
    <r>
      <rPr>
        <sz val="10"/>
        <rFont val="Arial"/>
        <family val="2"/>
      </rPr>
      <t xml:space="preserve"> Zahlungsanspruch (Pachtansatz)</t>
    </r>
  </si>
  <si>
    <t>Feste Gebäudekosten</t>
  </si>
  <si>
    <t>Feste Maschinenkosten</t>
  </si>
  <si>
    <r>
      <t xml:space="preserve">Lohnansatz </t>
    </r>
    <r>
      <rPr>
        <sz val="10"/>
        <rFont val="Arial"/>
        <family val="2"/>
      </rPr>
      <t>(für ständige AK)</t>
    </r>
  </si>
  <si>
    <t>Festkosten u. Arbeit</t>
  </si>
  <si>
    <r>
      <t xml:space="preserve"> Arbeitszeitbedarf</t>
    </r>
    <r>
      <rPr>
        <sz val="12"/>
        <rFont val="Arial"/>
        <family val="2"/>
      </rPr>
      <t xml:space="preserve"> </t>
    </r>
    <r>
      <rPr>
        <sz val="11"/>
        <rFont val="Arial"/>
        <family val="2"/>
      </rPr>
      <t>(ständige AK)</t>
    </r>
  </si>
  <si>
    <r>
      <t xml:space="preserve"> Deckungsbeitrag </t>
    </r>
    <r>
      <rPr>
        <b/>
        <sz val="9"/>
        <rFont val="Arial"/>
        <family val="2"/>
      </rPr>
      <t>mit Prämien, nach Zinsansatz</t>
    </r>
    <r>
      <rPr>
        <b/>
        <sz val="10"/>
        <rFont val="Arial"/>
        <family val="2"/>
      </rPr>
      <t xml:space="preserve"> </t>
    </r>
    <r>
      <rPr>
        <sz val="8"/>
        <rFont val="Arial"/>
        <family val="2"/>
      </rPr>
      <t>(Z.22 + 23 - 24)</t>
    </r>
  </si>
  <si>
    <t>- Zinsansatz Umlaufvermögen</t>
  </si>
  <si>
    <t>+ Prämien</t>
  </si>
  <si>
    <r>
      <t xml:space="preserve"> Deckungsbeitrag </t>
    </r>
    <r>
      <rPr>
        <b/>
        <sz val="9"/>
        <rFont val="Arial"/>
        <family val="2"/>
      </rPr>
      <t>ohne Prämien</t>
    </r>
    <r>
      <rPr>
        <sz val="12"/>
        <rFont val="Arial"/>
        <family val="2"/>
      </rPr>
      <t xml:space="preserve"> </t>
    </r>
    <r>
      <rPr>
        <sz val="10"/>
        <rFont val="Arial"/>
        <family val="2"/>
      </rPr>
      <t xml:space="preserve"> </t>
    </r>
    <r>
      <rPr>
        <sz val="8"/>
        <rFont val="Arial"/>
        <family val="2"/>
      </rPr>
      <t>(Z.7 - 21)</t>
    </r>
  </si>
  <si>
    <t>Deckungsbeitrag</t>
  </si>
  <si>
    <r>
      <t xml:space="preserve"> Summe variable Kosten </t>
    </r>
    <r>
      <rPr>
        <sz val="8"/>
        <rFont val="Arial"/>
        <family val="2"/>
      </rPr>
      <t>(Summe Z.12 bis 20)</t>
    </r>
  </si>
  <si>
    <r>
      <t xml:space="preserve">Variable Lohnkosten </t>
    </r>
    <r>
      <rPr>
        <sz val="10"/>
        <rFont val="Arial"/>
        <family val="2"/>
      </rPr>
      <t>(nichtständige AK)</t>
    </r>
  </si>
  <si>
    <t>Lohnmaschinen</t>
  </si>
  <si>
    <r>
      <t xml:space="preserve">Variable Maschinenkosten </t>
    </r>
    <r>
      <rPr>
        <sz val="10"/>
        <rFont val="Arial"/>
        <family val="2"/>
      </rPr>
      <t>(eigene Maschinen)</t>
    </r>
  </si>
  <si>
    <t>Sonstige variable Kosten</t>
  </si>
  <si>
    <t>Trocknung / Konservierung</t>
  </si>
  <si>
    <t xml:space="preserve">Pflanzenschutz </t>
  </si>
  <si>
    <t>Düngung</t>
  </si>
  <si>
    <r>
      <t xml:space="preserve"> Summe Leistungen mit Prämien </t>
    </r>
    <r>
      <rPr>
        <sz val="8"/>
        <rFont val="Arial"/>
        <family val="2"/>
      </rPr>
      <t>(Z.7 + 10)</t>
    </r>
  </si>
  <si>
    <r>
      <t xml:space="preserve">Prämien insgesamt </t>
    </r>
    <r>
      <rPr>
        <sz val="8"/>
        <rFont val="Arial"/>
        <family val="2"/>
      </rPr>
      <t>(Z.8 +9 )</t>
    </r>
  </si>
  <si>
    <t>Sonstige Prämien (FAKT, Ausgleichszulage, ....)</t>
  </si>
  <si>
    <t>Betriebsprämie (ZA)</t>
  </si>
  <si>
    <r>
      <t xml:space="preserve"> Summe Leistungen </t>
    </r>
    <r>
      <rPr>
        <sz val="8"/>
        <rFont val="Arial"/>
        <family val="2"/>
      </rPr>
      <t>(Z.4 + 5 + 6)</t>
    </r>
  </si>
  <si>
    <t>Leistungen</t>
  </si>
  <si>
    <t>dav. Hauptprodukt</t>
  </si>
  <si>
    <t xml:space="preserve">   </t>
  </si>
  <si>
    <t xml:space="preserve"> Ertrag</t>
  </si>
  <si>
    <t xml:space="preserve"> Bewirtschaftungsintensität</t>
  </si>
  <si>
    <t>Verfahrensbeschreibung</t>
  </si>
  <si>
    <t>WRo</t>
  </si>
  <si>
    <t>Link</t>
  </si>
  <si>
    <t>Sonstige Prämien</t>
  </si>
  <si>
    <t>Betriebsprämie</t>
  </si>
  <si>
    <t>Verfahrensbeschreibung (Text)</t>
  </si>
  <si>
    <t>Nebenprodukt (Text)</t>
  </si>
  <si>
    <t>Summe Maschinenkosten (var. + Lohn)</t>
  </si>
  <si>
    <t>Summe sonst. Var. Kosten</t>
  </si>
  <si>
    <t>mit Berücksichtigung von allen Prämien</t>
  </si>
  <si>
    <r>
      <t xml:space="preserve"> Mindesterlös für</t>
    </r>
    <r>
      <rPr>
        <sz val="6"/>
        <rFont val="Arial"/>
        <family val="2"/>
      </rPr>
      <t xml:space="preserve"> Hauptprodukt (langfristig)</t>
    </r>
  </si>
  <si>
    <t xml:space="preserve">   abzgl. Alle Prämien </t>
  </si>
  <si>
    <t>ohne Berücksichtigung von Prämien</t>
  </si>
  <si>
    <t xml:space="preserve">   abzgl. alle Ausgleichsleistungen</t>
  </si>
  <si>
    <t xml:space="preserve">   daraus Stückkosten (Hauptprodukt)</t>
  </si>
  <si>
    <r>
      <t xml:space="preserve"> Summe Kosten </t>
    </r>
    <r>
      <rPr>
        <sz val="6"/>
        <rFont val="Arial"/>
        <family val="2"/>
      </rPr>
      <t>(abzgl. Nebenleistung, Vorfruchtwert)</t>
    </r>
  </si>
  <si>
    <t xml:space="preserve"> Summe Leistungen (Hauptprodukt)</t>
  </si>
  <si>
    <t xml:space="preserve"> Kosten der Arbeitserledigung</t>
  </si>
  <si>
    <t xml:space="preserve">   Fläche o. Geb. u. Masch.festkost.</t>
  </si>
  <si>
    <t xml:space="preserve">   Fläche ohne Gebäudekosten</t>
  </si>
  <si>
    <r>
      <t xml:space="preserve">   Fläche </t>
    </r>
    <r>
      <rPr>
        <sz val="6"/>
        <rFont val="Arial"/>
        <family val="2"/>
      </rPr>
      <t>(= max. Pachtpreis langfristig)</t>
    </r>
  </si>
  <si>
    <r>
      <t xml:space="preserve">   Quote</t>
    </r>
    <r>
      <rPr>
        <sz val="6"/>
        <rFont val="Arial"/>
        <family val="2"/>
      </rPr>
      <t xml:space="preserve"> (max. Kaufpreis/dt Quote)</t>
    </r>
  </si>
  <si>
    <r>
      <t xml:space="preserve">   Arbeit</t>
    </r>
    <r>
      <rPr>
        <sz val="6"/>
        <rFont val="Arial"/>
        <family val="2"/>
      </rPr>
      <t xml:space="preserve"> (ständige AK)</t>
    </r>
  </si>
  <si>
    <t xml:space="preserve"> Kalkul. Betriebszweigerg mit allen Prämien</t>
  </si>
  <si>
    <t xml:space="preserve">   alle Prämien </t>
  </si>
  <si>
    <t xml:space="preserve"> Kalkul. Betriebszweigerg. ohne alle Prämien</t>
  </si>
  <si>
    <t xml:space="preserve"> Summe feste Spezial- u. Gemeinkosten</t>
  </si>
  <si>
    <t xml:space="preserve">   Gemeinkosten</t>
  </si>
  <si>
    <t xml:space="preserve">   Lohnansatz (für ständige AK)</t>
  </si>
  <si>
    <t xml:space="preserve">   Kosten für Quote</t>
  </si>
  <si>
    <t xml:space="preserve">   Kosten für Fläche (Pachtansatz)</t>
  </si>
  <si>
    <t xml:space="preserve">   Feste Gebäudekosten</t>
  </si>
  <si>
    <t xml:space="preserve">   Feste Maschinenkosten</t>
  </si>
  <si>
    <r>
      <t xml:space="preserve"> Arbeitszeitbedarf</t>
    </r>
    <r>
      <rPr>
        <sz val="6"/>
        <rFont val="Arial"/>
        <family val="2"/>
      </rPr>
      <t xml:space="preserve"> (ständige AK)</t>
    </r>
  </si>
  <si>
    <r>
      <t xml:space="preserve"> Deckungsbeitrag </t>
    </r>
    <r>
      <rPr>
        <sz val="6"/>
        <rFont val="Arial"/>
        <family val="2"/>
      </rPr>
      <t>mit allen Prämien, Zinsansatz</t>
    </r>
  </si>
  <si>
    <t xml:space="preserve">   Zinsansatz Umlaufvermögen</t>
  </si>
  <si>
    <t xml:space="preserve"> alle  Ausgleichsleistungen</t>
  </si>
  <si>
    <r>
      <t xml:space="preserve"> Deckungsbeitrag </t>
    </r>
    <r>
      <rPr>
        <sz val="6"/>
        <rFont val="Arial"/>
        <family val="2"/>
      </rPr>
      <t>ohne Prämien, ohne Zinsansatz</t>
    </r>
  </si>
  <si>
    <t xml:space="preserve">   Sonstige variable Kosten</t>
  </si>
  <si>
    <t xml:space="preserve">   Hagelversicherung</t>
  </si>
  <si>
    <t xml:space="preserve">   Trocknung / Konservierung</t>
  </si>
  <si>
    <t xml:space="preserve">   Variable Lohnkosten (nichtständige AK)</t>
  </si>
  <si>
    <t xml:space="preserve">   Lohnmaschinen</t>
  </si>
  <si>
    <t xml:space="preserve">   Variable Maschinenkosten </t>
  </si>
  <si>
    <t xml:space="preserve">   Pflanzenschutz </t>
  </si>
  <si>
    <t xml:space="preserve">   Düngung</t>
  </si>
  <si>
    <t xml:space="preserve">   Saatgut (ggf. mit Begrünung)</t>
  </si>
  <si>
    <t xml:space="preserve"> Summe Leistungen ohne Prämien</t>
  </si>
  <si>
    <t xml:space="preserve">  Vorfruchtwert</t>
  </si>
  <si>
    <t xml:space="preserve">   Nebenleistung</t>
  </si>
  <si>
    <t xml:space="preserve">   Hauptleistung</t>
  </si>
  <si>
    <r>
      <t xml:space="preserve"> Preis </t>
    </r>
    <r>
      <rPr>
        <sz val="6"/>
        <rFont val="Arial"/>
        <family val="2"/>
      </rPr>
      <t>Hauptprodukt (incl. MwSt.)</t>
    </r>
  </si>
  <si>
    <t xml:space="preserve">   dav. Hauptprodukt</t>
  </si>
  <si>
    <t xml:space="preserve"> Leistungsniveau</t>
  </si>
  <si>
    <t>Festleg-ungsdauer:</t>
  </si>
  <si>
    <t xml:space="preserve"> Zinssatz (i):</t>
  </si>
  <si>
    <t>Zinsansatz für Umlaufvermögen</t>
  </si>
  <si>
    <t>mit MwSt.</t>
  </si>
  <si>
    <t>MwSt.-Satz</t>
  </si>
  <si>
    <t xml:space="preserve"> Sonstige variable Kosten [€/ha]</t>
  </si>
  <si>
    <t xml:space="preserve"> Hagelversicherung [€/ha]</t>
  </si>
  <si>
    <t>Konservierungsmittel</t>
  </si>
  <si>
    <t>Anteil % Erntegut</t>
  </si>
  <si>
    <t>WG (%)</t>
  </si>
  <si>
    <t xml:space="preserve"> Trocknung / Konservierung [€/ha]</t>
  </si>
  <si>
    <r>
      <t xml:space="preserve"> Variable Lohnkosten [€/ha]</t>
    </r>
    <r>
      <rPr>
        <sz val="12"/>
        <rFont val="Arial"/>
        <family val="2"/>
      </rPr>
      <t xml:space="preserve"> (nichtständige AK)</t>
    </r>
  </si>
  <si>
    <t xml:space="preserve"> Lohnmaschinen [€/ha]</t>
  </si>
  <si>
    <t>%, max. 10 AKh</t>
  </si>
  <si>
    <t>Mit Zuschl. für allg. Arbeiten</t>
  </si>
  <si>
    <r>
      <t xml:space="preserve"> Arbeitszeitbedarf [AKh/ha]</t>
    </r>
    <r>
      <rPr>
        <sz val="12"/>
        <rFont val="Arial"/>
        <family val="2"/>
      </rPr>
      <t xml:space="preserve"> (ständige AK)</t>
    </r>
  </si>
  <si>
    <t>gänge</t>
  </si>
  <si>
    <t>AKh</t>
  </si>
  <si>
    <t>kW / Antr.</t>
  </si>
  <si>
    <t>AKh/</t>
  </si>
  <si>
    <t>Arb.-</t>
  </si>
  <si>
    <t>je Arbeitsgang</t>
  </si>
  <si>
    <t>Gerät / Arbeitsgang</t>
  </si>
  <si>
    <r>
      <t xml:space="preserve"> Variable Maschinenkosten [€/ha]</t>
    </r>
    <r>
      <rPr>
        <sz val="12"/>
        <rFont val="Arial"/>
        <family val="2"/>
      </rPr>
      <t xml:space="preserve"> (eigene Masch.)</t>
    </r>
  </si>
  <si>
    <t>Einh./ha</t>
  </si>
  <si>
    <t>€/Einh.</t>
  </si>
  <si>
    <t xml:space="preserve"> Pflanzenschutz [€/ha]</t>
  </si>
  <si>
    <t>/dt Stroh</t>
  </si>
  <si>
    <t>/dt Ertrag</t>
  </si>
  <si>
    <t>Nährstoff</t>
  </si>
  <si>
    <t>Zu-/Abschl.</t>
  </si>
  <si>
    <t>Abfuhr kg</t>
  </si>
  <si>
    <t xml:space="preserve"> Düngung [€/ha]</t>
  </si>
  <si>
    <t>Hauptfrucht</t>
  </si>
  <si>
    <t xml:space="preserve"> Saatgut [€/ha]</t>
  </si>
  <si>
    <t>ohne Düngerersparnis</t>
  </si>
  <si>
    <t xml:space="preserve"> Vorfruchtwert [€/ha]</t>
  </si>
  <si>
    <t>Summe Prämien</t>
  </si>
  <si>
    <t>nein</t>
  </si>
  <si>
    <t>abgefahrene Strohmenge</t>
  </si>
  <si>
    <t xml:space="preserve"> Verfahrensspezifische Ausgleichsleist. [€/ha]</t>
  </si>
  <si>
    <r>
      <t xml:space="preserve">€/ha </t>
    </r>
    <r>
      <rPr>
        <sz val="8"/>
        <rFont val="Arial"/>
        <family val="2"/>
      </rPr>
      <t>(bei mittlerem Niveau)</t>
    </r>
  </si>
  <si>
    <t>Strohverkauf ab Feld</t>
  </si>
  <si>
    <t>gilt auch bei Pauschalverkauf des Strohes ab Feld</t>
  </si>
  <si>
    <t>v. Hauptpr.</t>
  </si>
  <si>
    <t>Nebenprodukt Stroh</t>
  </si>
  <si>
    <t>Nährstoffabfuhr Stroh</t>
  </si>
  <si>
    <t>Stroh</t>
  </si>
  <si>
    <t>Summe alle Nebenprodukte ohne Prämien</t>
  </si>
  <si>
    <t>Preis ändern</t>
  </si>
  <si>
    <t xml:space="preserve"> Leistung; Ertrag [€/ha]</t>
  </si>
  <si>
    <t>ab Feld</t>
  </si>
  <si>
    <t>eigene Strohabfuhr</t>
  </si>
  <si>
    <t>eigene Strohabfuhr:</t>
  </si>
  <si>
    <t>Gelbe Felder sind Eingabefelder !</t>
  </si>
  <si>
    <t>DB' e:</t>
  </si>
  <si>
    <t>Summe Nebenprodukte</t>
  </si>
  <si>
    <t>Hybridsorte</t>
  </si>
  <si>
    <t>Populationssorte</t>
  </si>
  <si>
    <t>Lohndrusch, 2 ha-Schlag</t>
  </si>
  <si>
    <t>Sortiergerste</t>
  </si>
  <si>
    <t xml:space="preserve"> </t>
  </si>
  <si>
    <t>Entzüge: lt. (LTZ-)   Nährstoffentzugswerte_Naebi2012.xls</t>
  </si>
  <si>
    <r>
      <t xml:space="preserve">Körnerhirse </t>
    </r>
    <r>
      <rPr>
        <b/>
        <sz val="12"/>
        <rFont val="Arial"/>
        <family val="2"/>
      </rPr>
      <t>(Lebens-/Futtermittel)</t>
    </r>
  </si>
  <si>
    <t>Liniensorten, inkrustiert</t>
  </si>
  <si>
    <t>00-Sorten, inkrustiert</t>
  </si>
  <si>
    <t>Rhizobium-Impfung, Erstanbau</t>
  </si>
  <si>
    <t>Quelle: Dr. B. Loibl Südzucker (ca. 1€/t und 10km)</t>
  </si>
  <si>
    <t>Rüben Transport (25% der Frachtkosten)</t>
  </si>
  <si>
    <t>Überrüben</t>
  </si>
  <si>
    <t>inkl. Rübenmarkvergütung und Qualitätszuschlägen</t>
  </si>
  <si>
    <t>Quelle: LTZ Klausmann (Vorkeimen)</t>
  </si>
  <si>
    <t>/dt Kraut</t>
  </si>
  <si>
    <t>Stand Feb. 2018</t>
  </si>
  <si>
    <t>Zeilen ausgeblendet !!</t>
  </si>
  <si>
    <t>Mitschke, BD Kartoffelbau Heilbronn</t>
  </si>
  <si>
    <t>LTZ (F.Klausmann)</t>
  </si>
  <si>
    <t>Quelle:</t>
  </si>
  <si>
    <t>Frühkartoffeln, Verkauf ab Feld</t>
  </si>
  <si>
    <t>Quelle: Leistungs-Kostenrechnung Pflanzenbau KTBL (27.08.2018)</t>
  </si>
  <si>
    <t>Wasser ca. 200m³/ha; 0,23 €/m³</t>
  </si>
  <si>
    <t>Folie 0,03 €/m², 3 Jahre</t>
  </si>
  <si>
    <t>Quelle:LTZ Klausmann (Folie, vorkeimen)</t>
  </si>
  <si>
    <t>Frühkartoffeln ab Feld / Folie</t>
  </si>
  <si>
    <t>Quelle: LTZ F. Klausmann (27.02.2018)</t>
  </si>
  <si>
    <t>Speisekartoffeln ab Feld</t>
  </si>
  <si>
    <t>Wasser</t>
  </si>
  <si>
    <t>Stand 09.04.2010</t>
  </si>
  <si>
    <t>Himmelhan, LRA Heilbronn</t>
  </si>
  <si>
    <t>ja</t>
  </si>
  <si>
    <t xml:space="preserve">FAKT - Brachebegrünung mit Blühmischung </t>
  </si>
  <si>
    <t>öVF konforme Mischung</t>
  </si>
  <si>
    <t>Zwischenfrucht (bei ÖVF 2 Arten (ohne FAKT-Teilnahme))</t>
  </si>
  <si>
    <t xml:space="preserve">nur in Kombination mit Anbau einer Sommerung! </t>
  </si>
  <si>
    <t>Deckungsbeiträge aller Leistungsniveaus</t>
  </si>
  <si>
    <t>Testfrucht1</t>
  </si>
  <si>
    <t>FAKT / Begrünung</t>
  </si>
  <si>
    <t>Blühmischung</t>
  </si>
  <si>
    <t>FAKT / Blühmischungen</t>
  </si>
  <si>
    <t xml:space="preserve">     Begrünungen</t>
  </si>
  <si>
    <t>Sonnenblume</t>
  </si>
  <si>
    <t>Linsen</t>
  </si>
  <si>
    <t>Sojabohne</t>
  </si>
  <si>
    <t>Roggen</t>
  </si>
  <si>
    <t>Dinkel-entspelzt</t>
  </si>
  <si>
    <t>Dinkel entspelzt</t>
  </si>
  <si>
    <t>Ww-Brot</t>
  </si>
  <si>
    <t>Winterweizen (Brot)</t>
  </si>
  <si>
    <t>Ww-Futter</t>
  </si>
  <si>
    <t>Winterweizen (Futter)</t>
  </si>
  <si>
    <t>Luzernegras2</t>
  </si>
  <si>
    <t>Luzernegras 2-jährig gemulcht</t>
  </si>
  <si>
    <t>Luzernegras1</t>
  </si>
  <si>
    <t>Luzernegras 1-jährig gemulcht</t>
  </si>
  <si>
    <t>Kleegras2</t>
  </si>
  <si>
    <t>Kleegras 2-jährig gemulcht</t>
  </si>
  <si>
    <t>Kleegras1</t>
  </si>
  <si>
    <t>Kleegras 1-jährig gemulcht</t>
  </si>
  <si>
    <t xml:space="preserve">     Gründüngung</t>
  </si>
  <si>
    <t xml:space="preserve">     Vorwort, Aufbau der Datei, Auswahl und Eingabe, allgemeine Informationen</t>
  </si>
  <si>
    <t>Erstellung: LEL Schwäbisch Gmünd mit Unterstützung der Ökoberatungsdienste Ulm und Schwäbisch Hall</t>
  </si>
  <si>
    <t>Tel. 07171 / 917-100  Fax 917-101  e-Mail: poststelle@lel.bwl.de   Vervielfältigung nur nach Rücksprache mit dem Herausgeber gestattet.</t>
  </si>
  <si>
    <t>© Landesanstalt für Entwicklung der Landwirtschaft und der ländlichen Räume (LEL),Oberbettringer Str. 162, 73525 Schwäbisch Gmünd</t>
  </si>
  <si>
    <t>Kalkulationsdaten</t>
  </si>
  <si>
    <t>Marktfrüchte Öko</t>
  </si>
  <si>
    <t xml:space="preserve">Ø Fruchtfolge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</si>
  <si>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</si>
  <si>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r>
      <t xml:space="preserve"> Deckungsbeitrag
 </t>
    </r>
    <r>
      <rPr>
        <sz val="8"/>
        <rFont val="Arial"/>
        <family val="2"/>
      </rPr>
      <t>(mit Prämien und Zinsansatz)</t>
    </r>
  </si>
  <si>
    <r>
      <t xml:space="preserve"> Deckungsbeitrag
 </t>
    </r>
    <r>
      <rPr>
        <sz val="8"/>
        <rFont val="Arial"/>
        <family val="2"/>
      </rPr>
      <t>(ohne Prämien und Zinsansatz)</t>
    </r>
  </si>
  <si>
    <r>
      <t xml:space="preserve"> Summe variable Kosten </t>
    </r>
    <r>
      <rPr>
        <b/>
        <vertAlign val="superscript"/>
        <sz val="9"/>
        <rFont val="Arial"/>
        <family val="2"/>
      </rPr>
      <t>3)</t>
    </r>
  </si>
  <si>
    <r>
      <t xml:space="preserve"> Sonstige variable Kosten </t>
    </r>
    <r>
      <rPr>
        <vertAlign val="superscript"/>
        <sz val="9"/>
        <rFont val="Arial"/>
        <family val="2"/>
      </rPr>
      <t>2)</t>
    </r>
  </si>
  <si>
    <r>
      <t xml:space="preserve"> Düngung </t>
    </r>
    <r>
      <rPr>
        <vertAlign val="superscript"/>
        <sz val="9"/>
        <rFont val="Arial"/>
        <family val="2"/>
      </rPr>
      <t>1)</t>
    </r>
  </si>
  <si>
    <t xml:space="preserve"> Ausgleichsleistungen</t>
  </si>
  <si>
    <t xml:space="preserve"> Nebenleistung</t>
  </si>
  <si>
    <t xml:space="preserve"> Hauptleistung</t>
  </si>
  <si>
    <t xml:space="preserve">Kleegras einjährig (70:30) </t>
  </si>
  <si>
    <r>
      <rPr>
        <vertAlign val="superscript"/>
        <sz val="8"/>
        <rFont val="Arial"/>
        <family val="2"/>
      </rPr>
      <t xml:space="preserve">1) </t>
    </r>
    <r>
      <rPr>
        <sz val="8"/>
        <rFont val="Arial"/>
        <family val="2"/>
      </rPr>
      <t xml:space="preserve">Ein negativer Wert bedeutet hier: Wert der Nährstofflieferung (Stickstoff) ist höher als die Nährstoffabfuhr                                                                                                                                                                                                                     </t>
    </r>
    <r>
      <rPr>
        <vertAlign val="superscript"/>
        <sz val="8"/>
        <rFont val="Arial"/>
        <family val="2"/>
      </rPr>
      <t xml:space="preserve">  2)</t>
    </r>
    <r>
      <rPr>
        <sz val="8"/>
        <rFont val="Arial"/>
        <family val="2"/>
      </rPr>
      <t xml:space="preserve"> Trocknung, Hagelversicherung, var. Lohnkosten, Zinsansatz für Umlaufvermögen                                                                                                                                                                                                                                                                                                                                          </t>
    </r>
    <r>
      <rPr>
        <vertAlign val="superscript"/>
        <sz val="8"/>
        <rFont val="Arial"/>
        <family val="2"/>
      </rPr>
      <t xml:space="preserve"> 3)</t>
    </r>
    <r>
      <rPr>
        <sz val="8"/>
        <rFont val="Arial"/>
        <family val="2"/>
      </rPr>
      <t xml:space="preserve"> Ohne Zinsansatz</t>
    </r>
  </si>
  <si>
    <t>Kleegras zweijährig (50:50)</t>
  </si>
  <si>
    <t>Luzernegras einjährig (70:30)</t>
  </si>
  <si>
    <t xml:space="preserve">2011 31,40 EUR/dt </t>
  </si>
  <si>
    <t xml:space="preserve">2010 26,50 EUR/dt </t>
  </si>
  <si>
    <t xml:space="preserve">2009 21,50 EUR/dt </t>
  </si>
  <si>
    <t xml:space="preserve">2008 28,90 EUR/dt </t>
  </si>
  <si>
    <t xml:space="preserve">2007 28,10 EUR/dt </t>
  </si>
  <si>
    <t xml:space="preserve">2011 36,75 EUR/dt </t>
  </si>
  <si>
    <t xml:space="preserve">2010 34,60 EUR/dt </t>
  </si>
  <si>
    <t xml:space="preserve">2009 23,90 EUR/dt </t>
  </si>
  <si>
    <t xml:space="preserve">2008 52,90 EUR/dt </t>
  </si>
  <si>
    <t xml:space="preserve">2007 48,60 EUR/dt </t>
  </si>
  <si>
    <t xml:space="preserve">2011 36,30 EUR/dt </t>
  </si>
  <si>
    <t xml:space="preserve">2010 31,30 EUR/dt </t>
  </si>
  <si>
    <t xml:space="preserve">2009 32,20 EUR/dt </t>
  </si>
  <si>
    <t xml:space="preserve">2008 42,20 EUR/dt </t>
  </si>
  <si>
    <t xml:space="preserve">2007 32,90 EUR/dt </t>
  </si>
  <si>
    <t xml:space="preserve">2011 36,55 EUR/dt </t>
  </si>
  <si>
    <t xml:space="preserve">2010 30,80 EUR/dt </t>
  </si>
  <si>
    <t xml:space="preserve">2011 32,50 EUR/dt </t>
  </si>
  <si>
    <t xml:space="preserve">2010 19,40 EUR/dt </t>
  </si>
  <si>
    <t xml:space="preserve">2009 20,90 EUR/dt </t>
  </si>
  <si>
    <t xml:space="preserve">2008 34,00 EUR/dt </t>
  </si>
  <si>
    <t xml:space="preserve">2007 33,20 EUR/dt </t>
  </si>
  <si>
    <t xml:space="preserve">2011 29,30 EUR/dt </t>
  </si>
  <si>
    <t xml:space="preserve">2010 18,50 EUR/dt </t>
  </si>
  <si>
    <t xml:space="preserve">2009 22,80 EUR/dt </t>
  </si>
  <si>
    <t xml:space="preserve">2008 43,40 EUR/dt </t>
  </si>
  <si>
    <t xml:space="preserve">2007 31,75 EUR/dt </t>
  </si>
  <si>
    <t xml:space="preserve">2011 36,05 EUR/dt </t>
  </si>
  <si>
    <t xml:space="preserve">2010 31,10 EUR/dt </t>
  </si>
  <si>
    <t xml:space="preserve">2009 37,85 EUR/dt </t>
  </si>
  <si>
    <t xml:space="preserve">2008 65,25 EUR/dt </t>
  </si>
  <si>
    <t xml:space="preserve">2007 51,15 EUR/dt </t>
  </si>
  <si>
    <t xml:space="preserve">2011 35,05 EUR/dt </t>
  </si>
  <si>
    <t xml:space="preserve">2010 27,00 EUR/dt </t>
  </si>
  <si>
    <t xml:space="preserve">2009 25,60 EUR/dt </t>
  </si>
  <si>
    <t xml:space="preserve">2008 39,60 EUR/dt </t>
  </si>
  <si>
    <t xml:space="preserve">2007 36,10 EUR/dt </t>
  </si>
  <si>
    <t xml:space="preserve">2010 21,40 EUR/dt </t>
  </si>
  <si>
    <t xml:space="preserve">2009 18,00 EUR/dt </t>
  </si>
  <si>
    <t xml:space="preserve">2008 28,40 EUR/dt </t>
  </si>
  <si>
    <t xml:space="preserve">2007 26,80 EUR/dt </t>
  </si>
  <si>
    <t>Excel-Trendfunktionen</t>
  </si>
  <si>
    <t>Quelle: Internet; Sächsische LA</t>
  </si>
  <si>
    <t>KTBL(2015): Faustzahlen für den ökologischen Landbau, S.412</t>
  </si>
  <si>
    <t>Stroh inkl. Pressen und Transport (2 km)</t>
  </si>
  <si>
    <t>AMI Ökolandbau Marktdaten (Stand 10.11.2017)</t>
  </si>
  <si>
    <t>KTBL Öko (2017) S.261</t>
  </si>
  <si>
    <t>Futterkartoffeln</t>
  </si>
  <si>
    <t>AMI Ökolandbau Marktdaten (Stand 10.11.2017) nur wenige Daten vorhanden</t>
  </si>
  <si>
    <t>KTBL(2015): Faustzahlen für den ökologischen Landbau, S.342</t>
  </si>
  <si>
    <t xml:space="preserve">Ackerbohnen - lose - , je t - </t>
  </si>
  <si>
    <t>AMI 2016-2018</t>
  </si>
  <si>
    <t>MITTELWERT</t>
  </si>
  <si>
    <t>Linsen Speise</t>
  </si>
  <si>
    <t>Sojabohnen Speise</t>
  </si>
  <si>
    <t>Sojabohnen Futter</t>
  </si>
  <si>
    <t>Mittelwert aus 1. und 2. Schnitt, Umrechnung in Trockenmasse</t>
  </si>
  <si>
    <t>KTBL(2015): Faustzahlen für den ökologischen Landbau, S.411</t>
  </si>
  <si>
    <t>Kleegras dt/TM Silage ohne Pressen/Wickeln</t>
  </si>
  <si>
    <t>KTBL(2015): Faustzahlen für den ökologischen Landbau, S.409</t>
  </si>
  <si>
    <t>Kleegras dt/TM stehend</t>
  </si>
  <si>
    <t>Kartoffeln (ab Feld) kein Lager</t>
  </si>
  <si>
    <t>(Brot, B)</t>
  </si>
  <si>
    <t>(Futter)</t>
  </si>
  <si>
    <t>LEL, Rosa Blatt für die Betriebskalkulation 18/19</t>
  </si>
  <si>
    <t>Phosphat</t>
  </si>
  <si>
    <t>Bemerkung</t>
  </si>
  <si>
    <t>Quelle</t>
  </si>
  <si>
    <t xml:space="preserve">Bleibt die Nährstoffabfuhr unberücksichtigt und werden keine Zukaufsdünger eingetragen, wird ein geschlossener Betriebskreislauf unterstellt. </t>
  </si>
  <si>
    <t>… Kosten von tatsächlich zugekauften Düngemitteln ohne Berücksichtigung der Nährstoffabfuhr</t>
  </si>
  <si>
    <t>Düngerwert kalkulieren mit:</t>
  </si>
  <si>
    <t>Nur Auswahl Ja oder Nein zulässig</t>
  </si>
  <si>
    <t>Warntext</t>
  </si>
  <si>
    <t>FAKT (D 2.2) Beibehaltung Öko Ackerbau/Grünland</t>
  </si>
  <si>
    <t>MEKA</t>
  </si>
  <si>
    <t>Nr. 061 (Nur Kipper ohne Fahrer)</t>
  </si>
  <si>
    <t>Kipper je t zul Gesamtgewicht je h</t>
  </si>
  <si>
    <t>Nr. 017 + 16,5€ Lohn</t>
  </si>
  <si>
    <t>Traktor75-92 kW inkl. Diesel + Fahrer je h</t>
  </si>
  <si>
    <t>(Nr. 018 +16,5€ Lohn) * (0,78Akh/ha / 20m3/ha (KTBL Öko S. 190))+Nr.222 a</t>
  </si>
  <si>
    <t>Nr. 225 *20t/ha (KTBL 16/17 S. 173) + Nr. 015* 1,7 (KTBL 16/17 S. 173) +16,5 € Stundenlohn *1,7 (KTBL 16/17 S. 173) /20t</t>
  </si>
  <si>
    <t>Festmistausbringung (im Lohn) €/t</t>
  </si>
  <si>
    <t>Nr. 328 4,4 €/m³ bei KTBL 16/17 S. 222 1,4dt/m³</t>
  </si>
  <si>
    <t>Stroh-Quaderballen pressen je dt</t>
  </si>
  <si>
    <t>Nr.326 je Ballen 7,80 € inkl. Schlepper, Fahrer und Garn bei 3,95 dt je Ballen ( KTBL 16/17 S. 202)</t>
  </si>
  <si>
    <t>siehe Nr. 15</t>
  </si>
  <si>
    <t xml:space="preserve">Nr. 232 +(Nr.014 + 16,5€ Stundenlohn) * 0,94 Akh/ha (KTBL Öko 2017 S. 202) </t>
  </si>
  <si>
    <t>Zeile Nr. 17 + (Nr. 018 + 6 € Siloverteiler (MR Laufen)*0,81+16,5 € Std)*0,9 Akh/ha (KTBL 16/17 S. 215)</t>
  </si>
  <si>
    <t>Nr. 347A +275 (KTBL 16/17 S. 21)*0,28 (Nr. 347A) (Akh/ha 0,94 KTBL 16/17 S. 21) Es wurde die Akh/ha vom Silomais angenommen, da das Verfahren mit enstsprechendem Schneidwerk genausolange dauert.</t>
  </si>
  <si>
    <t>Nr. 345A +275 (KTBL 16/17 S. 216)*0,28 (Nr. 345A)</t>
  </si>
  <si>
    <t>Nr.240 + Nr.014  bei 0,59 Akh/ha (KTBL 16/17 S. 185) und 16 €/h</t>
  </si>
  <si>
    <t>Zeile Nr. 16 + (Nr. 018 + 6 € Siloverteiler (MR Laufen)*0,81+16 € Std)*0,94 Akh/ha (KTBL 16/17 S. 216)</t>
  </si>
  <si>
    <t>Siehe Zeile Nr. 22 x 40dt Ertrag Stroh/ha</t>
  </si>
  <si>
    <t>Stroh-Quaderballen pressen je ha</t>
  </si>
  <si>
    <t>Siehe Zeile Nr. 21 x 40dt Ertrag Stroh/ha</t>
  </si>
  <si>
    <t>Stroh-Rundballen pressen je ha</t>
  </si>
  <si>
    <t>(Nr. 314+Nr 015 * 3m Arbeitsbreite+16,5€ )*1,19 Akh/ha (KTBL Öko 2017 S. 211)</t>
  </si>
  <si>
    <t>Weissert? Ladewagen? +Nr.24*1,39 Akh/ha + 1,39*16€  ( KTBL 16/17 S.200)</t>
  </si>
  <si>
    <t>Nr.454+(Nr.014*1,91 Akh/ha)+ (16,5 €*1,91 Akh/ha) (KTBL S. 196)</t>
  </si>
  <si>
    <t>KA - Schlägeln (m. Schl. + Fahrer)</t>
  </si>
  <si>
    <t>3,5*(Nr.459+017)+3,5*16,5€+10,46*10 € bei 0,32 Akh/ha ( KTBL 16/17 S.197)</t>
  </si>
  <si>
    <t>Nr. 403a +404</t>
  </si>
  <si>
    <t>Nr. 403a +404+405</t>
  </si>
  <si>
    <t>Nr. 403a +404+408</t>
  </si>
  <si>
    <t>Verrechnungssätze für 2017/18 und KTBL 16/17</t>
  </si>
  <si>
    <t>Maschinenring Baden- Württemberg</t>
  </si>
  <si>
    <t>Summe Handarbeit (Akh)</t>
  </si>
  <si>
    <t>Kartoffeln vermarkten</t>
  </si>
  <si>
    <t>KTBL ÖKO (2017): S.212</t>
  </si>
  <si>
    <t>Kartoffeln verlesen 25 t/ha</t>
  </si>
  <si>
    <t>KTBL Gemüse (2017): S. 371</t>
  </si>
  <si>
    <t>Bundmöhren Waschen mit Aufbereitungsanlage 40t/ha</t>
  </si>
  <si>
    <t>KTBL Gemüse (2017): S. 380</t>
  </si>
  <si>
    <t>Waschmöhren Aufbereitungs und Verpackstraße</t>
  </si>
  <si>
    <t>Tätigkeit</t>
  </si>
  <si>
    <t>sonstig Kultur</t>
  </si>
  <si>
    <t>Möhren Ag/ha</t>
  </si>
  <si>
    <t>Akh je Arbeits gang (Ag)</t>
  </si>
  <si>
    <t>Anhaltswerte Handakh Aufbereitung</t>
  </si>
  <si>
    <t>Summe Handarbeit (AKh)</t>
  </si>
  <si>
    <t>KTBL Gemüse (2017): S.168</t>
  </si>
  <si>
    <t xml:space="preserve">Bundmöhren ernten und bündeln </t>
  </si>
  <si>
    <t>KTBL ÖKO (2017): S. 221</t>
  </si>
  <si>
    <t>Bunkerroder zusätzl. 2 Sortier AK</t>
  </si>
  <si>
    <t>KTBL ÖKO (2017): S.214</t>
  </si>
  <si>
    <t>Disteln etc. entfernen</t>
  </si>
  <si>
    <t>KTBL Gemüse (2017): S.164</t>
  </si>
  <si>
    <t>Netz/folie zu den Arbeitsgängen 4*8 h</t>
  </si>
  <si>
    <t>KTBL Gemüse (2017): S.164+165</t>
  </si>
  <si>
    <t>Netz/Folie auflegen und bergen</t>
  </si>
  <si>
    <t>Hacken (extensiv) ein Durchgang</t>
  </si>
  <si>
    <t>KTBL (Öko 2017): S.214</t>
  </si>
  <si>
    <t>Jäten (intensiv) ein Durchgang</t>
  </si>
  <si>
    <t>Kartoffeln legen je ha</t>
  </si>
  <si>
    <t>KTBL Leistungs-Kostenrechnung Pflanzenbau, 2017</t>
  </si>
  <si>
    <t>Kartoffeln Vorkeimen je ha</t>
  </si>
  <si>
    <t>Kartof feln     Ag /ha</t>
  </si>
  <si>
    <t>Akh je Arbeits  gang (Ag)</t>
  </si>
  <si>
    <t>Anhaltswerte Handakh Feld</t>
  </si>
  <si>
    <t xml:space="preserve"> (= eigene Wahlmöglichkeit - t Nutzmasse wirkt sich damit direkt auf die Akh Transport aus)</t>
  </si>
  <si>
    <t>Transportfahrzeug t Nutzmasse</t>
  </si>
  <si>
    <t>Handakh Aufbereitung sonstige Kultur</t>
  </si>
  <si>
    <t>Handakh Aufbereitung Waschmöhre</t>
  </si>
  <si>
    <t>Handakh Aufbereitung Kartoffel</t>
  </si>
  <si>
    <t>Handakh Feld sonstige Kultur</t>
  </si>
  <si>
    <t>nach KTBL (2016/17): S.197 Berechnung abhängig von Akh/ha Bunkerroder mit 2 Sortier Ak</t>
  </si>
  <si>
    <t>Handakh Feld Kartoffel + Roder</t>
  </si>
  <si>
    <t>KTBL ÖKO (2010) S.173, Kombination eigener Werte in Tab.3 mgl.</t>
  </si>
  <si>
    <t>Handakh Feld Möhren</t>
  </si>
  <si>
    <t>Hanfstroh Transport/ein-/auslag.</t>
  </si>
  <si>
    <t>Hanfstroh Transport 15 km</t>
  </si>
  <si>
    <t>Hanfstroh laden</t>
  </si>
  <si>
    <t>aus Dr. Over, Kalk.daten Futterbau</t>
  </si>
  <si>
    <t>Hanf wenden 5,5 m</t>
  </si>
  <si>
    <t>Beregnung Rohre 2x, 4-5x beregnen</t>
  </si>
  <si>
    <t>HN, Himmelhan kann "2x" nicht deuten -&gt; alte Werte übernommen (Benz)</t>
  </si>
  <si>
    <t>HN, Himmelhan</t>
  </si>
  <si>
    <t>Kartoffelsammelroder, 1 r; 1 Sortierkraft, Fest-AK</t>
  </si>
  <si>
    <t>Kalkstreuer 6 m³,15 m, 2t/ha (ab Feld, mit Beladen)</t>
  </si>
  <si>
    <t>Schlepper 185-215 kW, Allrad CVT</t>
  </si>
  <si>
    <t>QUELLEN:</t>
  </si>
  <si>
    <t>Reparaturkosten inkl. Diesel</t>
  </si>
  <si>
    <t>Preis Diesel aktuell  in €/l ohne. Mwst.</t>
  </si>
  <si>
    <t>Agrardiesel aktuell in €/l</t>
  </si>
  <si>
    <t>2) ab 2011 nur der Aufpreis auf den Nennwert. Kosten für den Nennwert werden durch die Dividende abgedeckt</t>
  </si>
  <si>
    <r>
      <rPr>
        <vertAlign val="superscript"/>
        <sz val="10"/>
        <rFont val="Arial"/>
        <family val="2"/>
      </rPr>
      <t>2)</t>
    </r>
    <r>
      <rPr>
        <sz val="10"/>
        <rFont val="Arial"/>
        <family val="2"/>
      </rPr>
      <t xml:space="preserve"> Quelle: LEL intern, Betriebsverhältisse und Buchführungsergebnisse, WJ 2016/17, Getreidebaubetriebe &gt; 100 ha</t>
    </r>
  </si>
  <si>
    <t>incl. PKW</t>
  </si>
  <si>
    <r>
      <t xml:space="preserve">Gemeinkosten </t>
    </r>
    <r>
      <rPr>
        <b/>
        <vertAlign val="superscript"/>
        <sz val="11"/>
        <rFont val="Arial"/>
        <family val="2"/>
      </rPr>
      <t>2)</t>
    </r>
    <r>
      <rPr>
        <vertAlign val="superscript"/>
        <sz val="11"/>
        <rFont val="Arial"/>
        <family val="2"/>
      </rPr>
      <t xml:space="preserve"> </t>
    </r>
  </si>
  <si>
    <t xml:space="preserve"> Positionen 5730, 7700, 5740</t>
  </si>
  <si>
    <t xml:space="preserve">bei Leistungs-niveau </t>
  </si>
  <si>
    <r>
      <t xml:space="preserve">Pachtansatz </t>
    </r>
    <r>
      <rPr>
        <b/>
        <vertAlign val="superscript"/>
        <sz val="11"/>
        <rFont val="Arial"/>
        <family val="2"/>
      </rPr>
      <t>2)</t>
    </r>
  </si>
  <si>
    <t xml:space="preserve"> Position 5765</t>
  </si>
  <si>
    <t>Kostenansätze</t>
  </si>
  <si>
    <t xml:space="preserve">weitere </t>
  </si>
  <si>
    <r>
      <rPr>
        <vertAlign val="superscript"/>
        <sz val="10"/>
        <rFont val="Arial"/>
        <family val="2"/>
      </rPr>
      <t>1)</t>
    </r>
    <r>
      <rPr>
        <sz val="10"/>
        <rFont val="Arial"/>
        <family val="2"/>
      </rPr>
      <t xml:space="preserve"> Anschaffungswert abzüglich Anteil Lohnarbeiten (ca.10-20 %) und Anteil Restwert (ca.15 %)</t>
    </r>
  </si>
  <si>
    <t>Rüben Lager</t>
  </si>
  <si>
    <t>Sortier-und Aufbereitungseinrichtungen</t>
  </si>
  <si>
    <t>wird nicht übernommen!</t>
  </si>
  <si>
    <t>Feste zusätzliche Gebäudekosten Möhren Aufbereitung und Lagerung</t>
  </si>
  <si>
    <t>Feste zusätzliche Gebäudekosten Kartoffel Lagerung und Aufbereitung</t>
  </si>
  <si>
    <t>Maschinenhalle</t>
  </si>
  <si>
    <t>Feste Gebäudekosten allgemein</t>
  </si>
  <si>
    <t>Pflege/Düngung</t>
  </si>
  <si>
    <t>Bodenbearbeitung/Bestellung</t>
  </si>
  <si>
    <t>Versicher. Schlepper:</t>
  </si>
  <si>
    <t xml:space="preserve"> Positionen 5720, 5660</t>
  </si>
  <si>
    <r>
      <t xml:space="preserve">Feste Maschinenkosten  </t>
    </r>
    <r>
      <rPr>
        <b/>
        <vertAlign val="superscript"/>
        <sz val="12"/>
        <rFont val="Arial"/>
        <family val="2"/>
      </rPr>
      <t>2)</t>
    </r>
  </si>
  <si>
    <t>MwSt.Maschinen/Gebäude:</t>
  </si>
  <si>
    <t>Modellbetrieb mit 150 ha Ackerfläche</t>
  </si>
  <si>
    <t>Diese Preise können zum Teil stark von den tatsächlichen Marktpreisen abweichen.</t>
  </si>
  <si>
    <t xml:space="preserve">https://www.landwirtschaft-bw.info/pb/MLR.LEL-SG,Lde/Startseite/Unsere+Themen/Pflanze </t>
  </si>
  <si>
    <t xml:space="preserve">* berechnet auf Basis Nährstoffkosten und nutzbaren Nährstoffmengen. Siehe dazu Anwendung Nährstoffwert-Wirtschaftsdünger (LEL) </t>
  </si>
  <si>
    <t>Schweinegülle 14 % TM- Gehalt: 3,8 kg N/m³, 3,1 kg P2O5/m³, 2,2 kg K2O/m³, 1,8 kg Mg/t</t>
  </si>
  <si>
    <t>Gülle Schwein (m³)*</t>
  </si>
  <si>
    <t>Rindergülle 6,4 % TM- Gehalt: 1,5 kg N/m³, 0,5 kg P2O5/m³, 5,4 kg K2O/m³, 0,5 kg Mg/t</t>
  </si>
  <si>
    <t>Gülle Rind (m³)*</t>
  </si>
  <si>
    <t>Schweinefestmist 28 % TM- Gehalt: 1,6 kg N/t, 2,6 kg P2O5/t, 7,3 kg K2O/t, 1,2 kg Mg/t</t>
  </si>
  <si>
    <t>Festmist Schwein (t)*</t>
  </si>
  <si>
    <t>Rinderfestmist 23 % TM- Gehalt: 0,8 kg N/t, 1,2 kg P2O5/t, 7,4 kg K2O/t, 0,9 kg Mg/t</t>
  </si>
  <si>
    <t>Festmist Rind (t)*</t>
  </si>
  <si>
    <t>Quelle: KTBL ÖKO (2017) S.265</t>
  </si>
  <si>
    <t>Kohlensaurer Kalk (Kalkmergel) 90 % CaO</t>
  </si>
  <si>
    <t>Kalk (kg)</t>
  </si>
  <si>
    <t>Elementarer Schwefel (Gülleschwefel) 98 % S</t>
  </si>
  <si>
    <t>Schwefeldünger (kg)</t>
  </si>
  <si>
    <t>Magnesiumsulfat (z.B. Kieserit) 25 % MgO, 20 % S</t>
  </si>
  <si>
    <t>Magnesiumdünger 25% (kg)</t>
  </si>
  <si>
    <t>Kali-Rohsalz (z.B. Kainit) 11 % K2O, 5 % MgO, 4 % S, 20 % Na</t>
  </si>
  <si>
    <t>Kalidünger 11% (kg)</t>
  </si>
  <si>
    <t>Weicherdiges Rohphosphat 26 % P2O5, 31 % CaO</t>
  </si>
  <si>
    <t>Phosphatdünger 26 % (kg)</t>
  </si>
  <si>
    <t>Quelle: KTBL, Faustzahlen für den Ökolandbau S. 124</t>
  </si>
  <si>
    <t>Düngemittel</t>
  </si>
  <si>
    <t>Quelle: KTBL ÖKO (2017) S.266</t>
  </si>
  <si>
    <t>(Schnecken) 7-50 kg/ha, &gt;2,70 €/kg</t>
  </si>
  <si>
    <t>Eisen-III-Phosphat</t>
  </si>
  <si>
    <t>z.B. Dipel ES (Kartoffelkäferr) 5 l/ha, 17 € je l</t>
  </si>
  <si>
    <t>Bac.thureng. tenebrionis (je Anw.)</t>
  </si>
  <si>
    <t>z.B. Novodor (Maiszünsler) 2l/ha, 72 € je l</t>
  </si>
  <si>
    <t>Bac.thureng. kurstaki (je Anw.)</t>
  </si>
  <si>
    <t>Kupferhydroxid (Kraut und Konllenfäule) 2 l/ha, 22 € je l</t>
  </si>
  <si>
    <t>Kupfer (je Anw.)</t>
  </si>
  <si>
    <t>Azadirachtin (Kartoffelkäfer) 2,5 l/ha, 46 € je l</t>
  </si>
  <si>
    <t>Neempräparat (je Anw.)</t>
  </si>
  <si>
    <r>
      <t xml:space="preserve">Quelle: KTBL, Faustzahlen für den Ökolandbau S. 334 (0,6 </t>
    </r>
    <r>
      <rPr>
        <sz val="11"/>
        <rFont val="Arial"/>
        <family val="2"/>
      </rPr>
      <t xml:space="preserve">€ </t>
    </r>
    <r>
      <rPr>
        <sz val="10"/>
        <rFont val="Arial"/>
        <family val="2"/>
      </rPr>
      <t>je qm)</t>
    </r>
  </si>
  <si>
    <t>bei 4 Anwendungsjahren</t>
  </si>
  <si>
    <t xml:space="preserve">Schutznetz (je Anw.) </t>
  </si>
  <si>
    <t>Quelle: KTBL, Faustzahlen für den Ökolandbau S. 310 (Gaskosten Abflammen)</t>
  </si>
  <si>
    <t xml:space="preserve">zum Abflammen von Unkraut </t>
  </si>
  <si>
    <t>Propangas (je Anw.)</t>
  </si>
  <si>
    <t>Quelle: KTBL, Faustzahlen für den Ökolandbau S. 72 ( Material und eigene Herstellung und Aufbereitung angesetzt, ohne Kosten der Ausbringung)</t>
  </si>
  <si>
    <t>Feldspritzpräparate bei Demeter, ab Rührfass</t>
  </si>
  <si>
    <t>Bio-dyn-Präparate (je Anw.)</t>
  </si>
  <si>
    <t>Bemerkungen zu den aufgeführten Mitteln</t>
  </si>
  <si>
    <t>Preis je Einheit o.MwSt.</t>
  </si>
  <si>
    <t>Pflanzenschutz- und Düngemittel</t>
  </si>
  <si>
    <t>je Monat €/dt</t>
  </si>
  <si>
    <t>Getreidepreis</t>
  </si>
  <si>
    <r>
      <t>Kosten der Lagerhaltung</t>
    </r>
    <r>
      <rPr>
        <b/>
        <sz val="12"/>
        <rFont val="Arial"/>
        <family val="2"/>
      </rPr>
      <t xml:space="preserve"> (Darstellung in Abhängigkeit vom Getreidepreis)</t>
    </r>
  </si>
  <si>
    <t xml:space="preserve"> Einlagerungskosten bei 17 t Stundenleistung mit Zellenradgebläse 7,87 kW-E-Motor 1,12 €/h</t>
  </si>
  <si>
    <t>Quelle: in Anlehnung an DLZ 7/2001, S72 ff.; aktualisiert über Preisindizes des Stat. Bundesamtes (11/2011)</t>
  </si>
  <si>
    <t>Sontige</t>
  </si>
  <si>
    <t>je 1000 €
Versicherungs summe</t>
  </si>
  <si>
    <t>je 1000 €
Versicherungssumme</t>
  </si>
  <si>
    <t xml:space="preserve"> Reinigen + Beizen</t>
  </si>
  <si>
    <t xml:space="preserve"> Berechnungsbeispiel</t>
  </si>
  <si>
    <t>(Stand: 11/2017).</t>
  </si>
  <si>
    <t>Quelle: Saatgut-Treuhandverwaltungs GmbH www.stv-bonn.de/</t>
  </si>
  <si>
    <t>5,11-20</t>
  </si>
  <si>
    <t>8,00-11,40</t>
  </si>
  <si>
    <t>8,20-9,90</t>
  </si>
  <si>
    <t>4,87-33,00</t>
  </si>
  <si>
    <t>Nachbau</t>
  </si>
  <si>
    <t>Semo-BIO Abfrage 11/2018</t>
  </si>
  <si>
    <t>Blühmischung FAKT</t>
  </si>
  <si>
    <t>Sommerwicke</t>
  </si>
  <si>
    <t>Senf</t>
  </si>
  <si>
    <t>10-20</t>
  </si>
  <si>
    <t>Perserklee/Phacelia</t>
  </si>
  <si>
    <t>Soja entölen je dt</t>
  </si>
  <si>
    <t>Analog Öko-Futterbau LEL 2017/18</t>
  </si>
  <si>
    <t>Soja toasten je dt</t>
  </si>
  <si>
    <t>Absacken je dt Getreide (25 kg Säcke &amp; Akh)</t>
  </si>
  <si>
    <t>60-90</t>
  </si>
  <si>
    <t>Getreide Reinigung je dt</t>
  </si>
  <si>
    <t>Grünroggen</t>
  </si>
  <si>
    <t>Getreide Ein und Auslagern je dt (2* 0,35 €)</t>
  </si>
  <si>
    <t>10-14</t>
  </si>
  <si>
    <t>Luzernegras mehrjährig</t>
  </si>
  <si>
    <t>KTBL 2015: Faustzahlen für den Ökologischen Landbau S.668</t>
  </si>
  <si>
    <t xml:space="preserve">Getreide Lagerkosten je Monat/dt </t>
  </si>
  <si>
    <t>25-30</t>
  </si>
  <si>
    <t>Kleegras mehrjährig &lt; 50 % Klee</t>
  </si>
  <si>
    <t>14-40</t>
  </si>
  <si>
    <t>Kleegras einjährig &gt; 70 % Klee</t>
  </si>
  <si>
    <t>KTBL 2015: Faustzahlen für den Ökologischen Landbau S. 333</t>
  </si>
  <si>
    <t>12-16</t>
  </si>
  <si>
    <t>Gerben/Reinigen v. Dinkel je dt</t>
  </si>
  <si>
    <t>KTBL 2017: Leistungs-Kostenrechnung Pflanzenbau</t>
  </si>
  <si>
    <t>KTBL 2017:  Ökologischen Landbau S. 391</t>
  </si>
  <si>
    <t xml:space="preserve">Kartoffeln Lagerung je dt </t>
  </si>
  <si>
    <t>KTBL 2017:  Ökologischen Landbau S. 367</t>
  </si>
  <si>
    <t xml:space="preserve">Kartoffeln sortieren </t>
  </si>
  <si>
    <t>Speisekartoffeln (Sackware)</t>
  </si>
  <si>
    <t>KTBL 2015: Faustzahlen für den Ökologischen Landbau S. 347</t>
  </si>
  <si>
    <t>0,33 U</t>
  </si>
  <si>
    <t>162 €/U</t>
  </si>
  <si>
    <t>1 U</t>
  </si>
  <si>
    <t>Herr Mitschke 09/2017</t>
  </si>
  <si>
    <t>KTBL 2017:  Ökologischen Landbau S. 347</t>
  </si>
  <si>
    <t>120-240</t>
  </si>
  <si>
    <t>KTBL Öko 2017 S.432</t>
  </si>
  <si>
    <t>KTBL 2017:  Ökologischen Landbau S. 361</t>
  </si>
  <si>
    <t>50-200</t>
  </si>
  <si>
    <t>Kartoffeln beizen vs. Rhizoctonia</t>
  </si>
  <si>
    <t>100-180</t>
  </si>
  <si>
    <t>KTBL 2017:  Ökologischen Landbau S. 355</t>
  </si>
  <si>
    <t>70-230</t>
  </si>
  <si>
    <t>KTBL 2017:  Ökologischen Landbau S. 341</t>
  </si>
  <si>
    <t>2 U/ha</t>
  </si>
  <si>
    <t>Sommerfuttergerste</t>
  </si>
  <si>
    <t>KTBL Gemüse (2017) S.371 (97500 Bund/ha = 246,75 h/ha; 97500 Bund/ha = 82,5 t; 1dt = 118 Bund; 118 Bund /ha = 0,3 Akh/ha)</t>
  </si>
  <si>
    <t>KTBL 2017:  Ökologischen Landbau S. 317</t>
  </si>
  <si>
    <t>Sommerbraugerste</t>
  </si>
  <si>
    <t>KTBL 2017:  Ökologischen Landbau S. 322</t>
  </si>
  <si>
    <t>KTBL 2017:  Ökologischen Landbau S. 311</t>
  </si>
  <si>
    <t>Kalkung je dt inkl. Ausbringung</t>
  </si>
  <si>
    <t>KTBL Öko 2017 S.267</t>
  </si>
  <si>
    <t>Beregnung 2,30 €/mm 30 mm je Einheit</t>
  </si>
  <si>
    <t>KTBL Öko 2017 S.358</t>
  </si>
  <si>
    <t>KTBL 2017:  Ökologischen Landbau S. 293</t>
  </si>
  <si>
    <t>Impfung Soja je ha</t>
  </si>
  <si>
    <t>Saatgutkatalog Bioland Markt 2015</t>
  </si>
  <si>
    <t xml:space="preserve">Öko Beize je dt Saatgut </t>
  </si>
  <si>
    <t>150-220</t>
  </si>
  <si>
    <t>Einh/ha</t>
  </si>
  <si>
    <r>
      <t xml:space="preserve">kg/ha bzw.          </t>
    </r>
    <r>
      <rPr>
        <i/>
        <sz val="10"/>
        <rFont val="Arial"/>
        <family val="2"/>
      </rPr>
      <t>Einheit/ ha</t>
    </r>
  </si>
  <si>
    <r>
      <t xml:space="preserve">€/kg bzw. </t>
    </r>
    <r>
      <rPr>
        <i/>
        <sz val="10"/>
        <rFont val="Arial"/>
        <family val="2"/>
      </rPr>
      <t>€/Einheit</t>
    </r>
  </si>
  <si>
    <t>Saatgutpreis ohne Mehrwertsteuer</t>
  </si>
  <si>
    <t>Saatstärke</t>
  </si>
  <si>
    <t>Saatgutpreis</t>
  </si>
  <si>
    <t>Werte unterliegen starken individuellen Schwankungen!</t>
  </si>
  <si>
    <t>Alle Verfahren sind als Lohnverfahren dargestellt</t>
  </si>
  <si>
    <t>Annahmen für Z- Saatgut</t>
  </si>
  <si>
    <t xml:space="preserve">Sonstige variable Kosten </t>
  </si>
  <si>
    <t>mit Prämien</t>
  </si>
  <si>
    <t>ohne Prämien</t>
  </si>
  <si>
    <t xml:space="preserve"> Festleg-ungsdauer:</t>
  </si>
  <si>
    <t xml:space="preserve"> Hagelversicherung</t>
  </si>
  <si>
    <t>Pauschal bei Biogas (0,5-1,5 €/dt)</t>
  </si>
  <si>
    <t xml:space="preserve"> Trocknung (alternativ mit Biogasabwärme)</t>
  </si>
  <si>
    <r>
      <t xml:space="preserve"> Arbeitszeitbedarf</t>
    </r>
    <r>
      <rPr>
        <sz val="12"/>
        <rFont val="Arial"/>
        <family val="2"/>
      </rPr>
      <t xml:space="preserve"> (ständige AK)</t>
    </r>
  </si>
  <si>
    <r>
      <t xml:space="preserve"> davon variable Lohnkosten</t>
    </r>
    <r>
      <rPr>
        <sz val="12"/>
        <rFont val="Arial"/>
        <family val="2"/>
      </rPr>
      <t xml:space="preserve"> (nichtständige AK)</t>
    </r>
  </si>
  <si>
    <t xml:space="preserve"> Arbeitszeitbedarf gesamt</t>
  </si>
  <si>
    <t>KW / Antr.</t>
  </si>
  <si>
    <r>
      <t>Akh +  Variable Maschinenkosten</t>
    </r>
    <r>
      <rPr>
        <sz val="12"/>
        <rFont val="Arial"/>
        <family val="2"/>
      </rPr>
      <t xml:space="preserve"> </t>
    </r>
    <r>
      <rPr>
        <sz val="8"/>
        <rFont val="Arial"/>
        <family val="2"/>
      </rPr>
      <t>(eigene Masch.)</t>
    </r>
  </si>
  <si>
    <t xml:space="preserve"> Pflanzenschutz und Düngemittel</t>
  </si>
  <si>
    <t>kg je ha</t>
  </si>
  <si>
    <t xml:space="preserve"> Prämien aus Zahlungsansprüchen</t>
  </si>
  <si>
    <t xml:space="preserve"> Verfahrensspezifische Ausgleichsleist.</t>
  </si>
  <si>
    <t>Nebenprodukt (incl. MwSt.)</t>
  </si>
  <si>
    <t>Hauptprodukt (incl. MwSt.)</t>
  </si>
  <si>
    <t xml:space="preserve"> Leistung; Ertrag</t>
  </si>
  <si>
    <r>
      <t>in dt FM</t>
    </r>
    <r>
      <rPr>
        <sz val="12"/>
        <rFont val="Arial"/>
        <family val="2"/>
      </rPr>
      <t xml:space="preserve"> (mit 20 % TM)</t>
    </r>
  </si>
  <si>
    <t>Gelbe Felder sind Eingabefelder!</t>
  </si>
  <si>
    <t xml:space="preserve"> Deckungsbeitrag</t>
  </si>
  <si>
    <t>Kleegras 2jährig, 2mal mulchen /Jahr</t>
  </si>
  <si>
    <t>Luzernegras zweijährig (50:50)</t>
  </si>
  <si>
    <t>kg/dt Ertrag</t>
  </si>
  <si>
    <t>Abfuhr</t>
  </si>
  <si>
    <t>ktbl</t>
  </si>
  <si>
    <t xml:space="preserve">in dt </t>
  </si>
  <si>
    <t>Hauptprodukt entspelzt=</t>
  </si>
  <si>
    <t>Lohndrusch, 2 ha, inkl Entspelzung</t>
  </si>
  <si>
    <t>Lohnsaat,Lohndrusch, 2 ha-Schlag</t>
  </si>
  <si>
    <t>Lohndrusch,  2 ha-Schlag</t>
  </si>
  <si>
    <t>Baden</t>
  </si>
  <si>
    <t xml:space="preserve">2 ha-Schlag, ohne Einlagerung </t>
  </si>
  <si>
    <t xml:space="preserve"> Leistungsniveau in dt/ha</t>
  </si>
  <si>
    <t>2 ha-Schlag, Lohnernte, ab Feld</t>
  </si>
  <si>
    <t>Feingrubber 4,5 m</t>
  </si>
  <si>
    <t>Futterware</t>
  </si>
  <si>
    <t>Saat: Bis 15. Mai (1jährig) bzw. 15. Sept. (überj.), Mulchen ab Sept. bei Anbau einer Winterkultur</t>
  </si>
  <si>
    <t xml:space="preserve">FAKT-Blühmischung </t>
  </si>
  <si>
    <t>Zwischenfrucht mit Leguminosen</t>
  </si>
  <si>
    <t>FAKT-Begrünung</t>
  </si>
  <si>
    <t>Verwiegung</t>
  </si>
  <si>
    <t>© Statistisches Landesamt Baden-Württemberg, 2017</t>
  </si>
  <si>
    <t>Datenquelle: Ehrenamtliche Ernte- und Betriebsberichterstattung sowie Besondere Ernte- und Qualitätsermittlung.</t>
  </si>
  <si>
    <t>2) Einschließlich Dinkel und Einkorn.</t>
  </si>
  <si>
    <t>1) Einschließlich Corn‑Cob‑Mix.</t>
  </si>
  <si>
    <t>…</t>
  </si>
  <si>
    <t>Silomais</t>
  </si>
  <si>
    <t>Kartoffeln insgesamt</t>
  </si>
  <si>
    <t>Gerste zusammen</t>
  </si>
  <si>
    <t>Roggen und Wintermenggetreide</t>
  </si>
  <si>
    <r>
      <t>Winterweizen</t>
    </r>
    <r>
      <rPr>
        <b/>
        <vertAlign val="superscript"/>
        <sz val="10"/>
        <rFont val="Arial"/>
        <family val="2"/>
      </rPr>
      <t>2)</t>
    </r>
  </si>
  <si>
    <t>Weizen zusammen</t>
  </si>
  <si>
    <t>Getreide zusammen (ohne Körnermais)</t>
  </si>
  <si>
    <r>
      <t>Körnermais</t>
    </r>
    <r>
      <rPr>
        <b/>
        <vertAlign val="superscript"/>
        <sz val="10"/>
        <rFont val="Arial"/>
        <family val="2"/>
      </rPr>
      <t>1)</t>
    </r>
  </si>
  <si>
    <t>Getreide insgesamt (mit Körnermais)</t>
  </si>
  <si>
    <t>Durchschnitt 2017 errechnet</t>
  </si>
  <si>
    <t>Nov</t>
  </si>
  <si>
    <t>Okt</t>
  </si>
  <si>
    <t>Aug</t>
  </si>
  <si>
    <t>Jul</t>
  </si>
  <si>
    <t>Jun</t>
  </si>
  <si>
    <t>Ernte- und Betriebsberichterstattung</t>
  </si>
  <si>
    <t>Fruchtart</t>
  </si>
  <si>
    <t>Erträge der Hauptfeldfrüchte in Baden‑Württemberg 2017</t>
  </si>
  <si>
    <r>
      <t>Weiden</t>
    </r>
    <r>
      <rPr>
        <b/>
        <vertAlign val="superscript"/>
        <sz val="10"/>
        <rFont val="Arial"/>
        <family val="2"/>
      </rPr>
      <t>1)</t>
    </r>
  </si>
  <si>
    <r>
      <t>Wiesen</t>
    </r>
    <r>
      <rPr>
        <b/>
        <vertAlign val="superscript"/>
        <sz val="10"/>
        <rFont val="Arial"/>
        <family val="2"/>
      </rPr>
      <t>1)</t>
    </r>
  </si>
  <si>
    <t>Feldfrüchte</t>
  </si>
  <si>
    <t>Land Baden-Württemberg</t>
  </si>
  <si>
    <t>Feldgras</t>
  </si>
  <si>
    <t>Wiesen</t>
  </si>
  <si>
    <t>Leguminosen, Klee, Luzerne</t>
  </si>
  <si>
    <t>Kleegras,Luzernegemisch</t>
  </si>
  <si>
    <t>Luzerne</t>
  </si>
  <si>
    <t>Spätkartoffeln</t>
  </si>
  <si>
    <t>Körnermais (einschl. CCM)</t>
  </si>
  <si>
    <t>Ø</t>
  </si>
  <si>
    <t>Quelle: Stat.Berichte BW</t>
  </si>
  <si>
    <t>Erträge</t>
  </si>
  <si>
    <r>
      <t xml:space="preserve">Hektarerträge der Feldfrüchte </t>
    </r>
    <r>
      <rPr>
        <b/>
        <sz val="8"/>
        <rFont val="Arial"/>
        <family val="2"/>
      </rPr>
      <t>(Quelle: Statistisches Landesamt Baden- Württemberg 28.11.2017)</t>
    </r>
  </si>
  <si>
    <t>Linsen zur Körnergewinnung</t>
  </si>
  <si>
    <t>Sudangras</t>
  </si>
  <si>
    <t>Sonstige Flächen</t>
  </si>
  <si>
    <t>Pflanzkartoffeln</t>
  </si>
  <si>
    <t>€/KStE</t>
  </si>
  <si>
    <t>Futterrüben</t>
  </si>
  <si>
    <t>KSTE</t>
  </si>
  <si>
    <t>Sommerraps (00) und Rübsen</t>
  </si>
  <si>
    <t>Winterraps (00)</t>
  </si>
  <si>
    <t>Mais zur Saatgutvermehrung</t>
  </si>
  <si>
    <t>€/MJ NEL</t>
  </si>
  <si>
    <t>MJNEL</t>
  </si>
  <si>
    <t>Hirse</t>
  </si>
  <si>
    <t>Körnerleguminosen-Getreidegemenge</t>
  </si>
  <si>
    <t>CCM</t>
  </si>
  <si>
    <t>Saatgetreide (Sommer-)</t>
  </si>
  <si>
    <t>Saatgetreide (Winter-)</t>
  </si>
  <si>
    <t>Sommertriticale</t>
  </si>
  <si>
    <t>Wintertriticale</t>
  </si>
  <si>
    <t>Sommermenggetreide ohne Weizen</t>
  </si>
  <si>
    <t>Sommermenggetreide mit Weizen</t>
  </si>
  <si>
    <t>Sommerhafer</t>
  </si>
  <si>
    <t>Winterhafer</t>
  </si>
  <si>
    <t>Wintermenggetreide ohne Weizen</t>
  </si>
  <si>
    <t>Wintermenggetreide mit Weizen</t>
  </si>
  <si>
    <t>Sommerroggen</t>
  </si>
  <si>
    <t>Hartweizen (Durum)</t>
  </si>
  <si>
    <t>Quelle: Stat. Landesamt</t>
  </si>
  <si>
    <t>Erträge der letzten 3 Jahre</t>
  </si>
  <si>
    <t>Preise der letzten 3 Jahre</t>
  </si>
  <si>
    <t>Quelle: Marktstelle LEL</t>
  </si>
  <si>
    <t>Preise und Erträge wichtiger Ackerkulturen</t>
  </si>
  <si>
    <t>Erträge der letzten 4 Jahre</t>
  </si>
  <si>
    <t>Preise der letzten 4 Jahre</t>
  </si>
  <si>
    <t>Berechnungen der Erträge für die Kalkulation</t>
  </si>
  <si>
    <t>Erträge der letzten 5 Jahre</t>
  </si>
  <si>
    <t>Preise der letzten 5 Jahre</t>
  </si>
  <si>
    <t>=</t>
  </si>
  <si>
    <t>Summe: Dungwert der Gülle:</t>
  </si>
  <si>
    <t>kg MgO/ha</t>
  </si>
  <si>
    <t>MgO:</t>
  </si>
  <si>
    <t>kg K2O/ha</t>
  </si>
  <si>
    <t>K20:</t>
  </si>
  <si>
    <t>kg P2O5/ha</t>
  </si>
  <si>
    <t>P2O5:</t>
  </si>
  <si>
    <t>kg N/ha</t>
  </si>
  <si>
    <t>N:</t>
  </si>
  <si>
    <t>je ha</t>
  </si>
  <si>
    <t>der Gülle</t>
  </si>
  <si>
    <t>Nährstoffbedarf:</t>
  </si>
  <si>
    <t>Lager- und Ausbringverluste</t>
  </si>
  <si>
    <t>K2O:</t>
  </si>
  <si>
    <t>FM :</t>
  </si>
  <si>
    <t>Nährstoffkosten in €/kg (brutto):</t>
  </si>
  <si>
    <t>TM :</t>
  </si>
  <si>
    <t xml:space="preserve">Kalkulation auf Basis </t>
  </si>
  <si>
    <t>Ertrag:</t>
  </si>
  <si>
    <t>Substrat:</t>
  </si>
  <si>
    <t>Bewertung der Nährstoffe in der Biogasgülle:</t>
  </si>
  <si>
    <t>langfristige Preisuntergrenze (frei Fermenter)</t>
  </si>
  <si>
    <t>Vollkosten  (frei Biogas-Fermenter)</t>
  </si>
  <si>
    <t>Lohnansatz Entnahme + Transport</t>
  </si>
  <si>
    <t xml:space="preserve">   Silage Transp. Silo - Fermenter</t>
  </si>
  <si>
    <t xml:space="preserve">   Silage Entnahme</t>
  </si>
  <si>
    <t>(brutto)</t>
  </si>
  <si>
    <t>gang (brutto)</t>
  </si>
  <si>
    <t>(Siloentnahme+Transp.z.Fermenter)</t>
  </si>
  <si>
    <t>je Arbeits-</t>
  </si>
  <si>
    <r>
      <t xml:space="preserve">var. Maschinenkosten </t>
    </r>
    <r>
      <rPr>
        <sz val="12"/>
        <rFont val="Arial"/>
        <family val="2"/>
      </rPr>
      <t>(eigene Masch.)</t>
    </r>
  </si>
  <si>
    <t>langfr. Preisuntergrenze (incl. Einsilieren+ Festkosten Silo)</t>
  </si>
  <si>
    <t>Vollkosten (incl. Festkosten Silo)</t>
  </si>
  <si>
    <t xml:space="preserve"> jährlich</t>
  </si>
  <si>
    <t>Festkosten Silo (Afa, Unterhaltung)</t>
  </si>
  <si>
    <t>langfristige Preisuntergrenze (incl. Einlagern)</t>
  </si>
  <si>
    <t>Vollkosten (incl. Einlagern)</t>
  </si>
  <si>
    <t>Lohnansatz Ernte + Einlagerung</t>
  </si>
  <si>
    <t>gang</t>
  </si>
  <si>
    <t>(Ernte und Einlagerung)</t>
  </si>
  <si>
    <r>
      <t>var. Maschinenkosten</t>
    </r>
    <r>
      <rPr>
        <sz val="12"/>
        <rFont val="Arial"/>
        <family val="2"/>
      </rPr>
      <t xml:space="preserve"> (eigene Masch.)</t>
    </r>
  </si>
  <si>
    <t>Vollkosten  (ab Feld)</t>
  </si>
  <si>
    <t>langfristige Preisuntergrenze (ab Feld)</t>
  </si>
  <si>
    <t>Vollkosten (ab Feld)</t>
  </si>
  <si>
    <t>Summe PRÄMIEN</t>
  </si>
  <si>
    <t>Summe</t>
  </si>
  <si>
    <t>sonstige Festkosten</t>
  </si>
  <si>
    <t>Kosten für Fläche und Zahlungsanspruch (Pachtansatz)</t>
  </si>
  <si>
    <t>Feste Kosten sonst. Gebäude</t>
  </si>
  <si>
    <t>Feste Maschinenkosten (AfA,Versicherung)</t>
  </si>
  <si>
    <t>Produktionsschwelle (ab Feld)</t>
  </si>
  <si>
    <t>(Einzelkosten)</t>
  </si>
  <si>
    <t>variable Kosten incl. Lohnansatz, zurechenb. Feste Masch.k.</t>
  </si>
  <si>
    <t>zurechenbare feste Maschinenkosten</t>
  </si>
  <si>
    <t>zurechenbare feste Lohnkosten (anteiliger Lohnansatz)</t>
  </si>
  <si>
    <t>variable Lohnkosten (Saisonlöhne)</t>
  </si>
  <si>
    <t>Gülleausbringung (im Lohn)</t>
  </si>
  <si>
    <t>(Erzeugung auf dem Feld)</t>
  </si>
  <si>
    <t>sonstige variable Kosten</t>
  </si>
  <si>
    <t>Nährstoffverlust N</t>
  </si>
  <si>
    <t>Pflanzenschutz</t>
  </si>
  <si>
    <t>Zellverknüpfung Nährstoffrücklieferung Ja=1;Nein=2</t>
  </si>
  <si>
    <t>Nein</t>
  </si>
  <si>
    <t>Ja</t>
  </si>
  <si>
    <t xml:space="preserve"> - Nährstoffrücklieferung</t>
  </si>
  <si>
    <t>Saatgut (ggf. incl. Begrünung)</t>
  </si>
  <si>
    <t>je 
Arbeits-
gang</t>
  </si>
  <si>
    <t>(incl. Zuschlag für Rüstzeiten und Bestands- managem.</t>
  </si>
  <si>
    <t>je ha / je t FM</t>
  </si>
  <si>
    <t>ohne Mwst.</t>
  </si>
  <si>
    <t>incl. Mwst.</t>
  </si>
  <si>
    <t xml:space="preserve">gesamt
</t>
  </si>
  <si>
    <t>Kosten /</t>
  </si>
  <si>
    <t>Kosten / Preis</t>
  </si>
  <si>
    <t>Akh/ha</t>
  </si>
  <si>
    <t>Arbeitszeitbedarf</t>
  </si>
  <si>
    <t>Faktor: m³ Biogasgülle/ m³ Substrat</t>
  </si>
  <si>
    <t>Lohnansatz:</t>
  </si>
  <si>
    <t>Wagniszuschlag:</t>
  </si>
  <si>
    <t>Unternehmer-</t>
  </si>
  <si>
    <r>
      <t>K</t>
    </r>
    <r>
      <rPr>
        <b/>
        <vertAlign val="subscript"/>
        <sz val="11"/>
        <rFont val="Arial"/>
        <family val="2"/>
      </rPr>
      <t>2</t>
    </r>
    <r>
      <rPr>
        <b/>
        <sz val="11"/>
        <rFont val="Arial"/>
        <family val="2"/>
      </rPr>
      <t>O:</t>
    </r>
  </si>
  <si>
    <t>Lager-Dichte:</t>
  </si>
  <si>
    <r>
      <t>P</t>
    </r>
    <r>
      <rPr>
        <b/>
        <vertAlign val="subscript"/>
        <sz val="11"/>
        <rFont val="Arial"/>
        <family val="2"/>
      </rPr>
      <t>2</t>
    </r>
    <r>
      <rPr>
        <b/>
        <sz val="11"/>
        <rFont val="Arial"/>
        <family val="2"/>
      </rPr>
      <t>O</t>
    </r>
    <r>
      <rPr>
        <b/>
        <vertAlign val="subscript"/>
        <sz val="11"/>
        <rFont val="Arial"/>
        <family val="2"/>
      </rPr>
      <t>5</t>
    </r>
    <r>
      <rPr>
        <b/>
        <sz val="11"/>
        <rFont val="Arial"/>
        <family val="2"/>
      </rPr>
      <t>:</t>
    </r>
  </si>
  <si>
    <t>Lagerraum:</t>
  </si>
  <si>
    <t>Summe PRÄMIEN:</t>
  </si>
  <si>
    <t>TS-Gehalt:</t>
  </si>
  <si>
    <t>Prämie Energiepflanzen</t>
  </si>
  <si>
    <t>Nährstoffkosten:</t>
  </si>
  <si>
    <t>FM:</t>
  </si>
  <si>
    <t>Nährstoffentzug MgO:</t>
  </si>
  <si>
    <t>TM:</t>
  </si>
  <si>
    <t>AZL</t>
  </si>
  <si>
    <r>
      <t>Nährstoffentzug K</t>
    </r>
    <r>
      <rPr>
        <vertAlign val="subscript"/>
        <sz val="11"/>
        <rFont val="Arial"/>
        <family val="2"/>
      </rPr>
      <t>2</t>
    </r>
    <r>
      <rPr>
        <sz val="11"/>
        <rFont val="Arial"/>
        <family val="2"/>
      </rPr>
      <t>O:</t>
    </r>
  </si>
  <si>
    <t xml:space="preserve">Ertrag: </t>
  </si>
  <si>
    <r>
      <t>Nährstoffentzug P</t>
    </r>
    <r>
      <rPr>
        <vertAlign val="subscript"/>
        <sz val="11"/>
        <rFont val="Arial"/>
        <family val="2"/>
      </rPr>
      <t>2</t>
    </r>
    <r>
      <rPr>
        <sz val="11"/>
        <rFont val="Arial"/>
        <family val="2"/>
      </rPr>
      <t>O</t>
    </r>
    <r>
      <rPr>
        <vertAlign val="subscript"/>
        <sz val="11"/>
        <rFont val="Arial"/>
        <family val="2"/>
      </rPr>
      <t>5</t>
    </r>
    <r>
      <rPr>
        <sz val="11"/>
        <rFont val="Arial"/>
        <family val="2"/>
      </rPr>
      <t>:</t>
    </r>
  </si>
  <si>
    <t xml:space="preserve"> -   abzgl. N-Fixierung:</t>
  </si>
  <si>
    <t>GAP-Prämie</t>
  </si>
  <si>
    <t>Nährstoffentzug N:</t>
  </si>
  <si>
    <t>ohne Güllerücklieferung</t>
  </si>
  <si>
    <t>Zellverknüpfung Nährstoffentzug TM=1; FM = 2</t>
  </si>
  <si>
    <t>Prämienansprüche:</t>
  </si>
  <si>
    <t>Nährstoffentzug:</t>
  </si>
  <si>
    <t>Silomais 170 dt TM</t>
  </si>
  <si>
    <t xml:space="preserve"> - ab Feld,  - ab Silo,  - frei Biogasanlage</t>
  </si>
  <si>
    <t>Preiskalkulation der Biomasseproduktion (Preisuntergrenzen)</t>
  </si>
  <si>
    <t>Maschine</t>
  </si>
  <si>
    <t>Blatt</t>
  </si>
  <si>
    <t>Zeile</t>
  </si>
  <si>
    <t>Zusammenstelllung Maschineneinsatz</t>
  </si>
  <si>
    <t>Sonstige Maschinen</t>
  </si>
  <si>
    <t>Grünland</t>
  </si>
  <si>
    <t>Ernte</t>
  </si>
  <si>
    <t>Pflege</t>
  </si>
  <si>
    <t>Bestellung</t>
  </si>
  <si>
    <t xml:space="preserve">Bodenbearbeitung
</t>
  </si>
  <si>
    <t>Ackerfläche gesamt</t>
  </si>
  <si>
    <t>Festkosten je ha</t>
  </si>
  <si>
    <t>Einsatz ha/Jahr</t>
  </si>
  <si>
    <t>Festkosten/Jahr</t>
  </si>
  <si>
    <t>Restwert</t>
  </si>
  <si>
    <t>Anschaffungs-
kosten</t>
  </si>
  <si>
    <t>Maschinen</t>
  </si>
  <si>
    <t>Zinssatz</t>
  </si>
  <si>
    <t>Bitte hier den Flächenumfang der einzelnen Kulturen eingeben und die im Betrieb vorhanden Maschinen auswählen.</t>
  </si>
  <si>
    <t>Betriebsübersicht</t>
  </si>
  <si>
    <t>Reinigung</t>
  </si>
  <si>
    <t>Pauschal bei Biogas (€/dt)</t>
  </si>
  <si>
    <t>Transp. u. Abkip. Getr. 4 t/ha (5,7 t Kipper)</t>
  </si>
  <si>
    <t>Striegel 9 m</t>
  </si>
  <si>
    <t>Kreiselegge-Säkomb. 3 m, mechanisch</t>
  </si>
  <si>
    <t>Aufsatteldrehpflug, 2,10 m</t>
  </si>
  <si>
    <t>Gerste</t>
  </si>
  <si>
    <t>Linse</t>
  </si>
  <si>
    <t>Stützfrucht Gerste</t>
  </si>
  <si>
    <t>Linsen/Gerste</t>
  </si>
  <si>
    <t>Netzt: 20 % AFA; bis zu 600 AKh, für Pflegearbeiten von Hand (Unkrautbekämpfung); "Datenmaterial für die Betriebsplanung - ökol. Landbau-, Hessisches LA, 1990, S.67</t>
  </si>
  <si>
    <t>6 kg/ha: "Datenmaterial für die Betriebsplanung - ökol. Landbau-, Hessisches LA, 1990, S.67</t>
  </si>
  <si>
    <t>Quelle: KTBL-Datensammlung ököl. Landbau, 2010, S.220</t>
  </si>
  <si>
    <t>SA</t>
  </si>
  <si>
    <t>TE5</t>
  </si>
  <si>
    <r>
      <t>Berechnungsgrundlagen</t>
    </r>
    <r>
      <rPr>
        <sz val="18"/>
        <rFont val="Arial"/>
        <family val="2"/>
      </rPr>
      <t xml:space="preserve"> (Deckungsbeitrag)</t>
    </r>
  </si>
  <si>
    <t>oder grubber ?</t>
  </si>
  <si>
    <t>lfl</t>
  </si>
  <si>
    <t>TE6</t>
  </si>
  <si>
    <t>in Anl. an KTBL. S. 198</t>
  </si>
  <si>
    <t>TE7</t>
  </si>
  <si>
    <t>Quelle: KTBL-Datensammlung ököl. Landbau, 2010, S.165+S.220</t>
  </si>
  <si>
    <t>TE8</t>
  </si>
  <si>
    <t>KTBL. S. 341</t>
  </si>
  <si>
    <t>TE9</t>
  </si>
  <si>
    <t>D2.1 Einführung Ökolandbau - Gartenbau (2 Jahre)</t>
  </si>
  <si>
    <t>D2.1 Einführung Ökolandbau - Dauerkulturen (2 Jahre)</t>
  </si>
  <si>
    <t>D2.2 Beibehaltung Ökolandbau - Gartenbau</t>
  </si>
  <si>
    <t>D2.2 Beibehaltung Ökolandbau - Dauerkulturen</t>
  </si>
  <si>
    <t>A1.2 Fruchtartendiversifizierung (mind. 5-gl.FF) (Ökokombi)</t>
  </si>
  <si>
    <t>Öko-Winterweizen (Futter)</t>
  </si>
  <si>
    <t>Öko-Winterweizen (Brot)</t>
  </si>
  <si>
    <t>Öko-Dinkel</t>
  </si>
  <si>
    <t>Öko-Dinkel, entspelzt</t>
  </si>
  <si>
    <t>Öko-Winterroggen (Brot)</t>
  </si>
  <si>
    <t>Öko-Hafer</t>
  </si>
  <si>
    <t>Öko-Braugerste</t>
  </si>
  <si>
    <t xml:space="preserve">Öko-Körnermais </t>
  </si>
  <si>
    <t xml:space="preserve">Öko-Ackerbohnen </t>
  </si>
  <si>
    <t>Öko-Futtererbsen</t>
  </si>
  <si>
    <t>Öko-Sojabohnen</t>
  </si>
  <si>
    <t>Öko-Winterraps (Ölproduktion)</t>
  </si>
  <si>
    <t>Öko-Sonnenblumen</t>
  </si>
  <si>
    <t>Öko-Speisekartoffeln spät</t>
  </si>
  <si>
    <t>∑</t>
  </si>
  <si>
    <t>mit Mehrwertsteuer</t>
  </si>
  <si>
    <t>KTBL (2018/19): S. 73</t>
  </si>
  <si>
    <t>KTBL (2018/19): S. 73 + 78</t>
  </si>
  <si>
    <t>Arbeitsblatt SD3</t>
  </si>
  <si>
    <t>Konventioneller und Ökologischer Landbau</t>
  </si>
  <si>
    <t>Absolute M</t>
  </si>
  <si>
    <t>Arelon flüssig</t>
  </si>
  <si>
    <t>Bravo 500</t>
  </si>
  <si>
    <t>Capalo</t>
  </si>
  <si>
    <t>Champion + Diamant Pack, Diamant</t>
  </si>
  <si>
    <t>Credo</t>
  </si>
  <si>
    <t xml:space="preserve">Dual Gold </t>
  </si>
  <si>
    <t>Elumis P Dual Pack, Dual Gold</t>
  </si>
  <si>
    <t>Elumis P Dual Pack, Elumis</t>
  </si>
  <si>
    <t>Elumis P Dual Pack, Peak</t>
  </si>
  <si>
    <t>Gladio</t>
  </si>
  <si>
    <t>Juwel Top</t>
  </si>
  <si>
    <t>Lexus</t>
  </si>
  <si>
    <t>Plenum 50 WG</t>
  </si>
  <si>
    <t>Powertwin Plus</t>
  </si>
  <si>
    <t>Reglone</t>
  </si>
  <si>
    <t>Spectrum</t>
  </si>
  <si>
    <t>Spyrale</t>
  </si>
  <si>
    <t xml:space="preserve">   Kosten für (Aufbereitungseinrichtungen und) Lagerung  </t>
  </si>
  <si>
    <r>
      <t xml:space="preserve">Pachtansatz </t>
    </r>
    <r>
      <rPr>
        <b/>
        <vertAlign val="superscript"/>
        <sz val="9"/>
        <rFont val="Arial"/>
        <family val="2"/>
      </rPr>
      <t xml:space="preserve">2) </t>
    </r>
  </si>
  <si>
    <t>Berechnungsgrundlagen (Deckungsbeitrag ohne MwSt.)</t>
  </si>
  <si>
    <t>Hauptprodukt (ohne MwSt)</t>
  </si>
  <si>
    <t>Nebenprodukt (ohne MwSt)</t>
  </si>
  <si>
    <t xml:space="preserve">AMI Ökoprodukte Einkaufspreise des Großhandels und Naturkost-Einzelhandels für Bio-Produkte (Mittelwerte Quartal 1-3, 2019) </t>
  </si>
  <si>
    <t>Prognose 2020</t>
  </si>
  <si>
    <t xml:space="preserve">1) Ein negativer Wert bedeutet hier: Wert der Nährstofflieferung (Stickstoff) ist höher als die Nährstoffabfuhr </t>
  </si>
  <si>
    <r>
      <t xml:space="preserve"> Nährstoffpreis €/kg </t>
    </r>
    <r>
      <rPr>
        <b/>
        <sz val="10"/>
        <rFont val="Arial Narrow"/>
        <family val="2"/>
      </rPr>
      <t xml:space="preserve"> </t>
    </r>
    <r>
      <rPr>
        <b/>
        <sz val="8"/>
        <rFont val="Arial Narrow"/>
        <family val="2"/>
      </rPr>
      <t xml:space="preserve">(DLG/Band202; seit 2017 KTBL) </t>
    </r>
  </si>
  <si>
    <r>
      <t xml:space="preserve"> Erzeugerpreise  €/dt </t>
    </r>
    <r>
      <rPr>
        <b/>
        <sz val="8"/>
        <rFont val="Arial Narrow"/>
        <family val="2"/>
      </rPr>
      <t>(Bioberater, AMI 2016 &amp; KTBL)</t>
    </r>
  </si>
  <si>
    <t>ha oder %</t>
  </si>
  <si>
    <t>AMI Ökoprodukte Einkaufspreise des Großhandels und Naturkost-Einzelhandels für Bio-Produkte; 2019 Mittelwert 2014 - 2018</t>
  </si>
  <si>
    <t>AMI Markt-Bilanz (2017): Öko-Landbau, S.148; 2019 Mittelwert 2014 - 2018</t>
  </si>
  <si>
    <t>Deckungsbeiträge einer konventionellen Fruchtfolge 
Bsp. Fünfgliedrige Fruchtfolge</t>
  </si>
  <si>
    <t>SDÖ1</t>
  </si>
  <si>
    <t>SDÖ3</t>
  </si>
  <si>
    <t>SDÖ4</t>
  </si>
  <si>
    <t>SDÖ5</t>
  </si>
  <si>
    <t xml:space="preserve">     Erzeugerpreise / Nährstoffpreise / Zinsansatz (konventionell)</t>
  </si>
  <si>
    <t xml:space="preserve">     Erzeugerpreise / Nährstoffpreise / Zinsansatz (ökologisch)</t>
  </si>
  <si>
    <r>
      <t xml:space="preserve">     Arbeitsgänge </t>
    </r>
    <r>
      <rPr>
        <sz val="9"/>
        <rFont val="Arial"/>
        <family val="2"/>
      </rPr>
      <t>(var. Maschinenkosten, Arbeitszeitbedarf, Lohnmaschinen) (konventionell)</t>
    </r>
  </si>
  <si>
    <r>
      <t xml:space="preserve">     Arbeitsgänge </t>
    </r>
    <r>
      <rPr>
        <sz val="9"/>
        <rFont val="Arial"/>
        <family val="2"/>
      </rPr>
      <t>(var. Maschinenkosten, Arbeitszeitbedarf, Lohnmaschinen) (ökologisch)</t>
    </r>
  </si>
  <si>
    <t xml:space="preserve">     Festkosten (konventionell)</t>
  </si>
  <si>
    <t xml:space="preserve">     Festkosten (ökologisch)</t>
  </si>
  <si>
    <t xml:space="preserve">     Pflanzenschutzmittel (konventionell)</t>
  </si>
  <si>
    <t xml:space="preserve">     Pflanzenschutzmittel (ökologisch)</t>
  </si>
  <si>
    <t xml:space="preserve">     Sonstige Kosten (konventionell)</t>
  </si>
  <si>
    <t xml:space="preserve">     Sonstige Kosten (ökologisch)</t>
  </si>
  <si>
    <t>SDÖ7</t>
  </si>
  <si>
    <t>D.1 Berechnungsgrundlagen (konventionell)</t>
  </si>
  <si>
    <t>D.2 Berechnungsgrundlagen (ökologisch)</t>
  </si>
  <si>
    <t>Übersicht wichtiger Verfahren (konventionell und ökologisch)</t>
  </si>
  <si>
    <t>EK1</t>
  </si>
  <si>
    <t>EK2</t>
  </si>
  <si>
    <t>EÖ1</t>
  </si>
  <si>
    <t xml:space="preserve">(SDK1, </t>
  </si>
  <si>
    <t>SDÖ1)</t>
  </si>
  <si>
    <t>(SD2)</t>
  </si>
  <si>
    <t>(SDK3,</t>
  </si>
  <si>
    <t>SDÖ3)</t>
  </si>
  <si>
    <t>Fest-,</t>
  </si>
  <si>
    <t>(SDK4, SDÖ4)</t>
  </si>
  <si>
    <t>(SDK5, SDÖ5)</t>
  </si>
  <si>
    <t>(SD6)</t>
  </si>
  <si>
    <t>(SDK7,</t>
  </si>
  <si>
    <t>Öko-</t>
  </si>
  <si>
    <t>winter-</t>
  </si>
  <si>
    <t>(E1)</t>
  </si>
  <si>
    <t>Ergebnisse / Grafiken</t>
  </si>
  <si>
    <r>
      <rPr>
        <b/>
        <sz val="14"/>
        <rFont val="Arial"/>
        <family val="2"/>
      </rPr>
      <t>3 Ergebnisse und Interpretation zur Kostenrechnung</t>
    </r>
    <r>
      <rPr>
        <sz val="10"/>
        <rFont val="Arial"/>
        <family val="2"/>
      </rPr>
      <t xml:space="preserve">
Die Ergebnisse der einzelnen Produktionsverfahren werden im  Arbeitsblatt Kostenrechnung  angezeigt. Die Auswahl erfolgt über das dunkelgelbe Dropdownfeld am oberen rechten Rand  des Arbeitsblattes. Die Ergebnisse der einzelnen  Produktionsverfahren werden im  Arbeitsblatt Kostenrechnung  angezeigt. Seit diesem Jahr lassen sich hier sowohl konventionelle als auch ökologische Marktfrüchte auswählen und somit direkt gegebenüberstellen.
</t>
    </r>
  </si>
  <si>
    <t>Kartoffeln  Ag/ha</t>
  </si>
  <si>
    <t>Robert Schätzl LfL Bayern (06.11.2019)</t>
  </si>
  <si>
    <t>Marktfrüchte Konventionell</t>
  </si>
  <si>
    <t>SDK1</t>
  </si>
  <si>
    <t>SDK3</t>
  </si>
  <si>
    <t>SDK4</t>
  </si>
  <si>
    <t>SDK5</t>
  </si>
  <si>
    <t>SDK7</t>
  </si>
  <si>
    <t>Öko-Wintergerste</t>
  </si>
  <si>
    <t>Kleegras 1jährig, 2mal mulchen</t>
  </si>
  <si>
    <t>Luzernegras 1jährig, 2mal mulchen</t>
  </si>
  <si>
    <t>Luzernegras 2jährig, 2mal mulchen/Jahr</t>
  </si>
  <si>
    <t>… Wert aller durch die Ernteprodukte abgefahrener Nährstoffe (Preis: siehe oben)</t>
  </si>
  <si>
    <t>Entzug/Nebenprodukt (z. B. Stroh)</t>
  </si>
  <si>
    <t>Martin Schägger LfL Bayern (AMI/ZMP; Preise "frei Rampe") (02.12.2019)</t>
  </si>
  <si>
    <t xml:space="preserve">Fruchtfolge ø </t>
  </si>
  <si>
    <t>Blühm.</t>
  </si>
  <si>
    <t>Entspelzen je dt</t>
  </si>
  <si>
    <t>Dammkulturgerät mit Säeinheit(3m)</t>
  </si>
  <si>
    <t>Dammhackgerät 3m</t>
  </si>
  <si>
    <t>Abflammgerät, 3m (ohne Gas)</t>
  </si>
  <si>
    <t>Atlantis Flex + Biopower</t>
  </si>
  <si>
    <t>Aviator Xpro</t>
  </si>
  <si>
    <t>Fandango</t>
  </si>
  <si>
    <t>Biathlon 4D +Dash</t>
  </si>
  <si>
    <t>Cerone 660</t>
  </si>
  <si>
    <t>Focus Aktiv Pack, Focus Ultra</t>
  </si>
  <si>
    <t>M</t>
  </si>
  <si>
    <t>Molluskizid</t>
  </si>
  <si>
    <t>Spectrum Plus</t>
  </si>
  <si>
    <t>Ascra Xpro</t>
  </si>
  <si>
    <t>Elatus Era</t>
  </si>
  <si>
    <t>Zypar</t>
  </si>
  <si>
    <t>Goltix Titan</t>
  </si>
  <si>
    <t>Kommentar</t>
  </si>
  <si>
    <t>ws</t>
  </si>
  <si>
    <t>KW 33: Prämie - 0,50 €/dt</t>
  </si>
  <si>
    <t>SchAlVO</t>
  </si>
  <si>
    <t>KW 33: Prämie 0,50 €/dt</t>
  </si>
  <si>
    <t>KW 33: Prämie 2,00 €/dt</t>
  </si>
  <si>
    <t>Wirtschaftlichkeit des Ackerbaus</t>
  </si>
  <si>
    <t>AMI; Wert D</t>
  </si>
  <si>
    <t>vbwz</t>
  </si>
  <si>
    <t>Durchschnitt 2018-2020</t>
  </si>
  <si>
    <t>Mähkomb. Heck/Front  (6,2 m mit Aufbereiter)</t>
  </si>
  <si>
    <t>Heu / Silage Basis Trockenmasse</t>
  </si>
  <si>
    <t>Betanal Tandem + Mero</t>
  </si>
  <si>
    <t>Revytrex</t>
  </si>
  <si>
    <t>Comet</t>
  </si>
  <si>
    <t>Arrat + Dash</t>
  </si>
  <si>
    <t>Mospilan SG</t>
  </si>
  <si>
    <t>Metafol SC</t>
  </si>
  <si>
    <t>Amistar Gold</t>
  </si>
  <si>
    <t>Wildpflanzenmischung</t>
  </si>
  <si>
    <t>Univoq</t>
  </si>
  <si>
    <t>ᴓ 2022</t>
  </si>
  <si>
    <t>Quelle 2022</t>
  </si>
  <si>
    <t>Quelle 2016-2021</t>
  </si>
  <si>
    <t>Kommentar (zu 21?)</t>
  </si>
  <si>
    <t>Quelle: KTBL Datensammlung, Betriebsplanung Landwirtschaft 2020/2021</t>
  </si>
  <si>
    <t>Quelle: BayWa AG 12/2022</t>
  </si>
  <si>
    <t>A2 Silageverzicht im gesamten Betrieb (Heumilch)</t>
  </si>
  <si>
    <t>D2 Ökolandbau - Einführung - Acker und Grünland</t>
  </si>
  <si>
    <t>D2 Ökolandbau - Einführung - Gartenbau</t>
  </si>
  <si>
    <t>D2 Ökolandbau - Einführung - Dauerkulturen</t>
  </si>
  <si>
    <t>D2 Ökolandbau - Beibehaltung - Acker und Grünland</t>
  </si>
  <si>
    <t>D2 Ökolandbau - Beibehaltung - Gartenbau</t>
  </si>
  <si>
    <t>D2 Ökolandbau - Beibehaltung - Dauerkulturen</t>
  </si>
  <si>
    <t>E1.2 Begrünungsmischungen im Acker-/Gartenbau</t>
  </si>
  <si>
    <t>E3 Herbizidverzicht im Ackerbau</t>
  </si>
  <si>
    <t>E4 Ausbringung von Trichogramma bei Mais</t>
  </si>
  <si>
    <t>E7 Anlage von Blüh-, Brut- und Rückzugsflächen</t>
  </si>
  <si>
    <t>E8 Brachebegrünung mit mehrjährigen Blühmischungen</t>
  </si>
  <si>
    <t>E9 Anbau von Mais mit Gemengepartnern (Stangenbohnen)</t>
  </si>
  <si>
    <t>E10 Mehrjähriger leguminosenbetonter Ackerfutterbau</t>
  </si>
  <si>
    <t>E12 Fungizidverzicht im Winterweizen-, - dinkel, - triticaleanbau bis zum Ährenschieben (EC 49)</t>
  </si>
  <si>
    <t>E13.1 Erweiterter Drillreihenabstand in Getreide (Lichtäcker)</t>
  </si>
  <si>
    <t>E13.2 Erweiterter Drillreihenabstand mit blühender Untersaat in Getreide</t>
  </si>
  <si>
    <t>E14 Extensive Biomassepflanzen: Mehrjährige artenreiche Wildpflanzenmischungen</t>
  </si>
  <si>
    <t>E15 Extensive Biomassepflanzen: Streifenanbau aus mehrjährigen Biomassepflanzen und Wildpflanzenmischungen</t>
  </si>
  <si>
    <t>F3 Precision Farming (teilflächenspezifische N-Düngung)</t>
  </si>
  <si>
    <t>F4 Reduzierte Bodenbearbeitung mit Strip Till-Verfahren</t>
  </si>
  <si>
    <t>ÖR1 - 1a) zusätzliche Stilllegung AL +1%</t>
  </si>
  <si>
    <t>ÖR1 - 1a) zusätzliche Stilllegung AL +2%</t>
  </si>
  <si>
    <t>ÖR1 - 1a) zusätzliche Stilllegung AL +3%</t>
  </si>
  <si>
    <t>ÖR1 - 1b) Blühstreifen/-flächen AL</t>
  </si>
  <si>
    <t>ÖR1 - 1c) Blühstreifen/-flächen in DK</t>
  </si>
  <si>
    <t>ÖR1 - 1d) Altgrasstreifen 1%</t>
  </si>
  <si>
    <t>ÖR1 - 1d) Altgrasstreifen 2%</t>
  </si>
  <si>
    <t>ÖR1 - 1d) Altgrasstreifen 3-6%</t>
  </si>
  <si>
    <t>ÖR2 - Vielfältige FF</t>
  </si>
  <si>
    <t>ÖR4 - Extensives Grünland</t>
  </si>
  <si>
    <t>ÖR3 - Agroforst</t>
  </si>
  <si>
    <t>ÖR6 - Verzicht auf chem.-synth. Pflanzenschutz</t>
  </si>
  <si>
    <t>ÖR7 - Natura 2000</t>
  </si>
  <si>
    <t>ÖR5 - DGL 4 Kennarten</t>
  </si>
  <si>
    <t>303 - 404</t>
  </si>
  <si>
    <t>88 - 110</t>
  </si>
  <si>
    <t>100 - 125</t>
  </si>
  <si>
    <t>38,4 - 54,4</t>
  </si>
  <si>
    <t>73 - 91,25</t>
  </si>
  <si>
    <t>84 - 105</t>
  </si>
  <si>
    <t>60 - 75</t>
  </si>
  <si>
    <t>77 - 97</t>
  </si>
  <si>
    <t>256 - 288</t>
  </si>
  <si>
    <t>5,10 - 21,2</t>
  </si>
  <si>
    <t>55,35 - 73,80</t>
  </si>
  <si>
    <t>90 - 112,5</t>
  </si>
  <si>
    <t>Quelle: BayWa Saatgut Agrar 12/2022, Südzucker 12/2022</t>
  </si>
  <si>
    <t>Quelle 2021-2022</t>
  </si>
  <si>
    <t>AMI</t>
  </si>
  <si>
    <t>Kommentar (zu 22)</t>
  </si>
  <si>
    <t xml:space="preserve"> Nicht-verfahrensabhängige Prämien in €/ha</t>
  </si>
  <si>
    <t>AZL Berggebiet - EMZ 20,0 bis 24,9</t>
  </si>
  <si>
    <t>AZL Berggebiet - EMZ 25,0 bis 29,9</t>
  </si>
  <si>
    <t>AZL Berggebiet - EMZ 30,0 bis 34,9</t>
  </si>
  <si>
    <t>AZL Berggebiet - EMZ ab 35,0</t>
  </si>
  <si>
    <t>AZL andere Gebiete - EMZ bis 24,9</t>
  </si>
  <si>
    <t>AZL andere Gebiete - EMZ 25,0 bis 29,9</t>
  </si>
  <si>
    <t>AZL andere Gebiete - EMZ 30,0 bis 34,9</t>
  </si>
  <si>
    <t>AZL andere Gebiete - EMZ 35,0 bis 39,9</t>
  </si>
  <si>
    <t>AZL andere Gebiete - EMZ 40,0 bis 46,6</t>
  </si>
  <si>
    <t>Aus anderen spezifischen Gründen benachteiligte Gebiete</t>
  </si>
  <si>
    <t>Umverteilungsprämie: Hektar 1- 40: ca. 69 €/ha; Hektar 41 – 60: ca. 41 €/ha</t>
  </si>
  <si>
    <t>Junglandwirtprämie (bis 120 ha): 134 €</t>
  </si>
  <si>
    <t>132 €/ U</t>
  </si>
  <si>
    <t>240 €/U</t>
  </si>
  <si>
    <t>8,50-11,65</t>
  </si>
  <si>
    <t>n.b.</t>
  </si>
  <si>
    <t>Die EGFL (1.Säule) besteht seit 2023 aus Sektorprogrammen, gekoppelten Tierprämien, Einkommensgrundstützung für Junglandwirte, Umverteilungsprämie, Einkommensgrundstützung und Ökoregelungen.</t>
  </si>
  <si>
    <r>
      <rPr>
        <b/>
        <sz val="14"/>
        <rFont val="Arial"/>
        <family val="2"/>
      </rPr>
      <t>FAKT-Verfahrensspezifische Ausgleichsleistungen in €/ha</t>
    </r>
    <r>
      <rPr>
        <sz val="10"/>
        <rFont val="Arial"/>
        <family val="2"/>
      </rPr>
      <t xml:space="preserve">
aus dem Förderprogramm für Agrarumwelt, Klimaschutz und Tierwohl. 
</t>
    </r>
    <r>
      <rPr>
        <b/>
        <sz val="14"/>
        <rFont val="Arial"/>
        <family val="2"/>
      </rPr>
      <t>und Öko-Regelungen in €/ha</t>
    </r>
  </si>
  <si>
    <t>Prämien aus EGFL in €/ha</t>
  </si>
  <si>
    <t>Einkommensgrundstützung</t>
  </si>
  <si>
    <r>
      <rPr>
        <vertAlign val="superscript"/>
        <sz val="10"/>
        <rFont val="Arial"/>
        <family val="2"/>
      </rPr>
      <t xml:space="preserve">1) </t>
    </r>
    <r>
      <rPr>
        <sz val="10"/>
        <rFont val="Arial"/>
        <family val="2"/>
      </rPr>
      <t>EMZ: Ertragsmesszahl der Gemarkung</t>
    </r>
  </si>
  <si>
    <r>
      <rPr>
        <vertAlign val="superscript"/>
        <sz val="10"/>
        <rFont val="Arial"/>
        <family val="2"/>
      </rPr>
      <t>3)</t>
    </r>
    <r>
      <rPr>
        <sz val="10"/>
        <rFont val="Arial"/>
        <family val="2"/>
      </rPr>
      <t xml:space="preserve"> Individuell wählbare Prämienhöhe</t>
    </r>
  </si>
  <si>
    <r>
      <rPr>
        <vertAlign val="superscript"/>
        <sz val="10"/>
        <rFont val="Arial"/>
        <family val="2"/>
      </rPr>
      <t xml:space="preserve">2) </t>
    </r>
    <r>
      <rPr>
        <sz val="10"/>
        <rFont val="Arial"/>
        <family val="2"/>
      </rPr>
      <t>Berechnung auf Grundlage einer Betriebsgröße von 50 ha (Durchschnittlicher Haupterwerbsbetrieb in BaWü, StaLa '22)</t>
    </r>
  </si>
  <si>
    <t>Quelle: Saatgutfirmen und KTBL- Datensammlung Ökologischer Landbau (Stand 12.2022)</t>
  </si>
  <si>
    <t xml:space="preserve"> Prämien aus 1. Säule [€/ha]</t>
  </si>
  <si>
    <r>
      <t xml:space="preserve">Umverteilungsprämie </t>
    </r>
    <r>
      <rPr>
        <vertAlign val="superscript"/>
        <sz val="12"/>
        <rFont val="Arial"/>
        <family val="2"/>
      </rPr>
      <t>2)</t>
    </r>
  </si>
  <si>
    <r>
      <t xml:space="preserve">Junglandwirtprämie </t>
    </r>
    <r>
      <rPr>
        <vertAlign val="superscript"/>
        <sz val="12"/>
        <rFont val="Arial"/>
        <family val="2"/>
      </rPr>
      <t>2)</t>
    </r>
  </si>
  <si>
    <r>
      <t xml:space="preserve">Individuelle Prämienhöhe </t>
    </r>
    <r>
      <rPr>
        <vertAlign val="superscript"/>
        <sz val="10"/>
        <rFont val="Arial"/>
        <family val="2"/>
      </rPr>
      <t>3)</t>
    </r>
  </si>
  <si>
    <r>
      <t xml:space="preserve">AZL Berggebiet - EMZ </t>
    </r>
    <r>
      <rPr>
        <vertAlign val="superscript"/>
        <sz val="12"/>
        <rFont val="Arial"/>
        <family val="2"/>
      </rPr>
      <t>1)</t>
    </r>
    <r>
      <rPr>
        <sz val="12"/>
        <rFont val="Arial"/>
        <family val="2"/>
      </rPr>
      <t xml:space="preserve"> bis 19,9</t>
    </r>
  </si>
  <si>
    <t>Umverteilungsprämie 2)</t>
  </si>
  <si>
    <t>Junglandwirtprämie 2)</t>
  </si>
  <si>
    <t xml:space="preserve">Deckungsbeiträge einer konventionellen Fruchtfolge 
</t>
  </si>
  <si>
    <t xml:space="preserve">Deckungsbeiträge einer ökologischen Fruchtfolge 
</t>
  </si>
  <si>
    <t>3-Jahres-Mittel oder eigener Wert</t>
  </si>
  <si>
    <t>3 Jahres -
 Mittelwert oder eigener Wert</t>
  </si>
  <si>
    <t>Substanzverlust berücksichtigen</t>
  </si>
  <si>
    <t>,</t>
  </si>
  <si>
    <t>Fuego Top</t>
  </si>
  <si>
    <t xml:space="preserve">Butisan </t>
  </si>
  <si>
    <t>aktualisiert 17.10.2017 Quelle: LTZ Augustenberg; Kerstin Hüsgen</t>
  </si>
  <si>
    <t>nach Stammdatensammlung: Düngung BW (Stand 05.07.2021) Nährstoffvergleich/Stoffstrombilanz</t>
  </si>
  <si>
    <t>*LEL Kalkulationsdaten Marktfruchtbau 2022</t>
  </si>
  <si>
    <t>Abfuhr Haupt und Nebenernteprodukt [kg/dt]</t>
  </si>
  <si>
    <t>N Fixierung [kg/dt]</t>
  </si>
  <si>
    <r>
      <rPr>
        <b/>
        <sz val="14"/>
        <rFont val="Arial"/>
        <family val="2"/>
      </rPr>
      <t>2 Auswahl und Eingabe</t>
    </r>
    <r>
      <rPr>
        <sz val="10"/>
        <rFont val="Arial"/>
        <family val="2"/>
      </rPr>
      <t xml:space="preserve">
</t>
    </r>
    <r>
      <rPr>
        <b/>
        <sz val="10"/>
        <rFont val="Arial"/>
        <family val="2"/>
      </rPr>
      <t xml:space="preserve">
2.1 Auswahl der Arbeitsblätter</t>
    </r>
    <r>
      <rPr>
        <sz val="10"/>
        <rFont val="Arial"/>
        <family val="2"/>
      </rPr>
      <t xml:space="preserve"> 
Es ist für jede Kultur ein Arbeitsblatt mit den Berechnungsgrundlagen vorhanden. Zur Auswahl des gewünschten Arbeitsblattes bieten sich folgende Hilfen an:  
In der horizontalen Bildlaufleiste befinden sich ganz links die Registerlaufpfeile. Indem Sie mit dem Mauszeiger in diesen Bereich fahren und die rechte Maustaste klicken, wird ein Kontextmenü mit einer Liste der Arbeitsblätter angezeigt. Der letzte Listeneintrag "Weitere Blätter..."  öffnet ein Dropdownfenster zur Auswahl aller Arbeitsblätter. Alternativ können Sie auch im Arbeitsblatt "Inhalt" durch Anklicken des entsprechenden Hyperlinks direkt zur gewünschten Kultur (Arbeitsblatt) gelangen. Ebenso ist in jedem Kultur-Arbeitsblatt ein direktes Zurücknavigieren zum Inhaltsverzeichnis per Hyperlink möglich. 
Im Arbeitsblatt E1 können Verfahren konventioneller und ökologischer Wirtschaftsweise ausgewählt werden.
In EK1 und 2 bzw. EÖ1 und 2 sind beispielhafte Deckungsbeiträge konventioneller bzw. ökologischer Fruchtfolgen veranschaulicht, welche sich wiederum individuell anpassen lassen.
Bei den Arbeitsblättern zu den Stammdaten ist nun grundsätzlich zwischen konventionell (z.B. SDK1) und ökologisch (z.B. SDÖ1) zu unterscheiden. Bei Stammdaten ohne eine derartige Endung (z.B. SD2) gibt es keine Unterscheidung zwischen konventionell und ökologisch. 
Im Blatt Kostenrechnung können nun sowohl konventionelle als auch ökologische Marktfrüchte ausgewählt und somit gegebenübergestellt werden.
</t>
    </r>
  </si>
  <si>
    <r>
      <rPr>
        <b/>
        <sz val="10"/>
        <rFont val="Arial"/>
        <family val="2"/>
      </rPr>
      <t xml:space="preserve">2.2 Dateneingabe </t>
    </r>
    <r>
      <rPr>
        <sz val="10"/>
        <rFont val="Arial"/>
        <family val="2"/>
      </rPr>
      <t xml:space="preserve"> 
Die einzelnen EXCEL-Tabellenblätter des Rechenprogramms sind ohne Kennwort geschützt. Für eigene Berechnungen können in die hellgelb hinterlegten Felder Daten eingegeben werden, z. B. Daten des eigenen Betriebes. Die vorhandenen Daten sind hierzu mit den eigenen Betriebsdaten zu überschreiben. Des weiteren gibt es dunkelgelbe Felder, die mit Listen hinterlegt sind. Aus diesen können entsprechende Einträge ausgewählt werden können.</t>
    </r>
  </si>
  <si>
    <t xml:space="preserve">Die Listen werden angezeigt, indem das entsprechende Feld mit dem Cursor aktiviert wird. Dabei wird ein Dropdownpfeil am Ende des Feldes angezeigt. Die Dateneingaben in den Arbeitsblättern der Stammdaten werden i.d. Regel automatisch in alle Produktionsverfahren übernommen.
In den Berechnungsgrundlagen für die einzelnen Produktionsverfahren sind 3 Ertragsniveaus vorgegeben. Sie können den individuellen Verhältnissen durch Überschreibung angepasst werden. Die variablen Kosten für Düngung, Trocknung und  Hagelversicherung werden dabei automatisch angepasst. Hier sind lediglich die Kostenannahmen in den gelben Feldern zu  überprüfen und gegebenenfalls zu ändern. 
Ansonsten sind vor allem die verschiedenen FAKT-Maßnahmen, der Pflanzenschutzaufwand und die Arbeitsgänge den individuellen Verhältnissen anzupassen. 
</t>
  </si>
  <si>
    <t xml:space="preserve">Schwäbisch Gmünd, </t>
  </si>
  <si>
    <t>ᴓ 2023</t>
  </si>
  <si>
    <t>S.73</t>
  </si>
  <si>
    <t>KTBL (2022/23)</t>
  </si>
  <si>
    <t>Quelle Dieselpreis: www.shell.de (Mittelwert 2023)</t>
  </si>
  <si>
    <t>Quelle: KTBL Betriebsplanung Landwirtschaft 2022/23</t>
  </si>
  <si>
    <t>S. 90+171</t>
  </si>
  <si>
    <t>S. 90+170</t>
  </si>
  <si>
    <t>S. 96+170</t>
  </si>
  <si>
    <t>Saatbettkombination, angebaut, 4,5 m</t>
  </si>
  <si>
    <t>Saatbettkombination, eine Überfahrt</t>
  </si>
  <si>
    <t>S. 95+172 (eine Überfahrt)</t>
  </si>
  <si>
    <t>S. 98+172</t>
  </si>
  <si>
    <t>S.99 + 172</t>
  </si>
  <si>
    <t>S. 98+105+185</t>
  </si>
  <si>
    <t>S. 105+185</t>
  </si>
  <si>
    <t>Zinkenrotor-Sämaschinen-Kombination, 3m</t>
  </si>
  <si>
    <t>Zinkenrotor angebaut 3 m &amp; Sämaschine, mechan., angebaut 3 m</t>
  </si>
  <si>
    <t>S. 99+105+185</t>
  </si>
  <si>
    <t>Zinkenrotor-Sämaschinen-Kombination, mechanische Sämaschine</t>
  </si>
  <si>
    <t>S. 106+186</t>
  </si>
  <si>
    <t>S.101+180</t>
  </si>
  <si>
    <t>Mineraldüngerausbringung ab Hof mit Anbauschleuderstreuer 24 m, 400 kg/ha</t>
  </si>
  <si>
    <t>Stalldungzange &amp; Festmiststreuer, Tandemachse, 40 km/h, 10 t 6-12 m</t>
  </si>
  <si>
    <t>S. 81+102+173</t>
  </si>
  <si>
    <t>Frontlader mit Festmistzange, 10-t-Streuer (6,8 t Nutzmasse), 20 t/ ha, BLA+FA</t>
  </si>
  <si>
    <t>S. 88+104+175</t>
  </si>
  <si>
    <t>Pumptankwagen Tandemachse 15 m3 &amp; Schleppschlauchverteiler 15m</t>
  </si>
  <si>
    <t>Pumptankwagen, 15 m3, 20 m3/ ha</t>
  </si>
  <si>
    <t>Gülle ausbringen 20 m³/ha, (15 m³ Fass, Schleppschl. 15 m)</t>
  </si>
  <si>
    <t>Radlader mit Mineraldüngerschaufel, 6,0-m3-Streuer</t>
  </si>
  <si>
    <t>Mineraldüngerschaufel &amp; Schleuderstreuer angehängt</t>
  </si>
  <si>
    <t>S. 79+101+184</t>
  </si>
  <si>
    <t>S.111+191</t>
  </si>
  <si>
    <t>MaKo Webanwendung (KTBL) + S. 191</t>
  </si>
  <si>
    <t>S. 108+188</t>
  </si>
  <si>
    <t>S. 109+188</t>
  </si>
  <si>
    <t>S. 84+196</t>
  </si>
  <si>
    <t>S. 84+218</t>
  </si>
  <si>
    <t>Transport Dreiseitenkippanhänger, 8 t (4,9 t Nutzmasse)</t>
  </si>
  <si>
    <t>S. 84+212</t>
  </si>
  <si>
    <t>Glattwalze, angehängt, 3m</t>
  </si>
  <si>
    <t>S. 98+190</t>
  </si>
  <si>
    <t>Walzen von Grünland, 3m</t>
  </si>
  <si>
    <t>Abschleppen von Grünland, 6m</t>
  </si>
  <si>
    <t>S. 110+190</t>
  </si>
  <si>
    <t>Grünlandegge</t>
  </si>
  <si>
    <t>Mähen mit Front-Heck-Kombination, angebaut, 4,5 m</t>
  </si>
  <si>
    <t>S. 112+205</t>
  </si>
  <si>
    <t>S. 113+205</t>
  </si>
  <si>
    <t>Kreisselzetter und -wender</t>
  </si>
  <si>
    <t>Wenden mit Kreiselzettwender</t>
  </si>
  <si>
    <t>S. 112+206</t>
  </si>
  <si>
    <t>S. 115+206</t>
  </si>
  <si>
    <t>Schwaden mit Kreiselschwader</t>
  </si>
  <si>
    <t>S. 107+187</t>
  </si>
  <si>
    <t>S. 107+189</t>
  </si>
  <si>
    <t>S. 122+201</t>
  </si>
  <si>
    <t>Kartoffelkrautschläger, 4-reihig</t>
  </si>
  <si>
    <t>Kartoffelkrautschlagen, 4-reihig</t>
  </si>
  <si>
    <t>Kartoffelbunkerroder, angehängt, 1-reihig, 3t</t>
  </si>
  <si>
    <t>S. 123+202</t>
  </si>
  <si>
    <t>Kartoffelernte mit Bunkerroder, angehängt, 3 t Nutzmasse, 1 + 2 AK, 1 r, 45 t/ha</t>
  </si>
  <si>
    <t>Dreiseitenkipper, zweiachsig, 5,7 t Nutzmasse</t>
  </si>
  <si>
    <t>Transp Kartoffeln/Gemüse z. Hof 35 t/ha (5,7 t NmKipper)</t>
  </si>
  <si>
    <t>S. 85+203</t>
  </si>
  <si>
    <t>Präparatespritze 12 m</t>
  </si>
  <si>
    <t>S. 111+191</t>
  </si>
  <si>
    <t>Auch: Pflanzenschutzspritze, Behälter mit Pumpe, angebaut 600 l &amp; Spritzgestänge 12 m</t>
  </si>
  <si>
    <t>Transport von Pflanzkartoffeln vom Hof zum Feld, lose Kartoffeln; Gabelstapler 3 t; Dreiseitenkippanhänger 10,5 t Nutzmasse</t>
  </si>
  <si>
    <t>Dreiseitenkipper, zweiachsig 10,5 t Nutzmasse &amp; Gabelstapler, Dieselmotor, 3 m, 3 t (0,07 h Änderung Mitschke) Schaufel 1,5m3, 2t, lose Kartoffeln</t>
  </si>
  <si>
    <t>S. 107+182, Änderung AKh/ha nach Rücksprache mit LRA HN (Himmelhan) und BD HN (Mitschke) am 09.04.2010</t>
  </si>
  <si>
    <t>nicht aktualisiert, ez 23</t>
  </si>
  <si>
    <t>(Datengrundlage MR 23/24)</t>
  </si>
  <si>
    <t>Nr.454+Nr.014+ 19,80 €*1,83 Akh/ha (KTBL S. 201) Kartoffelkrautshlagen 2 Reihen, 1,5 m</t>
  </si>
  <si>
    <t>Nr.326 je Ballen 11,00 € inkl. Schlepper, Fahrer und Garn bei 3,95 dt je Ballen (KTBL 22/23 S. 194)</t>
  </si>
  <si>
    <t>FAKT-Brachebegrünung</t>
  </si>
  <si>
    <t>Preise: Stand 2023; Diese Liste ist beispielhaft und erhebt keinen Anspruch auf Vollständigkeit.</t>
  </si>
  <si>
    <r>
      <t xml:space="preserve">KTBL (2022/23): </t>
    </r>
    <r>
      <rPr>
        <sz val="8"/>
        <rFont val="Arial"/>
        <family val="2"/>
      </rPr>
      <t>Schlepper 120 kW (130.000€), 83 kW (80.000€), 54 kW (52.000€) S.73 bei 15% Restwert + 10% Lohnarbeiten</t>
    </r>
  </si>
  <si>
    <r>
      <t xml:space="preserve">KTBL (2022/23): </t>
    </r>
    <r>
      <rPr>
        <sz val="8"/>
        <rFont val="Arial"/>
        <family val="2"/>
      </rPr>
      <t>Pflug, 6 Schare, 2,1m (25.000€) S. 91; Grubber 3m (10.000€) S.92; Feingrubber 3m (5.300€) S.92; Saatbeetkombi 4,5m angebaut (12.500€) S.95; Kreiselegge 3m (13.500€) S.98; Sämaschine 3m (11.500€) S. 105; Cambridgewalze 4,5m (9.500€) S. 98; Bodenfräse 3m (12.000€) S. 99; bei 15% Restwert und 10% Lohnarbeiten</t>
    </r>
  </si>
  <si>
    <r>
      <t xml:space="preserve">KTBL (2022/23): </t>
    </r>
    <r>
      <rPr>
        <sz val="8"/>
        <rFont val="Arial"/>
        <family val="2"/>
      </rPr>
      <t>Offene Remise (95.000€) S.155 bei 15% Restwert</t>
    </r>
  </si>
  <si>
    <t>Rotes Heft 21/22 Tab 21-22 Ackerbaubetriebe konventionell Abschreibungen</t>
  </si>
  <si>
    <r>
      <t xml:space="preserve">KTBL (2022/23) und KTBL web MaKo: </t>
    </r>
    <r>
      <rPr>
        <sz val="8"/>
        <rFont val="Arial"/>
        <family val="2"/>
      </rPr>
      <t>Mulchgerät (9.000€) (web); Striegel 9m (4.500€) S.108; Düngestreuer 1.200l (5.700€) S.101; Pflanzenschutzspritze 1.000l + 15m (9.000+13.700€) S.108 bei 15% Restwert + 10% Lohnarbeiten</t>
    </r>
  </si>
  <si>
    <r>
      <t xml:space="preserve">KTBL (2022/23): </t>
    </r>
    <r>
      <rPr>
        <sz val="8"/>
        <rFont val="Arial"/>
        <family val="2"/>
      </rPr>
      <t>Dreiseitenkippanhänger, Einzelachse 4,5t (8.000€) S.84; Dreiseitenkippanhänger, Tandemachse 7,5t (17.000€) S.85; Dreiseitenkippanhänger, zwei Achsen 10,5t (18.000€) S.85; bei 15% Restwert und 10% Lohnarbeiten</t>
    </r>
  </si>
  <si>
    <r>
      <t>KTBL (2022/23):</t>
    </r>
    <r>
      <rPr>
        <sz val="8"/>
        <rFont val="Arial"/>
        <family val="2"/>
      </rPr>
      <t>Traktorfrondlader 1.500 daN (5.300€) S.78; Erdschaufel 0,8m³ (1.600€) S.79; Leichtgutschaufel 1,2m³ (1.600€) S.80, + 6.500€ für Sonstiges und bei 15% Restwert</t>
    </r>
  </si>
  <si>
    <t>Statistisches Landesamt Baden-Württemberg, 2020: Pachtjahresentgelt 290€/ha Ackerland</t>
  </si>
  <si>
    <t>Rotes Heft 2022/23 S. 2 Anhang Tabellenteil, Spalte M (5730, 7700) 
(Feste Spezial- und Gemeinkosten - Pachtzinsen/ ha LF - Unterhalt Gebäude - AfA Gebäude - AfA technische Anlagen und Maschinen = Gemeinkosten)</t>
  </si>
  <si>
    <r>
      <rPr>
        <vertAlign val="superscript"/>
        <sz val="9"/>
        <rFont val="Arial"/>
        <family val="2"/>
      </rPr>
      <t xml:space="preserve">2) </t>
    </r>
    <r>
      <rPr>
        <sz val="9"/>
        <rFont val="Arial"/>
        <family val="2"/>
      </rPr>
      <t>Quelle: LEL intern, Betriebsverhältnisse und Buchführungsergebnisse, WJ 2022/23</t>
    </r>
  </si>
  <si>
    <t xml:space="preserve">Rotes Heft 22/23 Tab 21-22 Ackerbaubetriebe konventionell </t>
  </si>
  <si>
    <t>Pachtzins 308 € (50-100 ha) bzw. 246 € (&gt; 100 ha)</t>
  </si>
  <si>
    <t>Quelle: Vereinigte Hagelversicherung VVaG; Bezirksdirektion Stuttgart 07/2023.</t>
  </si>
  <si>
    <t>speise</t>
  </si>
  <si>
    <t>Ernte im Lohn</t>
  </si>
  <si>
    <t>5 Jahresschnitt</t>
  </si>
  <si>
    <t xml:space="preserve">Die Kalkulationsdaten dienen als Beratungshilfe der betriebswirtschaftlichen Bewertung von Produktionsverfahren. Sie können als Entscheidungsgrundlage in Anbaufragen herangezogen werden sowie Faustzahlen für die Betriebsplanung oder Investitionspläne liefern. In allen relevanten Positionen ist die Mehrwertsteuer nach Wahl jeweils enthalten (pauschalierender Betrieb) oder wird nicht berücksichtigt (optierender Betrieb). Die entscheidenden Erfolgskennzahlen sind der Deckungsbeitrag und das kalkulatorische Betriebszweigergebnis. 
Neuerungen seit Veröffentlichung der 2018er Version:
1. Die Kalkulationsdaten für konventionell und ökologisch erwirtschaftete Martkfrüchte sind seit 2018 Jahr zusammengeführt. 
2. Aufnahme der neuen GAP 2023
3. Aufnahme der neuen FAKT-Maßnahmen 2023
</t>
  </si>
  <si>
    <t>April 2024</t>
  </si>
  <si>
    <t>Kraftstoffpreis (brutto)</t>
  </si>
  <si>
    <t>Stand: 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</si>
</sst>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1">
    <numFmt numFmtId="6" formatCode="#,##0\ &quot;€&quot;;[Red]\-#,##0\ &quot;€&quot;"/>
    <numFmt numFmtId="44" formatCode="_-* #,##0.00\ &quot;€&quot;_-;\-* #,##0.00\ &quot;€&quot;_-;_-* &quot;-&quot;??\ &quot;€&quot;_-;_-@_-"/>
    <numFmt numFmtId="164" formatCode="_-* #,##0.00\ _€_-;\-* #,##0.00\ _€_-;_-* &quot;-&quot;??\ _€_-;_-@_-"/>
    <numFmt numFmtId="165" formatCode="#,##0.0"/>
    <numFmt numFmtId="166" formatCode="_-* #,##0.00\ [$€]_-;\-* #,##0.00\ [$€]_-;_-* &quot;-&quot;??\ [$€]_-;_-@_-"/>
    <numFmt numFmtId="167" formatCode="#,##0.00\ &quot;€/m3&quot;\ "/>
    <numFmt numFmtId="168" formatCode="_-* #,##0.00\ _D_M_-;\-* #,##0.00\ _D_M_-;_-* &quot;-&quot;??\ _D_M_-;_-@_-"/>
    <numFmt numFmtId="169" formatCode="#,##0.00_ ;[Red]\-#,##0.00\ "/>
    <numFmt numFmtId="170" formatCode="#,##0\ \ "/>
    <numFmt numFmtId="171" formatCode="#,##0__"/>
    <numFmt numFmtId="172" formatCode="0\ \ \ \ \ "/>
    <numFmt numFmtId="173" formatCode="&quot;Anzahl &quot;0"/>
    <numFmt numFmtId="174" formatCode="#,##0____"/>
    <numFmt numFmtId="175" formatCode="#,##0.00____"/>
    <numFmt numFmtId="176" formatCode="0.00\ \ \ "/>
    <numFmt numFmtId="177" formatCode="0.0"/>
    <numFmt numFmtId="178" formatCode="0.0\ \ \ "/>
    <numFmt numFmtId="179" formatCode="0\ "/>
    <numFmt numFmtId="180" formatCode="0.00\ \ "/>
    <numFmt numFmtId="181" formatCode="0\ \ "/>
    <numFmt numFmtId="182" formatCode="#,##0.00\ "/>
    <numFmt numFmtId="183" formatCode="0\ &quot;kW&quot;"/>
    <numFmt numFmtId="184" formatCode="0.0%"/>
    <numFmt numFmtId="185" formatCode="#,##0.00__"/>
    <numFmt numFmtId="186" formatCode="\ \ @\ "/>
    <numFmt numFmtId="187" formatCode="#,##0.0__"/>
    <numFmt numFmtId="188" formatCode="#,##0\ \ \ \ \ \ "/>
    <numFmt numFmtId="189" formatCode="#,##0\ "/>
    <numFmt numFmtId="190" formatCode="0.00\ \ \ \ \ "/>
    <numFmt numFmtId="191" formatCode="0.00\ &quot;€/dt&quot;"/>
    <numFmt numFmtId="192" formatCode="0.0\ &quot;ct/l&quot;"/>
    <numFmt numFmtId="193" formatCode="#,##0.00\ &quot;€&quot;"/>
    <numFmt numFmtId="194" formatCode="0.00\ &quot;€/h&quot;"/>
    <numFmt numFmtId="195" formatCode="0\ &quot;h/a&quot;"/>
    <numFmt numFmtId="196" formatCode="#,##0\ &quot;t&quot;"/>
    <numFmt numFmtId="197" formatCode="_-* #,##0.00\ [$€-1]_-;\-* #,##0.00\ [$€-1]_-;_-* &quot;-&quot;??\ [$€-1]_-"/>
    <numFmt numFmtId="198" formatCode="0.00&quot; t/m³&quot;"/>
    <numFmt numFmtId="199" formatCode="0.00&quot; dt/ha&quot;"/>
    <numFmt numFmtId="200" formatCode="0.00\ "/>
    <numFmt numFmtId="201" formatCode="#,##0__;#,##0__;[Black]#,##0__"/>
    <numFmt numFmtId="202" formatCode="0.00&quot; €/dt&quot;"/>
    <numFmt numFmtId="203" formatCode="0.00&quot;    &quot;\ "/>
    <numFmt numFmtId="204" formatCode="#,##0\ &quot;€/ha&quot;"/>
    <numFmt numFmtId="205" formatCode="0.00&quot; €/AKh&quot;"/>
    <numFmt numFmtId="206" formatCode="0.0\ \ "/>
    <numFmt numFmtId="207" formatCode="&quot;Stand:&quot;\ dd/mm/yy"/>
    <numFmt numFmtId="208" formatCode="0\ &quot;Mon.&quot;"/>
    <numFmt numFmtId="209" formatCode="0.0&quot;%&quot;"/>
    <numFmt numFmtId="210" formatCode="#,##0\ \ \ "/>
    <numFmt numFmtId="211" formatCode="#,##0.00\ \ \ \ \ \ "/>
    <numFmt numFmtId="212" formatCode="0.0\ "/>
    <numFmt numFmtId="213" formatCode="0.0\ \ \ \ \ "/>
    <numFmt numFmtId="214" formatCode="General\ \ \ \ \ \ \ \ "/>
    <numFmt numFmtId="215" formatCode="0\ \ \ \ "/>
    <numFmt numFmtId="216" formatCode="[Blue]\+0;[Red]\-0"/>
    <numFmt numFmtId="217" formatCode="0.0\ \ \ \ "/>
    <numFmt numFmtId="218" formatCode="0\ &quot;%&quot;"/>
    <numFmt numFmtId="219" formatCode="0.0000"/>
    <numFmt numFmtId="220" formatCode="0.000"/>
    <numFmt numFmtId="221" formatCode="#,##0\ &quot;€/ha&quot;;[Red]\-#,##0\ &quot;€&quot;"/>
    <numFmt numFmtId="222" formatCode="#,##0.00\ &quot;€/t FM&quot;;[Red]\-#,##0.00\ &quot;€&quot;"/>
    <numFmt numFmtId="223" formatCode="#,##0.0\ &quot;t TM / ha&quot;;[Red]\-#,##0.000\ &quot;€&quot;"/>
    <numFmt numFmtId="224" formatCode="#,##0\ .00\ &quot;€/kg&quot;;#,##0.00;[White]0"/>
    <numFmt numFmtId="225" formatCode="#,##0.0\ &quot;t FM / ha&quot;;[Red]\-#,##0.000\ &quot;€&quot;"/>
    <numFmt numFmtId="226" formatCode="#,##0\ ;[Red]\-#,##0;[White]0"/>
    <numFmt numFmtId="227" formatCode="#,##0.0\ &quot;€&quot;;[Red]\-#,##0.0\ &quot;€&quot;"/>
    <numFmt numFmtId="228" formatCode="0\ &quot;€&quot;;\-0\ &quot;€&quot;;[White]0\ &quot;€&quot;"/>
    <numFmt numFmtId="229" formatCode="#,##0\ &quot;€/ha&quot;;[Red]\-#,##0\ &quot;€&quot;;[White]0"/>
    <numFmt numFmtId="230" formatCode="#,##0.00;#,##0.00;[White]0"/>
    <numFmt numFmtId="231" formatCode="#,##0.00\ &quot;€/m³,km&quot;;[Red]\-#,##0.00\ &quot;€&quot;"/>
    <numFmt numFmtId="232" formatCode="0.0\ &quot;km&quot;"/>
    <numFmt numFmtId="233" formatCode="#,##0.00\ &quot;€/m³&quot;;[Red]\-#,##0.00\ &quot;€&quot;"/>
    <numFmt numFmtId="234" formatCode="#,##0\ &quot;m³/ha&quot;"/>
    <numFmt numFmtId="235" formatCode="#,##0\ &quot;m³ / ha&quot;;[Red]\-#,##0.00\ &quot;€&quot;"/>
    <numFmt numFmtId="236" formatCode="\+#,##0\ &quot;€/ha&quot;;[Red]\-#,##0\ &quot;€&quot;;[White]0"/>
    <numFmt numFmtId="237" formatCode="0.00\ &quot;€/m³&quot;"/>
    <numFmt numFmtId="238" formatCode="&quot;ca.&quot;\ 0"/>
    <numFmt numFmtId="239" formatCode="#,##0.00\ &quot;€ / Akh&quot;;\-\ #,##0.00\ &quot;€/dt&quot;;\ 0.0"/>
    <numFmt numFmtId="240" formatCode="#,##0\ &quot;kg / m³&quot;;[Red]\-#,##0.00\ &quot;€&quot;"/>
    <numFmt numFmtId="241" formatCode="0__;0;[White]0"/>
    <numFmt numFmtId="242" formatCode="#,##0.0\ "/>
  </numFmts>
  <fonts count="193">
    <font>
      <sz val="11"/>
      <color theme="1"/>
      <name val="Arial"/>
      <family val="2"/>
    </font>
    <font>
      <sz val="10"/>
      <color theme="1"/>
      <name val="Arial"/>
      <family val="2"/>
    </font>
    <font>
      <sz val="11"/>
      <color theme="1"/>
      <name val="Arial"/>
      <family val="2"/>
    </font>
    <font>
      <b/>
      <sz val="11"/>
      <color rgb="FF3F3F3F"/>
      <name val="Arial"/>
      <family val="2"/>
    </font>
    <font>
      <sz val="10"/>
      <name val="Arial"/>
      <family val="2"/>
    </font>
    <font>
      <b/>
      <sz val="10"/>
      <name val="Arial"/>
      <family val="2"/>
    </font>
    <font>
      <sz val="11"/>
      <name val="Arial"/>
      <family val="2"/>
    </font>
    <font>
      <u/>
      <sz val="7.2"/>
      <color indexed="12"/>
      <name val="Arial"/>
      <family val="2"/>
    </font>
    <font>
      <b/>
      <u/>
      <sz val="9"/>
      <color indexed="12"/>
      <name val="Arial"/>
      <family val="2"/>
    </font>
    <font>
      <sz val="10"/>
      <name val="Arial"/>
      <family val="2"/>
    </font>
    <font>
      <u/>
      <sz val="10"/>
      <color indexed="12"/>
      <name val="Arial"/>
      <family val="2"/>
    </font>
    <font>
      <sz val="11"/>
      <color indexed="10"/>
      <name val="Arial"/>
      <family val="2"/>
    </font>
    <font>
      <sz val="10"/>
      <color indexed="10"/>
      <name val="Arial"/>
      <family val="2"/>
    </font>
    <font>
      <b/>
      <sz val="11"/>
      <name val="Arial"/>
      <family val="2"/>
    </font>
    <font>
      <b/>
      <sz val="12"/>
      <name val="Arial"/>
      <family val="2"/>
    </font>
    <font>
      <sz val="9"/>
      <name val="Arial"/>
      <family val="2"/>
    </font>
    <font>
      <sz val="12"/>
      <name val="Arial"/>
      <family val="2"/>
    </font>
    <font>
      <b/>
      <sz val="18"/>
      <name val="Arial"/>
      <family val="2"/>
    </font>
    <font>
      <b/>
      <sz val="16"/>
      <name val="Arial"/>
      <family val="2"/>
    </font>
    <font>
      <b/>
      <sz val="20"/>
      <name val="Arial"/>
      <family val="2"/>
    </font>
    <font>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u/>
      <sz val="7"/>
      <color indexed="12"/>
      <name val="Arial"/>
      <family val="2"/>
    </font>
    <font>
      <u/>
      <sz val="10"/>
      <color theme="10"/>
      <name val="Arial"/>
      <family val="2"/>
    </font>
    <font>
      <sz val="8"/>
      <color indexed="10"/>
      <name val="Arial"/>
      <family val="2"/>
    </font>
    <font>
      <sz val="11"/>
      <color indexed="60"/>
      <name val="Calibri"/>
      <family val="2"/>
    </font>
    <font>
      <sz val="11"/>
      <color indexed="20"/>
      <name val="Calibri"/>
      <family val="2"/>
    </font>
    <font>
      <sz val="10"/>
      <color indexed="8"/>
      <name val="Calibri"/>
      <family val="2"/>
      <scheme val="minor"/>
    </font>
    <font>
      <sz val="10"/>
      <name val="Helv"/>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4"/>
      <name val="Arial"/>
      <family val="2"/>
    </font>
    <font>
      <sz val="14"/>
      <name val="Arial"/>
      <family val="2"/>
    </font>
    <font>
      <sz val="13"/>
      <name val="Arial"/>
      <family val="2"/>
    </font>
    <font>
      <i/>
      <sz val="10"/>
      <name val="Arial"/>
      <family val="2"/>
    </font>
    <font>
      <i/>
      <sz val="10"/>
      <color indexed="9"/>
      <name val="Arial"/>
      <family val="2"/>
    </font>
    <font>
      <sz val="8"/>
      <name val="Arial Narrow"/>
      <family val="2"/>
    </font>
    <font>
      <sz val="8"/>
      <color indexed="10"/>
      <name val="Arial Narrow"/>
      <family val="2"/>
    </font>
    <font>
      <sz val="7"/>
      <name val="Arial Narrow"/>
      <family val="2"/>
    </font>
    <font>
      <b/>
      <sz val="10"/>
      <name val="Arial Narrow"/>
      <family val="2"/>
    </font>
    <font>
      <b/>
      <sz val="9"/>
      <color indexed="10"/>
      <name val="Arial"/>
      <family val="2"/>
    </font>
    <font>
      <b/>
      <sz val="10"/>
      <color indexed="9"/>
      <name val="Arial"/>
      <family val="2"/>
    </font>
    <font>
      <sz val="16"/>
      <name val="Arial"/>
      <family val="2"/>
    </font>
    <font>
      <b/>
      <sz val="9"/>
      <name val="Arial"/>
      <family val="2"/>
    </font>
    <font>
      <i/>
      <sz val="16"/>
      <name val="Arial"/>
      <family val="2"/>
    </font>
    <font>
      <b/>
      <sz val="10"/>
      <color indexed="81"/>
      <name val="Arial"/>
      <family val="2"/>
    </font>
    <font>
      <sz val="10"/>
      <color indexed="81"/>
      <name val="Arial"/>
      <family val="2"/>
    </font>
    <font>
      <sz val="12"/>
      <name val="Wingdings 2"/>
      <family val="1"/>
      <charset val="2"/>
    </font>
    <font>
      <sz val="10"/>
      <color indexed="9"/>
      <name val="Arial"/>
      <family val="2"/>
    </font>
    <font>
      <sz val="11"/>
      <color indexed="8"/>
      <name val="Arial"/>
      <family val="2"/>
    </font>
    <font>
      <b/>
      <sz val="11"/>
      <color indexed="8"/>
      <name val="Arial"/>
      <family val="2"/>
    </font>
    <font>
      <b/>
      <sz val="8"/>
      <name val="Arial"/>
      <family val="2"/>
    </font>
    <font>
      <b/>
      <sz val="9"/>
      <name val="Arial Narrow"/>
      <family val="2"/>
    </font>
    <font>
      <b/>
      <sz val="12"/>
      <name val="Arial Narrow"/>
      <family val="2"/>
    </font>
    <font>
      <b/>
      <i/>
      <sz val="14"/>
      <name val="Arial"/>
      <family val="2"/>
    </font>
    <font>
      <b/>
      <sz val="8"/>
      <color indexed="10"/>
      <name val="Arial Narrow"/>
      <family val="2"/>
    </font>
    <font>
      <i/>
      <sz val="14"/>
      <name val="Arial"/>
      <family val="2"/>
    </font>
    <font>
      <b/>
      <sz val="8"/>
      <color indexed="10"/>
      <name val="Arial"/>
      <family val="2"/>
    </font>
    <font>
      <b/>
      <i/>
      <sz val="12"/>
      <name val="Arial"/>
      <family val="2"/>
    </font>
    <font>
      <vertAlign val="superscript"/>
      <sz val="11"/>
      <name val="Arial"/>
      <family val="2"/>
    </font>
    <font>
      <b/>
      <i/>
      <sz val="11"/>
      <name val="Arial"/>
      <family val="2"/>
    </font>
    <font>
      <b/>
      <sz val="14"/>
      <name val="Arial Narrow"/>
      <family val="2"/>
    </font>
    <font>
      <vertAlign val="subscript"/>
      <sz val="11"/>
      <name val="Arial"/>
      <family val="2"/>
    </font>
    <font>
      <b/>
      <sz val="11"/>
      <color indexed="10"/>
      <name val="Arial"/>
      <family val="2"/>
    </font>
    <font>
      <b/>
      <i/>
      <sz val="10"/>
      <name val="Arial"/>
      <family val="2"/>
    </font>
    <font>
      <b/>
      <sz val="6"/>
      <name val="Arial"/>
      <family val="2"/>
    </font>
    <font>
      <b/>
      <sz val="12"/>
      <color indexed="30"/>
      <name val="Arial"/>
      <family val="2"/>
    </font>
    <font>
      <sz val="12"/>
      <color indexed="30"/>
      <name val="Arial"/>
      <family val="2"/>
    </font>
    <font>
      <b/>
      <sz val="9"/>
      <color indexed="63"/>
      <name val="Arial"/>
      <family val="2"/>
    </font>
    <font>
      <vertAlign val="superscript"/>
      <sz val="9"/>
      <name val="Arial"/>
      <family val="2"/>
    </font>
    <font>
      <vertAlign val="superscript"/>
      <sz val="10"/>
      <name val="Arial"/>
      <family val="2"/>
    </font>
    <font>
      <b/>
      <u/>
      <sz val="14"/>
      <name val="Arial"/>
      <family val="2"/>
    </font>
    <font>
      <b/>
      <u/>
      <sz val="12"/>
      <name val="Arial"/>
      <family val="2"/>
    </font>
    <font>
      <sz val="9"/>
      <name val="Arial Narrow"/>
      <family val="2"/>
    </font>
    <font>
      <u/>
      <sz val="8"/>
      <name val="Arial"/>
      <family val="2"/>
    </font>
    <font>
      <sz val="8"/>
      <color rgb="FFFF0000"/>
      <name val="Arial"/>
      <family val="2"/>
    </font>
    <font>
      <sz val="10"/>
      <color rgb="FFFF0000"/>
      <name val="Arial"/>
      <family val="2"/>
    </font>
    <font>
      <b/>
      <sz val="9"/>
      <color rgb="FFFF0000"/>
      <name val="Arial"/>
      <family val="2"/>
    </font>
    <font>
      <b/>
      <i/>
      <sz val="8"/>
      <name val="Arial"/>
      <family val="2"/>
    </font>
    <font>
      <sz val="8"/>
      <color indexed="81"/>
      <name val="Tahoma"/>
      <family val="2"/>
    </font>
    <font>
      <b/>
      <sz val="8"/>
      <color indexed="81"/>
      <name val="Tahoma"/>
      <family val="2"/>
    </font>
    <font>
      <vertAlign val="superscript"/>
      <sz val="12"/>
      <name val="Arial"/>
      <family val="2"/>
    </font>
    <font>
      <sz val="14"/>
      <color indexed="10"/>
      <name val="Arial"/>
      <family val="2"/>
    </font>
    <font>
      <b/>
      <vertAlign val="superscript"/>
      <sz val="10"/>
      <name val="Arial"/>
      <family val="2"/>
    </font>
    <font>
      <b/>
      <sz val="12"/>
      <color indexed="10"/>
      <name val="Arial"/>
      <family val="2"/>
    </font>
    <font>
      <sz val="12"/>
      <color indexed="10"/>
      <name val="Arial"/>
      <family val="2"/>
    </font>
    <font>
      <b/>
      <sz val="24"/>
      <name val="Arial"/>
      <family val="2"/>
    </font>
    <font>
      <sz val="8"/>
      <color indexed="12"/>
      <name val="Arial"/>
      <family val="2"/>
    </font>
    <font>
      <b/>
      <sz val="12"/>
      <color indexed="12"/>
      <name val="Arial"/>
      <family val="2"/>
    </font>
    <font>
      <b/>
      <sz val="11"/>
      <color indexed="12"/>
      <name val="Arial"/>
      <family val="2"/>
    </font>
    <font>
      <sz val="10"/>
      <color rgb="FF000000"/>
      <name val="Inherit"/>
    </font>
    <font>
      <b/>
      <sz val="9"/>
      <name val="Symbol"/>
      <family val="1"/>
      <charset val="2"/>
    </font>
    <font>
      <sz val="8"/>
      <color indexed="9"/>
      <name val="Arial"/>
      <family val="2"/>
    </font>
    <font>
      <b/>
      <sz val="8"/>
      <name val="Arial Narrow"/>
      <family val="2"/>
    </font>
    <font>
      <b/>
      <i/>
      <sz val="9"/>
      <name val="Arial"/>
      <family val="2"/>
    </font>
    <font>
      <vertAlign val="superscript"/>
      <sz val="8"/>
      <name val="Arial"/>
      <family val="2"/>
    </font>
    <font>
      <b/>
      <sz val="10"/>
      <color indexed="10"/>
      <name val="Arial"/>
      <family val="2"/>
    </font>
    <font>
      <b/>
      <sz val="15"/>
      <name val="Arial"/>
      <family val="2"/>
    </font>
    <font>
      <sz val="10"/>
      <color indexed="8"/>
      <name val="Arial"/>
      <family val="2"/>
    </font>
    <font>
      <b/>
      <sz val="10"/>
      <color indexed="8"/>
      <name val="Arial"/>
      <family val="2"/>
    </font>
    <font>
      <b/>
      <sz val="18"/>
      <color indexed="8"/>
      <name val="Arial"/>
      <family val="2"/>
    </font>
    <font>
      <b/>
      <vertAlign val="superscript"/>
      <sz val="12"/>
      <name val="Arial"/>
      <family val="2"/>
    </font>
    <font>
      <b/>
      <sz val="13"/>
      <name val="Arial"/>
      <family val="2"/>
    </font>
    <font>
      <i/>
      <sz val="12"/>
      <name val="Arial"/>
      <family val="2"/>
    </font>
    <font>
      <sz val="11"/>
      <color indexed="12"/>
      <name val="Arial"/>
      <family val="2"/>
    </font>
    <font>
      <sz val="24"/>
      <color indexed="9"/>
      <name val="Arial"/>
      <family val="2"/>
    </font>
    <font>
      <sz val="11"/>
      <name val="Arial Narrow"/>
      <family val="2"/>
    </font>
    <font>
      <b/>
      <sz val="18"/>
      <color indexed="10"/>
      <name val="Arial"/>
      <family val="2"/>
    </font>
    <font>
      <sz val="6"/>
      <name val="Arial"/>
      <family val="2"/>
    </font>
    <font>
      <sz val="6"/>
      <color indexed="10"/>
      <name val="Arial"/>
      <family val="2"/>
    </font>
    <font>
      <b/>
      <sz val="6"/>
      <color indexed="10"/>
      <name val="Arial"/>
      <family val="2"/>
    </font>
    <font>
      <i/>
      <sz val="6"/>
      <name val="Arial"/>
      <family val="2"/>
    </font>
    <font>
      <u/>
      <sz val="11"/>
      <name val="Arial"/>
      <family val="2"/>
    </font>
    <font>
      <u/>
      <sz val="9"/>
      <color indexed="12"/>
      <name val="Arial"/>
      <family val="2"/>
    </font>
    <font>
      <b/>
      <sz val="14"/>
      <color indexed="12"/>
      <name val="Arial"/>
      <family val="2"/>
    </font>
    <font>
      <sz val="14"/>
      <color indexed="12"/>
      <name val="Arial"/>
      <family val="2"/>
    </font>
    <font>
      <i/>
      <sz val="11"/>
      <name val="Arial"/>
      <family val="2"/>
    </font>
    <font>
      <sz val="10"/>
      <color theme="0"/>
      <name val="Arial"/>
      <family val="2"/>
    </font>
    <font>
      <sz val="8"/>
      <color indexed="18"/>
      <name val="Arial"/>
      <family val="2"/>
    </font>
    <font>
      <i/>
      <sz val="8"/>
      <name val="Arial"/>
      <family val="2"/>
    </font>
    <font>
      <sz val="8"/>
      <color indexed="8"/>
      <name val="Arial"/>
      <family val="2"/>
    </font>
    <font>
      <sz val="18"/>
      <name val="Arial"/>
      <family val="2"/>
    </font>
    <font>
      <b/>
      <i/>
      <sz val="11"/>
      <color indexed="10"/>
      <name val="Arial"/>
      <family val="2"/>
    </font>
    <font>
      <sz val="10"/>
      <color indexed="10"/>
      <name val="Cambria"/>
      <family val="1"/>
    </font>
    <font>
      <b/>
      <vertAlign val="superscript"/>
      <sz val="9"/>
      <name val="Arial"/>
      <family val="2"/>
    </font>
    <font>
      <sz val="11"/>
      <color indexed="9"/>
      <name val="Arial"/>
      <family val="2"/>
    </font>
    <font>
      <sz val="10"/>
      <color indexed="47"/>
      <name val="Cambria"/>
      <family val="1"/>
    </font>
    <font>
      <b/>
      <sz val="18"/>
      <color indexed="10"/>
      <name val="Cambria"/>
      <family val="1"/>
    </font>
    <font>
      <sz val="9"/>
      <color indexed="10"/>
      <name val="Cambria"/>
      <family val="1"/>
    </font>
    <font>
      <b/>
      <sz val="8"/>
      <color indexed="10"/>
      <name val="Cambria"/>
      <family val="1"/>
    </font>
    <font>
      <sz val="10"/>
      <color indexed="12"/>
      <name val="Arial"/>
      <family val="2"/>
    </font>
    <font>
      <b/>
      <i/>
      <sz val="11"/>
      <color indexed="12"/>
      <name val="Arial"/>
      <family val="2"/>
    </font>
    <font>
      <b/>
      <i/>
      <sz val="12"/>
      <color indexed="12"/>
      <name val="Arial"/>
      <family val="2"/>
    </font>
    <font>
      <sz val="11"/>
      <color rgb="FFFF0000"/>
      <name val="Calibri"/>
      <family val="2"/>
    </font>
    <font>
      <b/>
      <sz val="16"/>
      <color indexed="10"/>
      <name val="Arial"/>
      <family val="2"/>
    </font>
    <font>
      <sz val="10"/>
      <name val="Arial "/>
    </font>
    <font>
      <i/>
      <sz val="8"/>
      <color indexed="10"/>
      <name val="Arial"/>
      <family val="2"/>
    </font>
    <font>
      <sz val="9"/>
      <color indexed="10"/>
      <name val="Arial"/>
      <family val="2"/>
    </font>
    <font>
      <b/>
      <vertAlign val="superscript"/>
      <sz val="11"/>
      <name val="Arial"/>
      <family val="2"/>
    </font>
    <font>
      <u/>
      <sz val="14"/>
      <color indexed="12"/>
      <name val="Arial"/>
      <family val="2"/>
    </font>
    <font>
      <strike/>
      <sz val="10"/>
      <name val="Arial"/>
      <family val="2"/>
    </font>
    <font>
      <sz val="10"/>
      <color rgb="FF00B050"/>
      <name val="Arial"/>
      <family val="2"/>
    </font>
    <font>
      <u/>
      <sz val="11"/>
      <color indexed="10"/>
      <name val="Arial"/>
      <family val="2"/>
    </font>
    <font>
      <b/>
      <u/>
      <sz val="11"/>
      <color indexed="10"/>
      <name val="Arial"/>
      <family val="2"/>
    </font>
    <font>
      <sz val="10"/>
      <name val="Arial Narrow"/>
      <family val="2"/>
    </font>
    <font>
      <sz val="12"/>
      <name val="Arial Narrow"/>
      <family val="2"/>
    </font>
    <font>
      <sz val="11"/>
      <name val="MS Sans Serif"/>
      <family val="2"/>
    </font>
    <font>
      <b/>
      <sz val="12"/>
      <color indexed="52"/>
      <name val="Arial"/>
      <family val="2"/>
    </font>
    <font>
      <sz val="10"/>
      <color indexed="81"/>
      <name val="Tahoma"/>
      <family val="2"/>
    </font>
    <font>
      <b/>
      <sz val="10"/>
      <color indexed="81"/>
      <name val="Tahoma"/>
      <family val="2"/>
    </font>
    <font>
      <i/>
      <sz val="10"/>
      <color indexed="81"/>
      <name val="Tahoma"/>
      <family val="2"/>
    </font>
    <font>
      <b/>
      <sz val="10"/>
      <color indexed="10"/>
      <name val="Arial Narrow"/>
      <family val="2"/>
    </font>
    <font>
      <sz val="10"/>
      <name val="Verdana"/>
      <family val="2"/>
    </font>
    <font>
      <b/>
      <sz val="10"/>
      <color indexed="30"/>
      <name val="Arial"/>
      <family val="2"/>
    </font>
    <font>
      <b/>
      <sz val="9"/>
      <color theme="4"/>
      <name val="Arial"/>
      <family val="2"/>
    </font>
    <font>
      <b/>
      <sz val="9"/>
      <color rgb="FF0000FF"/>
      <name val="Arial"/>
      <family val="2"/>
    </font>
    <font>
      <sz val="12"/>
      <color indexed="12"/>
      <name val="Arial"/>
      <family val="2"/>
    </font>
    <font>
      <b/>
      <sz val="11"/>
      <name val="Arial Narrow"/>
      <family val="2"/>
    </font>
    <font>
      <b/>
      <sz val="11"/>
      <color indexed="10"/>
      <name val="Arial Narrow"/>
      <family val="2"/>
    </font>
    <font>
      <b/>
      <vertAlign val="subscript"/>
      <sz val="11"/>
      <name val="Arial"/>
      <family val="2"/>
    </font>
    <font>
      <b/>
      <u/>
      <sz val="11"/>
      <name val="Arial"/>
      <family val="2"/>
    </font>
    <font>
      <sz val="11"/>
      <color theme="0"/>
      <name val="Arial"/>
      <family val="2"/>
    </font>
    <font>
      <b/>
      <i/>
      <sz val="12"/>
      <color theme="1"/>
      <name val="Arial"/>
      <family val="2"/>
    </font>
    <font>
      <sz val="8"/>
      <color theme="1"/>
      <name val="Arial"/>
      <family val="2"/>
    </font>
    <font>
      <sz val="9"/>
      <color indexed="81"/>
      <name val="Segoe UI"/>
      <family val="2"/>
    </font>
    <font>
      <b/>
      <sz val="9"/>
      <color indexed="81"/>
      <name val="Segoe UI"/>
      <family val="2"/>
    </font>
    <font>
      <sz val="11"/>
      <color theme="1"/>
      <name val="Calibri"/>
      <family val="2"/>
      <scheme val="minor"/>
    </font>
    <font>
      <sz val="11"/>
      <name val="Calibri"/>
      <family val="2"/>
    </font>
    <font>
      <sz val="10"/>
      <name val="Arial"/>
      <family val="2"/>
    </font>
    <font>
      <u/>
      <sz val="11"/>
      <color indexed="12"/>
      <name val="Arial"/>
      <family val="2"/>
    </font>
    <font>
      <sz val="10"/>
      <name val="Arial"/>
      <family val="2"/>
    </font>
    <font>
      <sz val="10"/>
      <color rgb="FF000000"/>
      <name val="Times New Roman"/>
      <family val="1"/>
    </font>
    <font>
      <sz val="10"/>
      <color rgb="FF000000"/>
      <name val="Times New Roman"/>
      <family val="1"/>
    </font>
    <font>
      <sz val="9"/>
      <color rgb="FFFF0000"/>
      <name val="Arial"/>
      <family val="2"/>
    </font>
    <font>
      <sz val="11"/>
      <color rgb="FFFF0000"/>
      <name val="Arial"/>
      <family val="2"/>
    </font>
    <font>
      <b/>
      <i/>
      <sz val="12"/>
      <color rgb="FFFF0000"/>
      <name val="Arial"/>
      <family val="2"/>
    </font>
    <font>
      <b/>
      <sz val="10"/>
      <color rgb="FFFF0000"/>
      <name val="Arial"/>
      <family val="2"/>
    </font>
    <font>
      <sz val="12"/>
      <color rgb="FFFF0000"/>
      <name val="Arial"/>
      <family val="2"/>
    </font>
    <font>
      <sz val="8"/>
      <color rgb="FF33CC33"/>
      <name val="Arial"/>
      <family val="2"/>
    </font>
    <font>
      <sz val="8"/>
      <color rgb="FF0000FF"/>
      <name val="Arial"/>
      <family val="2"/>
    </font>
    <font>
      <sz val="11"/>
      <color rgb="FF1F497D"/>
      <name val="Calibri"/>
      <family val="2"/>
    </font>
  </fonts>
  <fills count="62">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7"/>
        <bgColor rgb="FFFFFFCC"/>
      </patternFill>
    </fill>
    <fill>
      <patternFill patternType="solid">
        <fgColor indexed="55"/>
      </patternFill>
    </fill>
    <fill>
      <patternFill patternType="solid">
        <fgColor indexed="47"/>
        <bgColor indexed="64"/>
      </patternFill>
    </fill>
    <fill>
      <patternFill patternType="solid">
        <fgColor indexed="43"/>
        <bgColor indexed="64"/>
      </patternFill>
    </fill>
    <fill>
      <patternFill patternType="solid">
        <fgColor indexed="13"/>
        <bgColor indexed="64"/>
      </patternFill>
    </fill>
    <fill>
      <patternFill patternType="solid">
        <fgColor theme="0"/>
        <bgColor indexed="64"/>
      </patternFill>
    </fill>
    <fill>
      <patternFill patternType="solid">
        <fgColor indexed="40"/>
        <bgColor indexed="64"/>
      </patternFill>
    </fill>
    <fill>
      <patternFill patternType="solid">
        <fgColor theme="0" tint="-0.249977111117893"/>
        <bgColor indexed="64"/>
      </patternFill>
    </fill>
    <fill>
      <patternFill patternType="solid">
        <fgColor indexed="9"/>
      </patternFill>
    </fill>
    <fill>
      <patternFill patternType="solid">
        <fgColor rgb="FFFFFF99"/>
        <bgColor indexed="64"/>
      </patternFill>
    </fill>
    <fill>
      <patternFill patternType="gray0625"/>
    </fill>
    <fill>
      <patternFill patternType="solid">
        <fgColor rgb="FFFFFFFF"/>
        <bgColor indexed="64"/>
      </patternFill>
    </fill>
    <fill>
      <patternFill patternType="gray0625">
        <bgColor rgb="FFFFFF99"/>
      </patternFill>
    </fill>
    <fill>
      <patternFill patternType="solid">
        <fgColor theme="0" tint="-0.14999847407452621"/>
        <bgColor indexed="64"/>
      </patternFill>
    </fill>
    <fill>
      <patternFill patternType="solid">
        <fgColor rgb="FFF2F2F2"/>
      </patternFill>
    </fill>
    <fill>
      <patternFill patternType="solid">
        <fgColor rgb="FF92D050"/>
        <bgColor indexed="64"/>
      </patternFill>
    </fill>
    <fill>
      <patternFill patternType="solid">
        <fgColor indexed="3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99CCFF"/>
        <bgColor indexed="64"/>
      </patternFill>
    </fill>
    <fill>
      <patternFill patternType="solid">
        <fgColor rgb="FFCCFFCC"/>
        <bgColor indexed="64"/>
      </patternFill>
    </fill>
    <fill>
      <patternFill patternType="solid">
        <fgColor theme="8" tint="0.39994506668294322"/>
        <bgColor indexed="64"/>
      </patternFill>
    </fill>
    <fill>
      <patternFill patternType="solid">
        <fgColor rgb="FF99FF99"/>
        <bgColor indexed="64"/>
      </patternFill>
    </fill>
    <fill>
      <patternFill patternType="solid">
        <fgColor rgb="FF33CC33"/>
        <bgColor indexed="64"/>
      </patternFill>
    </fill>
    <fill>
      <patternFill patternType="solid">
        <fgColor theme="8" tint="0.599963377788628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000"/>
        <bgColor indexed="64"/>
      </patternFill>
    </fill>
    <fill>
      <patternFill patternType="solid">
        <fgColor theme="9" tint="0.39997558519241921"/>
        <bgColor indexed="64"/>
      </patternFill>
    </fill>
  </fills>
  <borders count="328">
    <border>
      <left/>
      <right/>
      <top/>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medium">
        <color indexed="64"/>
      </left>
      <right style="thin">
        <color indexed="64"/>
      </right>
      <top/>
      <bottom style="thin">
        <color indexed="64"/>
      </bottom>
      <diagonal/>
    </border>
    <border>
      <left/>
      <right/>
      <top style="thin">
        <color indexed="62"/>
      </top>
      <bottom style="double">
        <color indexed="62"/>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thick">
        <color indexed="64"/>
      </bottom>
      <diagonal/>
    </border>
    <border>
      <left/>
      <right style="thin">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ashed">
        <color indexed="64"/>
      </left>
      <right style="dashed">
        <color indexed="64"/>
      </right>
      <top style="dashed">
        <color indexed="64"/>
      </top>
      <bottom style="dashed">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medium">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medium">
        <color indexed="64"/>
      </left>
      <right style="thin">
        <color indexed="64"/>
      </right>
      <top/>
      <bottom/>
      <diagonal/>
    </border>
    <border>
      <left/>
      <right/>
      <top style="hair">
        <color indexed="64"/>
      </top>
      <bottom style="hair">
        <color indexed="64"/>
      </bottom>
      <diagonal/>
    </border>
    <border>
      <left style="medium">
        <color indexed="64"/>
      </left>
      <right/>
      <top/>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medium">
        <color indexed="64"/>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style="thin">
        <color indexed="64"/>
      </left>
      <right/>
      <top/>
      <bottom/>
      <diagonal/>
    </border>
    <border>
      <left/>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double">
        <color indexed="64"/>
      </left>
      <right style="double">
        <color indexed="64"/>
      </right>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double">
        <color indexed="64"/>
      </left>
      <right style="double">
        <color indexed="64"/>
      </right>
      <top/>
      <bottom/>
      <diagonal/>
    </border>
    <border>
      <left style="double">
        <color indexed="64"/>
      </left>
      <right style="thin">
        <color indexed="64"/>
      </right>
      <top/>
      <bottom style="thin">
        <color indexed="64"/>
      </bottom>
      <diagonal/>
    </border>
    <border>
      <left style="double">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right style="medium">
        <color indexed="64"/>
      </right>
      <top/>
      <bottom/>
      <diagonal/>
    </border>
    <border>
      <left style="hair">
        <color indexed="64"/>
      </left>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hair">
        <color indexed="64"/>
      </top>
      <bottom style="medium">
        <color indexed="64"/>
      </bottom>
      <diagonal/>
    </border>
    <border>
      <left/>
      <right/>
      <top style="hair">
        <color indexed="64"/>
      </top>
      <bottom/>
      <diagonal/>
    </border>
    <border>
      <left/>
      <right style="thin">
        <color indexed="64"/>
      </right>
      <top style="hair">
        <color indexed="64"/>
      </top>
      <bottom/>
      <diagonal/>
    </border>
    <border>
      <left/>
      <right style="thin">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8"/>
      </right>
      <top/>
      <bottom/>
      <diagonal/>
    </border>
    <border>
      <left style="thin">
        <color indexed="8"/>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style="medium">
        <color indexed="64"/>
      </right>
      <top/>
      <bottom style="dotted">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top/>
      <bottom style="dotted">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hair">
        <color indexed="64"/>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indexed="64"/>
      </left>
      <right style="thin">
        <color indexed="64"/>
      </right>
      <top/>
      <bottom style="dotted">
        <color indexed="64"/>
      </bottom>
      <diagonal/>
    </border>
    <border>
      <left style="thin">
        <color indexed="64"/>
      </left>
      <right style="hair">
        <color indexed="64"/>
      </right>
      <top/>
      <bottom style="dotted">
        <color indexed="64"/>
      </bottom>
      <diagonal/>
    </border>
    <border>
      <left style="hair">
        <color indexed="64"/>
      </left>
      <right style="thin">
        <color indexed="64"/>
      </right>
      <top style="dotted">
        <color indexed="64"/>
      </top>
      <bottom/>
      <diagonal/>
    </border>
    <border>
      <left style="thin">
        <color indexed="64"/>
      </left>
      <right style="hair">
        <color indexed="64"/>
      </right>
      <top style="dotted">
        <color indexed="64"/>
      </top>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style="dotted">
        <color indexed="64"/>
      </bottom>
      <diagonal/>
    </border>
    <border>
      <left style="medium">
        <color indexed="64"/>
      </left>
      <right/>
      <top style="dotted">
        <color indexed="64"/>
      </top>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double">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style="hair">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hair">
        <color indexed="64"/>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medium">
        <color indexed="64"/>
      </left>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top style="thin">
        <color indexed="64"/>
      </top>
      <bottom style="medium">
        <color indexed="64"/>
      </bottom>
      <diagonal/>
    </border>
    <border>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medium">
        <color indexed="64"/>
      </top>
      <bottom style="dotted">
        <color indexed="64"/>
      </bottom>
      <diagonal/>
    </border>
    <border>
      <left/>
      <right style="hair">
        <color indexed="64"/>
      </right>
      <top style="thin">
        <color indexed="64"/>
      </top>
      <bottom style="medium">
        <color indexed="64"/>
      </bottom>
      <diagonal/>
    </border>
    <border>
      <left style="medium">
        <color indexed="64"/>
      </left>
      <right/>
      <top style="hair">
        <color indexed="64"/>
      </top>
      <bottom/>
      <diagonal/>
    </border>
    <border>
      <left style="thin">
        <color rgb="FF7F7F7F"/>
      </left>
      <right style="thin">
        <color rgb="FF7F7F7F"/>
      </right>
      <top style="thin">
        <color rgb="FF7F7F7F"/>
      </top>
      <bottom style="thin">
        <color rgb="FF7F7F7F"/>
      </bottom>
      <diagonal/>
    </border>
    <border>
      <left/>
      <right/>
      <top style="thin">
        <color rgb="FFFF0000"/>
      </top>
      <bottom/>
      <diagonal/>
    </border>
    <border>
      <left/>
      <right/>
      <top style="thick">
        <color rgb="FFFF0000"/>
      </top>
      <bottom/>
      <diagonal/>
    </border>
    <border>
      <left style="thin">
        <color indexed="64"/>
      </left>
      <right style="thick">
        <color rgb="FFFF0000"/>
      </right>
      <top/>
      <bottom style="thin">
        <color rgb="FFFF0000"/>
      </bottom>
      <diagonal/>
    </border>
    <border>
      <left/>
      <right style="thin">
        <color rgb="FF3F3F3F"/>
      </right>
      <top/>
      <bottom style="thin">
        <color rgb="FF3F3F3F"/>
      </bottom>
      <diagonal/>
    </border>
    <border>
      <left style="thin">
        <color indexed="64"/>
      </left>
      <right style="thick">
        <color rgb="FFFF0000"/>
      </right>
      <top/>
      <bottom/>
      <diagonal/>
    </border>
    <border>
      <left style="thin">
        <color rgb="FF3F3F3F"/>
      </left>
      <right style="thin">
        <color rgb="FF3F3F3F"/>
      </right>
      <top/>
      <bottom style="thin">
        <color rgb="FF3F3F3F"/>
      </bottom>
      <diagonal/>
    </border>
    <border>
      <left style="thin">
        <color indexed="64"/>
      </left>
      <right style="thin">
        <color indexed="64"/>
      </right>
      <top style="thin">
        <color indexed="64"/>
      </top>
      <bottom style="thick">
        <color rgb="FFFF0000"/>
      </bottom>
      <diagonal/>
    </border>
    <border>
      <left/>
      <right style="thin">
        <color indexed="64"/>
      </right>
      <top style="thin">
        <color indexed="64"/>
      </top>
      <bottom style="thick">
        <color rgb="FFFF0000"/>
      </bottom>
      <diagonal/>
    </border>
    <border>
      <left style="thin">
        <color rgb="FF3F3F3F"/>
      </left>
      <right style="thick">
        <color rgb="FFFF0000"/>
      </right>
      <top/>
      <bottom style="thin">
        <color rgb="FF3F3F3F"/>
      </bottom>
      <diagonal/>
    </border>
    <border>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rgb="FF3F3F3F"/>
      </left>
      <right style="thin">
        <color rgb="FF3F3F3F"/>
      </right>
      <top style="thin">
        <color rgb="FF3F3F3F"/>
      </top>
      <bottom/>
      <diagonal/>
    </border>
    <border>
      <left/>
      <right style="thin">
        <color rgb="FF3F3F3F"/>
      </right>
      <top style="thin">
        <color rgb="FF3F3F3F"/>
      </top>
      <bottom/>
      <diagonal/>
    </border>
    <border>
      <left/>
      <right style="thin">
        <color rgb="FF3F3F3F"/>
      </right>
      <top style="thin">
        <color rgb="FF3F3F3F"/>
      </top>
      <bottom style="thin">
        <color rgb="FF3F3F3F"/>
      </bottom>
      <diagonal/>
    </border>
    <border>
      <left/>
      <right/>
      <top style="thin">
        <color rgb="FF3F3F3F"/>
      </top>
      <bottom style="thin">
        <color rgb="FF3F3F3F"/>
      </bottom>
      <diagonal/>
    </border>
    <border>
      <left style="thin">
        <color rgb="FF3F3F3F"/>
      </left>
      <right style="thin">
        <color indexed="64"/>
      </right>
      <top/>
      <bottom style="thin">
        <color rgb="FF3F3F3F"/>
      </bottom>
      <diagonal/>
    </border>
    <border>
      <left/>
      <right/>
      <top/>
      <bottom style="double">
        <color indexed="10"/>
      </bottom>
      <diagonal/>
    </border>
    <border>
      <left/>
      <right/>
      <top/>
      <bottom style="thick">
        <color rgb="FFFF0000"/>
      </bottom>
      <diagonal/>
    </border>
    <border>
      <left style="thin">
        <color indexed="64"/>
      </left>
      <right style="thick">
        <color rgb="FFFF0000"/>
      </right>
      <top style="double">
        <color indexed="10"/>
      </top>
      <bottom style="thick">
        <color rgb="FFFF0000"/>
      </bottom>
      <diagonal/>
    </border>
    <border>
      <left style="thin">
        <color indexed="23"/>
      </left>
      <right style="thin">
        <color indexed="64"/>
      </right>
      <top style="double">
        <color indexed="10"/>
      </top>
      <bottom style="thick">
        <color rgb="FFFF0000"/>
      </bottom>
      <diagonal/>
    </border>
    <border>
      <left style="thin">
        <color rgb="FF7F7F7F"/>
      </left>
      <right style="thin">
        <color rgb="FF7F7F7F"/>
      </right>
      <top style="double">
        <color indexed="10"/>
      </top>
      <bottom style="thick">
        <color rgb="FFFF0000"/>
      </bottom>
      <diagonal/>
    </border>
    <border>
      <left/>
      <right style="thick">
        <color rgb="FFFF0000"/>
      </right>
      <top/>
      <bottom style="thick">
        <color rgb="FFFF0000"/>
      </bottom>
      <diagonal/>
    </border>
    <border>
      <left style="thick">
        <color rgb="FFFF0000"/>
      </left>
      <right/>
      <top/>
      <bottom style="thick">
        <color rgb="FFFF0000"/>
      </bottom>
      <diagonal/>
    </border>
    <border>
      <left style="thin">
        <color indexed="64"/>
      </left>
      <right style="thick">
        <color rgb="FFFF0000"/>
      </right>
      <top/>
      <bottom style="double">
        <color indexed="10"/>
      </bottom>
      <diagonal/>
    </border>
    <border>
      <left/>
      <right style="thin">
        <color indexed="64"/>
      </right>
      <top/>
      <bottom style="double">
        <color indexed="10"/>
      </bottom>
      <diagonal/>
    </border>
    <border>
      <left style="thin">
        <color indexed="64"/>
      </left>
      <right style="thick">
        <color rgb="FFFF0000"/>
      </right>
      <top style="double">
        <color indexed="10"/>
      </top>
      <bottom style="double">
        <color indexed="10"/>
      </bottom>
      <diagonal/>
    </border>
    <border>
      <left/>
      <right style="thin">
        <color indexed="64"/>
      </right>
      <top style="double">
        <color indexed="10"/>
      </top>
      <bottom style="double">
        <color indexed="10"/>
      </bottom>
      <diagonal/>
    </border>
    <border>
      <left style="thick">
        <color rgb="FFFF0000"/>
      </left>
      <right/>
      <top style="double">
        <color rgb="FFFF0000"/>
      </top>
      <bottom style="double">
        <color rgb="FFFF0000"/>
      </bottom>
      <diagonal/>
    </border>
    <border>
      <left style="thin">
        <color indexed="64"/>
      </left>
      <right style="thick">
        <color rgb="FFFF0000"/>
      </right>
      <top style="thick">
        <color rgb="FFFF0000"/>
      </top>
      <bottom style="double">
        <color indexed="10"/>
      </bottom>
      <diagonal/>
    </border>
    <border>
      <left/>
      <right/>
      <top style="thick">
        <color rgb="FFFF0000"/>
      </top>
      <bottom style="double">
        <color indexed="10"/>
      </bottom>
      <diagonal/>
    </border>
    <border>
      <left/>
      <right style="thin">
        <color indexed="64"/>
      </right>
      <top style="thick">
        <color rgb="FFFF0000"/>
      </top>
      <bottom style="double">
        <color indexed="10"/>
      </bottom>
      <diagonal/>
    </border>
    <border>
      <left/>
      <right style="thick">
        <color rgb="FFFF0000"/>
      </right>
      <top style="thick">
        <color rgb="FFFF0000"/>
      </top>
      <bottom style="double">
        <color indexed="10"/>
      </bottom>
      <diagonal/>
    </border>
    <border>
      <left style="thick">
        <color rgb="FFFF0000"/>
      </left>
      <right/>
      <top style="thick">
        <color rgb="FFFF0000"/>
      </top>
      <bottom style="double">
        <color rgb="FFFF0000"/>
      </bottom>
      <diagonal/>
    </border>
    <border>
      <left style="thin">
        <color indexed="64"/>
      </left>
      <right/>
      <top style="thick">
        <color rgb="FFFF0000"/>
      </top>
      <bottom style="double">
        <color indexed="10"/>
      </bottom>
      <diagonal/>
    </border>
    <border>
      <left style="thin">
        <color indexed="64"/>
      </left>
      <right style="thick">
        <color rgb="FFFF0000"/>
      </right>
      <top style="thin">
        <color indexed="64"/>
      </top>
      <bottom style="thick">
        <color rgb="FFFF0000"/>
      </bottom>
      <diagonal/>
    </border>
    <border>
      <left style="thin">
        <color indexed="64"/>
      </left>
      <right style="thick">
        <color rgb="FFFF0000"/>
      </right>
      <top style="thin">
        <color indexed="64"/>
      </top>
      <bottom style="thin">
        <color indexed="64"/>
      </bottom>
      <diagonal/>
    </border>
    <border>
      <left style="thin">
        <color rgb="FF3F3F3F"/>
      </left>
      <right style="thick">
        <color rgb="FFFF0000"/>
      </right>
      <top style="thin">
        <color rgb="FF3F3F3F"/>
      </top>
      <bottom/>
      <diagonal/>
    </border>
    <border>
      <left style="thin">
        <color rgb="FF3F3F3F"/>
      </left>
      <right style="thick">
        <color rgb="FFFF0000"/>
      </right>
      <top style="thin">
        <color rgb="FF3F3F3F"/>
      </top>
      <bottom style="thin">
        <color rgb="FF3F3F3F"/>
      </bottom>
      <diagonal/>
    </border>
    <border>
      <left/>
      <right/>
      <top style="thin">
        <color indexed="64"/>
      </top>
      <bottom style="double">
        <color indexed="64"/>
      </bottom>
      <diagonal/>
    </border>
    <border>
      <left/>
      <right/>
      <top/>
      <bottom style="double">
        <color indexed="64"/>
      </bottom>
      <diagonal/>
    </border>
    <border>
      <left/>
      <right/>
      <top style="dotted">
        <color indexed="64"/>
      </top>
      <bottom style="thin">
        <color indexed="64"/>
      </bottom>
      <diagonal/>
    </border>
    <border>
      <left style="medium">
        <color indexed="64"/>
      </left>
      <right style="dashed">
        <color indexed="64"/>
      </right>
      <top/>
      <bottom style="medium">
        <color indexed="64"/>
      </bottom>
      <diagonal/>
    </border>
    <border>
      <left style="medium">
        <color indexed="64"/>
      </left>
      <right style="medium">
        <color indexed="64"/>
      </right>
      <top style="dotted">
        <color indexed="64"/>
      </top>
      <bottom/>
      <diagonal/>
    </border>
    <border>
      <left style="medium">
        <color indexed="64"/>
      </left>
      <right style="dashed">
        <color indexed="64"/>
      </right>
      <top/>
      <bottom/>
      <diagonal/>
    </border>
    <border>
      <left style="medium">
        <color indexed="64"/>
      </left>
      <right style="medium">
        <color indexed="64"/>
      </right>
      <top/>
      <bottom style="dotted">
        <color indexed="64"/>
      </bottom>
      <diagonal/>
    </border>
    <border>
      <left style="medium">
        <color indexed="64"/>
      </left>
      <right style="dashed">
        <color indexed="64"/>
      </right>
      <top style="thin">
        <color indexed="64"/>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top style="dotted">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top style="thin">
        <color indexed="64"/>
      </top>
      <bottom style="dotted">
        <color indexed="64"/>
      </bottom>
      <diagonal/>
    </border>
    <border>
      <left style="dashed">
        <color indexed="64"/>
      </left>
      <right style="medium">
        <color indexed="64"/>
      </right>
      <top/>
      <bottom style="thin">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diagonal/>
    </border>
    <border>
      <left style="medium">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hair">
        <color indexed="64"/>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right/>
      <top style="hair">
        <color indexed="64"/>
      </top>
      <bottom style="thin">
        <color indexed="64"/>
      </bottom>
      <diagonal/>
    </border>
    <border>
      <left/>
      <right style="medium">
        <color auto="1"/>
      </right>
      <top/>
      <bottom/>
      <diagonal/>
    </border>
    <border>
      <left/>
      <right/>
      <top style="thin">
        <color auto="1"/>
      </top>
      <bottom/>
      <diagonal/>
    </border>
    <border>
      <left/>
      <right style="hair">
        <color indexed="64"/>
      </right>
      <top style="thin">
        <color indexed="64"/>
      </top>
      <bottom/>
      <diagonal/>
    </border>
    <border>
      <left style="hair">
        <color indexed="64"/>
      </left>
      <right style="medium">
        <color indexed="64"/>
      </right>
      <top style="thin">
        <color indexed="64"/>
      </top>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thin">
        <color theme="1"/>
      </right>
      <top/>
      <bottom/>
      <diagonal/>
    </border>
    <border>
      <left style="thin">
        <color theme="1"/>
      </left>
      <right/>
      <top/>
      <bottom/>
      <diagonal/>
    </border>
    <border>
      <left/>
      <right style="thin">
        <color theme="0" tint="-0.14999847407452621"/>
      </right>
      <top/>
      <bottom/>
      <diagonal/>
    </border>
    <border>
      <left style="thin">
        <color indexed="64"/>
      </left>
      <right/>
      <top style="thin">
        <color theme="0" tint="-0.14999847407452621"/>
      </top>
      <bottom/>
      <diagonal/>
    </border>
    <border>
      <left style="thin">
        <color indexed="64"/>
      </left>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style="thin">
        <color theme="0" tint="-0.14999847407452621"/>
      </bottom>
      <diagonal/>
    </border>
    <border>
      <left/>
      <right style="thin">
        <color theme="0" tint="-0.14999847407452621"/>
      </right>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indexed="64"/>
      </left>
      <right style="thin">
        <color theme="0" tint="-0.14999847407452621"/>
      </right>
      <top style="thin">
        <color theme="0" tint="-0.14999847407452621"/>
      </top>
      <bottom/>
      <diagonal/>
    </border>
    <border>
      <left style="hair">
        <color indexed="64"/>
      </left>
      <right style="thin">
        <color indexed="64"/>
      </right>
      <top/>
      <bottom style="thin">
        <color theme="0" tint="-0.14999847407452621"/>
      </bottom>
      <diagonal/>
    </border>
    <border>
      <left style="thin">
        <color indexed="64"/>
      </left>
      <right style="thin">
        <color theme="0" tint="-0.14999847407452621"/>
      </right>
      <top/>
      <bottom/>
      <diagonal/>
    </border>
    <border>
      <left style="thin">
        <color theme="0" tint="-0.14999847407452621"/>
      </left>
      <right style="thin">
        <color theme="0" tint="-0.14999847407452621"/>
      </right>
      <top/>
      <bottom/>
      <diagonal/>
    </border>
    <border>
      <left style="thin">
        <color indexed="64"/>
      </left>
      <right style="hair">
        <color indexed="64"/>
      </right>
      <top/>
      <bottom style="thin">
        <color theme="0" tint="-0.14999847407452621"/>
      </bottom>
      <diagonal/>
    </border>
    <border>
      <left/>
      <right style="thin">
        <color indexed="64"/>
      </right>
      <top/>
      <bottom style="thin">
        <color theme="0" tint="-0.14999847407452621"/>
      </bottom>
      <diagonal/>
    </border>
    <border>
      <left style="thin">
        <color theme="0" tint="-0.14999847407452621"/>
      </left>
      <right/>
      <top/>
      <bottom style="thin">
        <color indexed="64"/>
      </bottom>
      <diagonal/>
    </border>
    <border>
      <left/>
      <right style="thin">
        <color theme="0" tint="-0.14999847407452621"/>
      </right>
      <top/>
      <bottom style="thin">
        <color indexed="64"/>
      </bottom>
      <diagonal/>
    </border>
    <border>
      <left style="thin">
        <color theme="0" tint="-0.14999847407452621"/>
      </left>
      <right/>
      <top/>
      <bottom/>
      <diagonal/>
    </border>
    <border>
      <left style="thin">
        <color theme="0" tint="-0.14999847407452621"/>
      </left>
      <right/>
      <top style="thin">
        <color indexed="64"/>
      </top>
      <bottom/>
      <diagonal/>
    </border>
    <border>
      <left style="thin">
        <color theme="0" tint="-0.14999847407452621"/>
      </left>
      <right/>
      <top style="hair">
        <color indexed="64"/>
      </top>
      <bottom style="thin">
        <color theme="0" tint="-0.14999847407452621"/>
      </bottom>
      <diagonal/>
    </border>
    <border>
      <left style="thin">
        <color indexed="64"/>
      </left>
      <right style="thin">
        <color theme="0" tint="-0.14999847407452621"/>
      </right>
      <top style="thin">
        <color theme="0" tint="-0.14999847407452621"/>
      </top>
      <bottom style="thin">
        <color theme="0" tint="-0.14999847407452621"/>
      </bottom>
      <diagonal/>
    </border>
    <border>
      <left style="thin">
        <color indexed="64"/>
      </left>
      <right/>
      <top style="medium">
        <color indexed="64"/>
      </top>
      <bottom style="thin">
        <color theme="0" tint="-0.14999847407452621"/>
      </bottom>
      <diagonal/>
    </border>
    <border>
      <left style="thin">
        <color indexed="64"/>
      </left>
      <right/>
      <top style="thin">
        <color theme="0" tint="-0.14999847407452621"/>
      </top>
      <bottom style="thin">
        <color indexed="64"/>
      </bottom>
      <diagonal/>
    </border>
  </borders>
  <cellStyleXfs count="181">
    <xf numFmtId="0" fontId="0" fillId="0" borderId="0"/>
    <xf numFmtId="0" fontId="4" fillId="0" borderId="0"/>
    <xf numFmtId="0" fontId="7" fillId="0" borderId="0" applyNumberFormat="0" applyFill="0" applyBorder="0" applyAlignment="0" applyProtection="0">
      <alignment vertical="top"/>
      <protection locked="0"/>
    </xf>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22" borderId="0" applyNumberFormat="0" applyBorder="0" applyAlignment="0" applyProtection="0"/>
    <xf numFmtId="0" fontId="23" fillId="23" borderId="4" applyNumberFormat="0" applyAlignment="0" applyProtection="0"/>
    <xf numFmtId="0" fontId="24" fillId="23" borderId="5" applyNumberFormat="0" applyAlignment="0" applyProtection="0"/>
    <xf numFmtId="4" fontId="9" fillId="0" borderId="3"/>
    <xf numFmtId="165" fontId="9" fillId="0" borderId="6">
      <protection locked="0"/>
    </xf>
    <xf numFmtId="165" fontId="9" fillId="0" borderId="6">
      <protection locked="0"/>
    </xf>
    <xf numFmtId="165" fontId="9" fillId="0" borderId="6">
      <protection locked="0"/>
    </xf>
    <xf numFmtId="165" fontId="9" fillId="0" borderId="6">
      <protection locked="0"/>
    </xf>
    <xf numFmtId="0" fontId="25" fillId="10" borderId="5" applyNumberFormat="0" applyAlignment="0" applyProtection="0"/>
    <xf numFmtId="4" fontId="9" fillId="24" borderId="0">
      <alignment horizontal="right" vertical="center" shrinkToFit="1"/>
      <protection locked="0"/>
    </xf>
    <xf numFmtId="0" fontId="26" fillId="0" borderId="7" applyNumberFormat="0" applyFill="0" applyAlignment="0" applyProtection="0"/>
    <xf numFmtId="0" fontId="27" fillId="0" borderId="0" applyNumberFormat="0" applyFill="0" applyBorder="0" applyAlignment="0" applyProtection="0"/>
    <xf numFmtId="166"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4" fontId="9" fillId="0" borderId="0" applyFont="0" applyFill="0" applyBorder="0" applyAlignment="0" applyProtection="0"/>
    <xf numFmtId="167" fontId="6" fillId="0" borderId="8">
      <alignment horizontal="center" vertical="center"/>
    </xf>
    <xf numFmtId="0" fontId="28" fillId="7" borderId="0" applyNumberFormat="0" applyBorder="0" applyAlignment="0" applyProtection="0"/>
    <xf numFmtId="0" fontId="29" fillId="0" borderId="0" applyNumberFormat="0" applyFill="0" applyBorder="0" applyAlignment="0" applyProtection="0">
      <alignment vertical="top"/>
      <protection locked="0"/>
    </xf>
    <xf numFmtId="0" fontId="30" fillId="0" borderId="0" applyNumberFormat="0" applyFill="0" applyBorder="0" applyAlignment="0" applyProtection="0"/>
    <xf numFmtId="168" fontId="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0" fontId="9" fillId="4" borderId="3">
      <alignment vertical="center" shrinkToFit="1"/>
    </xf>
    <xf numFmtId="169" fontId="9" fillId="4" borderId="3">
      <alignment vertical="center" shrinkToFit="1"/>
    </xf>
    <xf numFmtId="4" fontId="9" fillId="0" borderId="3">
      <alignment vertical="center" shrinkToFit="1"/>
    </xf>
    <xf numFmtId="4" fontId="9" fillId="0" borderId="9">
      <alignment vertical="center"/>
    </xf>
    <xf numFmtId="0" fontId="31" fillId="0" borderId="0">
      <alignment horizontal="center"/>
    </xf>
    <xf numFmtId="0" fontId="32" fillId="25" borderId="0" applyNumberFormat="0" applyBorder="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0" fontId="9" fillId="26" borderId="10" applyNumberFormat="0" applyFont="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6" borderId="0" applyNumberFormat="0" applyBorder="0" applyAlignment="0" applyProtection="0"/>
    <xf numFmtId="0" fontId="14" fillId="27" borderId="3" applyNumberFormat="0">
      <alignment horizontal="center"/>
    </xf>
    <xf numFmtId="0" fontId="9" fillId="0" borderId="0"/>
    <xf numFmtId="0" fontId="20" fillId="27" borderId="11" applyProtection="0">
      <protection locked="0"/>
    </xf>
    <xf numFmtId="0" fontId="3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35" fillId="0" borderId="0"/>
    <xf numFmtId="0" fontId="20" fillId="0" borderId="0">
      <protection locked="0"/>
    </xf>
    <xf numFmtId="0" fontId="9" fillId="0" borderId="0">
      <protection locked="0"/>
    </xf>
    <xf numFmtId="0" fontId="35" fillId="0" borderId="0"/>
    <xf numFmtId="0" fontId="16" fillId="0" borderId="0"/>
    <xf numFmtId="170" fontId="6" fillId="28" borderId="12">
      <alignment horizontal="right" vertical="center"/>
    </xf>
    <xf numFmtId="49" fontId="9" fillId="0" borderId="3"/>
    <xf numFmtId="49" fontId="9" fillId="0" borderId="3"/>
    <xf numFmtId="49" fontId="9" fillId="0" borderId="3"/>
    <xf numFmtId="49" fontId="9" fillId="0" borderId="3"/>
    <xf numFmtId="0" fontId="36" fillId="0" borderId="13" applyNumberFormat="0" applyFill="0" applyAlignment="0" applyProtection="0"/>
    <xf numFmtId="0" fontId="37" fillId="0" borderId="14" applyNumberFormat="0" applyFill="0" applyAlignment="0" applyProtection="0"/>
    <xf numFmtId="0" fontId="38" fillId="0" borderId="1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16" applyNumberFormat="0" applyFill="0" applyAlignment="0" applyProtection="0"/>
    <xf numFmtId="44" fontId="9" fillId="0" borderId="0" applyFont="0" applyFill="0" applyBorder="0" applyAlignment="0" applyProtection="0"/>
    <xf numFmtId="0" fontId="41" fillId="0" borderId="0" applyNumberFormat="0" applyFill="0" applyBorder="0" applyAlignment="0" applyProtection="0"/>
    <xf numFmtId="3" fontId="12" fillId="0" borderId="17">
      <alignment horizontal="center" vertical="center" shrinkToFit="1"/>
    </xf>
    <xf numFmtId="0" fontId="42" fillId="29" borderId="18" applyNumberFormat="0" applyAlignment="0" applyProtection="0"/>
    <xf numFmtId="0" fontId="3" fillId="36" borderId="1" applyNumberFormat="0" applyAlignment="0" applyProtection="0"/>
    <xf numFmtId="0" fontId="100" fillId="0" borderId="0" applyFont="0">
      <alignment vertical="center"/>
    </xf>
    <xf numFmtId="0" fontId="16" fillId="0" borderId="0"/>
    <xf numFmtId="0" fontId="100" fillId="0" borderId="0" applyFont="0">
      <alignment vertical="center"/>
    </xf>
    <xf numFmtId="0" fontId="9" fillId="0" borderId="3">
      <alignment vertical="center"/>
    </xf>
    <xf numFmtId="0" fontId="9" fillId="0" borderId="3">
      <alignment vertical="center"/>
    </xf>
    <xf numFmtId="0" fontId="44" fillId="31" borderId="92">
      <alignment horizontal="left" vertical="center"/>
      <protection locked="0"/>
    </xf>
    <xf numFmtId="0" fontId="11" fillId="0" borderId="230" applyNumberFormat="0" applyFill="0" applyAlignment="0" applyProtection="0"/>
    <xf numFmtId="0" fontId="75" fillId="36" borderId="213" applyNumberFormat="0" applyAlignment="0" applyProtection="0"/>
    <xf numFmtId="9" fontId="4" fillId="0" borderId="0" applyFont="0" applyFill="0" applyBorder="0" applyAlignment="0" applyProtection="0"/>
    <xf numFmtId="0" fontId="178" fillId="0" borderId="0"/>
    <xf numFmtId="0" fontId="179" fillId="0" borderId="0"/>
    <xf numFmtId="0" fontId="180" fillId="0" borderId="0"/>
    <xf numFmtId="9" fontId="4" fillId="0" borderId="0" applyFont="0" applyFill="0" applyBorder="0" applyAlignment="0" applyProtection="0"/>
    <xf numFmtId="0" fontId="2" fillId="0" borderId="0"/>
    <xf numFmtId="0" fontId="4" fillId="0" borderId="3">
      <alignment vertical="center"/>
    </xf>
    <xf numFmtId="0" fontId="4" fillId="0" borderId="3">
      <alignment vertical="center"/>
    </xf>
    <xf numFmtId="0" fontId="182" fillId="0" borderId="0"/>
    <xf numFmtId="166" fontId="4" fillId="0" borderId="0" applyFont="0" applyFill="0" applyBorder="0" applyAlignment="0" applyProtection="0"/>
    <xf numFmtId="0" fontId="29" fillId="0" borderId="0" applyNumberFormat="0" applyFill="0" applyBorder="0" applyAlignment="0" applyProtection="0">
      <alignment vertical="top"/>
      <protection locked="0"/>
    </xf>
    <xf numFmtId="168" fontId="4" fillId="0" borderId="0" applyFont="0" applyFill="0" applyBorder="0" applyAlignment="0" applyProtection="0"/>
    <xf numFmtId="4" fontId="4" fillId="0" borderId="9">
      <alignment vertical="center"/>
    </xf>
    <xf numFmtId="0" fontId="4" fillId="0" borderId="0"/>
    <xf numFmtId="0" fontId="7" fillId="0" borderId="0" applyNumberFormat="0" applyFill="0" applyBorder="0" applyAlignment="0" applyProtection="0">
      <alignment vertical="top"/>
      <protection locked="0"/>
    </xf>
    <xf numFmtId="4" fontId="4" fillId="0" borderId="3"/>
    <xf numFmtId="165" fontId="4" fillId="0" borderId="6">
      <protection locked="0"/>
    </xf>
    <xf numFmtId="165" fontId="4" fillId="0" borderId="6">
      <protection locked="0"/>
    </xf>
    <xf numFmtId="165" fontId="4" fillId="0" borderId="6">
      <protection locked="0"/>
    </xf>
    <xf numFmtId="165" fontId="4" fillId="0" borderId="6">
      <protection locked="0"/>
    </xf>
    <xf numFmtId="4" fontId="4" fillId="24" borderId="0">
      <alignment horizontal="right" vertical="center" shrinkToFit="1"/>
      <protection locked="0"/>
    </xf>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8" fontId="4" fillId="0" borderId="0" applyFont="0" applyFill="0" applyBorder="0" applyAlignment="0" applyProtection="0"/>
    <xf numFmtId="10" fontId="4" fillId="4" borderId="3">
      <alignment vertical="center" shrinkToFit="1"/>
    </xf>
    <xf numFmtId="169" fontId="4" fillId="4" borderId="3">
      <alignment vertical="center" shrinkToFit="1"/>
    </xf>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0" fontId="4" fillId="26" borderId="10"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protection locked="0"/>
    </xf>
    <xf numFmtId="49" fontId="4" fillId="0" borderId="3"/>
    <xf numFmtId="49" fontId="4" fillId="0" borderId="3"/>
    <xf numFmtId="49" fontId="4" fillId="0" borderId="3"/>
    <xf numFmtId="49" fontId="4" fillId="0" borderId="3"/>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83" fillId="0" borderId="0"/>
    <xf numFmtId="0" fontId="184" fillId="0" borderId="0"/>
    <xf numFmtId="0" fontId="1" fillId="0" borderId="0"/>
  </cellStyleXfs>
  <cellXfs count="5004">
    <xf numFmtId="0" fontId="0" fillId="0" borderId="0" xfId="0"/>
    <xf numFmtId="0" fontId="4" fillId="0" borderId="0" xfId="1" applyAlignment="1">
      <alignment vertical="center"/>
    </xf>
    <xf numFmtId="3" fontId="4" fillId="0" borderId="0" xfId="1" applyNumberFormat="1" applyAlignment="1">
      <alignment vertical="center"/>
    </xf>
    <xf numFmtId="0" fontId="4" fillId="0" borderId="0" xfId="1" applyAlignment="1">
      <alignment horizontal="left" vertical="center"/>
    </xf>
    <xf numFmtId="0" fontId="4" fillId="0" borderId="0" xfId="1" applyBorder="1" applyAlignment="1">
      <alignment vertical="center"/>
    </xf>
    <xf numFmtId="0" fontId="4" fillId="0" borderId="0" xfId="1" applyBorder="1" applyAlignment="1">
      <alignment horizontal="left" vertical="center"/>
    </xf>
    <xf numFmtId="0" fontId="4" fillId="0" borderId="2" xfId="1" applyBorder="1" applyAlignment="1">
      <alignment horizontal="right" vertical="center"/>
    </xf>
    <xf numFmtId="0" fontId="4" fillId="0" borderId="2" xfId="1" applyBorder="1" applyAlignment="1">
      <alignment horizontal="left" vertical="center"/>
    </xf>
    <xf numFmtId="0" fontId="4" fillId="0" borderId="2" xfId="1" applyBorder="1" applyAlignment="1">
      <alignment vertical="center"/>
    </xf>
    <xf numFmtId="0" fontId="6" fillId="0" borderId="0" xfId="1" applyFont="1" applyBorder="1" applyAlignment="1">
      <alignment horizontal="right" vertical="center"/>
    </xf>
    <xf numFmtId="0" fontId="5" fillId="0" borderId="0" xfId="1" applyFont="1" applyBorder="1" applyAlignment="1">
      <alignment vertical="center"/>
    </xf>
    <xf numFmtId="0" fontId="8" fillId="2" borderId="3" xfId="2" applyFont="1" applyFill="1" applyBorder="1" applyAlignment="1" applyProtection="1">
      <alignment horizontal="left" vertical="center"/>
    </xf>
    <xf numFmtId="0" fontId="9" fillId="0" borderId="0" xfId="1" applyFont="1" applyAlignment="1">
      <alignment horizontal="left" vertical="center"/>
    </xf>
    <xf numFmtId="10" fontId="4" fillId="0" borderId="0" xfId="1" applyNumberFormat="1" applyAlignment="1">
      <alignment vertical="center"/>
    </xf>
    <xf numFmtId="0" fontId="10" fillId="2" borderId="3" xfId="2" applyFont="1" applyFill="1" applyBorder="1" applyAlignment="1" applyProtection="1">
      <alignment horizontal="left" vertical="center"/>
    </xf>
    <xf numFmtId="0" fontId="9" fillId="0" borderId="0" xfId="1" applyFont="1"/>
    <xf numFmtId="0" fontId="10" fillId="3" borderId="0" xfId="2" applyFont="1" applyFill="1" applyBorder="1" applyAlignment="1" applyProtection="1">
      <alignment horizontal="left" vertical="center"/>
    </xf>
    <xf numFmtId="0" fontId="9" fillId="0" borderId="0" xfId="1" applyFont="1" applyBorder="1" applyAlignment="1">
      <alignment vertical="center"/>
    </xf>
    <xf numFmtId="0" fontId="5" fillId="0" borderId="0" xfId="1" applyFont="1" applyBorder="1" applyAlignment="1">
      <alignment horizontal="left" vertical="center"/>
    </xf>
    <xf numFmtId="0" fontId="9" fillId="0" borderId="0" xfId="1" applyFont="1" applyBorder="1" applyAlignment="1">
      <alignment horizontal="left" vertical="center"/>
    </xf>
    <xf numFmtId="0" fontId="11" fillId="0" borderId="0" xfId="1" applyFont="1" applyBorder="1" applyAlignment="1">
      <alignment horizontal="right" vertical="center"/>
    </xf>
    <xf numFmtId="0" fontId="12" fillId="0" borderId="0" xfId="1" applyFont="1" applyBorder="1" applyAlignment="1">
      <alignment vertical="center"/>
    </xf>
    <xf numFmtId="0" fontId="13" fillId="0" borderId="0" xfId="1" applyFont="1" applyBorder="1" applyAlignment="1">
      <alignment horizontal="right" vertical="center"/>
    </xf>
    <xf numFmtId="0" fontId="14" fillId="0" borderId="0" xfId="1" applyFont="1" applyBorder="1" applyAlignment="1">
      <alignment vertical="center"/>
    </xf>
    <xf numFmtId="0" fontId="9" fillId="0" borderId="0" xfId="1" applyFont="1" applyAlignment="1">
      <alignment horizontal="left"/>
    </xf>
    <xf numFmtId="0" fontId="9" fillId="0" borderId="0" xfId="1" applyFont="1" applyBorder="1" applyAlignment="1"/>
    <xf numFmtId="0" fontId="4" fillId="0" borderId="0" xfId="1" applyBorder="1" applyAlignment="1"/>
    <xf numFmtId="0" fontId="5" fillId="0" borderId="0" xfId="1" applyFont="1" applyBorder="1" applyAlignment="1">
      <alignment horizontal="right" vertical="center"/>
    </xf>
    <xf numFmtId="3" fontId="5" fillId="0" borderId="0" xfId="1" applyNumberFormat="1" applyFont="1" applyAlignment="1">
      <alignment horizontal="right" vertical="center"/>
    </xf>
    <xf numFmtId="0" fontId="6" fillId="0" borderId="0" xfId="1" applyFont="1" applyBorder="1" applyAlignment="1">
      <alignment horizontal="left" vertical="center"/>
    </xf>
    <xf numFmtId="0" fontId="4" fillId="4" borderId="0" xfId="1" applyFill="1" applyBorder="1" applyAlignment="1">
      <alignmen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0" xfId="1"/>
    <xf numFmtId="0" fontId="9" fillId="0" borderId="0" xfId="1" applyFont="1" applyBorder="1"/>
    <xf numFmtId="0" fontId="9" fillId="0" borderId="0" xfId="1" applyFont="1" applyAlignment="1" applyProtection="1">
      <alignment vertical="center"/>
    </xf>
    <xf numFmtId="0" fontId="9" fillId="0" borderId="19" xfId="1" applyFont="1" applyBorder="1" applyAlignment="1" applyProtection="1">
      <alignment vertical="center"/>
    </xf>
    <xf numFmtId="0" fontId="5" fillId="0" borderId="0" xfId="1" applyFont="1" applyBorder="1" applyAlignment="1" applyProtection="1">
      <alignment vertical="center"/>
    </xf>
    <xf numFmtId="0" fontId="9" fillId="0" borderId="0" xfId="1" applyFont="1" applyBorder="1" applyAlignment="1" applyProtection="1">
      <alignment vertical="center"/>
    </xf>
    <xf numFmtId="0" fontId="9" fillId="0" borderId="0" xfId="1" applyFont="1" applyBorder="1" applyAlignment="1" applyProtection="1">
      <alignment horizontal="left" vertical="center"/>
    </xf>
    <xf numFmtId="0" fontId="9" fillId="0" borderId="0" xfId="1" applyFont="1" applyBorder="1" applyAlignment="1" applyProtection="1">
      <alignment horizontal="left" vertical="top" wrapText="1"/>
    </xf>
    <xf numFmtId="0" fontId="9" fillId="0" borderId="0" xfId="1" applyFont="1" applyBorder="1" applyAlignment="1" applyProtection="1">
      <alignment vertical="top" wrapText="1"/>
    </xf>
    <xf numFmtId="0" fontId="6" fillId="0" borderId="0" xfId="1" applyFont="1" applyAlignment="1" applyProtection="1">
      <alignment vertical="center"/>
    </xf>
    <xf numFmtId="0" fontId="6" fillId="0" borderId="19" xfId="1" applyFont="1" applyBorder="1" applyAlignment="1" applyProtection="1">
      <alignment vertical="center"/>
    </xf>
    <xf numFmtId="0" fontId="6" fillId="0" borderId="0" xfId="1" applyFont="1" applyBorder="1" applyAlignment="1" applyProtection="1">
      <alignment horizontal="left" vertical="center"/>
    </xf>
    <xf numFmtId="0" fontId="6" fillId="0" borderId="0" xfId="1" applyFont="1" applyBorder="1" applyAlignment="1" applyProtection="1">
      <alignment vertical="center"/>
    </xf>
    <xf numFmtId="0" fontId="4" fillId="0" borderId="19" xfId="1" applyBorder="1" applyAlignment="1" applyProtection="1">
      <alignment vertical="center"/>
    </xf>
    <xf numFmtId="0" fontId="14" fillId="0" borderId="0" xfId="1" applyFont="1" applyBorder="1" applyAlignment="1" applyProtection="1">
      <alignment vertical="center"/>
    </xf>
    <xf numFmtId="0" fontId="43" fillId="0" borderId="0" xfId="1" applyFont="1" applyBorder="1" applyAlignment="1" applyProtection="1">
      <alignment vertical="center"/>
    </xf>
    <xf numFmtId="0" fontId="4" fillId="0" borderId="0" xfId="1" applyAlignment="1" applyProtection="1">
      <alignment vertical="center"/>
      <protection locked="0"/>
    </xf>
    <xf numFmtId="0" fontId="4" fillId="0" borderId="0" xfId="1" applyAlignment="1">
      <alignment horizontal="left" vertical="top" wrapText="1"/>
    </xf>
    <xf numFmtId="0" fontId="6" fillId="4" borderId="0" xfId="1" applyFont="1" applyFill="1" applyBorder="1" applyAlignment="1" applyProtection="1">
      <alignment vertical="center"/>
    </xf>
    <xf numFmtId="0" fontId="9" fillId="4" borderId="0" xfId="1" applyFont="1" applyFill="1" applyBorder="1" applyAlignment="1" applyProtection="1">
      <alignment horizontal="centerContinuous" vertical="center"/>
    </xf>
    <xf numFmtId="0" fontId="9" fillId="4" borderId="0" xfId="1" applyFont="1" applyFill="1" applyBorder="1" applyAlignment="1" applyProtection="1">
      <alignment vertical="center"/>
    </xf>
    <xf numFmtId="0" fontId="9" fillId="4" borderId="0" xfId="1" applyFont="1" applyFill="1" applyBorder="1" applyAlignment="1" applyProtection="1">
      <alignment horizontal="left" vertical="center"/>
    </xf>
    <xf numFmtId="0" fontId="9" fillId="4" borderId="0" xfId="1" applyFont="1" applyFill="1" applyBorder="1" applyAlignment="1" applyProtection="1">
      <alignment horizontal="center" vertical="center"/>
    </xf>
    <xf numFmtId="0" fontId="9" fillId="4" borderId="20" xfId="1" applyFont="1" applyFill="1" applyBorder="1" applyAlignment="1" applyProtection="1">
      <alignment horizontal="center" vertical="center"/>
    </xf>
    <xf numFmtId="0" fontId="9" fillId="4" borderId="21" xfId="1" applyFont="1" applyFill="1" applyBorder="1" applyAlignment="1" applyProtection="1">
      <alignment horizontal="center" vertical="center"/>
    </xf>
    <xf numFmtId="0" fontId="9" fillId="4" borderId="22" xfId="1" applyFont="1" applyFill="1" applyBorder="1" applyAlignment="1" applyProtection="1">
      <alignment horizontal="center" vertical="center"/>
    </xf>
    <xf numFmtId="0" fontId="13" fillId="4" borderId="0" xfId="1" applyFont="1" applyFill="1" applyBorder="1" applyAlignment="1" applyProtection="1">
      <alignment vertical="center"/>
    </xf>
    <xf numFmtId="0" fontId="5" fillId="4" borderId="0" xfId="1" applyFont="1" applyFill="1" applyBorder="1" applyAlignment="1" applyProtection="1">
      <alignment horizontal="center" vertical="center"/>
    </xf>
    <xf numFmtId="0" fontId="5" fillId="4" borderId="0" xfId="1" applyFont="1" applyFill="1" applyBorder="1" applyAlignment="1" applyProtection="1">
      <alignment vertical="center"/>
    </xf>
    <xf numFmtId="0" fontId="5" fillId="4" borderId="21" xfId="2" applyFont="1" applyFill="1" applyBorder="1" applyAlignment="1" applyProtection="1">
      <alignment horizontal="center" vertical="center"/>
    </xf>
    <xf numFmtId="0" fontId="5" fillId="4" borderId="22" xfId="2" applyFont="1" applyFill="1" applyBorder="1" applyAlignment="1" applyProtection="1">
      <alignment horizontal="center" vertical="center"/>
    </xf>
    <xf numFmtId="0" fontId="6" fillId="0" borderId="0" xfId="1" applyFont="1" applyAlignment="1" applyProtection="1">
      <alignment vertical="center"/>
      <protection locked="0"/>
    </xf>
    <xf numFmtId="0" fontId="13" fillId="0" borderId="0" xfId="1" applyFont="1" applyAlignment="1" applyProtection="1">
      <alignment vertical="center"/>
    </xf>
    <xf numFmtId="0" fontId="13" fillId="0" borderId="19" xfId="1" applyFont="1" applyBorder="1" applyAlignment="1" applyProtection="1">
      <alignment vertical="center"/>
    </xf>
    <xf numFmtId="0" fontId="13" fillId="0" borderId="0" xfId="1" applyFont="1" applyBorder="1" applyAlignment="1" applyProtection="1">
      <alignment horizontal="left" vertical="center"/>
    </xf>
    <xf numFmtId="0" fontId="13" fillId="0" borderId="0" xfId="1" applyFont="1" applyBorder="1" applyAlignment="1" applyProtection="1">
      <alignment vertical="center"/>
    </xf>
    <xf numFmtId="0" fontId="5" fillId="4" borderId="0" xfId="1" applyFont="1" applyFill="1" applyAlignment="1" applyProtection="1">
      <alignment horizontal="center" vertical="center"/>
    </xf>
    <xf numFmtId="0" fontId="44" fillId="0" borderId="0" xfId="1" applyFont="1" applyBorder="1" applyAlignment="1" applyProtection="1">
      <alignment vertical="center"/>
    </xf>
    <xf numFmtId="0" fontId="4" fillId="0" borderId="0" xfId="1" applyBorder="1" applyAlignment="1" applyProtection="1">
      <alignment horizontal="left" vertical="center"/>
    </xf>
    <xf numFmtId="14" fontId="6" fillId="0" borderId="19" xfId="1" applyNumberFormat="1" applyFont="1" applyBorder="1" applyAlignment="1" applyProtection="1">
      <alignment horizontal="left" vertical="center"/>
    </xf>
    <xf numFmtId="0" fontId="6" fillId="0" borderId="0" xfId="1" applyFont="1" applyBorder="1" applyAlignment="1" applyProtection="1">
      <alignment horizontal="center" vertical="center"/>
    </xf>
    <xf numFmtId="0" fontId="4" fillId="0" borderId="0" xfId="1" applyBorder="1" applyAlignment="1" applyProtection="1">
      <alignment horizontal="centerContinuous" vertical="center"/>
    </xf>
    <xf numFmtId="0" fontId="17" fillId="0" borderId="0" xfId="1" applyFont="1" applyBorder="1" applyAlignment="1" applyProtection="1">
      <alignment horizontal="left" vertical="center"/>
    </xf>
    <xf numFmtId="0" fontId="19" fillId="0" borderId="0" xfId="1" applyFont="1" applyBorder="1" applyAlignment="1" applyProtection="1">
      <alignment horizontal="left" vertical="center"/>
    </xf>
    <xf numFmtId="0" fontId="9" fillId="0" borderId="0" xfId="1" applyFont="1" applyAlignment="1">
      <alignment vertical="center"/>
    </xf>
    <xf numFmtId="0" fontId="6" fillId="0" borderId="0" xfId="1" applyFont="1" applyBorder="1" applyAlignment="1">
      <alignment vertical="center"/>
    </xf>
    <xf numFmtId="0" fontId="9" fillId="0" borderId="0" xfId="1" applyFont="1" applyAlignment="1" applyProtection="1">
      <alignment vertical="center"/>
      <protection locked="0"/>
    </xf>
    <xf numFmtId="171" fontId="45" fillId="30" borderId="0" xfId="1" applyNumberFormat="1" applyFont="1" applyFill="1" applyBorder="1" applyAlignment="1">
      <alignment horizontal="right" vertical="center"/>
    </xf>
    <xf numFmtId="171" fontId="45" fillId="4" borderId="0" xfId="1" applyNumberFormat="1" applyFont="1" applyFill="1" applyBorder="1" applyAlignment="1">
      <alignment horizontal="right" vertical="center"/>
    </xf>
    <xf numFmtId="0" fontId="46" fillId="0" borderId="0" xfId="1" applyFont="1" applyAlignment="1">
      <alignment vertical="center"/>
    </xf>
    <xf numFmtId="0" fontId="46" fillId="0" borderId="0" xfId="1" applyFont="1" applyAlignment="1" applyProtection="1">
      <alignment vertical="center"/>
      <protection locked="0"/>
    </xf>
    <xf numFmtId="0" fontId="14" fillId="31" borderId="36" xfId="1" applyFont="1" applyFill="1" applyBorder="1" applyAlignment="1" applyProtection="1">
      <alignment horizontal="center" vertical="center"/>
      <protection locked="0"/>
    </xf>
    <xf numFmtId="0" fontId="6" fillId="0" borderId="25" xfId="1" applyFont="1" applyBorder="1" applyAlignment="1">
      <alignment vertical="center"/>
    </xf>
    <xf numFmtId="0" fontId="14" fillId="31" borderId="25" xfId="1" applyFont="1" applyFill="1" applyBorder="1" applyAlignment="1" applyProtection="1">
      <alignment horizontal="center" vertical="center"/>
      <protection locked="0"/>
    </xf>
    <xf numFmtId="171" fontId="45" fillId="0" borderId="0" xfId="1" applyNumberFormat="1" applyFont="1" applyFill="1" applyBorder="1" applyAlignment="1">
      <alignment horizontal="right" vertical="center"/>
    </xf>
    <xf numFmtId="172" fontId="9" fillId="30" borderId="34" xfId="1" applyNumberFormat="1" applyFont="1" applyFill="1" applyBorder="1" applyAlignment="1">
      <alignment horizontal="center" vertical="center" wrapText="1"/>
    </xf>
    <xf numFmtId="0" fontId="9" fillId="0" borderId="39" xfId="1" applyFont="1" applyBorder="1" applyAlignment="1">
      <alignment vertical="center"/>
    </xf>
    <xf numFmtId="0" fontId="9" fillId="0" borderId="36" xfId="1" applyFont="1" applyBorder="1" applyAlignment="1" applyProtection="1">
      <alignment vertical="center"/>
      <protection locked="0"/>
    </xf>
    <xf numFmtId="0" fontId="9" fillId="0" borderId="40" xfId="1" applyFont="1" applyBorder="1" applyAlignment="1">
      <alignment vertical="center"/>
    </xf>
    <xf numFmtId="0" fontId="9" fillId="0" borderId="25" xfId="1" applyFont="1" applyBorder="1" applyAlignment="1">
      <alignment horizontal="center" vertical="center"/>
    </xf>
    <xf numFmtId="0" fontId="9" fillId="0" borderId="3" xfId="1" applyFont="1" applyBorder="1" applyAlignment="1" applyProtection="1">
      <alignment vertical="center"/>
      <protection locked="0"/>
    </xf>
    <xf numFmtId="172" fontId="9" fillId="0" borderId="41" xfId="1" applyNumberFormat="1" applyFont="1" applyFill="1" applyBorder="1" applyAlignment="1">
      <alignment horizontal="center" vertical="center" wrapText="1"/>
    </xf>
    <xf numFmtId="172" fontId="9" fillId="30" borderId="41" xfId="1" applyNumberFormat="1" applyFont="1" applyFill="1" applyBorder="1" applyAlignment="1">
      <alignment horizontal="center" vertical="center" wrapText="1"/>
    </xf>
    <xf numFmtId="0" fontId="47" fillId="0" borderId="0" xfId="1" applyFont="1" applyBorder="1" applyAlignment="1">
      <alignment vertical="center"/>
    </xf>
    <xf numFmtId="172" fontId="50" fillId="0" borderId="0" xfId="1" applyNumberFormat="1" applyFont="1" applyFill="1" applyBorder="1" applyAlignment="1">
      <alignment horizontal="center" vertical="center" wrapText="1"/>
    </xf>
    <xf numFmtId="172" fontId="50" fillId="30" borderId="0" xfId="1" applyNumberFormat="1" applyFont="1" applyFill="1" applyBorder="1" applyAlignment="1">
      <alignment horizontal="center" vertical="center" wrapText="1"/>
    </xf>
    <xf numFmtId="172" fontId="51" fillId="30" borderId="25" xfId="1" applyNumberFormat="1" applyFont="1" applyFill="1" applyBorder="1" applyAlignment="1">
      <alignment horizontal="center" vertical="center" wrapText="1"/>
    </xf>
    <xf numFmtId="172" fontId="51" fillId="0" borderId="0" xfId="1" applyNumberFormat="1" applyFont="1" applyFill="1" applyBorder="1" applyAlignment="1">
      <alignment horizontal="center" vertical="center" wrapText="1"/>
    </xf>
    <xf numFmtId="172" fontId="51" fillId="30" borderId="0" xfId="1" applyNumberFormat="1" applyFont="1" applyFill="1" applyBorder="1" applyAlignment="1">
      <alignment horizontal="center" vertical="center" wrapText="1"/>
    </xf>
    <xf numFmtId="172" fontId="51" fillId="30" borderId="40" xfId="1" applyNumberFormat="1" applyFont="1" applyFill="1" applyBorder="1" applyAlignment="1">
      <alignment horizontal="center" vertical="center"/>
    </xf>
    <xf numFmtId="172" fontId="51" fillId="0" borderId="0" xfId="1" applyNumberFormat="1" applyFont="1" applyFill="1" applyBorder="1" applyAlignment="1">
      <alignment horizontal="center" vertical="center"/>
    </xf>
    <xf numFmtId="172" fontId="51" fillId="0" borderId="40" xfId="1" applyNumberFormat="1" applyFont="1" applyFill="1" applyBorder="1" applyAlignment="1">
      <alignment horizontal="center" vertical="center"/>
    </xf>
    <xf numFmtId="172" fontId="14" fillId="30" borderId="40" xfId="1" applyNumberFormat="1" applyFont="1" applyFill="1" applyBorder="1" applyAlignment="1">
      <alignment horizontal="centerContinuous" vertical="center"/>
    </xf>
    <xf numFmtId="172" fontId="14" fillId="0" borderId="0" xfId="1" applyNumberFormat="1" applyFont="1" applyFill="1" applyBorder="1" applyAlignment="1">
      <alignment horizontal="centerContinuous" vertical="center"/>
    </xf>
    <xf numFmtId="172" fontId="14" fillId="30" borderId="0" xfId="1" applyNumberFormat="1" applyFont="1" applyFill="1" applyBorder="1" applyAlignment="1">
      <alignment horizontal="centerContinuous" vertical="center"/>
    </xf>
    <xf numFmtId="0" fontId="9" fillId="0" borderId="0" xfId="1" applyFont="1" applyAlignment="1">
      <alignment horizontal="right" vertical="center"/>
    </xf>
    <xf numFmtId="0" fontId="5" fillId="0" borderId="0" xfId="1" applyFont="1" applyAlignment="1">
      <alignment horizontal="right" vertical="center"/>
    </xf>
    <xf numFmtId="0" fontId="53" fillId="0" borderId="0" xfId="1" applyFont="1" applyAlignment="1">
      <alignment horizontal="right" vertical="center"/>
    </xf>
    <xf numFmtId="0" fontId="54" fillId="0" borderId="24" xfId="1" applyFont="1" applyBorder="1" applyAlignment="1">
      <alignment horizontal="centerContinuous" vertical="center"/>
    </xf>
    <xf numFmtId="0" fontId="9" fillId="0" borderId="0" xfId="1" applyFont="1" applyAlignment="1">
      <alignment horizontal="centerContinuous" vertical="center"/>
    </xf>
    <xf numFmtId="0" fontId="18" fillId="0" borderId="0" xfId="1" applyFont="1" applyAlignment="1">
      <alignment horizontal="right" vertical="center"/>
    </xf>
    <xf numFmtId="14" fontId="9" fillId="0" borderId="0" xfId="1" applyNumberFormat="1" applyFont="1" applyAlignment="1">
      <alignment horizontal="left" vertical="center"/>
    </xf>
    <xf numFmtId="0" fontId="9" fillId="0" borderId="0" xfId="1" applyFont="1" applyAlignment="1">
      <alignment horizontal="center" vertical="center"/>
    </xf>
    <xf numFmtId="0" fontId="55" fillId="0" borderId="0" xfId="1" applyFont="1" applyAlignment="1">
      <alignment vertical="center"/>
    </xf>
    <xf numFmtId="0" fontId="56" fillId="0" borderId="0" xfId="1" applyFont="1" applyBorder="1" applyAlignment="1">
      <alignment vertical="center"/>
    </xf>
    <xf numFmtId="0" fontId="18" fillId="0" borderId="0" xfId="1" applyFont="1" applyBorder="1" applyAlignment="1">
      <alignment vertical="center"/>
    </xf>
    <xf numFmtId="0" fontId="20" fillId="0" borderId="44" xfId="1" applyFont="1" applyBorder="1" applyAlignment="1">
      <alignment vertical="center"/>
    </xf>
    <xf numFmtId="0" fontId="20" fillId="0" borderId="2" xfId="1" applyFont="1" applyBorder="1" applyAlignment="1">
      <alignment vertical="center"/>
    </xf>
    <xf numFmtId="0" fontId="20" fillId="0" borderId="39" xfId="1" applyFont="1" applyBorder="1" applyAlignment="1">
      <alignment vertical="center"/>
    </xf>
    <xf numFmtId="0" fontId="14" fillId="0" borderId="0" xfId="1" applyFont="1" applyAlignment="1">
      <alignment horizontal="right" vertical="center"/>
    </xf>
    <xf numFmtId="0" fontId="4" fillId="0" borderId="0" xfId="1" applyAlignment="1">
      <alignment horizontal="center"/>
    </xf>
    <xf numFmtId="0" fontId="59" fillId="0" borderId="0" xfId="1" applyFont="1" applyAlignment="1">
      <alignment horizontal="left"/>
    </xf>
    <xf numFmtId="0" fontId="20" fillId="0" borderId="19" xfId="1" applyFont="1" applyBorder="1" applyAlignment="1">
      <alignment vertical="center"/>
    </xf>
    <xf numFmtId="0" fontId="20" fillId="0" borderId="0" xfId="1" applyFont="1" applyBorder="1" applyAlignment="1">
      <alignment vertical="center"/>
    </xf>
    <xf numFmtId="0" fontId="20" fillId="0" borderId="40" xfId="1" applyFont="1" applyBorder="1" applyAlignment="1">
      <alignment vertical="center"/>
    </xf>
    <xf numFmtId="0" fontId="43" fillId="0" borderId="0" xfId="1" applyFont="1" applyAlignment="1">
      <alignment horizontal="right" vertical="top"/>
    </xf>
    <xf numFmtId="0" fontId="43" fillId="0" borderId="0" xfId="1" applyFont="1" applyAlignment="1">
      <alignment horizontal="right" vertical="center"/>
    </xf>
    <xf numFmtId="0" fontId="20" fillId="0" borderId="42" xfId="1" applyFont="1" applyBorder="1" applyAlignment="1">
      <alignment vertical="center"/>
    </xf>
    <xf numFmtId="0" fontId="20" fillId="0" borderId="23" xfId="1" applyFont="1" applyBorder="1" applyAlignment="1">
      <alignment vertical="center"/>
    </xf>
    <xf numFmtId="0" fontId="20" fillId="0" borderId="43" xfId="1" applyFont="1" applyBorder="1" applyAlignment="1">
      <alignment vertical="center"/>
    </xf>
    <xf numFmtId="0" fontId="18" fillId="0" borderId="0" xfId="1" applyFont="1" applyAlignment="1">
      <alignment horizontal="right" vertical="top"/>
    </xf>
    <xf numFmtId="0" fontId="17" fillId="0" borderId="0" xfId="1" applyFont="1" applyBorder="1" applyAlignment="1">
      <alignment vertical="top"/>
    </xf>
    <xf numFmtId="0" fontId="4" fillId="0" borderId="36" xfId="1" applyBorder="1" applyProtection="1">
      <protection locked="0"/>
    </xf>
    <xf numFmtId="0" fontId="4" fillId="0" borderId="0" xfId="1" applyProtection="1"/>
    <xf numFmtId="0" fontId="15" fillId="0" borderId="0" xfId="1" applyFont="1" applyProtection="1"/>
    <xf numFmtId="0" fontId="4" fillId="0" borderId="19" xfId="1" applyBorder="1" applyProtection="1"/>
    <xf numFmtId="0" fontId="20" fillId="0" borderId="0" xfId="1" applyFont="1" applyBorder="1" applyProtection="1"/>
    <xf numFmtId="0" fontId="60" fillId="0" borderId="0" xfId="1" applyFont="1" applyProtection="1"/>
    <xf numFmtId="0" fontId="4" fillId="0" borderId="23" xfId="1" applyBorder="1" applyProtection="1"/>
    <xf numFmtId="0" fontId="4" fillId="0" borderId="44" xfId="1" applyBorder="1" applyProtection="1"/>
    <xf numFmtId="0" fontId="4" fillId="0" borderId="2" xfId="1" applyBorder="1" applyProtection="1"/>
    <xf numFmtId="0" fontId="4" fillId="0" borderId="39" xfId="1" applyBorder="1" applyProtection="1"/>
    <xf numFmtId="0" fontId="4" fillId="0" borderId="0" xfId="1" applyBorder="1" applyProtection="1"/>
    <xf numFmtId="0" fontId="4" fillId="0" borderId="40" xfId="1" applyBorder="1" applyProtection="1"/>
    <xf numFmtId="0" fontId="4" fillId="0" borderId="42" xfId="1" applyBorder="1" applyProtection="1"/>
    <xf numFmtId="0" fontId="4" fillId="0" borderId="43" xfId="1" applyBorder="1" applyProtection="1"/>
    <xf numFmtId="0" fontId="20" fillId="0" borderId="23" xfId="1" applyFont="1" applyBorder="1" applyProtection="1"/>
    <xf numFmtId="174" fontId="4" fillId="0" borderId="0" xfId="1" applyNumberFormat="1" applyProtection="1"/>
    <xf numFmtId="0" fontId="4" fillId="31" borderId="2" xfId="1" applyFill="1" applyBorder="1" applyProtection="1"/>
    <xf numFmtId="0" fontId="15" fillId="31" borderId="2" xfId="1" applyFont="1" applyFill="1" applyBorder="1" applyProtection="1"/>
    <xf numFmtId="0" fontId="61" fillId="31" borderId="2" xfId="1" applyFont="1" applyFill="1" applyBorder="1" applyAlignment="1">
      <alignment vertical="center" readingOrder="1"/>
    </xf>
    <xf numFmtId="174" fontId="14" fillId="0" borderId="0" xfId="1" applyNumberFormat="1" applyFont="1" applyBorder="1" applyProtection="1"/>
    <xf numFmtId="174" fontId="18" fillId="0" borderId="45" xfId="1" applyNumberFormat="1" applyFont="1" applyBorder="1" applyAlignment="1" applyProtection="1">
      <alignment horizontal="right"/>
    </xf>
    <xf numFmtId="174" fontId="6" fillId="0" borderId="46" xfId="1" applyNumberFormat="1" applyFont="1" applyBorder="1" applyProtection="1"/>
    <xf numFmtId="174" fontId="6" fillId="0" borderId="41" xfId="1" applyNumberFormat="1" applyFont="1" applyBorder="1" applyProtection="1"/>
    <xf numFmtId="174" fontId="6" fillId="0" borderId="47" xfId="1" applyNumberFormat="1" applyFont="1" applyBorder="1" applyProtection="1"/>
    <xf numFmtId="174" fontId="6" fillId="0" borderId="48" xfId="1" applyNumberFormat="1" applyFont="1" applyBorder="1" applyProtection="1"/>
    <xf numFmtId="0" fontId="63" fillId="0" borderId="47" xfId="1" applyFont="1" applyBorder="1" applyAlignment="1" applyProtection="1">
      <alignment horizontal="center"/>
      <protection locked="0"/>
    </xf>
    <xf numFmtId="0" fontId="55" fillId="0" borderId="49" xfId="1" applyFont="1" applyBorder="1" applyProtection="1">
      <protection locked="0"/>
    </xf>
    <xf numFmtId="174" fontId="6" fillId="0" borderId="0" xfId="1" applyNumberFormat="1" applyFont="1" applyBorder="1" applyAlignment="1" applyProtection="1">
      <alignment vertical="center"/>
    </xf>
    <xf numFmtId="174" fontId="16" fillId="0" borderId="50" xfId="1" applyNumberFormat="1" applyFont="1" applyBorder="1" applyAlignment="1" applyProtection="1">
      <alignment vertical="center"/>
    </xf>
    <xf numFmtId="174" fontId="6" fillId="0" borderId="19" xfId="1" applyNumberFormat="1" applyFont="1" applyBorder="1" applyAlignment="1" applyProtection="1">
      <alignment vertical="center"/>
    </xf>
    <xf numFmtId="0" fontId="20" fillId="0" borderId="19" xfId="1" applyFont="1" applyBorder="1" applyAlignment="1" applyProtection="1">
      <alignment horizontal="center" vertical="center"/>
    </xf>
    <xf numFmtId="0" fontId="15" fillId="0" borderId="30" xfId="1" applyFont="1" applyFill="1" applyBorder="1" applyAlignment="1" applyProtection="1">
      <alignment vertical="center"/>
    </xf>
    <xf numFmtId="174" fontId="14" fillId="0" borderId="51" xfId="1" applyNumberFormat="1" applyFont="1" applyFill="1" applyBorder="1" applyAlignment="1" applyProtection="1">
      <alignment vertical="center"/>
    </xf>
    <xf numFmtId="174" fontId="6" fillId="0" borderId="52" xfId="1" applyNumberFormat="1" applyFont="1" applyBorder="1" applyAlignment="1" applyProtection="1">
      <alignment vertical="center"/>
    </xf>
    <xf numFmtId="174" fontId="6" fillId="0" borderId="2" xfId="1" applyNumberFormat="1" applyFont="1" applyBorder="1" applyAlignment="1" applyProtection="1">
      <alignment vertical="center"/>
    </xf>
    <xf numFmtId="174" fontId="6" fillId="0" borderId="44" xfId="1" applyNumberFormat="1" applyFont="1" applyBorder="1" applyAlignment="1" applyProtection="1">
      <alignment vertical="center"/>
    </xf>
    <xf numFmtId="0" fontId="63" fillId="0" borderId="44" xfId="1" applyFont="1" applyBorder="1" applyAlignment="1" applyProtection="1">
      <alignment horizontal="center" vertical="center"/>
    </xf>
    <xf numFmtId="174" fontId="6" fillId="0" borderId="3" xfId="1" applyNumberFormat="1" applyFont="1" applyBorder="1" applyAlignment="1" applyProtection="1">
      <alignment vertical="center"/>
    </xf>
    <xf numFmtId="174" fontId="6" fillId="0" borderId="25" xfId="1" applyNumberFormat="1" applyFont="1" applyBorder="1" applyAlignment="1" applyProtection="1">
      <alignment vertical="center"/>
    </xf>
    <xf numFmtId="174" fontId="14" fillId="30" borderId="51" xfId="1" applyNumberFormat="1" applyFont="1" applyFill="1" applyBorder="1" applyAlignment="1" applyProtection="1">
      <alignment vertical="center"/>
    </xf>
    <xf numFmtId="0" fontId="55" fillId="0" borderId="34" xfId="1" applyFont="1" applyBorder="1" applyAlignment="1" applyProtection="1">
      <alignment vertical="center"/>
    </xf>
    <xf numFmtId="174" fontId="4" fillId="0" borderId="0" xfId="1" applyNumberFormat="1" applyBorder="1" applyAlignment="1" applyProtection="1">
      <alignment vertical="center"/>
    </xf>
    <xf numFmtId="174" fontId="16" fillId="30" borderId="53" xfId="1" applyNumberFormat="1" applyFont="1" applyFill="1" applyBorder="1" applyAlignment="1" applyProtection="1">
      <alignment vertical="center"/>
    </xf>
    <xf numFmtId="174" fontId="6" fillId="0" borderId="50" xfId="1" applyNumberFormat="1" applyFont="1" applyBorder="1" applyAlignment="1" applyProtection="1">
      <alignment vertical="center"/>
    </xf>
    <xf numFmtId="0" fontId="15" fillId="0" borderId="25" xfId="1" applyFont="1" applyBorder="1" applyAlignment="1" applyProtection="1">
      <alignment vertical="center"/>
    </xf>
    <xf numFmtId="174" fontId="16" fillId="30" borderId="54" xfId="1" applyNumberFormat="1" applyFont="1" applyFill="1" applyBorder="1" applyAlignment="1" applyProtection="1">
      <alignment vertical="center"/>
    </xf>
    <xf numFmtId="174" fontId="5" fillId="0" borderId="0" xfId="1" applyNumberFormat="1" applyFont="1" applyBorder="1" applyAlignment="1" applyProtection="1">
      <alignment vertical="center"/>
    </xf>
    <xf numFmtId="174" fontId="14" fillId="30" borderId="53" xfId="1" applyNumberFormat="1" applyFont="1" applyFill="1" applyBorder="1" applyAlignment="1" applyProtection="1">
      <alignment vertical="center"/>
    </xf>
    <xf numFmtId="0" fontId="20" fillId="0" borderId="44" xfId="1" applyFont="1" applyBorder="1" applyAlignment="1" applyProtection="1">
      <alignment horizontal="center" vertical="center"/>
    </xf>
    <xf numFmtId="175" fontId="4" fillId="0" borderId="0" xfId="1" applyNumberFormat="1" applyBorder="1" applyAlignment="1" applyProtection="1">
      <alignment vertical="center"/>
    </xf>
    <xf numFmtId="175" fontId="16" fillId="30" borderId="53" xfId="1" applyNumberFormat="1" applyFont="1" applyFill="1" applyBorder="1" applyAlignment="1" applyProtection="1">
      <alignment vertical="center"/>
    </xf>
    <xf numFmtId="175" fontId="6" fillId="0" borderId="50" xfId="1" applyNumberFormat="1" applyFont="1" applyBorder="1" applyAlignment="1" applyProtection="1">
      <alignment vertical="center"/>
    </xf>
    <xf numFmtId="175" fontId="6" fillId="0" borderId="0" xfId="1" applyNumberFormat="1" applyFont="1" applyBorder="1" applyAlignment="1" applyProtection="1">
      <alignment vertical="center"/>
    </xf>
    <xf numFmtId="175" fontId="6" fillId="0" borderId="19" xfId="1" applyNumberFormat="1" applyFont="1" applyBorder="1" applyAlignment="1" applyProtection="1">
      <alignment vertical="center"/>
    </xf>
    <xf numFmtId="0" fontId="43" fillId="0" borderId="55" xfId="1" applyFont="1" applyBorder="1" applyAlignment="1" applyProtection="1">
      <alignment horizontal="center" vertical="top" wrapText="1"/>
    </xf>
    <xf numFmtId="0" fontId="14" fillId="31" borderId="52" xfId="1" applyFont="1" applyFill="1" applyBorder="1" applyAlignment="1" applyProtection="1">
      <alignment horizontal="center" vertical="center" wrapText="1"/>
      <protection locked="0"/>
    </xf>
    <xf numFmtId="0" fontId="14" fillId="31" borderId="2" xfId="1" applyFont="1" applyFill="1" applyBorder="1" applyAlignment="1" applyProtection="1">
      <alignment horizontal="center" vertical="center" wrapText="1"/>
      <protection locked="0"/>
    </xf>
    <xf numFmtId="0" fontId="14" fillId="31" borderId="44" xfId="1" applyFont="1" applyFill="1" applyBorder="1" applyAlignment="1" applyProtection="1">
      <alignment horizontal="center" vertical="center" wrapText="1"/>
      <protection locked="0"/>
    </xf>
    <xf numFmtId="0" fontId="15" fillId="0" borderId="44" xfId="1" applyFont="1" applyBorder="1" applyAlignment="1" applyProtection="1">
      <alignment horizontal="center" vertical="center" wrapText="1"/>
    </xf>
    <xf numFmtId="0" fontId="15" fillId="0" borderId="34" xfId="1" applyFont="1" applyBorder="1" applyAlignment="1" applyProtection="1">
      <alignment vertical="center" wrapText="1"/>
    </xf>
    <xf numFmtId="0" fontId="51" fillId="0" borderId="0" xfId="1" applyFont="1" applyBorder="1" applyAlignment="1" applyProtection="1">
      <alignment horizontal="center" vertical="top" wrapText="1"/>
    </xf>
    <xf numFmtId="0" fontId="65" fillId="0" borderId="55" xfId="1" applyFont="1" applyBorder="1" applyAlignment="1" applyProtection="1">
      <alignment horizontal="center" vertical="top" wrapText="1"/>
    </xf>
    <xf numFmtId="0" fontId="64" fillId="4" borderId="56" xfId="1" applyFont="1" applyFill="1" applyBorder="1" applyAlignment="1" applyProtection="1">
      <alignment horizontal="center" vertical="top" wrapText="1"/>
    </xf>
    <xf numFmtId="0" fontId="15" fillId="0" borderId="58" xfId="1" applyFont="1" applyBorder="1" applyAlignment="1" applyProtection="1">
      <alignment horizontal="center"/>
    </xf>
    <xf numFmtId="0" fontId="4" fillId="0" borderId="3" xfId="1" applyBorder="1" applyProtection="1"/>
    <xf numFmtId="0" fontId="60" fillId="0" borderId="0" xfId="1" applyFont="1"/>
    <xf numFmtId="0" fontId="43" fillId="0" borderId="0" xfId="1" applyFont="1" applyAlignment="1" applyProtection="1">
      <alignment horizontal="right" vertical="center"/>
    </xf>
    <xf numFmtId="0" fontId="60" fillId="0" borderId="0" xfId="1" applyFont="1" applyAlignment="1" applyProtection="1">
      <alignment vertical="center"/>
    </xf>
    <xf numFmtId="0" fontId="66" fillId="0" borderId="0" xfId="1" applyFont="1"/>
    <xf numFmtId="0" fontId="56" fillId="0" borderId="0" xfId="1" applyFont="1"/>
    <xf numFmtId="0" fontId="18" fillId="0" borderId="0" xfId="1" applyFont="1"/>
    <xf numFmtId="0" fontId="60" fillId="0" borderId="0" xfId="1" applyFont="1" applyProtection="1">
      <protection locked="0"/>
    </xf>
    <xf numFmtId="0" fontId="4" fillId="31" borderId="57" xfId="1" applyFill="1" applyBorder="1" applyAlignment="1">
      <alignment vertical="center"/>
    </xf>
    <xf numFmtId="174" fontId="18" fillId="0" borderId="50" xfId="1" applyNumberFormat="1" applyFont="1" applyBorder="1" applyAlignment="1" applyProtection="1">
      <alignment horizontal="right"/>
    </xf>
    <xf numFmtId="174" fontId="6" fillId="0" borderId="40" xfId="1" applyNumberFormat="1" applyFont="1" applyBorder="1" applyProtection="1"/>
    <xf numFmtId="174" fontId="6" fillId="0" borderId="0" xfId="1" applyNumberFormat="1" applyFont="1" applyBorder="1" applyProtection="1"/>
    <xf numFmtId="174" fontId="6" fillId="0" borderId="19" xfId="1" applyNumberFormat="1" applyFont="1" applyBorder="1" applyProtection="1"/>
    <xf numFmtId="174" fontId="6" fillId="0" borderId="25" xfId="1" applyNumberFormat="1" applyFont="1" applyBorder="1" applyProtection="1"/>
    <xf numFmtId="0" fontId="63" fillId="0" borderId="19" xfId="1" applyFont="1" applyBorder="1" applyAlignment="1" applyProtection="1">
      <alignment horizontal="center"/>
      <protection locked="0"/>
    </xf>
    <xf numFmtId="0" fontId="55" fillId="0" borderId="30" xfId="1" applyFont="1" applyBorder="1" applyProtection="1">
      <protection locked="0"/>
    </xf>
    <xf numFmtId="174" fontId="14" fillId="0" borderId="55" xfId="1" applyNumberFormat="1" applyFont="1" applyFill="1" applyBorder="1" applyAlignment="1" applyProtection="1">
      <alignment vertical="center"/>
    </xf>
    <xf numFmtId="174" fontId="6" fillId="0" borderId="56" xfId="1" applyNumberFormat="1" applyFont="1" applyBorder="1" applyAlignment="1" applyProtection="1">
      <alignment vertical="center"/>
    </xf>
    <xf numFmtId="174" fontId="6" fillId="0" borderId="57" xfId="1" applyNumberFormat="1" applyFont="1" applyBorder="1" applyAlignment="1" applyProtection="1">
      <alignment vertical="center"/>
    </xf>
    <xf numFmtId="174" fontId="6" fillId="0" borderId="58" xfId="1" applyNumberFormat="1" applyFont="1" applyBorder="1" applyAlignment="1" applyProtection="1">
      <alignment vertical="center"/>
    </xf>
    <xf numFmtId="0" fontId="63" fillId="0" borderId="58" xfId="1" applyFont="1" applyBorder="1" applyAlignment="1" applyProtection="1">
      <alignment horizontal="center" vertical="center"/>
    </xf>
    <xf numFmtId="0" fontId="13" fillId="0" borderId="3" xfId="1" applyFont="1" applyBorder="1" applyAlignment="1" applyProtection="1">
      <alignment vertical="top" wrapText="1"/>
    </xf>
    <xf numFmtId="0" fontId="66" fillId="0" borderId="0" xfId="1" applyFont="1" applyAlignment="1">
      <alignment vertical="center"/>
    </xf>
    <xf numFmtId="0" fontId="4" fillId="0" borderId="0" xfId="1" applyAlignment="1" applyProtection="1">
      <alignment horizontal="left"/>
    </xf>
    <xf numFmtId="0" fontId="9" fillId="0" borderId="0" xfId="1" applyFont="1" applyFill="1" applyBorder="1" applyAlignment="1" applyProtection="1">
      <alignment horizontal="left" vertical="center"/>
    </xf>
    <xf numFmtId="0" fontId="4" fillId="0" borderId="0" xfId="1" applyBorder="1" applyAlignment="1" applyProtection="1">
      <alignment horizontal="right" vertical="center"/>
    </xf>
    <xf numFmtId="0" fontId="6" fillId="0" borderId="0" xfId="1" applyFont="1" applyFill="1" applyAlignment="1" applyProtection="1">
      <alignment vertical="center"/>
    </xf>
    <xf numFmtId="0" fontId="6" fillId="0" borderId="0" xfId="1" applyFont="1" applyAlignment="1" applyProtection="1">
      <alignment horizontal="right" vertical="center"/>
    </xf>
    <xf numFmtId="0" fontId="6" fillId="0" borderId="0" xfId="1" applyFont="1" applyFill="1" applyBorder="1" applyAlignment="1" applyProtection="1">
      <alignment vertical="center"/>
    </xf>
    <xf numFmtId="49" fontId="6" fillId="0" borderId="0" xfId="1" applyNumberFormat="1" applyFont="1" applyBorder="1" applyAlignment="1" applyProtection="1">
      <alignment vertical="center"/>
    </xf>
    <xf numFmtId="0" fontId="6" fillId="0" borderId="0" xfId="1" applyFont="1" applyBorder="1" applyAlignment="1" applyProtection="1">
      <alignment horizontal="right" vertical="center"/>
    </xf>
    <xf numFmtId="49" fontId="71" fillId="0" borderId="0" xfId="1" applyNumberFormat="1" applyFont="1" applyBorder="1" applyAlignment="1" applyProtection="1">
      <alignment vertical="center"/>
    </xf>
    <xf numFmtId="0" fontId="72" fillId="0" borderId="0" xfId="1" applyFont="1" applyAlignment="1" applyProtection="1">
      <alignment vertical="center"/>
    </xf>
    <xf numFmtId="0" fontId="15" fillId="0" borderId="0" xfId="1" applyFont="1" applyBorder="1" applyAlignment="1" applyProtection="1">
      <alignment horizontal="left" vertical="center"/>
    </xf>
    <xf numFmtId="0" fontId="72" fillId="0" borderId="59" xfId="1" applyFont="1" applyBorder="1" applyAlignment="1" applyProtection="1">
      <alignment vertical="center"/>
    </xf>
    <xf numFmtId="0" fontId="72" fillId="0" borderId="46" xfId="1" applyFont="1" applyBorder="1" applyAlignment="1" applyProtection="1">
      <alignment vertical="center"/>
    </xf>
    <xf numFmtId="0" fontId="72" fillId="0" borderId="41" xfId="1" applyFont="1" applyBorder="1" applyAlignment="1" applyProtection="1">
      <alignment vertical="center"/>
    </xf>
    <xf numFmtId="0" fontId="72" fillId="0" borderId="60" xfId="1" applyFont="1" applyBorder="1" applyAlignment="1" applyProtection="1">
      <alignment vertical="center"/>
    </xf>
    <xf numFmtId="176" fontId="6" fillId="0" borderId="0" xfId="1" applyNumberFormat="1" applyFont="1" applyBorder="1" applyAlignment="1" applyProtection="1">
      <alignment vertical="center"/>
    </xf>
    <xf numFmtId="0" fontId="6" fillId="0" borderId="2" xfId="1" applyFont="1" applyFill="1" applyBorder="1" applyAlignment="1" applyProtection="1">
      <alignment vertical="center"/>
    </xf>
    <xf numFmtId="0" fontId="6" fillId="0" borderId="39" xfId="1" applyFont="1" applyBorder="1" applyAlignment="1" applyProtection="1">
      <alignment vertical="center"/>
    </xf>
    <xf numFmtId="0" fontId="31" fillId="0" borderId="0" xfId="1" applyFont="1" applyAlignment="1" applyProtection="1">
      <alignment horizontal="centerContinuous" vertical="center"/>
    </xf>
    <xf numFmtId="0" fontId="72" fillId="0" borderId="64" xfId="1" applyFont="1" applyBorder="1" applyAlignment="1" applyProtection="1">
      <alignment vertical="center"/>
    </xf>
    <xf numFmtId="0" fontId="72" fillId="0" borderId="40" xfId="1" applyFont="1" applyBorder="1" applyAlignment="1" applyProtection="1">
      <alignment vertical="center"/>
    </xf>
    <xf numFmtId="0" fontId="72" fillId="0" borderId="0" xfId="1" applyFont="1" applyBorder="1" applyAlignment="1" applyProtection="1">
      <alignment vertical="center"/>
    </xf>
    <xf numFmtId="0" fontId="72" fillId="0" borderId="32" xfId="1" applyFont="1" applyBorder="1" applyAlignment="1" applyProtection="1">
      <alignment vertical="center"/>
    </xf>
    <xf numFmtId="176" fontId="6" fillId="31" borderId="0" xfId="1" applyNumberFormat="1" applyFont="1" applyFill="1" applyBorder="1" applyAlignment="1" applyProtection="1">
      <alignment vertical="center"/>
      <protection locked="0"/>
    </xf>
    <xf numFmtId="176" fontId="6" fillId="0" borderId="65" xfId="1" applyNumberFormat="1" applyFont="1" applyFill="1" applyBorder="1" applyAlignment="1" applyProtection="1">
      <alignment vertical="center"/>
    </xf>
    <xf numFmtId="176" fontId="6" fillId="0" borderId="0" xfId="1" applyNumberFormat="1" applyFont="1" applyFill="1" applyBorder="1" applyAlignment="1" applyProtection="1">
      <alignment vertical="center"/>
    </xf>
    <xf numFmtId="176" fontId="6" fillId="0" borderId="66" xfId="1" applyNumberFormat="1" applyFont="1" applyFill="1" applyBorder="1" applyAlignment="1" applyProtection="1">
      <alignment vertical="center"/>
    </xf>
    <xf numFmtId="0" fontId="13" fillId="0" borderId="40" xfId="1" applyFont="1" applyBorder="1" applyAlignment="1" applyProtection="1">
      <alignment vertical="center"/>
    </xf>
    <xf numFmtId="0" fontId="6" fillId="0" borderId="0" xfId="1" applyFont="1" applyBorder="1" applyAlignment="1" applyProtection="1"/>
    <xf numFmtId="0" fontId="70" fillId="0" borderId="0" xfId="1" applyFont="1" applyAlignment="1" applyProtection="1">
      <alignment vertical="center"/>
    </xf>
    <xf numFmtId="0" fontId="70" fillId="0" borderId="64" xfId="1" applyFont="1" applyBorder="1" applyAlignment="1" applyProtection="1">
      <alignment vertical="center"/>
    </xf>
    <xf numFmtId="0" fontId="70" fillId="0" borderId="40" xfId="1" applyFont="1" applyBorder="1" applyAlignment="1" applyProtection="1">
      <alignment vertical="center"/>
    </xf>
    <xf numFmtId="0" fontId="70" fillId="0" borderId="0" xfId="1" applyFont="1" applyBorder="1" applyAlignment="1" applyProtection="1">
      <alignment vertical="center"/>
    </xf>
    <xf numFmtId="0" fontId="70" fillId="0" borderId="32" xfId="1" applyFont="1" applyBorder="1" applyAlignment="1" applyProtection="1">
      <alignment vertical="center"/>
    </xf>
    <xf numFmtId="0" fontId="44" fillId="0" borderId="0" xfId="1" applyFont="1" applyAlignment="1" applyProtection="1">
      <alignment horizontal="right" vertical="center"/>
    </xf>
    <xf numFmtId="0" fontId="44" fillId="0" borderId="64" xfId="1" applyFont="1" applyBorder="1" applyAlignment="1" applyProtection="1">
      <alignment horizontal="right" vertical="center"/>
    </xf>
    <xf numFmtId="0" fontId="44" fillId="0" borderId="40" xfId="1" applyFont="1" applyBorder="1" applyAlignment="1" applyProtection="1">
      <alignment horizontal="right" vertical="center"/>
    </xf>
    <xf numFmtId="0" fontId="44" fillId="0" borderId="0" xfId="1" applyFont="1" applyBorder="1" applyAlignment="1" applyProtection="1">
      <alignment horizontal="right" vertical="center"/>
    </xf>
    <xf numFmtId="0" fontId="44" fillId="0" borderId="32" xfId="1" applyFont="1" applyBorder="1" applyAlignment="1" applyProtection="1">
      <alignment horizontal="right" vertical="center"/>
    </xf>
    <xf numFmtId="176" fontId="6" fillId="0" borderId="68"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0" fontId="6" fillId="0" borderId="23" xfId="1" applyFont="1" applyBorder="1" applyAlignment="1" applyProtection="1">
      <alignment vertical="center"/>
    </xf>
    <xf numFmtId="0" fontId="14" fillId="0" borderId="43" xfId="1" applyFont="1" applyBorder="1" applyAlignment="1" applyProtection="1">
      <alignment vertical="center"/>
    </xf>
    <xf numFmtId="0" fontId="13" fillId="4" borderId="0" xfId="1" applyFont="1" applyFill="1" applyBorder="1" applyAlignment="1" applyProtection="1">
      <alignment horizontal="center" vertical="center"/>
    </xf>
    <xf numFmtId="0" fontId="13" fillId="0" borderId="2" xfId="1" applyFont="1" applyFill="1" applyBorder="1" applyAlignment="1" applyProtection="1">
      <alignment horizontal="center" vertical="center"/>
    </xf>
    <xf numFmtId="0" fontId="13" fillId="0" borderId="2" xfId="1" applyFont="1" applyBorder="1" applyAlignment="1" applyProtection="1">
      <alignment horizontal="center" vertical="center"/>
    </xf>
    <xf numFmtId="0" fontId="4" fillId="0" borderId="2" xfId="1" applyBorder="1" applyAlignment="1" applyProtection="1">
      <alignment horizontal="right" vertical="center"/>
    </xf>
    <xf numFmtId="0" fontId="13" fillId="0" borderId="0" xfId="1" applyFont="1" applyBorder="1" applyAlignment="1" applyProtection="1">
      <alignment horizontal="centerContinuous" vertical="center"/>
    </xf>
    <xf numFmtId="0" fontId="4" fillId="0" borderId="23" xfId="1" applyBorder="1" applyAlignment="1" applyProtection="1">
      <alignment vertical="center"/>
    </xf>
    <xf numFmtId="0" fontId="6" fillId="0" borderId="64" xfId="1" applyFont="1" applyBorder="1" applyAlignment="1" applyProtection="1">
      <alignment vertical="center"/>
    </xf>
    <xf numFmtId="0" fontId="6" fillId="0" borderId="40" xfId="1" applyFont="1" applyBorder="1" applyAlignment="1" applyProtection="1">
      <alignment vertical="center"/>
    </xf>
    <xf numFmtId="0" fontId="6" fillId="0" borderId="32" xfId="1" applyFont="1" applyBorder="1" applyAlignment="1" applyProtection="1">
      <alignment vertical="center"/>
    </xf>
    <xf numFmtId="0" fontId="4" fillId="0" borderId="0" xfId="1" applyAlignment="1" applyProtection="1">
      <alignment vertical="top"/>
    </xf>
    <xf numFmtId="0" fontId="4" fillId="0" borderId="0" xfId="1" applyFill="1" applyAlignment="1" applyProtection="1">
      <alignment vertical="top"/>
    </xf>
    <xf numFmtId="0" fontId="4" fillId="0" borderId="0" xfId="1" applyAlignment="1" applyProtection="1">
      <alignment horizontal="right" vertical="top"/>
    </xf>
    <xf numFmtId="176" fontId="6" fillId="0" borderId="0" xfId="61" applyNumberFormat="1" applyFont="1" applyBorder="1" applyAlignment="1" applyProtection="1">
      <alignment vertical="center"/>
    </xf>
    <xf numFmtId="0" fontId="6" fillId="0" borderId="2" xfId="1" applyFont="1" applyBorder="1" applyAlignment="1" applyProtection="1">
      <alignment horizontal="right" vertical="center"/>
    </xf>
    <xf numFmtId="0" fontId="6" fillId="0" borderId="2" xfId="1" applyFont="1" applyBorder="1" applyAlignment="1" applyProtection="1">
      <alignment vertical="center"/>
    </xf>
    <xf numFmtId="0" fontId="12" fillId="0" borderId="0" xfId="1" applyFont="1" applyBorder="1" applyAlignment="1" applyProtection="1">
      <alignment horizontal="left" vertical="center"/>
    </xf>
    <xf numFmtId="2" fontId="7" fillId="0" borderId="32" xfId="2" applyNumberFormat="1" applyBorder="1" applyAlignment="1" applyProtection="1">
      <alignment horizontal="left" vertical="center"/>
    </xf>
    <xf numFmtId="177" fontId="9" fillId="0" borderId="2" xfId="1" applyNumberFormat="1" applyFont="1" applyBorder="1" applyAlignment="1" applyProtection="1">
      <alignment horizontal="centerContinuous" vertical="center"/>
    </xf>
    <xf numFmtId="0" fontId="6" fillId="0" borderId="23" xfId="1" applyFont="1" applyBorder="1" applyAlignment="1" applyProtection="1">
      <alignment horizontal="right" vertical="center"/>
    </xf>
    <xf numFmtId="0" fontId="4" fillId="0" borderId="0" xfId="1" applyFill="1" applyAlignment="1" applyProtection="1">
      <alignment vertical="center"/>
    </xf>
    <xf numFmtId="0" fontId="6" fillId="0" borderId="32" xfId="1" applyFont="1" applyBorder="1" applyAlignment="1" applyProtection="1">
      <alignment horizontal="left" vertical="center"/>
    </xf>
    <xf numFmtId="0" fontId="4" fillId="0" borderId="39" xfId="1" applyBorder="1" applyAlignment="1" applyProtection="1">
      <alignment vertical="center"/>
    </xf>
    <xf numFmtId="176" fontId="6" fillId="33" borderId="72" xfId="1" applyNumberFormat="1" applyFont="1" applyFill="1" applyBorder="1" applyAlignment="1" applyProtection="1">
      <alignment vertical="center"/>
    </xf>
    <xf numFmtId="176" fontId="6" fillId="0" borderId="72" xfId="1" applyNumberFormat="1" applyFont="1" applyFill="1" applyBorder="1" applyAlignment="1" applyProtection="1">
      <alignment vertical="center"/>
    </xf>
    <xf numFmtId="0" fontId="9" fillId="0" borderId="0" xfId="1" applyFont="1" applyFill="1" applyBorder="1" applyAlignment="1" applyProtection="1">
      <alignment horizontal="right" vertical="center"/>
    </xf>
    <xf numFmtId="0" fontId="6" fillId="31" borderId="0" xfId="1" applyFont="1" applyFill="1" applyBorder="1" applyAlignment="1" applyProtection="1">
      <alignment vertical="center"/>
      <protection locked="0"/>
    </xf>
    <xf numFmtId="176" fontId="6" fillId="31" borderId="65" xfId="1" applyNumberFormat="1" applyFont="1" applyFill="1" applyBorder="1" applyAlignment="1" applyProtection="1">
      <alignment vertical="center"/>
      <protection locked="0"/>
    </xf>
    <xf numFmtId="0" fontId="20" fillId="0" borderId="0" xfId="1" applyFont="1" applyBorder="1" applyAlignment="1" applyProtection="1">
      <alignment horizontal="right" vertical="center"/>
    </xf>
    <xf numFmtId="0" fontId="48" fillId="0" borderId="0" xfId="1" applyFont="1" applyBorder="1" applyAlignment="1" applyProtection="1">
      <alignment vertical="center"/>
    </xf>
    <xf numFmtId="0" fontId="6" fillId="0" borderId="40" xfId="1" applyFont="1" applyBorder="1" applyAlignment="1" applyProtection="1">
      <alignment horizontal="left" vertical="center"/>
    </xf>
    <xf numFmtId="177" fontId="70" fillId="0" borderId="0" xfId="1" applyNumberFormat="1" applyFont="1" applyBorder="1" applyAlignment="1" applyProtection="1">
      <alignment vertical="center"/>
    </xf>
    <xf numFmtId="0" fontId="44" fillId="0" borderId="73" xfId="1" applyFont="1" applyBorder="1" applyAlignment="1" applyProtection="1">
      <alignment horizontal="right" vertical="center"/>
    </xf>
    <xf numFmtId="0" fontId="76" fillId="0" borderId="74" xfId="1" applyFont="1" applyBorder="1" applyAlignment="1" applyProtection="1">
      <alignment vertical="center"/>
    </xf>
    <xf numFmtId="0" fontId="76" fillId="0" borderId="75" xfId="1" applyFont="1" applyBorder="1" applyAlignment="1" applyProtection="1">
      <alignment vertical="center"/>
    </xf>
    <xf numFmtId="0" fontId="76" fillId="0" borderId="76" xfId="1" applyFont="1" applyBorder="1" applyAlignment="1" applyProtection="1">
      <alignment vertical="center"/>
    </xf>
    <xf numFmtId="177" fontId="77" fillId="0" borderId="2" xfId="1" applyNumberFormat="1" applyFont="1" applyBorder="1" applyAlignment="1" applyProtection="1">
      <alignment horizontal="centerContinuous" vertical="center"/>
    </xf>
    <xf numFmtId="0" fontId="13" fillId="0" borderId="2" xfId="1" applyFont="1" applyBorder="1" applyAlignment="1" applyProtection="1">
      <alignment vertical="center"/>
    </xf>
    <xf numFmtId="178" fontId="6" fillId="0" borderId="0" xfId="1" applyNumberFormat="1" applyFont="1" applyBorder="1" applyAlignment="1" applyProtection="1">
      <alignment vertical="center"/>
    </xf>
    <xf numFmtId="178" fontId="6" fillId="0" borderId="65" xfId="1" applyNumberFormat="1" applyFont="1" applyFill="1" applyBorder="1" applyAlignment="1" applyProtection="1">
      <alignment vertical="center"/>
    </xf>
    <xf numFmtId="0" fontId="13" fillId="0" borderId="0" xfId="1" applyFont="1" applyBorder="1" applyAlignment="1" applyProtection="1">
      <alignment horizontal="right" vertical="center"/>
    </xf>
    <xf numFmtId="0" fontId="14" fillId="0" borderId="40" xfId="1" applyFont="1" applyBorder="1" applyAlignment="1" applyProtection="1">
      <alignment vertical="center"/>
    </xf>
    <xf numFmtId="0" fontId="44" fillId="0" borderId="0" xfId="1" applyFont="1" applyAlignment="1" applyProtection="1">
      <alignment horizontal="left" vertical="center"/>
    </xf>
    <xf numFmtId="179" fontId="78" fillId="0" borderId="3" xfId="1" applyNumberFormat="1" applyFont="1" applyBorder="1" applyAlignment="1" applyProtection="1">
      <alignment horizontal="center" vertical="center"/>
    </xf>
    <xf numFmtId="0" fontId="4" fillId="0" borderId="57" xfId="1" applyBorder="1" applyAlignment="1" applyProtection="1">
      <alignment vertical="center"/>
    </xf>
    <xf numFmtId="0" fontId="44" fillId="34" borderId="0" xfId="1" applyFont="1" applyFill="1" applyAlignment="1" applyProtection="1">
      <alignment horizontal="left" vertical="center"/>
    </xf>
    <xf numFmtId="0" fontId="75" fillId="0" borderId="0" xfId="1" applyFont="1" applyBorder="1" applyAlignment="1" applyProtection="1">
      <alignment horizontal="center" vertical="center"/>
    </xf>
    <xf numFmtId="0" fontId="13" fillId="0" borderId="0" xfId="1" applyFont="1" applyBorder="1" applyAlignment="1" applyProtection="1">
      <alignment horizontal="center" vertical="center"/>
    </xf>
    <xf numFmtId="0" fontId="4" fillId="0" borderId="2" xfId="1" applyBorder="1" applyAlignment="1" applyProtection="1">
      <alignment vertical="center"/>
    </xf>
    <xf numFmtId="0" fontId="4" fillId="0" borderId="0" xfId="1" applyAlignment="1" applyProtection="1">
      <alignment horizontal="centerContinuous" vertical="center"/>
    </xf>
    <xf numFmtId="0" fontId="44" fillId="0" borderId="0" xfId="1" applyFont="1" applyFill="1" applyBorder="1" applyAlignment="1" applyProtection="1">
      <alignment horizontal="right" vertical="top"/>
    </xf>
    <xf numFmtId="0" fontId="44" fillId="0" borderId="0" xfId="1" applyFont="1" applyBorder="1" applyAlignment="1" applyProtection="1">
      <alignment horizontal="left" vertical="top"/>
    </xf>
    <xf numFmtId="0" fontId="16" fillId="0" borderId="0" xfId="1" applyFont="1" applyBorder="1" applyAlignment="1" applyProtection="1">
      <alignment vertical="top"/>
    </xf>
    <xf numFmtId="0" fontId="16" fillId="0" borderId="0" xfId="1" applyFont="1" applyBorder="1" applyAlignment="1" applyProtection="1">
      <alignment horizontal="right" vertical="top"/>
    </xf>
    <xf numFmtId="14" fontId="6" fillId="0" borderId="0" xfId="1" applyNumberFormat="1" applyFont="1" applyAlignment="1" applyProtection="1">
      <alignment horizontal="left" vertical="top"/>
    </xf>
    <xf numFmtId="0" fontId="6" fillId="0" borderId="0" xfId="1" applyFont="1" applyAlignment="1" applyProtection="1">
      <alignment horizontal="left" vertical="top"/>
    </xf>
    <xf numFmtId="0" fontId="18" fillId="4" borderId="0" xfId="1" applyFont="1" applyFill="1" applyAlignment="1" applyProtection="1">
      <alignment horizontal="right" vertical="top"/>
    </xf>
    <xf numFmtId="0" fontId="18" fillId="0" borderId="0" xfId="1" applyFont="1" applyBorder="1" applyAlignment="1" applyProtection="1">
      <alignment vertical="center"/>
    </xf>
    <xf numFmtId="2" fontId="80" fillId="36" borderId="1" xfId="122" applyNumberFormat="1" applyFont="1" applyProtection="1"/>
    <xf numFmtId="0" fontId="15" fillId="0" borderId="0" xfId="1" applyFont="1" applyBorder="1" applyAlignment="1" applyProtection="1">
      <alignment vertical="center"/>
    </xf>
    <xf numFmtId="9" fontId="4" fillId="0" borderId="0" xfId="1" applyNumberFormat="1" applyAlignment="1" applyProtection="1">
      <alignment vertical="center"/>
    </xf>
    <xf numFmtId="0" fontId="35" fillId="0" borderId="0" xfId="105" applyProtection="1"/>
    <xf numFmtId="3" fontId="6" fillId="0" borderId="34" xfId="1" applyNumberFormat="1" applyFont="1" applyBorder="1" applyAlignment="1" applyProtection="1">
      <alignment vertical="center"/>
    </xf>
    <xf numFmtId="3" fontId="6" fillId="31" borderId="44" xfId="1" applyNumberFormat="1" applyFont="1" applyFill="1" applyBorder="1" applyAlignment="1" applyProtection="1">
      <alignment vertical="center"/>
      <protection locked="0"/>
    </xf>
    <xf numFmtId="3" fontId="6" fillId="33" borderId="62" xfId="1" applyNumberFormat="1" applyFont="1" applyFill="1" applyBorder="1" applyAlignment="1" applyProtection="1">
      <alignment vertical="center"/>
      <protection locked="0"/>
    </xf>
    <xf numFmtId="3" fontId="6" fillId="0" borderId="62" xfId="1" applyNumberFormat="1" applyFont="1" applyFill="1" applyBorder="1" applyAlignment="1" applyProtection="1">
      <alignment vertical="center"/>
    </xf>
    <xf numFmtId="0" fontId="16" fillId="0" borderId="44" xfId="1" applyFont="1" applyFill="1" applyBorder="1" applyAlignment="1" applyProtection="1">
      <alignment vertical="center"/>
    </xf>
    <xf numFmtId="0" fontId="16" fillId="0" borderId="2" xfId="1" applyFont="1" applyFill="1" applyBorder="1" applyAlignment="1" applyProtection="1">
      <alignment vertical="center"/>
    </xf>
    <xf numFmtId="0" fontId="16" fillId="0" borderId="39" xfId="1" applyFont="1" applyFill="1" applyBorder="1" applyAlignment="1" applyProtection="1">
      <alignment vertical="center"/>
    </xf>
    <xf numFmtId="3" fontId="6" fillId="0" borderId="25" xfId="1" applyNumberFormat="1" applyFont="1" applyBorder="1" applyAlignment="1" applyProtection="1">
      <alignment vertical="center"/>
    </xf>
    <xf numFmtId="3" fontId="6" fillId="0" borderId="19" xfId="1" applyNumberFormat="1" applyFont="1" applyFill="1" applyBorder="1" applyAlignment="1" applyProtection="1">
      <alignment vertical="center"/>
    </xf>
    <xf numFmtId="3" fontId="6" fillId="0" borderId="69" xfId="1" applyNumberFormat="1" applyFont="1" applyFill="1" applyBorder="1" applyAlignment="1" applyProtection="1">
      <alignment vertical="center"/>
    </xf>
    <xf numFmtId="0" fontId="16" fillId="0" borderId="42" xfId="1" applyFont="1" applyFill="1" applyBorder="1" applyAlignment="1" applyProtection="1">
      <alignment vertical="center"/>
    </xf>
    <xf numFmtId="0" fontId="16" fillId="0" borderId="23" xfId="1" applyFont="1" applyFill="1" applyBorder="1" applyAlignment="1" applyProtection="1">
      <alignment vertical="center"/>
    </xf>
    <xf numFmtId="0" fontId="16" fillId="0" borderId="43" xfId="1" applyFont="1" applyFill="1" applyBorder="1" applyAlignment="1" applyProtection="1">
      <alignment vertical="center"/>
    </xf>
    <xf numFmtId="179" fontId="6" fillId="0" borderId="40" xfId="1" applyNumberFormat="1" applyFont="1" applyBorder="1" applyAlignment="1" applyProtection="1">
      <alignment vertical="center"/>
    </xf>
    <xf numFmtId="0" fontId="14" fillId="4" borderId="44" xfId="1" applyFont="1" applyFill="1" applyBorder="1" applyAlignment="1" applyProtection="1">
      <alignment horizontal="center" vertical="center"/>
    </xf>
    <xf numFmtId="0" fontId="14" fillId="0" borderId="44" xfId="1" applyFont="1" applyBorder="1" applyAlignment="1" applyProtection="1">
      <alignment horizontal="center" vertical="center"/>
    </xf>
    <xf numFmtId="0" fontId="14" fillId="0" borderId="80" xfId="1" applyFont="1" applyBorder="1" applyAlignment="1" applyProtection="1">
      <alignment horizontal="center" vertical="center"/>
    </xf>
    <xf numFmtId="0" fontId="14" fillId="0" borderId="61" xfId="1" applyFont="1" applyBorder="1" applyAlignment="1" applyProtection="1">
      <alignment horizontal="center" vertical="center"/>
    </xf>
    <xf numFmtId="0" fontId="14" fillId="0" borderId="2" xfId="1" applyFont="1" applyBorder="1" applyAlignment="1" applyProtection="1">
      <alignment horizontal="center" vertical="center"/>
    </xf>
    <xf numFmtId="0" fontId="14" fillId="0" borderId="44" xfId="1" applyFont="1" applyBorder="1" applyAlignment="1" applyProtection="1">
      <alignment horizontal="right" vertical="center"/>
    </xf>
    <xf numFmtId="0" fontId="9" fillId="0" borderId="2" xfId="1" applyFont="1" applyBorder="1" applyAlignment="1" applyProtection="1">
      <alignment vertical="center"/>
    </xf>
    <xf numFmtId="0" fontId="6" fillId="0" borderId="39" xfId="1" applyFont="1" applyBorder="1" applyAlignment="1" applyProtection="1">
      <alignment horizontal="center" vertical="center"/>
    </xf>
    <xf numFmtId="0" fontId="14" fillId="4" borderId="42" xfId="1" applyFont="1" applyFill="1" applyBorder="1" applyAlignment="1" applyProtection="1">
      <alignment horizontal="center" vertical="center"/>
    </xf>
    <xf numFmtId="0" fontId="14" fillId="0" borderId="42" xfId="1" applyFont="1" applyBorder="1" applyAlignment="1" applyProtection="1">
      <alignment horizontal="center" vertical="center"/>
    </xf>
    <xf numFmtId="0" fontId="14" fillId="0" borderId="23" xfId="1" applyFont="1" applyBorder="1" applyAlignment="1" applyProtection="1">
      <alignment horizontal="center" vertical="center"/>
    </xf>
    <xf numFmtId="0" fontId="4" fillId="0" borderId="43" xfId="1" applyBorder="1" applyAlignment="1" applyProtection="1">
      <alignment vertical="center"/>
    </xf>
    <xf numFmtId="0" fontId="43" fillId="0" borderId="36" xfId="1" applyFont="1" applyBorder="1" applyAlignment="1" applyProtection="1">
      <alignment vertical="center"/>
    </xf>
    <xf numFmtId="0" fontId="13" fillId="27" borderId="0" xfId="1" applyFont="1" applyFill="1" applyBorder="1" applyAlignment="1" applyProtection="1">
      <alignment horizontal="left" vertical="top" wrapText="1"/>
    </xf>
    <xf numFmtId="0" fontId="83" fillId="27" borderId="0" xfId="1" applyFont="1" applyFill="1" applyBorder="1" applyAlignment="1" applyProtection="1">
      <alignment vertical="top"/>
    </xf>
    <xf numFmtId="0" fontId="83" fillId="27" borderId="78" xfId="1" applyFont="1" applyFill="1" applyBorder="1" applyAlignment="1" applyProtection="1">
      <alignment vertical="top"/>
    </xf>
    <xf numFmtId="0" fontId="83" fillId="27" borderId="24" xfId="1" applyFont="1" applyFill="1" applyBorder="1" applyAlignment="1" applyProtection="1">
      <alignment vertical="top"/>
    </xf>
    <xf numFmtId="0" fontId="84" fillId="27" borderId="79" xfId="1" applyFont="1" applyFill="1" applyBorder="1" applyAlignment="1" applyProtection="1">
      <alignment vertical="top"/>
    </xf>
    <xf numFmtId="3" fontId="6" fillId="0" borderId="0" xfId="1" applyNumberFormat="1" applyFont="1" applyFill="1" applyBorder="1" applyAlignment="1" applyProtection="1">
      <alignment vertical="center"/>
    </xf>
    <xf numFmtId="3" fontId="6" fillId="31" borderId="19" xfId="1" applyNumberFormat="1" applyFont="1" applyFill="1" applyBorder="1" applyAlignment="1" applyProtection="1">
      <alignment vertical="center"/>
      <protection locked="0"/>
    </xf>
    <xf numFmtId="3" fontId="6" fillId="31" borderId="66" xfId="1" applyNumberFormat="1" applyFont="1" applyFill="1" applyBorder="1" applyAlignment="1" applyProtection="1">
      <alignment vertical="center"/>
      <protection locked="0"/>
    </xf>
    <xf numFmtId="3" fontId="6" fillId="0" borderId="66" xfId="1" applyNumberFormat="1" applyFont="1" applyFill="1" applyBorder="1" applyAlignment="1" applyProtection="1">
      <alignment vertical="center"/>
    </xf>
    <xf numFmtId="0" fontId="75" fillId="0" borderId="0" xfId="1" applyFont="1" applyBorder="1" applyAlignment="1" applyProtection="1">
      <alignment vertical="center"/>
    </xf>
    <xf numFmtId="0" fontId="20" fillId="0" borderId="0" xfId="1" applyFont="1" applyBorder="1" applyAlignment="1" applyProtection="1">
      <alignment horizontal="left" vertical="center"/>
    </xf>
    <xf numFmtId="0" fontId="20" fillId="0" borderId="0" xfId="1" applyFont="1" applyAlignment="1" applyProtection="1">
      <alignment vertical="center"/>
    </xf>
    <xf numFmtId="0" fontId="14" fillId="0" borderId="57" xfId="1" applyFont="1" applyBorder="1" applyAlignment="1" applyProtection="1">
      <alignment horizontal="center" vertical="center"/>
    </xf>
    <xf numFmtId="0" fontId="14" fillId="0" borderId="0" xfId="1" applyFont="1" applyBorder="1" applyAlignment="1" applyProtection="1">
      <alignment horizontal="center" vertical="center"/>
    </xf>
    <xf numFmtId="0" fontId="6" fillId="0" borderId="40" xfId="1" applyFont="1" applyBorder="1" applyAlignment="1" applyProtection="1">
      <alignment horizontal="center" vertical="center"/>
    </xf>
    <xf numFmtId="0" fontId="4" fillId="0" borderId="0" xfId="1" applyFill="1" applyBorder="1" applyAlignment="1" applyProtection="1">
      <alignment vertical="center"/>
    </xf>
    <xf numFmtId="0" fontId="5" fillId="0" borderId="23" xfId="1" applyFont="1" applyBorder="1" applyAlignment="1" applyProtection="1">
      <alignment vertical="center"/>
    </xf>
    <xf numFmtId="0" fontId="16" fillId="0" borderId="0" xfId="1" applyFont="1" applyBorder="1" applyAlignment="1" applyProtection="1">
      <alignment vertical="center"/>
    </xf>
    <xf numFmtId="14" fontId="6" fillId="0" borderId="0" xfId="1" applyNumberFormat="1" applyFont="1" applyAlignment="1" applyProtection="1">
      <alignment horizontal="left" vertical="center"/>
    </xf>
    <xf numFmtId="0" fontId="6" fillId="0" borderId="0" xfId="1" applyFont="1" applyAlignment="1" applyProtection="1">
      <alignment horizontal="left" vertical="center"/>
    </xf>
    <xf numFmtId="0" fontId="16" fillId="0" borderId="0" xfId="1" applyFont="1" applyBorder="1" applyAlignment="1" applyProtection="1">
      <alignment horizontal="right" vertical="center"/>
    </xf>
    <xf numFmtId="0" fontId="44" fillId="0" borderId="0" xfId="1" applyFont="1" applyBorder="1" applyAlignment="1" applyProtection="1">
      <alignment horizontal="left" vertical="center"/>
    </xf>
    <xf numFmtId="0" fontId="17" fillId="0" borderId="0" xfId="1" applyFont="1" applyBorder="1" applyAlignment="1" applyProtection="1">
      <alignment vertical="center"/>
    </xf>
    <xf numFmtId="0" fontId="20" fillId="0" borderId="0" xfId="1" applyFont="1" applyBorder="1" applyAlignment="1" applyProtection="1">
      <alignment vertical="center"/>
    </xf>
    <xf numFmtId="0" fontId="20" fillId="0" borderId="0" xfId="67" applyFont="1" applyAlignment="1" applyProtection="1">
      <alignment vertical="center"/>
    </xf>
    <xf numFmtId="0" fontId="20" fillId="0" borderId="40" xfId="1" applyFont="1" applyBorder="1" applyAlignment="1" applyProtection="1">
      <alignment vertical="center"/>
    </xf>
    <xf numFmtId="0" fontId="20" fillId="0" borderId="30" xfId="1" applyFont="1" applyBorder="1" applyAlignment="1" applyProtection="1">
      <alignment vertical="center"/>
    </xf>
    <xf numFmtId="0" fontId="20" fillId="0" borderId="0" xfId="1" applyFont="1" applyAlignment="1" applyProtection="1">
      <alignment horizontal="left" vertical="center"/>
    </xf>
    <xf numFmtId="0" fontId="20" fillId="0" borderId="0" xfId="1" applyFont="1" applyAlignment="1" applyProtection="1">
      <alignment vertical="center"/>
      <protection locked="0"/>
    </xf>
    <xf numFmtId="2" fontId="20" fillId="0" borderId="0" xfId="1" applyNumberFormat="1" applyFont="1" applyBorder="1" applyAlignment="1" applyProtection="1">
      <alignment vertical="center"/>
    </xf>
    <xf numFmtId="0" fontId="20" fillId="31" borderId="40" xfId="1" applyFont="1" applyFill="1" applyBorder="1" applyAlignment="1" applyProtection="1">
      <alignment horizontal="left" vertical="center"/>
      <protection locked="0"/>
    </xf>
    <xf numFmtId="0" fontId="85" fillId="0" borderId="83" xfId="1" applyFont="1" applyBorder="1" applyAlignment="1" applyProtection="1">
      <alignment horizontal="center" vertical="center"/>
    </xf>
    <xf numFmtId="0" fontId="20" fillId="0" borderId="43" xfId="1" applyFont="1" applyBorder="1" applyAlignment="1" applyProtection="1">
      <alignment vertical="center"/>
    </xf>
    <xf numFmtId="0" fontId="20" fillId="0" borderId="39" xfId="1" applyFont="1" applyBorder="1" applyAlignment="1" applyProtection="1">
      <alignment vertical="center"/>
    </xf>
    <xf numFmtId="0" fontId="31" fillId="0" borderId="0" xfId="1" applyFont="1" applyAlignment="1" applyProtection="1">
      <alignment vertical="center"/>
    </xf>
    <xf numFmtId="0" fontId="85" fillId="0" borderId="82" xfId="1" applyFont="1" applyBorder="1" applyAlignment="1" applyProtection="1">
      <alignment horizontal="center" vertical="center"/>
    </xf>
    <xf numFmtId="0" fontId="20" fillId="0" borderId="40" xfId="1" applyFont="1" applyBorder="1" applyAlignment="1" applyProtection="1">
      <alignment horizontal="left" vertical="center"/>
    </xf>
    <xf numFmtId="0" fontId="9" fillId="0" borderId="0" xfId="67"/>
    <xf numFmtId="0" fontId="20" fillId="0" borderId="0" xfId="67" applyFont="1" applyBorder="1" applyAlignment="1" applyProtection="1">
      <alignment horizontal="left" vertical="center"/>
    </xf>
    <xf numFmtId="0" fontId="55" fillId="0" borderId="47" xfId="67" applyFont="1" applyFill="1" applyBorder="1" applyAlignment="1" applyProtection="1">
      <alignment vertical="center"/>
    </xf>
    <xf numFmtId="4" fontId="20" fillId="0" borderId="46" xfId="67" applyNumberFormat="1" applyFont="1" applyFill="1" applyBorder="1" applyAlignment="1" applyProtection="1">
      <alignment vertical="center"/>
    </xf>
    <xf numFmtId="0" fontId="20" fillId="0" borderId="87" xfId="67" applyFont="1" applyBorder="1" applyAlignment="1">
      <alignment horizontal="center" vertical="center"/>
    </xf>
    <xf numFmtId="0" fontId="20" fillId="0" borderId="60" xfId="67" applyFont="1" applyBorder="1"/>
    <xf numFmtId="4" fontId="20" fillId="0" borderId="0" xfId="67" applyNumberFormat="1" applyFont="1" applyFill="1" applyBorder="1" applyAlignment="1" applyProtection="1">
      <alignment vertical="center"/>
    </xf>
    <xf numFmtId="4" fontId="20" fillId="31" borderId="40" xfId="1" applyNumberFormat="1" applyFont="1" applyFill="1" applyBorder="1" applyAlignment="1" applyProtection="1">
      <alignment horizontal="center" vertical="center"/>
      <protection locked="0"/>
    </xf>
    <xf numFmtId="0" fontId="55" fillId="0" borderId="19" xfId="67" applyFont="1" applyFill="1" applyBorder="1" applyAlignment="1" applyProtection="1">
      <alignment vertical="center"/>
    </xf>
    <xf numFmtId="4" fontId="20" fillId="0" borderId="40" xfId="67" applyNumberFormat="1" applyFont="1" applyFill="1" applyBorder="1" applyAlignment="1" applyProtection="1">
      <alignment vertical="center"/>
    </xf>
    <xf numFmtId="4" fontId="20" fillId="31" borderId="82" xfId="1" applyNumberFormat="1" applyFont="1" applyFill="1" applyBorder="1" applyAlignment="1" applyProtection="1">
      <alignment horizontal="center" vertical="center"/>
      <protection locked="0"/>
    </xf>
    <xf numFmtId="4" fontId="20" fillId="31" borderId="66" xfId="1" applyNumberFormat="1" applyFont="1" applyFill="1" applyBorder="1" applyAlignment="1" applyProtection="1">
      <alignment horizontal="center" vertical="center"/>
      <protection locked="0"/>
    </xf>
    <xf numFmtId="2" fontId="20" fillId="31" borderId="67" xfId="1" applyNumberFormat="1" applyFont="1" applyFill="1" applyBorder="1" applyAlignment="1" applyProtection="1">
      <alignment horizontal="center" vertical="center"/>
      <protection locked="0"/>
    </xf>
    <xf numFmtId="0" fontId="20" fillId="0" borderId="65" xfId="67" applyFont="1" applyBorder="1" applyAlignment="1">
      <alignment horizontal="center" vertical="center"/>
    </xf>
    <xf numFmtId="179" fontId="20" fillId="31" borderId="40" xfId="1" applyNumberFormat="1" applyFont="1" applyFill="1" applyBorder="1" applyAlignment="1" applyProtection="1">
      <alignment horizontal="center" vertical="center"/>
      <protection locked="0"/>
    </xf>
    <xf numFmtId="180" fontId="20" fillId="31" borderId="65" xfId="1" applyNumberFormat="1" applyFont="1" applyFill="1" applyBorder="1" applyAlignment="1" applyProtection="1">
      <alignment vertical="center"/>
      <protection locked="0"/>
    </xf>
    <xf numFmtId="0" fontId="20" fillId="0" borderId="32" xfId="67" applyFont="1" applyBorder="1"/>
    <xf numFmtId="4" fontId="20" fillId="31" borderId="67" xfId="1" applyNumberFormat="1" applyFont="1" applyFill="1" applyBorder="1" applyAlignment="1" applyProtection="1">
      <alignment horizontal="center" vertical="center"/>
      <protection locked="0"/>
    </xf>
    <xf numFmtId="0" fontId="20" fillId="0" borderId="65" xfId="1" applyFont="1" applyBorder="1" applyAlignment="1">
      <alignment horizontal="center" vertical="center"/>
    </xf>
    <xf numFmtId="4" fontId="20" fillId="31" borderId="67" xfId="67" applyNumberFormat="1" applyFont="1" applyFill="1" applyBorder="1" applyAlignment="1" applyProtection="1">
      <alignment horizontal="center" vertical="center"/>
      <protection locked="0"/>
    </xf>
    <xf numFmtId="4" fontId="20" fillId="31" borderId="82" xfId="67" applyNumberFormat="1" applyFont="1" applyFill="1" applyBorder="1" applyAlignment="1" applyProtection="1">
      <alignment horizontal="center" vertical="center"/>
      <protection locked="0"/>
    </xf>
    <xf numFmtId="4" fontId="20" fillId="31" borderId="66" xfId="67" applyNumberFormat="1" applyFont="1" applyFill="1" applyBorder="1" applyAlignment="1" applyProtection="1">
      <alignment horizontal="center" vertical="center"/>
      <protection locked="0"/>
    </xf>
    <xf numFmtId="2" fontId="20" fillId="31" borderId="67" xfId="67" applyNumberFormat="1" applyFont="1" applyFill="1" applyBorder="1" applyAlignment="1" applyProtection="1">
      <alignment horizontal="center" vertical="center"/>
      <protection locked="0"/>
    </xf>
    <xf numFmtId="179" fontId="20" fillId="31" borderId="40" xfId="67" applyNumberFormat="1" applyFont="1" applyFill="1" applyBorder="1" applyAlignment="1" applyProtection="1">
      <alignment horizontal="center" vertical="center"/>
      <protection locked="0"/>
    </xf>
    <xf numFmtId="180" fontId="20" fillId="31" borderId="65" xfId="67" applyNumberFormat="1" applyFont="1" applyFill="1" applyBorder="1" applyAlignment="1" applyProtection="1">
      <alignment vertical="center"/>
      <protection locked="0"/>
    </xf>
    <xf numFmtId="0" fontId="20" fillId="31" borderId="40" xfId="67" applyFont="1" applyFill="1" applyBorder="1" applyAlignment="1" applyProtection="1">
      <alignment horizontal="left" vertical="center"/>
      <protection locked="0"/>
    </xf>
    <xf numFmtId="0" fontId="87" fillId="33" borderId="0" xfId="67" applyFont="1" applyFill="1" applyBorder="1" applyAlignment="1" applyProtection="1">
      <alignment horizontal="left" vertical="center"/>
    </xf>
    <xf numFmtId="0" fontId="88" fillId="33" borderId="0" xfId="67" applyFont="1" applyFill="1"/>
    <xf numFmtId="0" fontId="89" fillId="33" borderId="19" xfId="67" applyFont="1" applyFill="1" applyBorder="1" applyAlignment="1" applyProtection="1">
      <alignment vertical="center"/>
    </xf>
    <xf numFmtId="4" fontId="87" fillId="33" borderId="40" xfId="67" applyNumberFormat="1" applyFont="1" applyFill="1" applyBorder="1" applyAlignment="1" applyProtection="1">
      <alignment vertical="center"/>
    </xf>
    <xf numFmtId="4" fontId="87" fillId="37" borderId="82" xfId="67" applyNumberFormat="1" applyFont="1" applyFill="1" applyBorder="1" applyAlignment="1" applyProtection="1">
      <alignment horizontal="center" vertical="center"/>
      <protection locked="0"/>
    </xf>
    <xf numFmtId="4" fontId="87" fillId="37" borderId="66" xfId="67" applyNumberFormat="1" applyFont="1" applyFill="1" applyBorder="1" applyAlignment="1" applyProtection="1">
      <alignment horizontal="center" vertical="center"/>
      <protection locked="0"/>
    </xf>
    <xf numFmtId="2" fontId="87" fillId="37" borderId="67" xfId="67" applyNumberFormat="1" applyFont="1" applyFill="1" applyBorder="1" applyAlignment="1" applyProtection="1">
      <alignment horizontal="center" vertical="center"/>
      <protection locked="0"/>
    </xf>
    <xf numFmtId="0" fontId="87" fillId="33" borderId="65" xfId="1" applyFont="1" applyFill="1" applyBorder="1" applyAlignment="1">
      <alignment horizontal="center" vertical="center"/>
    </xf>
    <xf numFmtId="179" fontId="87" fillId="37" borderId="40" xfId="67" applyNumberFormat="1" applyFont="1" applyFill="1" applyBorder="1" applyAlignment="1" applyProtection="1">
      <alignment horizontal="center" vertical="center"/>
      <protection locked="0"/>
    </xf>
    <xf numFmtId="0" fontId="87" fillId="37" borderId="40" xfId="67" applyFont="1" applyFill="1" applyBorder="1" applyAlignment="1" applyProtection="1">
      <alignment horizontal="left" vertical="center"/>
      <protection locked="0"/>
    </xf>
    <xf numFmtId="0" fontId="87" fillId="37" borderId="32" xfId="67" applyFont="1" applyFill="1" applyBorder="1"/>
    <xf numFmtId="0" fontId="90" fillId="0" borderId="0" xfId="67" applyFont="1" applyAlignment="1" applyProtection="1">
      <alignment vertical="center"/>
    </xf>
    <xf numFmtId="0" fontId="20" fillId="0" borderId="0" xfId="1" applyFont="1" applyFill="1" applyBorder="1" applyAlignment="1" applyProtection="1">
      <alignment vertical="center"/>
    </xf>
    <xf numFmtId="0" fontId="90" fillId="0" borderId="0" xfId="67" applyFont="1" applyBorder="1" applyAlignment="1" applyProtection="1">
      <alignment vertical="center"/>
    </xf>
    <xf numFmtId="180" fontId="20" fillId="31" borderId="65" xfId="1" applyNumberFormat="1" applyFont="1" applyFill="1" applyBorder="1" applyAlignment="1" applyProtection="1">
      <alignment vertical="center"/>
    </xf>
    <xf numFmtId="0" fontId="90" fillId="0" borderId="0" xfId="1" applyFont="1" applyBorder="1" applyAlignment="1" applyProtection="1">
      <alignment vertical="center"/>
    </xf>
    <xf numFmtId="0" fontId="20" fillId="0" borderId="0" xfId="67" applyFont="1" applyAlignment="1" applyProtection="1">
      <alignment horizontal="right" vertical="center"/>
    </xf>
    <xf numFmtId="0" fontId="20" fillId="0" borderId="0" xfId="1" applyFont="1" applyAlignment="1" applyProtection="1">
      <alignment horizontal="right" vertical="center"/>
    </xf>
    <xf numFmtId="0" fontId="20" fillId="0" borderId="40" xfId="1" applyFont="1" applyBorder="1" applyAlignment="1" applyProtection="1">
      <alignment horizontal="right" vertical="center"/>
    </xf>
    <xf numFmtId="0" fontId="85" fillId="0" borderId="39" xfId="1" applyFont="1" applyBorder="1" applyAlignment="1" applyProtection="1">
      <alignment horizontal="center" vertical="center"/>
    </xf>
    <xf numFmtId="0" fontId="85" fillId="0" borderId="44" xfId="1" applyFont="1" applyFill="1" applyBorder="1" applyAlignment="1" applyProtection="1">
      <alignment horizontal="center" vertical="center"/>
    </xf>
    <xf numFmtId="0" fontId="85" fillId="0" borderId="39" xfId="1" applyFont="1" applyFill="1" applyBorder="1" applyAlignment="1" applyProtection="1">
      <alignment horizontal="center" vertical="center"/>
    </xf>
    <xf numFmtId="9" fontId="15" fillId="0" borderId="80" xfId="1" applyNumberFormat="1" applyFont="1" applyBorder="1" applyAlignment="1" applyProtection="1">
      <alignment horizontal="center" vertical="center"/>
    </xf>
    <xf numFmtId="9" fontId="15" fillId="0" borderId="61" xfId="1" applyNumberFormat="1" applyFont="1" applyBorder="1" applyAlignment="1" applyProtection="1">
      <alignment horizontal="center" vertical="center"/>
    </xf>
    <xf numFmtId="0" fontId="15" fillId="0" borderId="39" xfId="1" applyFont="1" applyBorder="1" applyAlignment="1" applyProtection="1">
      <alignment vertical="center"/>
    </xf>
    <xf numFmtId="0" fontId="15" fillId="0" borderId="25" xfId="1" applyFont="1" applyBorder="1" applyAlignment="1" applyProtection="1">
      <alignment horizontal="center" vertical="center"/>
    </xf>
    <xf numFmtId="181" fontId="55" fillId="0" borderId="40" xfId="1" applyNumberFormat="1" applyFont="1" applyFill="1" applyBorder="1" applyAlignment="1" applyProtection="1">
      <alignment vertical="center"/>
      <protection locked="0"/>
    </xf>
    <xf numFmtId="0" fontId="55" fillId="0" borderId="19" xfId="1" applyFont="1" applyFill="1" applyBorder="1" applyAlignment="1" applyProtection="1">
      <alignment vertical="center"/>
    </xf>
    <xf numFmtId="4" fontId="20" fillId="0" borderId="40" xfId="1" applyNumberFormat="1" applyFont="1" applyFill="1" applyBorder="1" applyAlignment="1" applyProtection="1">
      <alignment vertical="center"/>
    </xf>
    <xf numFmtId="0" fontId="55" fillId="0" borderId="82" xfId="1" applyFont="1" applyBorder="1" applyAlignment="1" applyProtection="1">
      <alignment vertical="center"/>
    </xf>
    <xf numFmtId="181" fontId="55" fillId="0" borderId="66" xfId="1" applyNumberFormat="1" applyFont="1" applyBorder="1" applyAlignment="1" applyProtection="1">
      <alignment vertical="center"/>
    </xf>
    <xf numFmtId="0" fontId="85" fillId="0" borderId="67" xfId="1" applyFont="1" applyBorder="1" applyAlignment="1" applyProtection="1">
      <alignment horizontal="right" vertical="center"/>
    </xf>
    <xf numFmtId="0" fontId="85" fillId="0" borderId="65" xfId="1" applyFont="1" applyBorder="1" applyAlignment="1" applyProtection="1">
      <alignment horizontal="center" vertical="center"/>
    </xf>
    <xf numFmtId="0" fontId="85" fillId="0" borderId="40" xfId="1" applyFont="1" applyBorder="1" applyAlignment="1" applyProtection="1">
      <alignment horizontal="center" vertical="center"/>
    </xf>
    <xf numFmtId="0" fontId="15" fillId="0" borderId="40" xfId="1" applyFont="1" applyBorder="1" applyAlignment="1" applyProtection="1">
      <alignment horizontal="left" vertical="center"/>
    </xf>
    <xf numFmtId="0" fontId="85" fillId="0" borderId="68" xfId="1" applyFont="1" applyBorder="1" applyAlignment="1" applyProtection="1">
      <alignment horizontal="center" vertical="center"/>
    </xf>
    <xf numFmtId="0" fontId="63" fillId="0" borderId="0" xfId="1" applyFont="1" applyAlignment="1" applyProtection="1">
      <alignment horizontal="right" vertical="center"/>
    </xf>
    <xf numFmtId="0" fontId="82" fillId="0" borderId="0" xfId="1" applyFont="1" applyAlignment="1" applyProtection="1">
      <alignment vertical="center"/>
    </xf>
    <xf numFmtId="0" fontId="63" fillId="0" borderId="0" xfId="1" applyFont="1" applyBorder="1" applyAlignment="1" applyProtection="1">
      <alignment vertical="center"/>
    </xf>
    <xf numFmtId="0" fontId="20" fillId="4" borderId="0" xfId="1" applyFont="1" applyFill="1" applyProtection="1"/>
    <xf numFmtId="182" fontId="20" fillId="4" borderId="65" xfId="1" applyNumberFormat="1" applyFont="1" applyFill="1" applyBorder="1" applyAlignment="1" applyProtection="1">
      <alignment vertical="center"/>
    </xf>
    <xf numFmtId="2" fontId="20" fillId="0" borderId="0" xfId="1" applyNumberFormat="1" applyFont="1" applyBorder="1" applyAlignment="1" applyProtection="1">
      <alignment horizontal="center" vertical="center"/>
    </xf>
    <xf numFmtId="182" fontId="20" fillId="4" borderId="72" xfId="1" applyNumberFormat="1" applyFont="1" applyFill="1" applyBorder="1" applyAlignment="1" applyProtection="1">
      <alignment horizontal="center" vertical="center"/>
    </xf>
    <xf numFmtId="181" fontId="20" fillId="0" borderId="40" xfId="1" applyNumberFormat="1" applyFont="1" applyBorder="1" applyAlignment="1" applyProtection="1">
      <alignment vertical="center"/>
    </xf>
    <xf numFmtId="182" fontId="20" fillId="4" borderId="66" xfId="1" applyNumberFormat="1" applyFont="1" applyFill="1" applyBorder="1" applyAlignment="1" applyProtection="1">
      <alignment vertical="center"/>
    </xf>
    <xf numFmtId="2" fontId="20" fillId="0" borderId="65" xfId="1" applyNumberFormat="1" applyFont="1" applyBorder="1" applyAlignment="1">
      <alignment horizontal="center"/>
    </xf>
    <xf numFmtId="182" fontId="20" fillId="4" borderId="0" xfId="1" applyNumberFormat="1" applyFont="1" applyFill="1" applyBorder="1" applyAlignment="1" applyProtection="1">
      <alignment horizontal="center" vertical="center"/>
    </xf>
    <xf numFmtId="182" fontId="20" fillId="4" borderId="69" xfId="1" applyNumberFormat="1" applyFont="1" applyFill="1" applyBorder="1" applyAlignment="1" applyProtection="1">
      <alignment vertical="center"/>
    </xf>
    <xf numFmtId="0" fontId="20" fillId="31" borderId="43" xfId="1" applyFont="1" applyFill="1" applyBorder="1" applyAlignment="1" applyProtection="1">
      <alignment horizontal="left" vertical="center"/>
      <protection locked="0"/>
    </xf>
    <xf numFmtId="0" fontId="20" fillId="0" borderId="75" xfId="1" applyFont="1" applyBorder="1" applyAlignment="1" applyProtection="1">
      <alignment horizontal="right" vertical="center"/>
    </xf>
    <xf numFmtId="0" fontId="90" fillId="0" borderId="76" xfId="1" applyFont="1" applyBorder="1" applyAlignment="1" applyProtection="1">
      <alignment horizontal="left" vertical="center"/>
    </xf>
    <xf numFmtId="0" fontId="90" fillId="0" borderId="74" xfId="1" applyFont="1" applyBorder="1" applyAlignment="1" applyProtection="1">
      <alignment horizontal="left" vertical="center"/>
    </xf>
    <xf numFmtId="0" fontId="20" fillId="0" borderId="75" xfId="1" applyFont="1" applyBorder="1" applyAlignment="1" applyProtection="1">
      <alignment vertical="center"/>
    </xf>
    <xf numFmtId="0" fontId="90" fillId="0" borderId="75" xfId="1" applyFont="1" applyBorder="1" applyAlignment="1" applyProtection="1">
      <alignment vertical="center"/>
    </xf>
    <xf numFmtId="0" fontId="20" fillId="0" borderId="89" xfId="1" applyFont="1" applyBorder="1" applyAlignment="1" applyProtection="1">
      <alignment vertical="center"/>
    </xf>
    <xf numFmtId="9" fontId="20" fillId="0" borderId="62" xfId="1" applyNumberFormat="1" applyFont="1" applyBorder="1" applyAlignment="1" applyProtection="1">
      <alignment horizontal="center" vertical="center"/>
    </xf>
    <xf numFmtId="0" fontId="15" fillId="0" borderId="2" xfId="1" applyFont="1" applyBorder="1" applyAlignment="1" applyProtection="1">
      <alignment vertical="center"/>
    </xf>
    <xf numFmtId="0" fontId="15" fillId="0" borderId="61" xfId="1" applyFont="1" applyBorder="1" applyAlignment="1" applyProtection="1">
      <alignment vertical="center"/>
    </xf>
    <xf numFmtId="2" fontId="15" fillId="0" borderId="72" xfId="1" applyNumberFormat="1" applyFont="1" applyFill="1" applyBorder="1" applyAlignment="1" applyProtection="1">
      <alignment horizontal="left" vertical="center"/>
    </xf>
    <xf numFmtId="2" fontId="15" fillId="0" borderId="40" xfId="1" applyNumberFormat="1" applyFont="1" applyBorder="1" applyAlignment="1" applyProtection="1">
      <alignment horizontal="right" vertical="center"/>
    </xf>
    <xf numFmtId="0" fontId="15" fillId="0" borderId="40" xfId="1" applyFont="1" applyBorder="1" applyAlignment="1" applyProtection="1">
      <alignment vertical="center"/>
    </xf>
    <xf numFmtId="0" fontId="55" fillId="0" borderId="0" xfId="1" applyFont="1" applyBorder="1" applyAlignment="1" applyProtection="1">
      <alignment vertical="center"/>
    </xf>
    <xf numFmtId="0" fontId="15" fillId="0" borderId="58" xfId="1" applyFont="1" applyBorder="1" applyAlignment="1" applyProtection="1">
      <alignment vertical="center"/>
    </xf>
    <xf numFmtId="0" fontId="15" fillId="0" borderId="57" xfId="1" applyFont="1" applyBorder="1" applyAlignment="1" applyProtection="1">
      <alignment vertical="center"/>
    </xf>
    <xf numFmtId="0" fontId="15" fillId="0" borderId="77" xfId="1" applyFont="1" applyBorder="1" applyAlignment="1" applyProtection="1">
      <alignment horizontal="left" vertical="center"/>
    </xf>
    <xf numFmtId="0" fontId="14" fillId="4" borderId="0" xfId="1" applyFont="1" applyFill="1" applyAlignment="1" applyProtection="1">
      <alignment horizontal="right" vertical="center"/>
    </xf>
    <xf numFmtId="14" fontId="20" fillId="0" borderId="0" xfId="1" applyNumberFormat="1" applyFont="1" applyAlignment="1" applyProtection="1">
      <alignment horizontal="left" vertical="center"/>
    </xf>
    <xf numFmtId="0" fontId="20" fillId="0" borderId="0" xfId="1" applyFont="1" applyFill="1" applyBorder="1" applyAlignment="1" applyProtection="1">
      <alignment horizontal="right" vertical="center"/>
    </xf>
    <xf numFmtId="0" fontId="20" fillId="0" borderId="0" xfId="1" applyFont="1" applyFill="1" applyBorder="1" applyAlignment="1" applyProtection="1">
      <alignment horizontal="left" vertical="center"/>
    </xf>
    <xf numFmtId="0" fontId="9" fillId="4" borderId="0" xfId="1" applyFont="1" applyFill="1" applyBorder="1" applyAlignment="1" applyProtection="1">
      <alignment horizontal="right" vertical="center"/>
    </xf>
    <xf numFmtId="0" fontId="15" fillId="0" borderId="0" xfId="1" applyFont="1" applyAlignment="1" applyProtection="1">
      <alignment vertical="center"/>
    </xf>
    <xf numFmtId="186" fontId="15" fillId="0" borderId="44" xfId="1" applyNumberFormat="1" applyFont="1" applyFill="1" applyBorder="1" applyAlignment="1" applyProtection="1">
      <alignment horizontal="right" vertical="center"/>
    </xf>
    <xf numFmtId="186" fontId="15" fillId="0" borderId="39" xfId="1" applyNumberFormat="1" applyFont="1" applyFill="1" applyBorder="1" applyAlignment="1" applyProtection="1">
      <alignment horizontal="right" vertical="center"/>
    </xf>
    <xf numFmtId="171" fontId="9" fillId="33" borderId="65"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protection locked="0"/>
    </xf>
    <xf numFmtId="171" fontId="9" fillId="0" borderId="66" xfId="61" applyNumberFormat="1" applyFont="1" applyFill="1" applyBorder="1" applyAlignment="1" applyProtection="1">
      <alignment horizontal="right" vertical="center"/>
    </xf>
    <xf numFmtId="0" fontId="9" fillId="0" borderId="0" xfId="1" applyFont="1" applyFill="1" applyBorder="1" applyAlignment="1" applyProtection="1">
      <alignment horizontal="center" vertical="center"/>
    </xf>
    <xf numFmtId="186" fontId="15" fillId="0" borderId="19" xfId="1" applyNumberFormat="1" applyFont="1" applyFill="1" applyBorder="1" applyAlignment="1" applyProtection="1">
      <alignment horizontal="right" vertical="center"/>
    </xf>
    <xf numFmtId="186" fontId="15" fillId="0" borderId="40" xfId="1" applyNumberFormat="1" applyFont="1" applyFill="1" applyBorder="1" applyAlignment="1" applyProtection="1">
      <alignment horizontal="right" vertical="center"/>
    </xf>
    <xf numFmtId="0" fontId="9" fillId="0" borderId="2" xfId="1" applyFont="1" applyFill="1" applyBorder="1" applyAlignment="1" applyProtection="1">
      <alignment horizontal="center" vertical="center"/>
    </xf>
    <xf numFmtId="0" fontId="6" fillId="35" borderId="59" xfId="1" applyFont="1" applyFill="1" applyBorder="1" applyAlignment="1" applyProtection="1">
      <alignment vertical="center"/>
    </xf>
    <xf numFmtId="0" fontId="6" fillId="35" borderId="41" xfId="1" applyFont="1" applyFill="1" applyBorder="1" applyAlignment="1" applyProtection="1">
      <alignment vertical="center"/>
    </xf>
    <xf numFmtId="0" fontId="6" fillId="35" borderId="60" xfId="1" applyFont="1" applyFill="1" applyBorder="1" applyAlignment="1" applyProtection="1">
      <alignment horizontal="left" vertical="center"/>
    </xf>
    <xf numFmtId="0" fontId="6" fillId="35" borderId="64" xfId="1" applyFont="1" applyFill="1" applyBorder="1" applyAlignment="1" applyProtection="1">
      <alignment vertical="center"/>
    </xf>
    <xf numFmtId="0" fontId="6" fillId="35" borderId="0" xfId="1" applyFont="1" applyFill="1" applyBorder="1" applyAlignment="1" applyProtection="1">
      <alignment vertical="center"/>
    </xf>
    <xf numFmtId="0" fontId="6" fillId="35" borderId="32" xfId="1" applyFont="1" applyFill="1" applyBorder="1" applyAlignment="1" applyProtection="1">
      <alignment horizontal="left" vertical="center"/>
    </xf>
    <xf numFmtId="0" fontId="6" fillId="35" borderId="78" xfId="1" applyFont="1" applyFill="1" applyBorder="1" applyAlignment="1" applyProtection="1">
      <alignment vertical="center"/>
    </xf>
    <xf numFmtId="0" fontId="6" fillId="35" borderId="24" xfId="1" applyFont="1" applyFill="1" applyBorder="1" applyAlignment="1" applyProtection="1">
      <alignment vertical="center"/>
    </xf>
    <xf numFmtId="0" fontId="6" fillId="35" borderId="79" xfId="1" applyFont="1" applyFill="1" applyBorder="1" applyAlignment="1" applyProtection="1">
      <alignment vertical="center"/>
    </xf>
    <xf numFmtId="0" fontId="16" fillId="0" borderId="66" xfId="1" applyFont="1" applyBorder="1" applyAlignment="1">
      <alignment horizontal="center" vertical="center"/>
    </xf>
    <xf numFmtId="0" fontId="16" fillId="0" borderId="67" xfId="1" applyFont="1" applyBorder="1" applyAlignment="1">
      <alignment horizontal="center" vertical="center"/>
    </xf>
    <xf numFmtId="0" fontId="5" fillId="0" borderId="0" xfId="1" applyFont="1" applyFill="1" applyBorder="1" applyAlignment="1" applyProtection="1">
      <alignment horizontal="center" vertical="center"/>
    </xf>
    <xf numFmtId="171" fontId="9" fillId="4" borderId="0" xfId="61" applyNumberFormat="1" applyFont="1" applyFill="1" applyBorder="1" applyAlignment="1" applyProtection="1">
      <alignment horizontal="right" vertical="center"/>
    </xf>
    <xf numFmtId="188" fontId="9" fillId="4" borderId="0" xfId="1" applyNumberFormat="1" applyFont="1" applyFill="1" applyBorder="1" applyAlignment="1" applyProtection="1">
      <alignment horizontal="right" vertical="center"/>
    </xf>
    <xf numFmtId="189" fontId="9" fillId="4" borderId="0" xfId="1" applyNumberFormat="1" applyFont="1" applyFill="1" applyBorder="1" applyAlignment="1" applyProtection="1">
      <alignment horizontal="right" vertical="center"/>
    </xf>
    <xf numFmtId="190" fontId="9" fillId="4" borderId="0" xfId="1" applyNumberFormat="1" applyFont="1" applyFill="1" applyBorder="1" applyAlignment="1" applyProtection="1">
      <alignment horizontal="right" vertical="center"/>
    </xf>
    <xf numFmtId="170" fontId="9" fillId="4" borderId="0" xfId="1" applyNumberFormat="1" applyFont="1" applyFill="1" applyBorder="1" applyAlignment="1" applyProtection="1">
      <alignment horizontal="right" vertical="center"/>
    </xf>
    <xf numFmtId="188" fontId="9" fillId="0" borderId="61" xfId="1" applyNumberFormat="1" applyFont="1" applyBorder="1" applyAlignment="1" applyProtection="1">
      <alignment horizontal="right" vertical="center"/>
    </xf>
    <xf numFmtId="189" fontId="9" fillId="31" borderId="61" xfId="1" applyNumberFormat="1" applyFont="1" applyFill="1" applyBorder="1" applyAlignment="1" applyProtection="1">
      <alignment horizontal="right" vertical="center"/>
      <protection locked="0"/>
    </xf>
    <xf numFmtId="190" fontId="9" fillId="4" borderId="61" xfId="1" applyNumberFormat="1" applyFont="1" applyFill="1" applyBorder="1" applyAlignment="1" applyProtection="1">
      <alignment horizontal="right" vertical="center"/>
    </xf>
    <xf numFmtId="170" fontId="9" fillId="4" borderId="61" xfId="1" applyNumberFormat="1" applyFont="1" applyFill="1" applyBorder="1" applyAlignment="1" applyProtection="1">
      <alignment horizontal="right" vertical="center"/>
    </xf>
    <xf numFmtId="170" fontId="9" fillId="31" borderId="61" xfId="1" applyNumberFormat="1" applyFont="1" applyFill="1" applyBorder="1" applyAlignment="1" applyProtection="1">
      <alignment horizontal="right" vertical="center"/>
      <protection locked="0"/>
    </xf>
    <xf numFmtId="189" fontId="9" fillId="31" borderId="63" xfId="1" applyNumberFormat="1" applyFont="1" applyFill="1" applyBorder="1" applyAlignment="1" applyProtection="1">
      <alignment horizontal="right" vertical="center"/>
      <protection locked="0"/>
    </xf>
    <xf numFmtId="0" fontId="9" fillId="31" borderId="2" xfId="1" applyFont="1" applyFill="1" applyBorder="1" applyAlignment="1" applyProtection="1">
      <alignment vertical="center"/>
      <protection locked="0"/>
    </xf>
    <xf numFmtId="188" fontId="9" fillId="0" borderId="65" xfId="1" applyNumberFormat="1" applyFont="1" applyBorder="1" applyAlignment="1" applyProtection="1">
      <alignment horizontal="right" vertical="center"/>
    </xf>
    <xf numFmtId="189" fontId="9" fillId="31" borderId="65" xfId="1" applyNumberFormat="1" applyFont="1" applyFill="1" applyBorder="1" applyAlignment="1" applyProtection="1">
      <alignment horizontal="right" vertical="center"/>
      <protection locked="0"/>
    </xf>
    <xf numFmtId="190" fontId="9" fillId="4" borderId="65" xfId="1" applyNumberFormat="1" applyFont="1" applyFill="1" applyBorder="1" applyAlignment="1" applyProtection="1">
      <alignment horizontal="right" vertical="center"/>
    </xf>
    <xf numFmtId="170" fontId="9" fillId="4" borderId="65" xfId="1" applyNumberFormat="1" applyFont="1" applyFill="1" applyBorder="1" applyAlignment="1" applyProtection="1">
      <alignment horizontal="right" vertical="center"/>
    </xf>
    <xf numFmtId="170" fontId="9" fillId="31" borderId="65" xfId="1" applyNumberFormat="1" applyFont="1" applyFill="1" applyBorder="1" applyAlignment="1" applyProtection="1">
      <alignment horizontal="right" vertical="center"/>
      <protection locked="0"/>
    </xf>
    <xf numFmtId="189" fontId="9" fillId="31" borderId="67" xfId="1" applyNumberFormat="1" applyFont="1" applyFill="1" applyBorder="1" applyAlignment="1" applyProtection="1">
      <alignment horizontal="right" vertical="center"/>
      <protection locked="0"/>
    </xf>
    <xf numFmtId="0" fontId="9" fillId="31" borderId="0" xfId="1" applyFont="1" applyFill="1" applyBorder="1" applyAlignment="1" applyProtection="1">
      <alignment vertical="center"/>
      <protection locked="0"/>
    </xf>
    <xf numFmtId="0" fontId="9" fillId="0" borderId="0" xfId="67" applyFont="1" applyAlignment="1">
      <alignment horizontal="left"/>
    </xf>
    <xf numFmtId="0" fontId="9" fillId="0" borderId="0" xfId="1" applyFont="1" applyBorder="1" applyProtection="1"/>
    <xf numFmtId="0" fontId="6" fillId="0" borderId="90" xfId="1" applyFont="1" applyFill="1" applyBorder="1" applyAlignment="1" applyProtection="1">
      <alignment horizontal="center" vertical="center"/>
    </xf>
    <xf numFmtId="0" fontId="6" fillId="0" borderId="91" xfId="1" applyFont="1" applyFill="1" applyBorder="1" applyAlignment="1" applyProtection="1">
      <alignment horizontal="center" vertical="center"/>
    </xf>
    <xf numFmtId="0" fontId="6" fillId="0" borderId="92" xfId="1" applyFont="1" applyFill="1" applyBorder="1" applyAlignment="1" applyProtection="1">
      <alignment horizontal="center" vertical="center"/>
    </xf>
    <xf numFmtId="0" fontId="9" fillId="0" borderId="91" xfId="1" applyFont="1" applyBorder="1" applyAlignment="1" applyProtection="1">
      <alignment vertical="center"/>
    </xf>
    <xf numFmtId="177" fontId="9" fillId="31" borderId="91" xfId="1" applyNumberFormat="1" applyFont="1" applyFill="1" applyBorder="1" applyAlignment="1" applyProtection="1">
      <alignment horizontal="right" vertical="center"/>
      <protection locked="0"/>
    </xf>
    <xf numFmtId="0" fontId="9" fillId="0" borderId="91" xfId="1" applyFont="1" applyBorder="1" applyAlignment="1" applyProtection="1">
      <alignment horizontal="left" vertical="center"/>
    </xf>
    <xf numFmtId="0" fontId="13" fillId="0" borderId="91" xfId="1" applyFont="1" applyBorder="1" applyAlignment="1" applyProtection="1">
      <alignment vertical="center"/>
    </xf>
    <xf numFmtId="0" fontId="6" fillId="0" borderId="0" xfId="1" applyFont="1" applyFill="1" applyBorder="1" applyAlignment="1" applyProtection="1">
      <alignment horizontal="center" vertical="center"/>
    </xf>
    <xf numFmtId="0" fontId="4" fillId="0" borderId="0" xfId="1" applyBorder="1" applyAlignment="1" applyProtection="1">
      <alignment horizontal="centerContinuous"/>
    </xf>
    <xf numFmtId="0" fontId="6" fillId="0" borderId="0" xfId="1" applyFont="1" applyFill="1" applyBorder="1" applyAlignment="1" applyProtection="1">
      <alignment horizontal="centerContinuous" vertical="center"/>
    </xf>
    <xf numFmtId="0" fontId="6" fillId="0" borderId="40" xfId="1" applyFont="1" applyFill="1" applyBorder="1" applyAlignment="1" applyProtection="1">
      <alignment horizontal="center" vertical="center"/>
    </xf>
    <xf numFmtId="0" fontId="9" fillId="0" borderId="0" xfId="2" applyFont="1" applyBorder="1" applyAlignment="1" applyProtection="1">
      <alignment vertical="center"/>
    </xf>
    <xf numFmtId="177" fontId="9" fillId="4" borderId="0" xfId="2" applyNumberFormat="1" applyFont="1" applyFill="1" applyBorder="1" applyAlignment="1" applyProtection="1">
      <alignment horizontal="right" vertical="center"/>
    </xf>
    <xf numFmtId="0" fontId="9" fillId="0" borderId="0" xfId="2" applyFont="1" applyBorder="1" applyAlignment="1" applyProtection="1">
      <alignment horizontal="left" vertical="center"/>
    </xf>
    <xf numFmtId="186" fontId="16" fillId="0" borderId="0" xfId="1" applyNumberFormat="1" applyFont="1" applyFill="1" applyBorder="1" applyAlignment="1" applyProtection="1">
      <alignment horizontal="right" vertical="center"/>
    </xf>
    <xf numFmtId="0" fontId="14" fillId="0" borderId="0" xfId="1" applyFont="1" applyFill="1" applyBorder="1" applyAlignment="1" applyProtection="1">
      <alignment horizontal="left" vertical="center"/>
    </xf>
    <xf numFmtId="0" fontId="14" fillId="0" borderId="43" xfId="1" applyFont="1" applyFill="1" applyBorder="1" applyAlignment="1" applyProtection="1">
      <alignment horizontal="left" vertical="center"/>
    </xf>
    <xf numFmtId="0" fontId="9" fillId="0" borderId="40" xfId="1" applyFont="1" applyBorder="1" applyAlignment="1" applyProtection="1">
      <alignment vertical="center"/>
    </xf>
    <xf numFmtId="0" fontId="9" fillId="0" borderId="90" xfId="1" applyFont="1" applyFill="1" applyBorder="1" applyAlignment="1" applyProtection="1">
      <alignment horizontal="center" vertical="center"/>
    </xf>
    <xf numFmtId="0" fontId="9" fillId="0" borderId="91" xfId="1" applyFont="1" applyFill="1" applyBorder="1" applyAlignment="1" applyProtection="1">
      <alignment horizontal="center" vertical="center"/>
    </xf>
    <xf numFmtId="0" fontId="9" fillId="0" borderId="92" xfId="1" applyFont="1" applyFill="1" applyBorder="1" applyAlignment="1" applyProtection="1">
      <alignment horizontal="center" vertical="center"/>
    </xf>
    <xf numFmtId="0" fontId="5" fillId="0" borderId="91" xfId="1" applyFont="1" applyBorder="1" applyAlignment="1" applyProtection="1">
      <alignment vertical="center"/>
    </xf>
    <xf numFmtId="0" fontId="9" fillId="0" borderId="92" xfId="1" applyFont="1" applyBorder="1" applyAlignment="1" applyProtection="1">
      <alignment vertical="center"/>
    </xf>
    <xf numFmtId="0" fontId="9" fillId="0" borderId="0" xfId="1" applyFont="1" applyBorder="1" applyAlignment="1" applyProtection="1">
      <alignment horizontal="centerContinuous"/>
    </xf>
    <xf numFmtId="0" fontId="9" fillId="0" borderId="0" xfId="1" applyFont="1" applyFill="1" applyBorder="1" applyAlignment="1" applyProtection="1">
      <alignment horizontal="centerContinuous" vertical="center"/>
    </xf>
    <xf numFmtId="0" fontId="9" fillId="0" borderId="40" xfId="1" applyFont="1" applyFill="1" applyBorder="1" applyAlignment="1" applyProtection="1">
      <alignment horizontal="center" vertical="center"/>
    </xf>
    <xf numFmtId="177" fontId="9" fillId="4" borderId="0" xfId="1" applyNumberFormat="1" applyFont="1" applyFill="1" applyBorder="1" applyAlignment="1" applyProtection="1">
      <alignment horizontal="right" vertical="center"/>
    </xf>
    <xf numFmtId="188" fontId="6" fillId="0" borderId="0" xfId="1" applyNumberFormat="1" applyFont="1" applyBorder="1" applyAlignment="1" applyProtection="1">
      <alignment vertical="center"/>
    </xf>
    <xf numFmtId="0" fontId="15" fillId="0" borderId="0" xfId="67" applyFont="1" applyBorder="1" applyAlignment="1">
      <alignment horizontal="left"/>
    </xf>
    <xf numFmtId="15" fontId="6" fillId="0" borderId="0" xfId="1" applyNumberFormat="1" applyFont="1" applyBorder="1" applyAlignment="1" applyProtection="1">
      <alignment vertical="center"/>
    </xf>
    <xf numFmtId="0" fontId="15" fillId="0" borderId="24" xfId="67" applyFont="1" applyBorder="1" applyAlignment="1">
      <alignment horizontal="left"/>
    </xf>
    <xf numFmtId="0" fontId="6" fillId="35" borderId="60" xfId="1" applyFont="1" applyFill="1" applyBorder="1" applyAlignment="1" applyProtection="1">
      <alignment vertical="center"/>
    </xf>
    <xf numFmtId="0" fontId="76" fillId="0" borderId="90" xfId="1" applyFont="1" applyBorder="1" applyAlignment="1" applyProtection="1">
      <alignment vertical="center"/>
    </xf>
    <xf numFmtId="0" fontId="76" fillId="0" borderId="91" xfId="1" applyFont="1" applyBorder="1" applyAlignment="1" applyProtection="1">
      <alignment vertical="center"/>
    </xf>
    <xf numFmtId="0" fontId="76" fillId="0" borderId="92" xfId="1" applyFont="1" applyBorder="1" applyAlignment="1" applyProtection="1">
      <alignment vertical="center"/>
    </xf>
    <xf numFmtId="177" fontId="9" fillId="31" borderId="91" xfId="1" applyNumberFormat="1" applyFont="1" applyFill="1" applyBorder="1" applyAlignment="1" applyProtection="1">
      <alignment vertical="center"/>
      <protection locked="0"/>
    </xf>
    <xf numFmtId="0" fontId="72" fillId="35" borderId="64" xfId="1" applyFont="1" applyFill="1" applyBorder="1" applyAlignment="1" applyProtection="1">
      <alignment vertical="center"/>
    </xf>
    <xf numFmtId="0" fontId="72" fillId="35" borderId="0" xfId="1" applyFont="1" applyFill="1" applyBorder="1" applyAlignment="1" applyProtection="1">
      <alignment vertical="center"/>
    </xf>
    <xf numFmtId="0" fontId="6" fillId="35" borderId="32" xfId="1" applyFont="1" applyFill="1" applyBorder="1" applyAlignment="1" applyProtection="1">
      <alignment vertical="center"/>
    </xf>
    <xf numFmtId="0" fontId="76" fillId="0" borderId="0" xfId="1" applyFont="1" applyBorder="1" applyAlignment="1" applyProtection="1">
      <alignment vertical="center"/>
    </xf>
    <xf numFmtId="0" fontId="76" fillId="0" borderId="40" xfId="1" applyFont="1" applyBorder="1" applyAlignment="1" applyProtection="1">
      <alignment vertical="center"/>
    </xf>
    <xf numFmtId="0" fontId="72" fillId="35" borderId="78" xfId="1" applyFont="1" applyFill="1" applyBorder="1" applyAlignment="1" applyProtection="1">
      <alignment vertical="center"/>
    </xf>
    <xf numFmtId="0" fontId="72" fillId="35" borderId="24" xfId="1" applyFont="1" applyFill="1" applyBorder="1" applyAlignment="1" applyProtection="1">
      <alignment vertical="center"/>
    </xf>
    <xf numFmtId="0" fontId="14" fillId="0" borderId="40" xfId="1" applyFont="1" applyFill="1" applyBorder="1" applyAlignment="1" applyProtection="1">
      <alignment horizontal="left" vertical="center"/>
    </xf>
    <xf numFmtId="0" fontId="14" fillId="0" borderId="19" xfId="1" applyFont="1" applyBorder="1" applyAlignment="1" applyProtection="1">
      <alignment vertical="center"/>
    </xf>
    <xf numFmtId="0" fontId="70" fillId="0" borderId="0" xfId="1" applyFont="1" applyAlignment="1" applyProtection="1">
      <alignment vertical="center"/>
      <protection locked="0"/>
    </xf>
    <xf numFmtId="0" fontId="9" fillId="0" borderId="80" xfId="1" applyFont="1" applyFill="1" applyBorder="1" applyAlignment="1" applyProtection="1">
      <alignment horizontal="center" vertical="center"/>
    </xf>
    <xf numFmtId="0" fontId="9" fillId="0" borderId="62" xfId="1" applyFont="1" applyFill="1" applyBorder="1" applyAlignment="1" applyProtection="1">
      <alignment horizontal="center" vertical="center"/>
    </xf>
    <xf numFmtId="0" fontId="9" fillId="0" borderId="63" xfId="1" applyFont="1" applyFill="1" applyBorder="1" applyAlignment="1" applyProtection="1">
      <alignment horizontal="center" vertical="center"/>
    </xf>
    <xf numFmtId="177" fontId="9" fillId="4" borderId="2" xfId="1" applyNumberFormat="1" applyFont="1" applyFill="1" applyBorder="1" applyAlignment="1" applyProtection="1">
      <alignment horizontal="center" vertical="center"/>
    </xf>
    <xf numFmtId="0" fontId="9" fillId="0" borderId="2" xfId="1" applyFont="1" applyBorder="1" applyAlignment="1" applyProtection="1">
      <alignment horizontal="left" vertical="center"/>
    </xf>
    <xf numFmtId="0" fontId="94" fillId="0" borderId="0" xfId="1" applyFont="1" applyAlignment="1" applyProtection="1">
      <alignment horizontal="right" vertical="center"/>
    </xf>
    <xf numFmtId="0" fontId="5" fillId="0" borderId="65" xfId="1" applyFont="1" applyFill="1" applyBorder="1" applyAlignment="1" applyProtection="1">
      <alignment horizontal="center" vertical="center"/>
    </xf>
    <xf numFmtId="0" fontId="5" fillId="0" borderId="67" xfId="1" applyFont="1" applyFill="1" applyBorder="1" applyAlignment="1" applyProtection="1">
      <alignment horizontal="center" vertical="center"/>
    </xf>
    <xf numFmtId="177" fontId="9" fillId="4" borderId="0" xfId="1" applyNumberFormat="1" applyFont="1" applyFill="1" applyBorder="1" applyAlignment="1" applyProtection="1">
      <alignment horizontal="center" vertical="center"/>
    </xf>
    <xf numFmtId="0" fontId="44" fillId="0" borderId="0" xfId="1" applyFont="1" applyBorder="1" applyAlignment="1" applyProtection="1">
      <alignment horizontal="right" vertical="top"/>
    </xf>
    <xf numFmtId="0" fontId="9" fillId="0" borderId="0" xfId="1" applyFont="1" applyBorder="1" applyAlignment="1" applyProtection="1">
      <alignment horizontal="left" vertical="top"/>
    </xf>
    <xf numFmtId="0" fontId="43" fillId="0" borderId="0" xfId="1" applyFont="1" applyBorder="1" applyAlignment="1" applyProtection="1">
      <alignment vertical="top"/>
    </xf>
    <xf numFmtId="0" fontId="43" fillId="4" borderId="0" xfId="1" applyFont="1" applyFill="1" applyAlignment="1" applyProtection="1">
      <alignment horizontal="right" vertical="top"/>
    </xf>
    <xf numFmtId="0" fontId="16" fillId="0" borderId="0" xfId="1" applyFont="1" applyBorder="1" applyAlignment="1" applyProtection="1">
      <alignment horizontal="left" vertical="top"/>
    </xf>
    <xf numFmtId="0" fontId="68" fillId="0" borderId="0" xfId="1" applyFont="1" applyBorder="1" applyAlignment="1" applyProtection="1"/>
    <xf numFmtId="14" fontId="9" fillId="0" borderId="0" xfId="1" applyNumberFormat="1" applyFont="1" applyAlignment="1" applyProtection="1">
      <alignment horizontal="left" vertical="top"/>
    </xf>
    <xf numFmtId="0" fontId="9" fillId="0" borderId="0" xfId="1" applyFont="1" applyAlignment="1" applyProtection="1">
      <alignment horizontal="left" vertical="top"/>
    </xf>
    <xf numFmtId="0" fontId="18" fillId="0" borderId="0" xfId="1" applyFont="1" applyBorder="1" applyAlignment="1" applyProtection="1">
      <alignment vertical="top"/>
    </xf>
    <xf numFmtId="0" fontId="43" fillId="31" borderId="96" xfId="106" applyFont="1" applyFill="1" applyBorder="1" applyAlignment="1" applyProtection="1">
      <alignment horizontal="center" vertical="center"/>
      <protection locked="0"/>
    </xf>
    <xf numFmtId="0" fontId="43" fillId="31" borderId="97" xfId="106" applyFont="1" applyFill="1" applyBorder="1" applyAlignment="1" applyProtection="1">
      <alignment horizontal="center" vertical="center"/>
      <protection locked="0"/>
    </xf>
    <xf numFmtId="0" fontId="43" fillId="31" borderId="33" xfId="106" applyFont="1" applyFill="1" applyBorder="1" applyAlignment="1" applyProtection="1">
      <alignment horizontal="center" vertical="center"/>
      <protection locked="0"/>
    </xf>
    <xf numFmtId="0" fontId="43" fillId="31" borderId="99" xfId="106" applyFont="1" applyFill="1" applyBorder="1" applyAlignment="1" applyProtection="1">
      <alignment horizontal="center" vertical="center"/>
      <protection locked="0"/>
    </xf>
    <xf numFmtId="0" fontId="43" fillId="31" borderId="92" xfId="106" applyFont="1" applyFill="1" applyBorder="1" applyAlignment="1" applyProtection="1">
      <alignment horizontal="center" vertical="center"/>
      <protection locked="0"/>
    </xf>
    <xf numFmtId="0" fontId="43" fillId="31" borderId="91" xfId="106" applyFont="1" applyFill="1" applyBorder="1" applyAlignment="1" applyProtection="1">
      <alignment horizontal="center" vertical="center"/>
      <protection locked="0"/>
    </xf>
    <xf numFmtId="0" fontId="43" fillId="31" borderId="26" xfId="106" applyFont="1" applyFill="1" applyBorder="1" applyAlignment="1" applyProtection="1">
      <alignment horizontal="center" vertical="center"/>
      <protection locked="0"/>
    </xf>
    <xf numFmtId="0" fontId="31" fillId="0" borderId="0" xfId="55">
      <alignment horizontal="center"/>
    </xf>
    <xf numFmtId="0" fontId="31" fillId="0" borderId="0" xfId="55" applyFont="1">
      <alignment horizontal="center"/>
    </xf>
    <xf numFmtId="0" fontId="43" fillId="31" borderId="37" xfId="106" applyFont="1" applyFill="1" applyBorder="1" applyAlignment="1" applyProtection="1">
      <alignment horizontal="center" vertical="center"/>
      <protection locked="0"/>
    </xf>
    <xf numFmtId="0" fontId="43" fillId="31" borderId="100" xfId="106" applyFont="1" applyFill="1" applyBorder="1" applyAlignment="1" applyProtection="1">
      <alignment horizontal="center" vertical="center"/>
      <protection locked="0"/>
    </xf>
    <xf numFmtId="0" fontId="43" fillId="31" borderId="31" xfId="106" applyFont="1" applyFill="1" applyBorder="1" applyAlignment="1" applyProtection="1">
      <alignment horizontal="center" vertical="center"/>
      <protection locked="0"/>
    </xf>
    <xf numFmtId="2" fontId="4" fillId="0" borderId="0" xfId="1" applyNumberFormat="1"/>
    <xf numFmtId="2" fontId="4" fillId="0" borderId="0" xfId="1" applyNumberFormat="1" applyAlignment="1">
      <alignment horizontal="center"/>
    </xf>
    <xf numFmtId="177" fontId="4" fillId="0" borderId="0" xfId="1" applyNumberFormat="1" applyAlignment="1">
      <alignment horizontal="center"/>
    </xf>
    <xf numFmtId="177" fontId="4" fillId="0" borderId="0" xfId="1" applyNumberFormat="1"/>
    <xf numFmtId="0" fontId="4" fillId="0" borderId="0" xfId="1" applyBorder="1"/>
    <xf numFmtId="2" fontId="4" fillId="0" borderId="0" xfId="1" applyNumberFormat="1" applyBorder="1"/>
    <xf numFmtId="2" fontId="4" fillId="0" borderId="0" xfId="1" applyNumberFormat="1" applyBorder="1" applyAlignment="1">
      <alignment horizontal="center"/>
    </xf>
    <xf numFmtId="177" fontId="4" fillId="0" borderId="0" xfId="1" applyNumberFormat="1" applyBorder="1" applyAlignment="1">
      <alignment horizontal="center"/>
    </xf>
    <xf numFmtId="177" fontId="4" fillId="0" borderId="0" xfId="1" applyNumberFormat="1" applyBorder="1"/>
    <xf numFmtId="0" fontId="4" fillId="0" borderId="0" xfId="1" applyBorder="1" applyAlignment="1">
      <alignment horizontal="center"/>
    </xf>
    <xf numFmtId="0" fontId="20" fillId="0" borderId="0" xfId="1" applyFont="1" applyBorder="1"/>
    <xf numFmtId="0" fontId="20" fillId="0" borderId="0" xfId="1" applyFont="1" applyBorder="1" applyAlignment="1">
      <alignment horizontal="center"/>
    </xf>
    <xf numFmtId="2" fontId="20" fillId="0" borderId="0" xfId="1" applyNumberFormat="1" applyFont="1" applyBorder="1" applyAlignment="1">
      <alignment horizontal="center"/>
    </xf>
    <xf numFmtId="2" fontId="20" fillId="0" borderId="0" xfId="1" applyNumberFormat="1" applyFont="1" applyBorder="1" applyAlignment="1">
      <alignment horizontal="left"/>
    </xf>
    <xf numFmtId="177" fontId="20" fillId="0" borderId="0" xfId="1" applyNumberFormat="1" applyFont="1" applyBorder="1" applyAlignment="1" applyProtection="1">
      <alignment horizontal="center"/>
      <protection locked="0"/>
    </xf>
    <xf numFmtId="177" fontId="20" fillId="0" borderId="0" xfId="1" applyNumberFormat="1" applyFont="1" applyBorder="1" applyAlignment="1">
      <alignment horizontal="right"/>
    </xf>
    <xf numFmtId="177" fontId="20" fillId="0" borderId="0" xfId="1" applyNumberFormat="1" applyFont="1" applyBorder="1" applyAlignment="1">
      <alignment horizontal="center"/>
    </xf>
    <xf numFmtId="192" fontId="20" fillId="0" borderId="0" xfId="1" applyNumberFormat="1" applyFont="1" applyBorder="1" applyAlignment="1">
      <alignment horizontal="left"/>
    </xf>
    <xf numFmtId="2" fontId="20" fillId="0" borderId="47" xfId="67" applyNumberFormat="1" applyFont="1" applyBorder="1" applyAlignment="1">
      <alignment horizontal="center"/>
    </xf>
    <xf numFmtId="177" fontId="20" fillId="38" borderId="46" xfId="67" applyNumberFormat="1" applyFont="1" applyFill="1" applyBorder="1" applyAlignment="1">
      <alignment horizontal="center"/>
    </xf>
    <xf numFmtId="0" fontId="9" fillId="0" borderId="19" xfId="67" applyBorder="1"/>
    <xf numFmtId="0" fontId="9" fillId="0" borderId="40" xfId="67" applyBorder="1"/>
    <xf numFmtId="0" fontId="9" fillId="0" borderId="0" xfId="67" applyBorder="1"/>
    <xf numFmtId="2" fontId="20" fillId="0" borderId="19" xfId="67" applyNumberFormat="1" applyFont="1" applyBorder="1" applyAlignment="1">
      <alignment horizontal="center"/>
    </xf>
    <xf numFmtId="177" fontId="20" fillId="38" borderId="40" xfId="67" applyNumberFormat="1" applyFont="1" applyFill="1" applyBorder="1" applyAlignment="1">
      <alignment horizontal="center"/>
    </xf>
    <xf numFmtId="177" fontId="20" fillId="38" borderId="100" xfId="67" applyNumberFormat="1" applyFont="1" applyFill="1" applyBorder="1" applyAlignment="1">
      <alignment horizontal="center"/>
    </xf>
    <xf numFmtId="177" fontId="20" fillId="38" borderId="92" xfId="67" applyNumberFormat="1" applyFont="1" applyFill="1" applyBorder="1" applyAlignment="1">
      <alignment horizontal="center"/>
    </xf>
    <xf numFmtId="2" fontId="20" fillId="0" borderId="0" xfId="67" applyNumberFormat="1" applyFont="1" applyBorder="1" applyAlignment="1">
      <alignment horizontal="center"/>
    </xf>
    <xf numFmtId="2" fontId="20" fillId="0" borderId="90" xfId="67" applyNumberFormat="1" applyFont="1" applyBorder="1" applyAlignment="1">
      <alignment horizontal="center"/>
    </xf>
    <xf numFmtId="0" fontId="20" fillId="0" borderId="0" xfId="1" applyFont="1"/>
    <xf numFmtId="2" fontId="20" fillId="0" borderId="0" xfId="1" applyNumberFormat="1" applyFont="1" applyAlignment="1">
      <alignment horizontal="left"/>
    </xf>
    <xf numFmtId="2" fontId="20" fillId="0" borderId="106" xfId="67" applyNumberFormat="1" applyFont="1" applyBorder="1" applyAlignment="1">
      <alignment horizontal="center"/>
    </xf>
    <xf numFmtId="177" fontId="20" fillId="38" borderId="97" xfId="67" applyNumberFormat="1" applyFont="1" applyFill="1" applyBorder="1" applyAlignment="1">
      <alignment horizontal="center"/>
    </xf>
    <xf numFmtId="0" fontId="20" fillId="0" borderId="0" xfId="1" applyFont="1" applyProtection="1">
      <protection locked="0"/>
    </xf>
    <xf numFmtId="2" fontId="20" fillId="0" borderId="42" xfId="67" applyNumberFormat="1" applyFont="1" applyBorder="1" applyAlignment="1">
      <alignment horizontal="center"/>
    </xf>
    <xf numFmtId="2" fontId="5" fillId="0" borderId="44" xfId="67" applyNumberFormat="1" applyFont="1" applyBorder="1" applyAlignment="1">
      <alignment horizontal="center"/>
    </xf>
    <xf numFmtId="0" fontId="5" fillId="0" borderId="39" xfId="67" applyFont="1" applyBorder="1" applyAlignment="1">
      <alignment horizontal="center"/>
    </xf>
    <xf numFmtId="2" fontId="5" fillId="0" borderId="2" xfId="67" applyNumberFormat="1" applyFont="1" applyBorder="1" applyAlignment="1">
      <alignment horizontal="center"/>
    </xf>
    <xf numFmtId="9" fontId="5" fillId="0" borderId="19" xfId="61" applyFont="1" applyBorder="1" applyAlignment="1">
      <alignment horizontal="center"/>
    </xf>
    <xf numFmtId="9" fontId="5" fillId="0" borderId="40" xfId="61" applyFont="1" applyBorder="1" applyAlignment="1">
      <alignment horizontal="center"/>
    </xf>
    <xf numFmtId="0" fontId="5" fillId="0" borderId="0" xfId="67" applyFont="1" applyBorder="1" applyAlignment="1">
      <alignment horizontal="center"/>
    </xf>
    <xf numFmtId="2" fontId="9" fillId="0" borderId="0" xfId="67" applyNumberFormat="1" applyBorder="1" applyAlignment="1">
      <alignment horizontal="center"/>
    </xf>
    <xf numFmtId="9" fontId="5" fillId="0" borderId="43" xfId="61" applyFont="1" applyBorder="1" applyAlignment="1">
      <alignment horizontal="center"/>
    </xf>
    <xf numFmtId="9" fontId="5" fillId="0" borderId="0" xfId="61" applyFont="1" applyBorder="1" applyAlignment="1">
      <alignment horizontal="center"/>
    </xf>
    <xf numFmtId="9" fontId="5" fillId="0" borderId="42" xfId="61" applyFont="1" applyBorder="1" applyAlignment="1">
      <alignment horizontal="center"/>
    </xf>
    <xf numFmtId="177" fontId="4" fillId="4" borderId="0" xfId="1" applyNumberFormat="1" applyFill="1" applyAlignment="1">
      <alignment horizontal="center"/>
    </xf>
    <xf numFmtId="2" fontId="4" fillId="4" borderId="0" xfId="1" applyNumberFormat="1" applyFill="1"/>
    <xf numFmtId="177" fontId="20" fillId="0" borderId="0" xfId="67" applyNumberFormat="1" applyFont="1"/>
    <xf numFmtId="1" fontId="5" fillId="4" borderId="0" xfId="1" applyNumberFormat="1" applyFont="1" applyFill="1"/>
    <xf numFmtId="0" fontId="4" fillId="0" borderId="0" xfId="1" applyAlignment="1">
      <alignment horizontal="right"/>
    </xf>
    <xf numFmtId="177" fontId="18" fillId="0" borderId="0" xfId="1" applyNumberFormat="1" applyFont="1"/>
    <xf numFmtId="0" fontId="31" fillId="0" borderId="0" xfId="55" applyAlignment="1">
      <alignment horizontal="center"/>
    </xf>
    <xf numFmtId="2" fontId="55" fillId="0" borderId="0" xfId="1" applyNumberFormat="1" applyFont="1" applyBorder="1" applyAlignment="1" applyProtection="1">
      <alignment horizontal="center" vertical="center"/>
    </xf>
    <xf numFmtId="2" fontId="15" fillId="0" borderId="59" xfId="1" applyNumberFormat="1" applyFont="1" applyBorder="1" applyAlignment="1" applyProtection="1">
      <alignment horizontal="left" vertical="center"/>
    </xf>
    <xf numFmtId="2" fontId="15" fillId="4" borderId="41" xfId="1" applyNumberFormat="1" applyFont="1" applyFill="1" applyBorder="1" applyAlignment="1" applyProtection="1">
      <alignment vertical="center"/>
    </xf>
    <xf numFmtId="0" fontId="15" fillId="0" borderId="41" xfId="1" applyFont="1" applyBorder="1" applyAlignment="1" applyProtection="1">
      <alignment horizontal="left" vertical="center"/>
    </xf>
    <xf numFmtId="2" fontId="15" fillId="31" borderId="41" xfId="1" applyNumberFormat="1" applyFont="1" applyFill="1" applyBorder="1" applyAlignment="1" applyProtection="1">
      <alignment vertical="center"/>
      <protection locked="0"/>
    </xf>
    <xf numFmtId="0" fontId="4" fillId="0" borderId="41" xfId="1" applyBorder="1" applyAlignment="1" applyProtection="1">
      <alignment vertical="center"/>
    </xf>
    <xf numFmtId="0" fontId="55" fillId="0" borderId="41" xfId="1" applyFont="1" applyBorder="1" applyAlignment="1" applyProtection="1">
      <alignment vertical="center"/>
    </xf>
    <xf numFmtId="0" fontId="15" fillId="0" borderId="60" xfId="1" applyFont="1" applyBorder="1" applyAlignment="1" applyProtection="1">
      <alignment vertical="center"/>
    </xf>
    <xf numFmtId="2" fontId="15" fillId="0" borderId="78" xfId="1" applyNumberFormat="1" applyFont="1" applyBorder="1" applyAlignment="1" applyProtection="1">
      <alignment horizontal="left" vertical="center"/>
    </xf>
    <xf numFmtId="2" fontId="15" fillId="31" borderId="24" xfId="1" applyNumberFormat="1" applyFont="1" applyFill="1" applyBorder="1" applyAlignment="1" applyProtection="1">
      <alignment vertical="center"/>
      <protection locked="0"/>
    </xf>
    <xf numFmtId="0" fontId="15" fillId="0" borderId="24" xfId="1" applyFont="1" applyBorder="1" applyAlignment="1" applyProtection="1">
      <alignment horizontal="left" vertical="center"/>
    </xf>
    <xf numFmtId="0" fontId="4" fillId="0" borderId="24" xfId="1" applyBorder="1" applyAlignment="1" applyProtection="1">
      <alignment vertical="center"/>
    </xf>
    <xf numFmtId="0" fontId="55" fillId="0" borderId="24" xfId="1" applyFont="1" applyBorder="1" applyAlignment="1" applyProtection="1">
      <alignment vertical="center"/>
    </xf>
    <xf numFmtId="0" fontId="15" fillId="0" borderId="79" xfId="1" applyFont="1" applyBorder="1" applyAlignment="1" applyProtection="1">
      <alignment vertical="center"/>
    </xf>
    <xf numFmtId="0" fontId="20" fillId="31" borderId="0" xfId="1" applyFont="1" applyFill="1" applyAlignment="1" applyProtection="1">
      <alignment vertical="center"/>
      <protection locked="0"/>
    </xf>
    <xf numFmtId="0" fontId="100" fillId="0" borderId="0" xfId="1" applyFont="1" applyAlignment="1" applyProtection="1">
      <alignment vertical="center"/>
    </xf>
    <xf numFmtId="2" fontId="4" fillId="0" borderId="0" xfId="1" applyNumberFormat="1" applyAlignment="1" applyProtection="1">
      <alignment vertical="center"/>
    </xf>
    <xf numFmtId="177" fontId="4" fillId="0" borderId="0" xfId="1" applyNumberFormat="1" applyAlignment="1" applyProtection="1">
      <alignment vertical="center"/>
    </xf>
    <xf numFmtId="0" fontId="15" fillId="0" borderId="107" xfId="1" applyFont="1" applyBorder="1" applyAlignment="1" applyProtection="1">
      <alignment vertical="center"/>
    </xf>
    <xf numFmtId="2" fontId="15" fillId="31" borderId="95" xfId="1" applyNumberFormat="1" applyFont="1" applyFill="1" applyBorder="1" applyAlignment="1" applyProtection="1">
      <alignment vertical="center"/>
      <protection locked="0"/>
    </xf>
    <xf numFmtId="0" fontId="15" fillId="0" borderId="95" xfId="1" applyFont="1" applyBorder="1" applyAlignment="1" applyProtection="1">
      <alignment vertical="center"/>
    </xf>
    <xf numFmtId="0" fontId="15" fillId="0" borderId="108" xfId="1" applyFont="1" applyBorder="1" applyAlignment="1" applyProtection="1">
      <alignment vertical="center"/>
    </xf>
    <xf numFmtId="0" fontId="5" fillId="0" borderId="0" xfId="1" applyFont="1" applyAlignment="1" applyProtection="1">
      <alignment horizontal="left" vertical="center"/>
    </xf>
    <xf numFmtId="0" fontId="101" fillId="0" borderId="0" xfId="1" applyFont="1" applyAlignment="1" applyProtection="1">
      <alignment horizontal="left" vertical="center"/>
    </xf>
    <xf numFmtId="49" fontId="9" fillId="0" borderId="0" xfId="67" applyNumberFormat="1" applyFont="1" applyAlignment="1">
      <alignment horizontal="left"/>
    </xf>
    <xf numFmtId="0" fontId="102" fillId="39" borderId="3" xfId="1" applyFont="1" applyFill="1" applyBorder="1" applyAlignment="1">
      <alignment horizontal="center" vertical="center" wrapText="1"/>
    </xf>
    <xf numFmtId="49" fontId="9" fillId="0" borderId="3" xfId="67" applyNumberFormat="1" applyFont="1" applyBorder="1" applyAlignment="1">
      <alignment horizontal="left"/>
    </xf>
    <xf numFmtId="49" fontId="9" fillId="0" borderId="109" xfId="67" applyNumberFormat="1" applyFont="1" applyBorder="1" applyAlignment="1">
      <alignment horizontal="left"/>
    </xf>
    <xf numFmtId="193" fontId="4" fillId="0" borderId="0" xfId="1" applyNumberFormat="1" applyAlignment="1" applyProtection="1">
      <alignment vertical="center"/>
    </xf>
    <xf numFmtId="0" fontId="5" fillId="0" borderId="0" xfId="1" applyFont="1" applyAlignment="1" applyProtection="1">
      <alignment vertical="center"/>
    </xf>
    <xf numFmtId="0" fontId="4" fillId="0" borderId="44" xfId="1" applyBorder="1" applyAlignment="1" applyProtection="1">
      <alignment vertical="center"/>
    </xf>
    <xf numFmtId="0" fontId="5" fillId="0" borderId="57" xfId="1" applyFont="1" applyBorder="1" applyAlignment="1" applyProtection="1">
      <alignment vertical="center"/>
    </xf>
    <xf numFmtId="0" fontId="5" fillId="0" borderId="77" xfId="1" applyFont="1" applyBorder="1" applyAlignment="1" applyProtection="1">
      <alignment vertical="center"/>
    </xf>
    <xf numFmtId="194" fontId="4" fillId="31" borderId="0" xfId="1" applyNumberFormat="1" applyFill="1" applyBorder="1" applyAlignment="1" applyProtection="1">
      <alignment vertical="center"/>
      <protection locked="0"/>
    </xf>
    <xf numFmtId="195" fontId="4" fillId="0" borderId="0" xfId="1" applyNumberFormat="1" applyBorder="1" applyAlignment="1" applyProtection="1">
      <alignment vertical="center"/>
    </xf>
    <xf numFmtId="0" fontId="4" fillId="31" borderId="0" xfId="1" applyNumberFormat="1" applyFill="1" applyBorder="1" applyAlignment="1" applyProtection="1">
      <alignment vertical="center"/>
      <protection locked="0"/>
    </xf>
    <xf numFmtId="0" fontId="5" fillId="0" borderId="43" xfId="1" applyFont="1" applyBorder="1" applyAlignment="1" applyProtection="1">
      <alignment vertical="center"/>
    </xf>
    <xf numFmtId="0" fontId="5" fillId="0" borderId="40" xfId="1" applyFont="1" applyBorder="1" applyAlignment="1" applyProtection="1">
      <alignment vertical="center"/>
    </xf>
    <xf numFmtId="0" fontId="9" fillId="0" borderId="110" xfId="67" applyFont="1" applyBorder="1" applyAlignment="1" applyProtection="1">
      <alignment horizontal="center" vertical="center" wrapText="1"/>
    </xf>
    <xf numFmtId="0" fontId="4" fillId="0" borderId="0" xfId="1" applyBorder="1" applyAlignment="1" applyProtection="1"/>
    <xf numFmtId="0" fontId="5" fillId="0" borderId="58" xfId="1" applyFont="1" applyBorder="1" applyAlignment="1" applyProtection="1">
      <alignment vertical="center"/>
    </xf>
    <xf numFmtId="196" fontId="4" fillId="0" borderId="0" xfId="1" applyNumberFormat="1" applyAlignment="1" applyProtection="1">
      <alignment vertical="center"/>
    </xf>
    <xf numFmtId="0" fontId="4" fillId="0" borderId="42" xfId="1" applyBorder="1" applyAlignment="1" applyProtection="1">
      <alignment vertical="center"/>
    </xf>
    <xf numFmtId="0" fontId="70" fillId="4" borderId="43" xfId="1" applyFont="1" applyFill="1" applyBorder="1" applyAlignment="1" applyProtection="1">
      <alignment vertical="center"/>
    </xf>
    <xf numFmtId="0" fontId="15" fillId="0" borderId="64" xfId="1" applyFont="1" applyBorder="1" applyAlignment="1" applyProtection="1">
      <alignment vertical="center"/>
    </xf>
    <xf numFmtId="2" fontId="15" fillId="31" borderId="0" xfId="1" applyNumberFormat="1" applyFont="1" applyFill="1" applyBorder="1" applyAlignment="1" applyProtection="1">
      <alignment vertical="center"/>
      <protection locked="0"/>
    </xf>
    <xf numFmtId="2" fontId="15" fillId="0" borderId="0" xfId="1" applyNumberFormat="1" applyFont="1" applyBorder="1" applyAlignment="1" applyProtection="1">
      <alignment vertical="center"/>
    </xf>
    <xf numFmtId="177" fontId="15" fillId="0" borderId="32" xfId="1" applyNumberFormat="1" applyFont="1" applyBorder="1" applyAlignment="1" applyProtection="1">
      <alignment vertical="center"/>
    </xf>
    <xf numFmtId="0" fontId="15" fillId="0" borderId="78" xfId="1" applyFont="1" applyBorder="1" applyAlignment="1" applyProtection="1">
      <alignment vertical="center"/>
    </xf>
    <xf numFmtId="2" fontId="15" fillId="0" borderId="24" xfId="1" applyNumberFormat="1" applyFont="1" applyBorder="1" applyAlignment="1" applyProtection="1">
      <alignment vertical="center"/>
    </xf>
    <xf numFmtId="177" fontId="15" fillId="0" borderId="79" xfId="1" applyNumberFormat="1" applyFont="1" applyBorder="1" applyAlignment="1" applyProtection="1">
      <alignment vertical="center"/>
    </xf>
    <xf numFmtId="4" fontId="15" fillId="4" borderId="0" xfId="1" applyNumberFormat="1" applyFont="1" applyFill="1" applyBorder="1" applyAlignment="1" applyProtection="1">
      <alignment horizontal="center" vertical="center"/>
    </xf>
    <xf numFmtId="0" fontId="4" fillId="4" borderId="0" xfId="1" applyFill="1" applyBorder="1" applyAlignment="1" applyProtection="1">
      <alignment vertical="center"/>
    </xf>
    <xf numFmtId="4" fontId="15" fillId="4" borderId="44" xfId="1" applyNumberFormat="1" applyFont="1" applyFill="1" applyBorder="1" applyAlignment="1" applyProtection="1">
      <alignment vertical="center"/>
    </xf>
    <xf numFmtId="4" fontId="15" fillId="4" borderId="2" xfId="1" applyNumberFormat="1" applyFont="1" applyFill="1" applyBorder="1" applyAlignment="1" applyProtection="1">
      <alignment vertical="center"/>
    </xf>
    <xf numFmtId="184" fontId="15" fillId="0" borderId="2" xfId="1" applyNumberFormat="1" applyFont="1" applyBorder="1" applyAlignment="1" applyProtection="1">
      <alignment vertical="center"/>
    </xf>
    <xf numFmtId="185" fontId="5" fillId="0" borderId="3" xfId="1" applyNumberFormat="1" applyFont="1" applyBorder="1" applyAlignment="1" applyProtection="1">
      <alignment horizontal="right" vertical="center"/>
    </xf>
    <xf numFmtId="184" fontId="20" fillId="0" borderId="58" xfId="1" applyNumberFormat="1" applyFont="1" applyBorder="1" applyAlignment="1" applyProtection="1">
      <alignment horizontal="center" vertical="center"/>
    </xf>
    <xf numFmtId="4" fontId="5" fillId="4" borderId="57" xfId="1" applyNumberFormat="1" applyFont="1" applyFill="1" applyBorder="1" applyAlignment="1" applyProtection="1">
      <alignment vertical="center"/>
    </xf>
    <xf numFmtId="0" fontId="5" fillId="4" borderId="57" xfId="1" applyFont="1" applyFill="1" applyBorder="1" applyAlignment="1" applyProtection="1">
      <alignment vertical="center"/>
    </xf>
    <xf numFmtId="4" fontId="5" fillId="4" borderId="77" xfId="1" applyNumberFormat="1" applyFont="1" applyFill="1" applyBorder="1" applyAlignment="1" applyProtection="1">
      <alignment vertical="center"/>
    </xf>
    <xf numFmtId="4" fontId="5" fillId="0" borderId="3" xfId="53" applyFont="1">
      <alignment vertical="center" shrinkToFit="1"/>
    </xf>
    <xf numFmtId="4" fontId="5" fillId="4" borderId="19" xfId="1" applyNumberFormat="1" applyFont="1" applyFill="1" applyBorder="1" applyAlignment="1" applyProtection="1">
      <alignment vertical="center"/>
    </xf>
    <xf numFmtId="4" fontId="5" fillId="4" borderId="0" xfId="1" applyNumberFormat="1" applyFont="1" applyFill="1" applyBorder="1" applyAlignment="1" applyProtection="1">
      <alignment vertical="center"/>
    </xf>
    <xf numFmtId="0" fontId="4" fillId="4" borderId="0" xfId="1" applyFill="1" applyBorder="1" applyAlignment="1" applyProtection="1">
      <alignment horizontal="right" vertical="center"/>
    </xf>
    <xf numFmtId="4" fontId="5" fillId="4" borderId="40" xfId="1" applyNumberFormat="1" applyFont="1" applyFill="1" applyBorder="1" applyAlignment="1" applyProtection="1">
      <alignment vertical="center"/>
    </xf>
    <xf numFmtId="3" fontId="9" fillId="0" borderId="3" xfId="53" applyNumberFormat="1">
      <alignment vertical="center" shrinkToFit="1"/>
    </xf>
    <xf numFmtId="3" fontId="15" fillId="4" borderId="19" xfId="1" applyNumberFormat="1" applyFont="1" applyFill="1" applyBorder="1" applyAlignment="1" applyProtection="1">
      <alignment horizontal="center" vertical="center"/>
    </xf>
    <xf numFmtId="184" fontId="15" fillId="0" borderId="0" xfId="1" applyNumberFormat="1" applyFont="1" applyBorder="1" applyAlignment="1" applyProtection="1">
      <alignment vertical="center"/>
    </xf>
    <xf numFmtId="185" fontId="13" fillId="0" borderId="3" xfId="1" applyNumberFormat="1" applyFont="1" applyBorder="1" applyAlignment="1" applyProtection="1">
      <alignment horizontal="right" vertical="center"/>
    </xf>
    <xf numFmtId="4" fontId="13" fillId="0" borderId="57" xfId="1" applyNumberFormat="1" applyFont="1" applyBorder="1" applyAlignment="1" applyProtection="1">
      <alignment horizontal="center" vertical="center"/>
    </xf>
    <xf numFmtId="0" fontId="13" fillId="0" borderId="77" xfId="1" applyFont="1" applyBorder="1" applyAlignment="1" applyProtection="1">
      <alignment vertical="center"/>
    </xf>
    <xf numFmtId="4" fontId="13" fillId="0" borderId="57" xfId="1" applyNumberFormat="1" applyFont="1" applyBorder="1" applyAlignment="1" applyProtection="1">
      <alignment vertical="center"/>
    </xf>
    <xf numFmtId="4" fontId="13" fillId="0" borderId="77" xfId="1" applyNumberFormat="1" applyFont="1" applyBorder="1" applyAlignment="1" applyProtection="1">
      <alignment vertical="center"/>
    </xf>
    <xf numFmtId="0" fontId="13" fillId="0" borderId="57" xfId="1" applyFont="1" applyBorder="1" applyAlignment="1" applyProtection="1">
      <alignment vertical="center"/>
    </xf>
    <xf numFmtId="2" fontId="55" fillId="4" borderId="19" xfId="1" applyNumberFormat="1" applyFont="1" applyFill="1" applyBorder="1" applyAlignment="1" applyProtection="1">
      <alignment vertical="center"/>
    </xf>
    <xf numFmtId="2" fontId="55" fillId="4" borderId="0" xfId="1" applyNumberFormat="1" applyFont="1" applyFill="1" applyBorder="1" applyAlignment="1" applyProtection="1">
      <alignment vertical="center"/>
    </xf>
    <xf numFmtId="185" fontId="55" fillId="0" borderId="36" xfId="1" applyNumberFormat="1" applyFont="1" applyBorder="1" applyAlignment="1" applyProtection="1">
      <alignment horizontal="center" vertical="center"/>
    </xf>
    <xf numFmtId="185" fontId="55" fillId="0" borderId="68" xfId="1" applyNumberFormat="1" applyFont="1" applyBorder="1" applyAlignment="1" applyProtection="1">
      <alignment horizontal="right" vertical="center"/>
    </xf>
    <xf numFmtId="3" fontId="55" fillId="0" borderId="43" xfId="1" applyNumberFormat="1" applyFont="1" applyBorder="1" applyAlignment="1" applyProtection="1">
      <alignment vertical="center"/>
    </xf>
    <xf numFmtId="3" fontId="55" fillId="0" borderId="23" xfId="1" applyNumberFormat="1" applyFont="1" applyBorder="1" applyAlignment="1" applyProtection="1">
      <alignment vertical="center"/>
    </xf>
    <xf numFmtId="0" fontId="55" fillId="0" borderId="43" xfId="1" applyFont="1" applyBorder="1" applyAlignment="1" applyProtection="1">
      <alignment vertical="center"/>
    </xf>
    <xf numFmtId="4" fontId="15" fillId="4" borderId="19" xfId="1" applyNumberFormat="1" applyFont="1" applyFill="1" applyBorder="1" applyAlignment="1" applyProtection="1">
      <alignment vertical="center"/>
    </xf>
    <xf numFmtId="4" fontId="15" fillId="4" borderId="0" xfId="1" applyNumberFormat="1" applyFont="1" applyFill="1" applyBorder="1" applyAlignment="1" applyProtection="1">
      <alignment vertical="center"/>
    </xf>
    <xf numFmtId="185" fontId="4" fillId="0" borderId="25" xfId="1" applyNumberFormat="1" applyBorder="1" applyAlignment="1" applyProtection="1">
      <alignment horizontal="right" vertical="center"/>
    </xf>
    <xf numFmtId="185" fontId="15" fillId="0" borderId="65" xfId="1" applyNumberFormat="1" applyFont="1" applyBorder="1" applyAlignment="1" applyProtection="1">
      <alignment horizontal="right" vertical="center"/>
    </xf>
    <xf numFmtId="0" fontId="4" fillId="0" borderId="40" xfId="1" applyBorder="1" applyAlignment="1" applyProtection="1">
      <alignment vertical="center"/>
    </xf>
    <xf numFmtId="4" fontId="15" fillId="0" borderId="65" xfId="1" applyNumberFormat="1" applyFont="1" applyBorder="1" applyAlignment="1" applyProtection="1">
      <alignment vertical="center"/>
    </xf>
    <xf numFmtId="4" fontId="15" fillId="0" borderId="66" xfId="1" applyNumberFormat="1" applyFont="1" applyBorder="1" applyAlignment="1" applyProtection="1">
      <alignment vertical="center"/>
    </xf>
    <xf numFmtId="4" fontId="15" fillId="31" borderId="67" xfId="1" applyNumberFormat="1" applyFont="1" applyFill="1" applyBorder="1" applyAlignment="1" applyProtection="1">
      <alignment vertical="center"/>
      <protection locked="0"/>
    </xf>
    <xf numFmtId="4" fontId="15" fillId="0" borderId="0" xfId="1" applyNumberFormat="1" applyFont="1" applyBorder="1" applyAlignment="1" applyProtection="1">
      <alignment vertical="center"/>
    </xf>
    <xf numFmtId="4" fontId="15" fillId="0" borderId="40" xfId="1" applyNumberFormat="1" applyFont="1" applyBorder="1" applyAlignment="1" applyProtection="1">
      <alignment vertical="center"/>
    </xf>
    <xf numFmtId="185" fontId="15" fillId="0" borderId="68" xfId="1" applyNumberFormat="1" applyFont="1" applyBorder="1" applyAlignment="1" applyProtection="1">
      <alignment horizontal="right" vertical="center"/>
    </xf>
    <xf numFmtId="4" fontId="85" fillId="4" borderId="19" xfId="1" applyNumberFormat="1" applyFont="1" applyFill="1" applyBorder="1" applyAlignment="1" applyProtection="1">
      <alignment horizontal="center" vertical="center"/>
    </xf>
    <xf numFmtId="4" fontId="85" fillId="4" borderId="0" xfId="1" applyNumberFormat="1" applyFont="1" applyFill="1" applyBorder="1" applyAlignment="1" applyProtection="1">
      <alignment horizontal="center" vertical="center"/>
    </xf>
    <xf numFmtId="185" fontId="15" fillId="0" borderId="34" xfId="1" applyNumberFormat="1" applyFont="1" applyBorder="1" applyAlignment="1" applyProtection="1">
      <alignment horizontal="center" vertical="center"/>
    </xf>
    <xf numFmtId="185" fontId="15" fillId="0" borderId="61" xfId="1" applyNumberFormat="1" applyFont="1" applyBorder="1" applyAlignment="1" applyProtection="1">
      <alignment horizontal="center" vertical="center"/>
    </xf>
    <xf numFmtId="0" fontId="15" fillId="0" borderId="39" xfId="1" applyFont="1" applyBorder="1" applyAlignment="1" applyProtection="1">
      <alignment horizontal="center" vertical="center"/>
    </xf>
    <xf numFmtId="4" fontId="85" fillId="0" borderId="61" xfId="1" applyNumberFormat="1" applyFont="1" applyBorder="1" applyAlignment="1" applyProtection="1">
      <alignment horizontal="center" vertical="center"/>
    </xf>
    <xf numFmtId="0" fontId="15" fillId="0" borderId="62" xfId="1" applyFont="1" applyBorder="1" applyAlignment="1" applyProtection="1">
      <alignment horizontal="center" vertical="center"/>
    </xf>
    <xf numFmtId="0" fontId="15" fillId="0" borderId="63" xfId="1" applyFont="1" applyBorder="1" applyAlignment="1" applyProtection="1">
      <alignment horizontal="center" vertical="center"/>
    </xf>
    <xf numFmtId="185" fontId="85" fillId="0" borderId="25" xfId="1" applyNumberFormat="1" applyFont="1" applyBorder="1" applyAlignment="1" applyProtection="1">
      <alignment horizontal="center" vertical="center"/>
    </xf>
    <xf numFmtId="185" fontId="85" fillId="0" borderId="65" xfId="1" applyNumberFormat="1" applyFont="1" applyBorder="1" applyAlignment="1" applyProtection="1">
      <alignment horizontal="center" vertical="center"/>
    </xf>
    <xf numFmtId="4" fontId="85" fillId="0" borderId="65" xfId="1" applyNumberFormat="1" applyFont="1" applyBorder="1" applyAlignment="1" applyProtection="1">
      <alignment horizontal="center" vertical="center"/>
    </xf>
    <xf numFmtId="0" fontId="4" fillId="0" borderId="66" xfId="1" applyBorder="1" applyAlignment="1" applyProtection="1">
      <alignment vertical="center"/>
    </xf>
    <xf numFmtId="0" fontId="4" fillId="0" borderId="67" xfId="1" applyBorder="1" applyAlignment="1" applyProtection="1">
      <alignment vertical="center"/>
    </xf>
    <xf numFmtId="0" fontId="5" fillId="0" borderId="25" xfId="1" applyFont="1" applyBorder="1" applyAlignment="1" applyProtection="1">
      <alignment horizontal="left" vertical="center"/>
    </xf>
    <xf numFmtId="4" fontId="15" fillId="0" borderId="19" xfId="1" applyNumberFormat="1" applyFont="1" applyBorder="1" applyAlignment="1" applyProtection="1">
      <alignment vertical="center"/>
    </xf>
    <xf numFmtId="185" fontId="55" fillId="0" borderId="3" xfId="1" applyNumberFormat="1" applyFont="1" applyBorder="1" applyAlignment="1" applyProtection="1">
      <alignment horizontal="center" vertical="center"/>
    </xf>
    <xf numFmtId="185" fontId="55" fillId="0" borderId="8" xfId="1" applyNumberFormat="1" applyFont="1" applyBorder="1" applyAlignment="1" applyProtection="1">
      <alignment horizontal="right" vertical="center"/>
    </xf>
    <xf numFmtId="3" fontId="55" fillId="0" borderId="77" xfId="1" applyNumberFormat="1" applyFont="1" applyBorder="1" applyAlignment="1" applyProtection="1">
      <alignment vertical="center"/>
    </xf>
    <xf numFmtId="3" fontId="55" fillId="0" borderId="57" xfId="1" applyNumberFormat="1" applyFont="1" applyBorder="1" applyAlignment="1" applyProtection="1">
      <alignment vertical="center"/>
    </xf>
    <xf numFmtId="0" fontId="55" fillId="0" borderId="77" xfId="1" applyFont="1" applyBorder="1" applyAlignment="1" applyProtection="1">
      <alignment vertical="center"/>
    </xf>
    <xf numFmtId="185" fontId="15" fillId="0" borderId="80" xfId="1" applyNumberFormat="1" applyFont="1" applyBorder="1" applyAlignment="1" applyProtection="1">
      <alignment horizontal="right" vertical="center"/>
    </xf>
    <xf numFmtId="3" fontId="15" fillId="0" borderId="39" xfId="1" applyNumberFormat="1" applyFont="1" applyBorder="1" applyAlignment="1" applyProtection="1">
      <alignment vertical="center"/>
    </xf>
    <xf numFmtId="3" fontId="15" fillId="31" borderId="0" xfId="1" applyNumberFormat="1" applyFont="1" applyFill="1" applyBorder="1" applyAlignment="1" applyProtection="1">
      <alignment vertical="center"/>
      <protection locked="0"/>
    </xf>
    <xf numFmtId="4" fontId="15" fillId="31" borderId="40" xfId="1" applyNumberFormat="1" applyFont="1" applyFill="1" applyBorder="1" applyAlignment="1" applyProtection="1">
      <alignment vertical="center"/>
      <protection locked="0"/>
    </xf>
    <xf numFmtId="3" fontId="15" fillId="0" borderId="43" xfId="1" applyNumberFormat="1" applyFont="1" applyBorder="1" applyAlignment="1" applyProtection="1">
      <alignment vertical="center"/>
    </xf>
    <xf numFmtId="0" fontId="4" fillId="0" borderId="65" xfId="1" applyBorder="1" applyAlignment="1" applyProtection="1">
      <alignment vertical="center"/>
    </xf>
    <xf numFmtId="4" fontId="15" fillId="31" borderId="70" xfId="1" applyNumberFormat="1" applyFont="1" applyFill="1" applyBorder="1" applyAlignment="1" applyProtection="1">
      <alignment vertical="center"/>
      <protection locked="0"/>
    </xf>
    <xf numFmtId="0" fontId="15" fillId="0" borderId="0" xfId="1" applyFont="1" applyBorder="1" applyAlignment="1" applyProtection="1">
      <alignment horizontal="center" vertical="center"/>
    </xf>
    <xf numFmtId="0" fontId="15" fillId="0" borderId="19" xfId="1" applyFont="1" applyBorder="1" applyAlignment="1" applyProtection="1">
      <alignment horizontal="center" vertical="center"/>
    </xf>
    <xf numFmtId="0" fontId="15" fillId="0" borderId="2" xfId="1" applyFont="1" applyBorder="1" applyAlignment="1" applyProtection="1">
      <alignment horizontal="center" vertical="center"/>
    </xf>
    <xf numFmtId="0" fontId="15" fillId="0" borderId="61" xfId="1" applyFont="1" applyBorder="1" applyAlignment="1" applyProtection="1">
      <alignment horizontal="center" vertical="center"/>
    </xf>
    <xf numFmtId="0" fontId="85" fillId="0" borderId="0" xfId="1" applyFont="1" applyBorder="1" applyAlignment="1" applyProtection="1">
      <alignment horizontal="center" vertical="center"/>
    </xf>
    <xf numFmtId="0" fontId="85" fillId="0" borderId="19" xfId="1" applyFont="1" applyBorder="1" applyAlignment="1" applyProtection="1">
      <alignment horizontal="center" vertical="center"/>
    </xf>
    <xf numFmtId="0" fontId="85" fillId="0" borderId="0" xfId="1" applyFont="1" applyBorder="1" applyAlignment="1" applyProtection="1">
      <alignment horizontal="right" vertical="center"/>
    </xf>
    <xf numFmtId="185" fontId="4" fillId="0" borderId="36" xfId="1" applyNumberFormat="1" applyBorder="1" applyAlignment="1" applyProtection="1">
      <alignment horizontal="right" vertical="center"/>
    </xf>
    <xf numFmtId="185" fontId="4" fillId="0" borderId="23" xfId="1" applyNumberFormat="1" applyBorder="1" applyAlignment="1" applyProtection="1">
      <alignment horizontal="right" vertical="center"/>
    </xf>
    <xf numFmtId="2" fontId="55" fillId="0" borderId="0" xfId="1" applyNumberFormat="1" applyFont="1" applyBorder="1" applyAlignment="1" applyProtection="1">
      <alignment vertical="center"/>
    </xf>
    <xf numFmtId="2" fontId="55" fillId="0" borderId="19" xfId="1" applyNumberFormat="1" applyFont="1" applyBorder="1" applyAlignment="1" applyProtection="1">
      <alignment vertical="center"/>
    </xf>
    <xf numFmtId="3" fontId="55" fillId="0" borderId="68" xfId="1" applyNumberFormat="1" applyFont="1" applyBorder="1" applyAlignment="1" applyProtection="1">
      <alignment vertical="center"/>
    </xf>
    <xf numFmtId="3" fontId="55" fillId="0" borderId="69" xfId="1" applyNumberFormat="1" applyFont="1" applyBorder="1" applyAlignment="1" applyProtection="1">
      <alignment vertical="center"/>
    </xf>
    <xf numFmtId="3" fontId="55" fillId="0" borderId="70" xfId="1" applyNumberFormat="1" applyFont="1" applyBorder="1" applyAlignment="1" applyProtection="1">
      <alignment vertical="center"/>
    </xf>
    <xf numFmtId="3" fontId="55" fillId="0" borderId="83" xfId="1" applyNumberFormat="1" applyFont="1" applyBorder="1" applyAlignment="1" applyProtection="1">
      <alignment vertical="center"/>
    </xf>
    <xf numFmtId="185" fontId="4" fillId="0" borderId="65" xfId="1" applyNumberFormat="1" applyBorder="1" applyAlignment="1" applyProtection="1">
      <alignment horizontal="right" vertical="center"/>
    </xf>
    <xf numFmtId="3" fontId="15" fillId="0" borderId="61" xfId="1" applyNumberFormat="1" applyFont="1" applyBorder="1" applyAlignment="1" applyProtection="1">
      <alignment vertical="center"/>
    </xf>
    <xf numFmtId="3" fontId="15" fillId="0" borderId="62" xfId="1" applyNumberFormat="1" applyFont="1" applyBorder="1" applyAlignment="1" applyProtection="1">
      <alignment vertical="center"/>
    </xf>
    <xf numFmtId="3" fontId="15" fillId="0" borderId="63" xfId="1" applyNumberFormat="1" applyFont="1" applyBorder="1" applyAlignment="1" applyProtection="1">
      <alignment vertical="center"/>
    </xf>
    <xf numFmtId="3" fontId="15" fillId="31" borderId="80" xfId="1" applyNumberFormat="1" applyFont="1" applyFill="1" applyBorder="1" applyAlignment="1" applyProtection="1">
      <alignment vertical="center"/>
      <protection locked="0"/>
    </xf>
    <xf numFmtId="3" fontId="15" fillId="31" borderId="63" xfId="1" applyNumberFormat="1" applyFont="1" applyFill="1" applyBorder="1" applyAlignment="1" applyProtection="1">
      <alignment vertical="center"/>
      <protection locked="0"/>
    </xf>
    <xf numFmtId="3" fontId="15" fillId="0" borderId="68" xfId="1" applyNumberFormat="1" applyFont="1" applyBorder="1" applyAlignment="1" applyProtection="1">
      <alignment vertical="center"/>
    </xf>
    <xf numFmtId="3" fontId="15" fillId="0" borderId="69" xfId="1" applyNumberFormat="1" applyFont="1" applyBorder="1" applyAlignment="1" applyProtection="1">
      <alignment vertical="center"/>
    </xf>
    <xf numFmtId="3" fontId="15" fillId="0" borderId="70" xfId="1" applyNumberFormat="1" applyFont="1" applyBorder="1" applyAlignment="1" applyProtection="1">
      <alignment vertical="center"/>
    </xf>
    <xf numFmtId="3" fontId="15" fillId="31" borderId="83" xfId="1" applyNumberFormat="1" applyFont="1" applyFill="1" applyBorder="1" applyAlignment="1" applyProtection="1">
      <alignment vertical="center"/>
      <protection locked="0"/>
    </xf>
    <xf numFmtId="3" fontId="15" fillId="31" borderId="70" xfId="1" applyNumberFormat="1" applyFont="1" applyFill="1" applyBorder="1" applyAlignment="1" applyProtection="1">
      <alignment vertical="center"/>
      <protection locked="0"/>
    </xf>
    <xf numFmtId="0" fontId="15" fillId="0" borderId="25" xfId="1" applyFont="1" applyBorder="1" applyAlignment="1" applyProtection="1">
      <alignment horizontal="left" vertical="center"/>
    </xf>
    <xf numFmtId="0" fontId="15" fillId="0" borderId="34" xfId="1" applyFont="1" applyBorder="1" applyAlignment="1" applyProtection="1">
      <alignment horizontal="center" vertical="center"/>
    </xf>
    <xf numFmtId="0" fontId="15" fillId="0" borderId="80" xfId="1" applyFont="1" applyBorder="1" applyAlignment="1" applyProtection="1">
      <alignment horizontal="center" vertical="center"/>
    </xf>
    <xf numFmtId="0" fontId="85" fillId="0" borderId="25" xfId="1" applyFont="1" applyBorder="1" applyAlignment="1" applyProtection="1">
      <alignment horizontal="center" vertical="center"/>
    </xf>
    <xf numFmtId="10" fontId="15" fillId="31" borderId="65" xfId="1" applyNumberFormat="1" applyFont="1" applyFill="1" applyBorder="1" applyAlignment="1" applyProtection="1">
      <alignment horizontal="center" vertical="center"/>
      <protection locked="0"/>
    </xf>
    <xf numFmtId="10" fontId="15" fillId="0" borderId="66" xfId="1" applyNumberFormat="1" applyFont="1" applyFill="1" applyBorder="1" applyAlignment="1" applyProtection="1">
      <alignment horizontal="center" vertical="center"/>
    </xf>
    <xf numFmtId="0" fontId="85" fillId="0" borderId="67" xfId="1" applyFont="1" applyBorder="1" applyAlignment="1" applyProtection="1">
      <alignment horizontal="center" vertical="center"/>
    </xf>
    <xf numFmtId="0" fontId="85" fillId="0" borderId="42" xfId="1" applyFont="1" applyBorder="1" applyAlignment="1" applyProtection="1">
      <alignment horizontal="center" vertical="center"/>
    </xf>
    <xf numFmtId="0" fontId="85" fillId="0" borderId="23" xfId="1" applyFont="1" applyBorder="1" applyAlignment="1" applyProtection="1">
      <alignment horizontal="center" vertical="center"/>
    </xf>
    <xf numFmtId="0" fontId="85" fillId="0" borderId="43" xfId="1" applyFont="1" applyBorder="1" applyAlignment="1" applyProtection="1">
      <alignment horizontal="center" vertical="center"/>
    </xf>
    <xf numFmtId="0" fontId="85" fillId="0" borderId="69" xfId="1" applyFont="1" applyBorder="1" applyAlignment="1" applyProtection="1">
      <alignment horizontal="center" vertical="center"/>
    </xf>
    <xf numFmtId="0" fontId="85" fillId="0" borderId="70" xfId="1" applyFont="1" applyBorder="1" applyAlignment="1" applyProtection="1">
      <alignment horizontal="center" vertical="center"/>
    </xf>
    <xf numFmtId="0" fontId="5" fillId="0" borderId="36" xfId="1" applyFont="1" applyBorder="1" applyAlignment="1" applyProtection="1">
      <alignment horizontal="left" vertical="center"/>
    </xf>
    <xf numFmtId="0" fontId="20" fillId="4" borderId="0" xfId="1" applyFont="1" applyFill="1" applyBorder="1" applyAlignment="1" applyProtection="1">
      <alignment vertical="center"/>
    </xf>
    <xf numFmtId="0" fontId="20" fillId="4" borderId="40" xfId="1" applyFont="1" applyFill="1" applyBorder="1" applyAlignment="1" applyProtection="1">
      <alignment horizontal="right" vertical="center"/>
    </xf>
    <xf numFmtId="185" fontId="5" fillId="31" borderId="34" xfId="1" applyNumberFormat="1" applyFont="1" applyFill="1" applyBorder="1" applyAlignment="1" applyProtection="1">
      <alignment horizontal="right" vertical="center"/>
      <protection locked="0"/>
    </xf>
    <xf numFmtId="184" fontId="20" fillId="0" borderId="44" xfId="1" applyNumberFormat="1" applyFont="1" applyBorder="1" applyAlignment="1" applyProtection="1">
      <alignment horizontal="center" vertical="center"/>
    </xf>
    <xf numFmtId="0" fontId="15" fillId="0" borderId="39" xfId="1" applyFont="1" applyBorder="1" applyAlignment="1" applyProtection="1">
      <alignment horizontal="left" vertical="center"/>
    </xf>
    <xf numFmtId="3" fontId="15" fillId="31" borderId="77" xfId="1" applyNumberFormat="1" applyFont="1" applyFill="1" applyBorder="1" applyAlignment="1" applyProtection="1">
      <alignment horizontal="right" vertical="center"/>
      <protection locked="0"/>
    </xf>
    <xf numFmtId="0" fontId="15" fillId="0" borderId="77" xfId="1" applyFont="1" applyBorder="1" applyAlignment="1" applyProtection="1">
      <alignment vertical="center"/>
    </xf>
    <xf numFmtId="0" fontId="15" fillId="0" borderId="36" xfId="1" applyFont="1" applyBorder="1" applyAlignment="1" applyProtection="1">
      <alignment vertical="center"/>
    </xf>
    <xf numFmtId="0" fontId="15" fillId="0" borderId="23" xfId="1" applyFont="1" applyBorder="1" applyAlignment="1" applyProtection="1">
      <alignment vertical="center"/>
    </xf>
    <xf numFmtId="0" fontId="15" fillId="31" borderId="77" xfId="1" applyFont="1" applyFill="1" applyBorder="1" applyAlignment="1" applyProtection="1">
      <alignment horizontal="right" vertical="center"/>
      <protection locked="0"/>
    </xf>
    <xf numFmtId="0" fontId="15" fillId="4" borderId="0" xfId="1" applyFont="1" applyFill="1" applyBorder="1" applyAlignment="1" applyProtection="1">
      <alignment vertical="center"/>
    </xf>
    <xf numFmtId="0" fontId="20" fillId="4" borderId="40" xfId="1" applyFont="1" applyFill="1" applyBorder="1" applyAlignment="1" applyProtection="1">
      <alignment vertical="center"/>
    </xf>
    <xf numFmtId="0" fontId="70" fillId="4" borderId="40" xfId="1" applyFont="1" applyFill="1" applyBorder="1" applyAlignment="1" applyProtection="1">
      <alignment vertical="center"/>
    </xf>
    <xf numFmtId="2" fontId="13" fillId="0" borderId="0" xfId="1" applyNumberFormat="1" applyFont="1" applyBorder="1" applyAlignment="1" applyProtection="1">
      <alignment vertical="center"/>
    </xf>
    <xf numFmtId="2" fontId="13" fillId="0" borderId="0" xfId="1" applyNumberFormat="1" applyFont="1" applyBorder="1" applyAlignment="1" applyProtection="1">
      <alignment horizontal="right" vertical="center"/>
    </xf>
    <xf numFmtId="2" fontId="13" fillId="0" borderId="58" xfId="1" applyNumberFormat="1" applyFont="1" applyBorder="1" applyAlignment="1" applyProtection="1">
      <alignment vertical="center"/>
    </xf>
    <xf numFmtId="2" fontId="13" fillId="0" borderId="77" xfId="1" applyNumberFormat="1" applyFont="1" applyBorder="1" applyAlignment="1" applyProtection="1">
      <alignment vertical="center"/>
    </xf>
    <xf numFmtId="2" fontId="13" fillId="0" borderId="58" xfId="1" applyNumberFormat="1" applyFont="1" applyBorder="1" applyAlignment="1" applyProtection="1">
      <alignment horizontal="right" vertical="center"/>
    </xf>
    <xf numFmtId="2" fontId="13" fillId="0" borderId="77" xfId="1" applyNumberFormat="1" applyFont="1" applyBorder="1" applyAlignment="1" applyProtection="1">
      <alignment horizontal="right" vertical="center"/>
    </xf>
    <xf numFmtId="2" fontId="13" fillId="0" borderId="3" xfId="1" applyNumberFormat="1" applyFont="1" applyBorder="1" applyAlignment="1" applyProtection="1">
      <alignment vertical="center"/>
    </xf>
    <xf numFmtId="0" fontId="15" fillId="0" borderId="3" xfId="1" applyFont="1" applyBorder="1" applyAlignment="1" applyProtection="1">
      <alignment horizontal="center" vertical="center"/>
    </xf>
    <xf numFmtId="0" fontId="55" fillId="0" borderId="57" xfId="1" applyFont="1" applyBorder="1" applyAlignment="1" applyProtection="1">
      <alignment vertical="center"/>
    </xf>
    <xf numFmtId="0" fontId="15" fillId="0" borderId="0" xfId="1" applyFont="1" applyBorder="1" applyAlignment="1" applyProtection="1">
      <alignment horizontal="right" vertical="center"/>
    </xf>
    <xf numFmtId="2" fontId="55" fillId="0" borderId="58" xfId="1" applyNumberFormat="1" applyFont="1" applyBorder="1" applyAlignment="1" applyProtection="1">
      <alignment vertical="center"/>
    </xf>
    <xf numFmtId="2" fontId="55" fillId="0" borderId="77" xfId="1" applyNumberFormat="1" applyFont="1" applyBorder="1" applyAlignment="1" applyProtection="1">
      <alignment vertical="center"/>
    </xf>
    <xf numFmtId="2" fontId="55" fillId="0" borderId="58" xfId="1" applyNumberFormat="1" applyFont="1" applyBorder="1" applyAlignment="1" applyProtection="1">
      <alignment horizontal="right" vertical="center"/>
    </xf>
    <xf numFmtId="2" fontId="55" fillId="0" borderId="77" xfId="1" applyNumberFormat="1" applyFont="1" applyBorder="1" applyAlignment="1" applyProtection="1">
      <alignment horizontal="right" vertical="center"/>
    </xf>
    <xf numFmtId="2" fontId="55" fillId="0" borderId="3" xfId="1" applyNumberFormat="1" applyFont="1" applyBorder="1" applyAlignment="1" applyProtection="1">
      <alignment vertical="center"/>
    </xf>
    <xf numFmtId="2" fontId="15" fillId="0" borderId="44" xfId="1" applyNumberFormat="1" applyFont="1" applyBorder="1" applyAlignment="1" applyProtection="1">
      <alignment vertical="center"/>
    </xf>
    <xf numFmtId="2" fontId="15" fillId="0" borderId="39" xfId="1" applyNumberFormat="1" applyFont="1" applyBorder="1" applyAlignment="1" applyProtection="1">
      <alignment vertical="center"/>
    </xf>
    <xf numFmtId="2" fontId="15" fillId="0" borderId="44" xfId="1" applyNumberFormat="1" applyFont="1" applyBorder="1" applyAlignment="1" applyProtection="1">
      <alignment horizontal="right" vertical="center"/>
    </xf>
    <xf numFmtId="2" fontId="15" fillId="0" borderId="39" xfId="1" applyNumberFormat="1" applyFont="1" applyBorder="1" applyAlignment="1" applyProtection="1">
      <alignment horizontal="right" vertical="center"/>
    </xf>
    <xf numFmtId="2" fontId="15" fillId="0" borderId="34" xfId="1" applyNumberFormat="1" applyFont="1" applyBorder="1" applyAlignment="1" applyProtection="1">
      <alignment vertical="center"/>
    </xf>
    <xf numFmtId="0" fontId="15" fillId="0" borderId="44" xfId="1" applyFont="1" applyBorder="1" applyAlignment="1" applyProtection="1">
      <alignment vertical="center"/>
    </xf>
    <xf numFmtId="3" fontId="15" fillId="31" borderId="19" xfId="1" applyNumberFormat="1" applyFont="1" applyFill="1" applyBorder="1" applyAlignment="1" applyProtection="1">
      <alignment vertical="center"/>
      <protection locked="0"/>
    </xf>
    <xf numFmtId="3" fontId="15" fillId="31" borderId="40" xfId="1" applyNumberFormat="1" applyFont="1" applyFill="1" applyBorder="1" applyAlignment="1" applyProtection="1">
      <alignment vertical="center"/>
      <protection locked="0"/>
    </xf>
    <xf numFmtId="3" fontId="15" fillId="31" borderId="19" xfId="1" applyNumberFormat="1" applyFont="1" applyFill="1" applyBorder="1" applyAlignment="1" applyProtection="1">
      <alignment horizontal="left" vertical="center"/>
      <protection locked="0"/>
    </xf>
    <xf numFmtId="3" fontId="15" fillId="31" borderId="40" xfId="1" applyNumberFormat="1" applyFont="1" applyFill="1" applyBorder="1" applyAlignment="1" applyProtection="1">
      <alignment horizontal="left" vertical="center"/>
      <protection locked="0"/>
    </xf>
    <xf numFmtId="3" fontId="15" fillId="31" borderId="25" xfId="1" applyNumberFormat="1" applyFont="1" applyFill="1" applyBorder="1" applyAlignment="1" applyProtection="1">
      <alignment horizontal="left" vertical="center"/>
      <protection locked="0"/>
    </xf>
    <xf numFmtId="0" fontId="15" fillId="0" borderId="19" xfId="1" applyFont="1" applyBorder="1" applyAlignment="1" applyProtection="1">
      <alignment vertical="center"/>
    </xf>
    <xf numFmtId="0" fontId="15" fillId="0" borderId="42" xfId="1" applyFont="1" applyBorder="1" applyAlignment="1" applyProtection="1">
      <alignment vertical="center"/>
    </xf>
    <xf numFmtId="197" fontId="15" fillId="31" borderId="44" xfId="1" applyNumberFormat="1" applyFont="1" applyFill="1" applyBorder="1" applyAlignment="1" applyProtection="1">
      <alignment vertical="center"/>
      <protection locked="0"/>
    </xf>
    <xf numFmtId="0" fontId="15" fillId="0" borderId="42" xfId="1" applyFont="1" applyBorder="1" applyAlignment="1" applyProtection="1">
      <alignment horizontal="right" vertical="center"/>
    </xf>
    <xf numFmtId="0" fontId="15" fillId="0" borderId="23" xfId="1" applyFont="1" applyBorder="1" applyAlignment="1" applyProtection="1">
      <alignment horizontal="right" vertical="center"/>
    </xf>
    <xf numFmtId="0" fontId="15" fillId="31" borderId="44" xfId="1" applyFont="1" applyFill="1" applyBorder="1" applyAlignment="1" applyProtection="1">
      <alignment vertical="center"/>
      <protection locked="0"/>
    </xf>
    <xf numFmtId="0" fontId="15" fillId="31" borderId="39" xfId="1" applyFont="1" applyFill="1" applyBorder="1" applyAlignment="1" applyProtection="1">
      <alignment vertical="center"/>
      <protection locked="0"/>
    </xf>
    <xf numFmtId="0" fontId="15" fillId="31" borderId="44" xfId="1" applyFont="1" applyFill="1" applyBorder="1" applyAlignment="1" applyProtection="1">
      <alignment horizontal="right" vertical="center"/>
      <protection locked="0"/>
    </xf>
    <xf numFmtId="0" fontId="15" fillId="31" borderId="39" xfId="1" applyFont="1" applyFill="1" applyBorder="1" applyAlignment="1" applyProtection="1">
      <alignment horizontal="right" vertical="center"/>
      <protection locked="0"/>
    </xf>
    <xf numFmtId="0" fontId="15" fillId="31" borderId="34" xfId="1" applyFont="1" applyFill="1" applyBorder="1" applyAlignment="1" applyProtection="1">
      <alignment vertical="center"/>
      <protection locked="0"/>
    </xf>
    <xf numFmtId="2" fontId="15" fillId="31" borderId="44" xfId="1" applyNumberFormat="1" applyFont="1" applyFill="1" applyBorder="1" applyAlignment="1" applyProtection="1">
      <alignment vertical="center"/>
      <protection locked="0"/>
    </xf>
    <xf numFmtId="2" fontId="15" fillId="31" borderId="39" xfId="1" applyNumberFormat="1" applyFont="1" applyFill="1" applyBorder="1" applyAlignment="1" applyProtection="1">
      <alignment vertical="center"/>
      <protection locked="0"/>
    </xf>
    <xf numFmtId="2" fontId="15" fillId="31" borderId="44" xfId="1" applyNumberFormat="1" applyFont="1" applyFill="1" applyBorder="1" applyAlignment="1" applyProtection="1">
      <alignment horizontal="right" vertical="center"/>
      <protection locked="0"/>
    </xf>
    <xf numFmtId="2" fontId="15" fillId="31" borderId="39" xfId="1" applyNumberFormat="1" applyFont="1" applyFill="1" applyBorder="1" applyAlignment="1" applyProtection="1">
      <alignment horizontal="right" vertical="center"/>
      <protection locked="0"/>
    </xf>
    <xf numFmtId="2" fontId="15" fillId="31" borderId="34" xfId="1" applyNumberFormat="1" applyFont="1" applyFill="1" applyBorder="1" applyAlignment="1" applyProtection="1">
      <alignment vertical="center"/>
      <protection locked="0"/>
    </xf>
    <xf numFmtId="0" fontId="55" fillId="0" borderId="40" xfId="1" applyFont="1" applyBorder="1" applyAlignment="1" applyProtection="1">
      <alignment vertical="center"/>
    </xf>
    <xf numFmtId="2" fontId="55" fillId="0" borderId="44" xfId="1" applyNumberFormat="1" applyFont="1" applyBorder="1" applyAlignment="1" applyProtection="1">
      <alignment vertical="center"/>
    </xf>
    <xf numFmtId="2" fontId="55" fillId="0" borderId="39" xfId="1" applyNumberFormat="1" applyFont="1" applyBorder="1" applyAlignment="1" applyProtection="1">
      <alignment vertical="center"/>
    </xf>
    <xf numFmtId="2" fontId="55" fillId="0" borderId="44" xfId="1" applyNumberFormat="1" applyFont="1" applyBorder="1" applyAlignment="1" applyProtection="1">
      <alignment horizontal="right" vertical="center"/>
    </xf>
    <xf numFmtId="2" fontId="55" fillId="0" borderId="39" xfId="1" applyNumberFormat="1" applyFont="1" applyBorder="1" applyAlignment="1" applyProtection="1">
      <alignment horizontal="right" vertical="center"/>
    </xf>
    <xf numFmtId="2" fontId="55" fillId="0" borderId="34" xfId="1" applyNumberFormat="1" applyFont="1" applyBorder="1" applyAlignment="1" applyProtection="1">
      <alignment vertical="center"/>
    </xf>
    <xf numFmtId="0" fontId="55" fillId="0" borderId="39" xfId="1" applyFont="1" applyBorder="1" applyAlignment="1" applyProtection="1">
      <alignment vertical="center"/>
    </xf>
    <xf numFmtId="3" fontId="55" fillId="0" borderId="42" xfId="1" applyNumberFormat="1" applyFont="1" applyBorder="1" applyAlignment="1" applyProtection="1">
      <alignment vertical="center"/>
    </xf>
    <xf numFmtId="3" fontId="55" fillId="0" borderId="42" xfId="1" applyNumberFormat="1" applyFont="1" applyBorder="1" applyAlignment="1" applyProtection="1">
      <alignment horizontal="right" vertical="center"/>
    </xf>
    <xf numFmtId="3" fontId="55" fillId="0" borderId="43" xfId="1" applyNumberFormat="1" applyFont="1" applyBorder="1" applyAlignment="1" applyProtection="1">
      <alignment horizontal="right" vertical="center"/>
    </xf>
    <xf numFmtId="3" fontId="55" fillId="0" borderId="36" xfId="1" applyNumberFormat="1" applyFont="1" applyBorder="1" applyAlignment="1" applyProtection="1">
      <alignment vertical="center"/>
    </xf>
    <xf numFmtId="0" fontId="15" fillId="0" borderId="36" xfId="1" applyFont="1" applyBorder="1" applyAlignment="1" applyProtection="1">
      <alignment horizontal="center" vertical="center"/>
    </xf>
    <xf numFmtId="0" fontId="55" fillId="0" borderId="42" xfId="1" applyFont="1" applyBorder="1" applyAlignment="1" applyProtection="1">
      <alignment vertical="center"/>
    </xf>
    <xf numFmtId="3" fontId="15" fillId="0" borderId="44" xfId="1" applyNumberFormat="1" applyFont="1" applyBorder="1" applyAlignment="1" applyProtection="1">
      <alignment vertical="center"/>
    </xf>
    <xf numFmtId="3" fontId="15" fillId="0" borderId="44" xfId="1" applyNumberFormat="1" applyFont="1" applyBorder="1" applyAlignment="1" applyProtection="1">
      <alignment horizontal="right" vertical="center"/>
    </xf>
    <xf numFmtId="3" fontId="15" fillId="0" borderId="39" xfId="1" applyNumberFormat="1" applyFont="1" applyBorder="1" applyAlignment="1" applyProtection="1">
      <alignment horizontal="right" vertical="center"/>
    </xf>
    <xf numFmtId="3" fontId="15" fillId="0" borderId="34" xfId="1" applyNumberFormat="1" applyFont="1" applyBorder="1" applyAlignment="1" applyProtection="1">
      <alignment vertical="center"/>
    </xf>
    <xf numFmtId="184" fontId="15" fillId="0" borderId="44" xfId="61" applyNumberFormat="1" applyFont="1" applyFill="1" applyBorder="1" applyAlignment="1" applyProtection="1">
      <alignment vertical="center"/>
    </xf>
    <xf numFmtId="3" fontId="15" fillId="0" borderId="42" xfId="1" applyNumberFormat="1" applyFont="1" applyBorder="1" applyAlignment="1" applyProtection="1">
      <alignment vertical="center"/>
    </xf>
    <xf numFmtId="3" fontId="15" fillId="0" borderId="42" xfId="1" applyNumberFormat="1" applyFont="1" applyBorder="1" applyAlignment="1" applyProtection="1">
      <alignment horizontal="right" vertical="center"/>
    </xf>
    <xf numFmtId="3" fontId="15" fillId="0" borderId="43" xfId="1" applyNumberFormat="1" applyFont="1" applyBorder="1" applyAlignment="1" applyProtection="1">
      <alignment horizontal="right" vertical="center"/>
    </xf>
    <xf numFmtId="3" fontId="15" fillId="0" borderId="25" xfId="1" applyNumberFormat="1" applyFont="1" applyBorder="1" applyAlignment="1" applyProtection="1">
      <alignment vertical="center"/>
    </xf>
    <xf numFmtId="184" fontId="15" fillId="31" borderId="19" xfId="61" applyNumberFormat="1" applyFont="1" applyFill="1" applyBorder="1" applyAlignment="1" applyProtection="1">
      <alignment vertical="center"/>
      <protection locked="0"/>
    </xf>
    <xf numFmtId="3" fontId="15" fillId="0" borderId="58" xfId="1" applyNumberFormat="1" applyFont="1" applyBorder="1" applyAlignment="1" applyProtection="1">
      <alignment vertical="center"/>
    </xf>
    <xf numFmtId="3" fontId="15" fillId="0" borderId="77" xfId="1" applyNumberFormat="1" applyFont="1" applyBorder="1" applyAlignment="1" applyProtection="1">
      <alignment vertical="center"/>
    </xf>
    <xf numFmtId="3" fontId="15" fillId="0" borderId="58" xfId="1" applyNumberFormat="1" applyFont="1" applyBorder="1" applyAlignment="1" applyProtection="1">
      <alignment horizontal="right" vertical="center"/>
    </xf>
    <xf numFmtId="3" fontId="15" fillId="0" borderId="77" xfId="1" applyNumberFormat="1" applyFont="1" applyBorder="1" applyAlignment="1" applyProtection="1">
      <alignment horizontal="right" vertical="center"/>
    </xf>
    <xf numFmtId="3" fontId="15" fillId="0" borderId="3" xfId="1" applyNumberFormat="1" applyFont="1" applyBorder="1" applyAlignment="1" applyProtection="1">
      <alignment vertical="center"/>
    </xf>
    <xf numFmtId="3" fontId="15" fillId="31" borderId="44" xfId="1" applyNumberFormat="1" applyFont="1" applyFill="1" applyBorder="1" applyAlignment="1" applyProtection="1">
      <alignment vertical="center"/>
      <protection locked="0"/>
    </xf>
    <xf numFmtId="3" fontId="15" fillId="31" borderId="39" xfId="1" applyNumberFormat="1" applyFont="1" applyFill="1" applyBorder="1" applyAlignment="1" applyProtection="1">
      <alignment vertical="center"/>
      <protection locked="0"/>
    </xf>
    <xf numFmtId="3" fontId="15" fillId="31" borderId="44" xfId="1" applyNumberFormat="1" applyFont="1" applyFill="1" applyBorder="1" applyAlignment="1" applyProtection="1">
      <alignment horizontal="right" vertical="center"/>
      <protection locked="0"/>
    </xf>
    <xf numFmtId="3" fontId="15" fillId="31" borderId="39" xfId="1" applyNumberFormat="1" applyFont="1" applyFill="1" applyBorder="1" applyAlignment="1" applyProtection="1">
      <alignment horizontal="right" vertical="center"/>
      <protection locked="0"/>
    </xf>
    <xf numFmtId="3" fontId="15" fillId="31" borderId="25" xfId="1" applyNumberFormat="1" applyFont="1" applyFill="1" applyBorder="1" applyAlignment="1" applyProtection="1">
      <alignment vertical="center"/>
      <protection locked="0"/>
    </xf>
    <xf numFmtId="3" fontId="15" fillId="0" borderId="19" xfId="1" applyNumberFormat="1" applyFont="1" applyBorder="1" applyAlignment="1" applyProtection="1">
      <alignment vertical="center"/>
    </xf>
    <xf numFmtId="3" fontId="15" fillId="0" borderId="40" xfId="1" applyNumberFormat="1" applyFont="1" applyBorder="1" applyAlignment="1" applyProtection="1">
      <alignment vertical="center"/>
    </xf>
    <xf numFmtId="3" fontId="15" fillId="0" borderId="19" xfId="1" applyNumberFormat="1" applyFont="1" applyBorder="1" applyAlignment="1" applyProtection="1">
      <alignment horizontal="right" vertical="center"/>
    </xf>
    <xf numFmtId="3" fontId="15" fillId="0" borderId="40" xfId="1" applyNumberFormat="1" applyFont="1" applyBorder="1" applyAlignment="1" applyProtection="1">
      <alignment horizontal="right" vertical="center"/>
    </xf>
    <xf numFmtId="198" fontId="15" fillId="31" borderId="19" xfId="1" applyNumberFormat="1" applyFont="1" applyFill="1" applyBorder="1" applyAlignment="1" applyProtection="1">
      <alignment vertical="center"/>
      <protection locked="0"/>
    </xf>
    <xf numFmtId="0" fontId="15" fillId="0" borderId="23" xfId="1" applyFont="1" applyBorder="1" applyAlignment="1" applyProtection="1">
      <alignment horizontal="center" vertical="center"/>
    </xf>
    <xf numFmtId="0" fontId="46" fillId="0" borderId="0" xfId="1" applyFont="1" applyAlignment="1" applyProtection="1">
      <alignment vertical="center"/>
    </xf>
    <xf numFmtId="0" fontId="15" fillId="0" borderId="34" xfId="1" applyFont="1" applyBorder="1" applyAlignment="1" applyProtection="1">
      <alignment vertical="center"/>
    </xf>
    <xf numFmtId="0" fontId="15" fillId="0" borderId="44" xfId="1" applyFont="1" applyBorder="1" applyAlignment="1" applyProtection="1">
      <alignment horizontal="right" vertical="center"/>
    </xf>
    <xf numFmtId="0" fontId="15" fillId="0" borderId="43" xfId="1" applyFont="1" applyBorder="1" applyAlignment="1" applyProtection="1">
      <alignment vertical="center"/>
    </xf>
    <xf numFmtId="0" fontId="70" fillId="0" borderId="43" xfId="1" applyFont="1" applyBorder="1" applyAlignment="1" applyProtection="1">
      <alignment vertical="center"/>
    </xf>
    <xf numFmtId="0" fontId="104" fillId="0" borderId="0" xfId="55" applyFont="1">
      <alignment horizontal="center"/>
    </xf>
    <xf numFmtId="0" fontId="4" fillId="31" borderId="44" xfId="1" applyFill="1" applyBorder="1" applyAlignment="1" applyProtection="1">
      <alignment vertical="center"/>
      <protection locked="0"/>
    </xf>
    <xf numFmtId="0" fontId="15" fillId="31" borderId="2" xfId="1" applyFont="1" applyFill="1" applyBorder="1" applyAlignment="1" applyProtection="1">
      <alignment vertical="center"/>
      <protection locked="0"/>
    </xf>
    <xf numFmtId="0" fontId="104" fillId="0" borderId="34" xfId="55" applyFont="1" applyBorder="1">
      <alignment horizontal="center"/>
    </xf>
    <xf numFmtId="0" fontId="15" fillId="31" borderId="0" xfId="1" applyFont="1" applyFill="1" applyBorder="1" applyAlignment="1" applyProtection="1">
      <alignment vertical="center"/>
      <protection locked="0"/>
    </xf>
    <xf numFmtId="0" fontId="104" fillId="0" borderId="25" xfId="55" applyFont="1" applyBorder="1">
      <alignment horizontal="center"/>
    </xf>
    <xf numFmtId="0" fontId="4" fillId="4" borderId="19" xfId="1" applyFill="1" applyBorder="1" applyAlignment="1" applyProtection="1">
      <alignment vertical="center"/>
    </xf>
    <xf numFmtId="0" fontId="15" fillId="4" borderId="40" xfId="1" applyFont="1" applyFill="1" applyBorder="1" applyAlignment="1" applyProtection="1">
      <alignment vertical="center"/>
    </xf>
    <xf numFmtId="0" fontId="15" fillId="4" borderId="44" xfId="1" applyFont="1" applyFill="1" applyBorder="1" applyAlignment="1" applyProtection="1">
      <alignment vertical="center"/>
    </xf>
    <xf numFmtId="0" fontId="15" fillId="4" borderId="2" xfId="1" applyFont="1" applyFill="1" applyBorder="1" applyAlignment="1" applyProtection="1">
      <alignment horizontal="right" vertical="center"/>
    </xf>
    <xf numFmtId="0" fontId="4" fillId="0" borderId="25" xfId="1" applyBorder="1"/>
    <xf numFmtId="0" fontId="15" fillId="4" borderId="39" xfId="1" applyFont="1" applyFill="1" applyBorder="1" applyAlignment="1" applyProtection="1">
      <alignment horizontal="right" vertical="center"/>
    </xf>
    <xf numFmtId="0" fontId="15" fillId="4" borderId="42" xfId="1" applyFont="1" applyFill="1" applyBorder="1" applyAlignment="1" applyProtection="1">
      <alignment vertical="center"/>
    </xf>
    <xf numFmtId="0" fontId="55" fillId="4" borderId="23" xfId="1" applyFont="1" applyFill="1" applyBorder="1" applyAlignment="1" applyProtection="1">
      <alignment horizontal="left" vertical="center"/>
    </xf>
    <xf numFmtId="0" fontId="4" fillId="0" borderId="36" xfId="1" applyBorder="1"/>
    <xf numFmtId="0" fontId="55" fillId="4" borderId="43" xfId="1" applyFont="1" applyFill="1" applyBorder="1" applyAlignment="1" applyProtection="1">
      <alignment horizontal="left" vertical="center"/>
    </xf>
    <xf numFmtId="0" fontId="20" fillId="4" borderId="40" xfId="1" applyFont="1" applyFill="1" applyBorder="1" applyAlignment="1" applyProtection="1">
      <alignment horizontal="left" vertical="center"/>
    </xf>
    <xf numFmtId="0" fontId="4" fillId="4" borderId="23" xfId="1" applyFill="1" applyBorder="1" applyAlignment="1" applyProtection="1">
      <alignment vertical="center"/>
    </xf>
    <xf numFmtId="171" fontId="13" fillId="0" borderId="0" xfId="1" applyNumberFormat="1" applyFont="1" applyBorder="1" applyAlignment="1" applyProtection="1">
      <alignment vertical="center"/>
    </xf>
    <xf numFmtId="185" fontId="13" fillId="0" borderId="0" xfId="1" applyNumberFormat="1" applyFont="1" applyBorder="1" applyAlignment="1" applyProtection="1">
      <alignment vertical="center"/>
    </xf>
    <xf numFmtId="171" fontId="13" fillId="0" borderId="3" xfId="1" applyNumberFormat="1" applyFont="1" applyBorder="1" applyAlignment="1" applyProtection="1">
      <alignment vertical="center"/>
    </xf>
    <xf numFmtId="185" fontId="13" fillId="0" borderId="57" xfId="1" applyNumberFormat="1" applyFont="1" applyBorder="1" applyAlignment="1" applyProtection="1">
      <alignment vertical="center"/>
    </xf>
    <xf numFmtId="185" fontId="13" fillId="0" borderId="77" xfId="1" applyNumberFormat="1" applyFont="1" applyBorder="1" applyAlignment="1" applyProtection="1">
      <alignment vertical="center"/>
    </xf>
    <xf numFmtId="171" fontId="15" fillId="31" borderId="19" xfId="1" applyNumberFormat="1" applyFont="1" applyFill="1" applyBorder="1" applyAlignment="1" applyProtection="1">
      <alignment vertical="center"/>
      <protection locked="0"/>
    </xf>
    <xf numFmtId="185" fontId="15" fillId="0" borderId="25" xfId="1" applyNumberFormat="1" applyFont="1" applyBorder="1" applyAlignment="1" applyProtection="1">
      <alignment vertical="center"/>
    </xf>
    <xf numFmtId="185" fontId="15" fillId="0" borderId="0" xfId="1" applyNumberFormat="1" applyFont="1" applyBorder="1" applyAlignment="1" applyProtection="1">
      <alignment vertical="center"/>
    </xf>
    <xf numFmtId="185" fontId="15" fillId="0" borderId="40" xfId="1" applyNumberFormat="1" applyFont="1" applyBorder="1" applyAlignment="1" applyProtection="1">
      <alignment vertical="center"/>
    </xf>
    <xf numFmtId="185" fontId="55" fillId="0" borderId="40" xfId="1" applyNumberFormat="1" applyFont="1" applyBorder="1" applyAlignment="1" applyProtection="1">
      <alignment vertical="center"/>
    </xf>
    <xf numFmtId="171" fontId="15" fillId="0" borderId="19" xfId="1" applyNumberFormat="1" applyFont="1" applyBorder="1" applyAlignment="1" applyProtection="1">
      <alignment vertical="center"/>
    </xf>
    <xf numFmtId="185" fontId="15" fillId="0" borderId="43" xfId="1" applyNumberFormat="1" applyFont="1" applyBorder="1" applyAlignment="1" applyProtection="1">
      <alignment vertical="center"/>
    </xf>
    <xf numFmtId="171" fontId="15" fillId="0" borderId="44" xfId="1" applyNumberFormat="1" applyFont="1" applyBorder="1" applyAlignment="1" applyProtection="1">
      <alignment vertical="center"/>
    </xf>
    <xf numFmtId="185" fontId="15" fillId="31" borderId="34" xfId="1" applyNumberFormat="1" applyFont="1" applyFill="1" applyBorder="1" applyAlignment="1" applyProtection="1">
      <alignment vertical="center"/>
      <protection locked="0"/>
    </xf>
    <xf numFmtId="187" fontId="15" fillId="31" borderId="2" xfId="1" applyNumberFormat="1" applyFont="1" applyFill="1" applyBorder="1" applyAlignment="1" applyProtection="1">
      <alignment vertical="center"/>
      <protection locked="0"/>
    </xf>
    <xf numFmtId="185" fontId="15" fillId="0" borderId="39" xfId="1" applyNumberFormat="1" applyFont="1" applyBorder="1" applyAlignment="1" applyProtection="1">
      <alignment vertical="center"/>
    </xf>
    <xf numFmtId="185" fontId="15" fillId="0" borderId="2" xfId="1" applyNumberFormat="1" applyFont="1" applyBorder="1" applyAlignment="1" applyProtection="1">
      <alignment vertical="center"/>
    </xf>
    <xf numFmtId="185" fontId="55" fillId="0" borderId="39" xfId="1" applyNumberFormat="1" applyFont="1" applyBorder="1" applyAlignment="1" applyProtection="1">
      <alignment vertical="center"/>
    </xf>
    <xf numFmtId="171" fontId="15" fillId="0" borderId="19" xfId="1" applyNumberFormat="1" applyFont="1" applyBorder="1" applyAlignment="1" applyProtection="1">
      <alignment horizontal="center" vertical="center"/>
    </xf>
    <xf numFmtId="185" fontId="15" fillId="0" borderId="25" xfId="1" applyNumberFormat="1" applyFont="1" applyBorder="1" applyAlignment="1" applyProtection="1">
      <alignment horizontal="center" vertical="center"/>
    </xf>
    <xf numFmtId="185" fontId="15" fillId="0" borderId="0" xfId="1" applyNumberFormat="1" applyFont="1" applyBorder="1" applyAlignment="1" applyProtection="1">
      <alignment horizontal="center" vertical="center"/>
    </xf>
    <xf numFmtId="187" fontId="15" fillId="0" borderId="44" xfId="1" applyNumberFormat="1" applyFont="1" applyBorder="1" applyAlignment="1" applyProtection="1">
      <alignment vertical="center"/>
    </xf>
    <xf numFmtId="187" fontId="15" fillId="31" borderId="39" xfId="1" applyNumberFormat="1" applyFont="1" applyFill="1" applyBorder="1" applyAlignment="1" applyProtection="1">
      <alignment vertical="center"/>
      <protection locked="0"/>
    </xf>
    <xf numFmtId="187" fontId="15" fillId="31" borderId="34" xfId="1" applyNumberFormat="1" applyFont="1" applyFill="1" applyBorder="1" applyAlignment="1" applyProtection="1">
      <alignment vertical="center"/>
      <protection locked="0"/>
    </xf>
    <xf numFmtId="185" fontId="15" fillId="0" borderId="39" xfId="1" applyNumberFormat="1" applyFont="1" applyBorder="1" applyAlignment="1" applyProtection="1">
      <alignment horizontal="center" vertical="center"/>
    </xf>
    <xf numFmtId="185" fontId="15" fillId="31" borderId="25" xfId="1" applyNumberFormat="1" applyFont="1" applyFill="1" applyBorder="1" applyAlignment="1" applyProtection="1">
      <alignment vertical="center"/>
      <protection locked="0"/>
    </xf>
    <xf numFmtId="187" fontId="15" fillId="0" borderId="19" xfId="1" applyNumberFormat="1" applyFont="1" applyBorder="1" applyAlignment="1" applyProtection="1">
      <alignment vertical="center"/>
    </xf>
    <xf numFmtId="187" fontId="15" fillId="31" borderId="40" xfId="1" applyNumberFormat="1" applyFont="1" applyFill="1" applyBorder="1" applyAlignment="1" applyProtection="1">
      <alignment vertical="center"/>
      <protection locked="0"/>
    </xf>
    <xf numFmtId="187" fontId="15" fillId="31" borderId="25" xfId="1" applyNumberFormat="1" applyFont="1" applyFill="1" applyBorder="1" applyAlignment="1" applyProtection="1">
      <alignment vertical="center"/>
      <protection locked="0"/>
    </xf>
    <xf numFmtId="185" fontId="15" fillId="0" borderId="40" xfId="1" applyNumberFormat="1" applyFont="1" applyBorder="1" applyAlignment="1" applyProtection="1">
      <alignment horizontal="center" vertical="center"/>
    </xf>
    <xf numFmtId="185" fontId="15" fillId="0" borderId="90" xfId="1" applyNumberFormat="1" applyFont="1" applyBorder="1" applyAlignment="1" applyProtection="1">
      <alignment horizontal="center" vertical="center"/>
    </xf>
    <xf numFmtId="185" fontId="15" fillId="0" borderId="27" xfId="1" applyNumberFormat="1" applyFont="1" applyBorder="1" applyAlignment="1" applyProtection="1">
      <alignment horizontal="center" vertical="center"/>
    </xf>
    <xf numFmtId="185" fontId="15" fillId="0" borderId="92" xfId="1" applyNumberFormat="1" applyFont="1" applyBorder="1" applyAlignment="1" applyProtection="1">
      <alignment horizontal="center" vertical="center"/>
    </xf>
    <xf numFmtId="185" fontId="15" fillId="0" borderId="91" xfId="1" applyNumberFormat="1" applyFont="1" applyBorder="1" applyAlignment="1" applyProtection="1">
      <alignment vertical="center"/>
    </xf>
    <xf numFmtId="185" fontId="105" fillId="0" borderId="0" xfId="1" applyNumberFormat="1" applyFont="1" applyBorder="1" applyAlignment="1" applyProtection="1">
      <alignment vertical="top"/>
    </xf>
    <xf numFmtId="185" fontId="15" fillId="0" borderId="92" xfId="1" applyNumberFormat="1" applyFont="1" applyBorder="1" applyAlignment="1" applyProtection="1">
      <alignment vertical="center"/>
    </xf>
    <xf numFmtId="185" fontId="64" fillId="0" borderId="19" xfId="1" applyNumberFormat="1" applyFont="1" applyBorder="1" applyAlignment="1" applyProtection="1">
      <alignment horizontal="center" vertical="top"/>
    </xf>
    <xf numFmtId="185" fontId="64" fillId="0" borderId="25" xfId="1" applyNumberFormat="1" applyFont="1" applyBorder="1" applyAlignment="1" applyProtection="1">
      <alignment horizontal="center" vertical="top"/>
    </xf>
    <xf numFmtId="185" fontId="15" fillId="0" borderId="42" xfId="1" applyNumberFormat="1" applyFont="1" applyBorder="1" applyAlignment="1" applyProtection="1">
      <alignment vertical="center"/>
    </xf>
    <xf numFmtId="185" fontId="15" fillId="0" borderId="36" xfId="1" applyNumberFormat="1" applyFont="1" applyBorder="1" applyAlignment="1" applyProtection="1">
      <alignment vertical="center"/>
    </xf>
    <xf numFmtId="185" fontId="15" fillId="0" borderId="23" xfId="1" applyNumberFormat="1" applyFont="1" applyBorder="1" applyAlignment="1" applyProtection="1">
      <alignment vertical="center"/>
    </xf>
    <xf numFmtId="185" fontId="55" fillId="0" borderId="43" xfId="1" applyNumberFormat="1" applyFont="1" applyBorder="1" applyAlignment="1" applyProtection="1">
      <alignment vertical="center"/>
    </xf>
    <xf numFmtId="185" fontId="4" fillId="0" borderId="0" xfId="1" applyNumberFormat="1" applyBorder="1" applyAlignment="1" applyProtection="1">
      <alignment vertical="center"/>
    </xf>
    <xf numFmtId="0" fontId="13" fillId="31" borderId="0" xfId="1" applyFont="1" applyFill="1" applyBorder="1" applyAlignment="1" applyProtection="1">
      <alignment horizontal="left" vertical="center"/>
    </xf>
    <xf numFmtId="185" fontId="4" fillId="0" borderId="0" xfId="1" applyNumberFormat="1" applyAlignment="1" applyProtection="1">
      <alignment vertical="center"/>
    </xf>
    <xf numFmtId="185" fontId="4" fillId="0" borderId="23" xfId="1" applyNumberFormat="1" applyBorder="1" applyAlignment="1" applyProtection="1">
      <alignment vertical="center"/>
    </xf>
    <xf numFmtId="0" fontId="70" fillId="0" borderId="43" xfId="1" applyFont="1" applyBorder="1" applyAlignment="1" applyProtection="1">
      <alignment horizontal="left" vertical="center"/>
    </xf>
    <xf numFmtId="49" fontId="81" fillId="0" borderId="44" xfId="1" applyNumberFormat="1" applyFont="1" applyBorder="1" applyAlignment="1" applyProtection="1">
      <alignment horizontal="left" vertical="center"/>
    </xf>
    <xf numFmtId="4" fontId="15" fillId="31" borderId="39" xfId="95" applyNumberFormat="1" applyFont="1" applyFill="1" applyBorder="1" applyAlignment="1" applyProtection="1">
      <alignment horizontal="right" vertical="center"/>
      <protection locked="0"/>
    </xf>
    <xf numFmtId="0" fontId="15" fillId="0" borderId="2" xfId="1" applyFont="1" applyBorder="1" applyAlignment="1" applyProtection="1">
      <alignment horizontal="right" vertical="center"/>
    </xf>
    <xf numFmtId="49" fontId="15" fillId="0" borderId="19" xfId="1" applyNumberFormat="1" applyFont="1" applyBorder="1" applyAlignment="1" applyProtection="1">
      <alignment horizontal="right" vertical="center"/>
    </xf>
    <xf numFmtId="4" fontId="15" fillId="31" borderId="40" xfId="1" applyNumberFormat="1" applyFont="1" applyFill="1" applyBorder="1" applyAlignment="1" applyProtection="1">
      <alignment horizontal="right" vertical="center"/>
      <protection locked="0"/>
    </xf>
    <xf numFmtId="0" fontId="15" fillId="31" borderId="40" xfId="1" applyFont="1" applyFill="1" applyBorder="1" applyAlignment="1" applyProtection="1">
      <alignment vertical="center"/>
      <protection locked="0"/>
    </xf>
    <xf numFmtId="0" fontId="15" fillId="0" borderId="34" xfId="95" applyFont="1" applyBorder="1" applyAlignment="1" applyProtection="1">
      <alignment horizontal="right" vertical="center"/>
    </xf>
    <xf numFmtId="49" fontId="15" fillId="0" borderId="39" xfId="1" applyNumberFormat="1" applyFont="1" applyBorder="1" applyAlignment="1" applyProtection="1">
      <alignment horizontal="left" vertical="center" indent="1"/>
    </xf>
    <xf numFmtId="174" fontId="15" fillId="0" borderId="39" xfId="95" applyNumberFormat="1" applyFont="1" applyBorder="1" applyAlignment="1" applyProtection="1">
      <alignment horizontal="right" vertical="center"/>
    </xf>
    <xf numFmtId="0" fontId="15" fillId="0" borderId="25" xfId="95" applyFont="1" applyBorder="1" applyAlignment="1" applyProtection="1">
      <alignment horizontal="right" vertical="center"/>
    </xf>
    <xf numFmtId="49" fontId="15" fillId="0" borderId="40" xfId="1" applyNumberFormat="1" applyFont="1" applyBorder="1" applyAlignment="1" applyProtection="1">
      <alignment horizontal="left" vertical="center" indent="1"/>
    </xf>
    <xf numFmtId="174" fontId="15" fillId="0" borderId="40" xfId="95" applyNumberFormat="1" applyFont="1" applyBorder="1" applyAlignment="1" applyProtection="1">
      <alignment horizontal="right" vertical="center"/>
    </xf>
    <xf numFmtId="49" fontId="15" fillId="0" borderId="38" xfId="95" applyNumberFormat="1" applyFont="1" applyBorder="1" applyAlignment="1" applyProtection="1">
      <alignment horizontal="right" vertical="center"/>
    </xf>
    <xf numFmtId="0" fontId="15" fillId="0" borderId="38" xfId="95" applyFont="1" applyBorder="1" applyAlignment="1" applyProtection="1">
      <alignment horizontal="right" vertical="center"/>
    </xf>
    <xf numFmtId="49" fontId="15" fillId="0" borderId="100" xfId="1" applyNumberFormat="1" applyFont="1" applyBorder="1" applyAlignment="1" applyProtection="1">
      <alignment horizontal="left" vertical="center" indent="1"/>
    </xf>
    <xf numFmtId="174" fontId="15" fillId="0" borderId="100" xfId="95" applyNumberFormat="1" applyFont="1" applyBorder="1" applyAlignment="1" applyProtection="1">
      <alignment horizontal="right" vertical="center"/>
    </xf>
    <xf numFmtId="0" fontId="15" fillId="0" borderId="104" xfId="1" applyFont="1" applyBorder="1" applyAlignment="1" applyProtection="1">
      <alignment vertical="center"/>
    </xf>
    <xf numFmtId="0" fontId="15" fillId="0" borderId="100" xfId="1" applyFont="1" applyBorder="1" applyAlignment="1" applyProtection="1">
      <alignment vertical="center"/>
    </xf>
    <xf numFmtId="49" fontId="15" fillId="0" borderId="92" xfId="1" applyNumberFormat="1" applyFont="1" applyBorder="1" applyAlignment="1" applyProtection="1">
      <alignment horizontal="left" vertical="center" indent="1"/>
    </xf>
    <xf numFmtId="49" fontId="15" fillId="0" borderId="40" xfId="95" applyNumberFormat="1" applyFont="1" applyBorder="1" applyAlignment="1" applyProtection="1">
      <alignment horizontal="right" vertical="center"/>
    </xf>
    <xf numFmtId="49" fontId="81" fillId="0" borderId="19" xfId="1" applyNumberFormat="1" applyFont="1" applyBorder="1" applyAlignment="1" applyProtection="1">
      <alignment horizontal="left" vertical="center"/>
    </xf>
    <xf numFmtId="49" fontId="15" fillId="0" borderId="100" xfId="95" applyNumberFormat="1" applyFont="1" applyBorder="1" applyAlignment="1" applyProtection="1">
      <alignment horizontal="right" vertical="center"/>
    </xf>
    <xf numFmtId="0" fontId="15" fillId="0" borderId="36" xfId="95" applyFont="1" applyBorder="1" applyAlignment="1" applyProtection="1">
      <alignment horizontal="right" vertical="center"/>
    </xf>
    <xf numFmtId="49" fontId="15" fillId="0" borderId="43" xfId="1" applyNumberFormat="1" applyFont="1" applyBorder="1" applyAlignment="1" applyProtection="1">
      <alignment horizontal="left" vertical="center" indent="1"/>
    </xf>
    <xf numFmtId="49" fontId="15" fillId="0" borderId="43" xfId="95" applyNumberFormat="1" applyFont="1" applyBorder="1" applyAlignment="1" applyProtection="1">
      <alignment horizontal="right" vertical="center"/>
    </xf>
    <xf numFmtId="49" fontId="106" fillId="0" borderId="19" xfId="1" applyNumberFormat="1" applyFont="1" applyBorder="1" applyAlignment="1" applyProtection="1">
      <alignment vertical="center"/>
    </xf>
    <xf numFmtId="0" fontId="15" fillId="0" borderId="43" xfId="1" applyFont="1" applyBorder="1" applyAlignment="1">
      <alignment vertical="center"/>
    </xf>
    <xf numFmtId="0" fontId="20" fillId="0" borderId="34" xfId="1" applyFont="1" applyBorder="1" applyAlignment="1" applyProtection="1">
      <alignment horizontal="right" vertical="center"/>
    </xf>
    <xf numFmtId="0" fontId="20" fillId="0" borderId="39" xfId="1" applyFont="1" applyBorder="1" applyAlignment="1" applyProtection="1">
      <alignment horizontal="center" vertical="center"/>
    </xf>
    <xf numFmtId="0" fontId="55" fillId="0" borderId="36" xfId="1" applyFont="1" applyBorder="1" applyAlignment="1" applyProtection="1">
      <alignment horizontal="right" vertical="center"/>
    </xf>
    <xf numFmtId="0" fontId="55" fillId="0" borderId="43" xfId="1" applyFont="1" applyBorder="1" applyAlignment="1" applyProtection="1">
      <alignment horizontal="center" vertical="center"/>
    </xf>
    <xf numFmtId="0" fontId="55" fillId="0" borderId="43" xfId="1" applyFont="1" applyBorder="1" applyAlignment="1" applyProtection="1">
      <alignment horizontal="right" vertical="center"/>
    </xf>
    <xf numFmtId="0" fontId="4" fillId="4" borderId="44" xfId="1" applyFill="1" applyBorder="1" applyAlignment="1" applyProtection="1">
      <alignment vertical="center"/>
    </xf>
    <xf numFmtId="0" fontId="4" fillId="4" borderId="2" xfId="1" applyFill="1" applyBorder="1" applyAlignment="1" applyProtection="1">
      <alignment vertical="center"/>
    </xf>
    <xf numFmtId="0" fontId="20" fillId="4" borderId="2" xfId="1" applyFont="1" applyFill="1" applyBorder="1" applyAlignment="1" applyProtection="1">
      <alignment vertical="center"/>
    </xf>
    <xf numFmtId="0" fontId="20" fillId="4" borderId="39" xfId="1" applyFont="1" applyFill="1" applyBorder="1" applyAlignment="1" applyProtection="1">
      <alignment horizontal="left" vertical="center"/>
    </xf>
    <xf numFmtId="0" fontId="4" fillId="4" borderId="42" xfId="1" applyFill="1" applyBorder="1" applyAlignment="1" applyProtection="1">
      <alignment vertical="center"/>
    </xf>
    <xf numFmtId="2" fontId="5" fillId="0" borderId="57" xfId="1" applyNumberFormat="1" applyFont="1" applyBorder="1" applyAlignment="1" applyProtection="1">
      <alignment vertical="center"/>
    </xf>
    <xf numFmtId="199" fontId="15" fillId="0" borderId="0" xfId="1" applyNumberFormat="1" applyFont="1" applyBorder="1" applyAlignment="1" applyProtection="1">
      <alignment vertical="center"/>
    </xf>
    <xf numFmtId="9" fontId="15" fillId="0" borderId="40" xfId="61" applyFont="1" applyBorder="1" applyAlignment="1" applyProtection="1">
      <alignment horizontal="center" vertical="center"/>
    </xf>
    <xf numFmtId="49" fontId="15" fillId="0" borderId="0" xfId="1" applyNumberFormat="1" applyFont="1" applyBorder="1" applyAlignment="1" applyProtection="1">
      <alignment horizontal="left" vertical="center"/>
    </xf>
    <xf numFmtId="49" fontId="15" fillId="31" borderId="0" xfId="1" applyNumberFormat="1" applyFont="1" applyFill="1" applyBorder="1" applyAlignment="1" applyProtection="1">
      <alignment horizontal="right" vertical="center"/>
      <protection locked="0"/>
    </xf>
    <xf numFmtId="2" fontId="15" fillId="0" borderId="40" xfId="1" applyNumberFormat="1" applyFont="1" applyBorder="1" applyAlignment="1" applyProtection="1">
      <alignment vertical="center"/>
    </xf>
    <xf numFmtId="2" fontId="6" fillId="0" borderId="23" xfId="1" applyNumberFormat="1" applyFont="1" applyBorder="1" applyAlignment="1" applyProtection="1">
      <alignment vertical="center"/>
    </xf>
    <xf numFmtId="2" fontId="9" fillId="0" borderId="43" xfId="1" applyNumberFormat="1" applyFont="1" applyBorder="1" applyAlignment="1" applyProtection="1">
      <alignment vertical="center"/>
    </xf>
    <xf numFmtId="0" fontId="4" fillId="0" borderId="44" xfId="1" applyBorder="1"/>
    <xf numFmtId="0" fontId="20" fillId="0" borderId="2" xfId="1" applyFont="1" applyBorder="1" applyAlignment="1" applyProtection="1">
      <alignment vertical="center"/>
    </xf>
    <xf numFmtId="16" fontId="9" fillId="0" borderId="44" xfId="1" applyNumberFormat="1" applyFont="1" applyBorder="1" applyAlignment="1" applyProtection="1">
      <alignment horizontal="right" vertical="center"/>
    </xf>
    <xf numFmtId="0" fontId="4" fillId="0" borderId="39" xfId="1" applyBorder="1"/>
    <xf numFmtId="2" fontId="9" fillId="0" borderId="19" xfId="1" applyNumberFormat="1" applyFont="1" applyBorder="1" applyAlignment="1" applyProtection="1">
      <alignment horizontal="right" vertical="center"/>
    </xf>
    <xf numFmtId="0" fontId="9" fillId="0" borderId="19" xfId="1" applyFont="1" applyBorder="1" applyAlignment="1" applyProtection="1">
      <alignment horizontal="right" vertical="center"/>
    </xf>
    <xf numFmtId="0" fontId="9" fillId="0" borderId="42" xfId="1" applyFont="1" applyBorder="1" applyAlignment="1" applyProtection="1">
      <alignment horizontal="right" vertical="center"/>
    </xf>
    <xf numFmtId="0" fontId="4" fillId="0" borderId="43" xfId="1" applyBorder="1"/>
    <xf numFmtId="0" fontId="5" fillId="0" borderId="42" xfId="1" applyFont="1" applyBorder="1" applyAlignment="1">
      <alignment horizontal="right"/>
    </xf>
    <xf numFmtId="0" fontId="5" fillId="0" borderId="43" xfId="1" applyFont="1" applyBorder="1"/>
    <xf numFmtId="0" fontId="9" fillId="0" borderId="57" xfId="1" applyFont="1" applyBorder="1" applyAlignment="1" applyProtection="1">
      <alignment vertical="center"/>
    </xf>
    <xf numFmtId="0" fontId="4" fillId="0" borderId="77" xfId="1" applyBorder="1" applyAlignment="1" applyProtection="1">
      <alignment vertical="center"/>
    </xf>
    <xf numFmtId="0" fontId="5" fillId="0" borderId="57" xfId="1" applyFont="1" applyBorder="1" applyAlignment="1" applyProtection="1">
      <alignment horizontal="left" vertical="center"/>
    </xf>
    <xf numFmtId="0" fontId="20" fillId="0" borderId="57" xfId="1" applyFont="1" applyBorder="1" applyAlignment="1" applyProtection="1">
      <alignment horizontal="right" vertical="top"/>
    </xf>
    <xf numFmtId="0" fontId="20" fillId="0" borderId="77" xfId="1" applyFont="1" applyBorder="1" applyAlignment="1" applyProtection="1">
      <alignment horizontal="left"/>
    </xf>
    <xf numFmtId="0" fontId="70" fillId="0" borderId="0" xfId="1" applyFont="1" applyAlignment="1" applyProtection="1">
      <alignment horizontal="left" vertical="center"/>
    </xf>
    <xf numFmtId="177" fontId="108" fillId="0" borderId="0" xfId="1" applyNumberFormat="1" applyFont="1" applyAlignment="1" applyProtection="1">
      <alignment vertical="center"/>
    </xf>
    <xf numFmtId="0" fontId="18" fillId="0" borderId="0" xfId="1" applyFont="1" applyAlignment="1" applyProtection="1">
      <alignment vertical="center"/>
    </xf>
    <xf numFmtId="0" fontId="4" fillId="0" borderId="40" xfId="1" applyBorder="1"/>
    <xf numFmtId="0" fontId="4" fillId="0" borderId="40" xfId="1" applyBorder="1" applyAlignment="1">
      <alignment vertical="center"/>
    </xf>
    <xf numFmtId="0" fontId="4" fillId="0" borderId="0" xfId="1" applyBorder="1" applyAlignment="1">
      <alignment horizontal="right" vertical="center"/>
    </xf>
    <xf numFmtId="0" fontId="4" fillId="0" borderId="0" xfId="1" applyBorder="1" applyAlignment="1">
      <alignment horizontal="left"/>
    </xf>
    <xf numFmtId="0" fontId="6" fillId="0" borderId="40" xfId="1" applyFont="1" applyBorder="1" applyAlignment="1">
      <alignment vertical="center"/>
    </xf>
    <xf numFmtId="49" fontId="6" fillId="0" borderId="40" xfId="1" applyNumberFormat="1" applyFont="1" applyBorder="1" applyAlignment="1">
      <alignment vertical="center"/>
    </xf>
    <xf numFmtId="49" fontId="6" fillId="0" borderId="0" xfId="1" applyNumberFormat="1" applyFont="1" applyBorder="1" applyAlignment="1">
      <alignment vertical="center"/>
    </xf>
    <xf numFmtId="49" fontId="71" fillId="0" borderId="40" xfId="1" applyNumberFormat="1" applyFont="1" applyBorder="1" applyAlignment="1">
      <alignment vertical="center"/>
    </xf>
    <xf numFmtId="0" fontId="72" fillId="0" borderId="0" xfId="1" applyFont="1" applyBorder="1" applyAlignment="1">
      <alignment vertical="center"/>
    </xf>
    <xf numFmtId="0" fontId="72" fillId="0" borderId="40" xfId="1" applyFont="1" applyBorder="1" applyAlignment="1">
      <alignment vertical="center"/>
    </xf>
    <xf numFmtId="0" fontId="15" fillId="0" borderId="0" xfId="1" applyFont="1" applyBorder="1" applyAlignment="1">
      <alignment horizontal="left" vertical="center"/>
    </xf>
    <xf numFmtId="170" fontId="6" fillId="0" borderId="0" xfId="1" applyNumberFormat="1" applyFont="1" applyFill="1" applyBorder="1" applyAlignment="1" applyProtection="1">
      <alignment vertical="center"/>
    </xf>
    <xf numFmtId="170" fontId="6" fillId="0" borderId="40" xfId="1" applyNumberFormat="1" applyFont="1" applyFill="1" applyBorder="1" applyAlignment="1" applyProtection="1">
      <alignment vertical="center"/>
    </xf>
    <xf numFmtId="0" fontId="6" fillId="0" borderId="0" xfId="1" applyFont="1" applyFill="1" applyBorder="1" applyAlignment="1">
      <alignment horizontal="right" vertical="center"/>
    </xf>
    <xf numFmtId="0" fontId="6" fillId="0" borderId="0" xfId="1" applyFont="1" applyFill="1" applyBorder="1" applyAlignment="1">
      <alignment vertical="center"/>
    </xf>
    <xf numFmtId="0" fontId="6" fillId="0" borderId="40" xfId="1" applyFont="1" applyFill="1" applyBorder="1" applyAlignment="1" applyProtection="1">
      <alignment vertical="center"/>
    </xf>
    <xf numFmtId="0" fontId="31" fillId="0" borderId="0" xfId="1" applyFont="1" applyBorder="1" applyAlignment="1">
      <alignment horizontal="centerContinuous" vertical="center"/>
    </xf>
    <xf numFmtId="176" fontId="6" fillId="0" borderId="40" xfId="1" applyNumberFormat="1" applyFont="1" applyFill="1" applyBorder="1" applyAlignment="1" applyProtection="1">
      <alignment vertical="center"/>
    </xf>
    <xf numFmtId="0" fontId="13" fillId="0" borderId="0" xfId="1" applyFont="1" applyBorder="1" applyAlignment="1">
      <alignment vertical="center"/>
    </xf>
    <xf numFmtId="0" fontId="6" fillId="0" borderId="0" xfId="1" applyFont="1" applyBorder="1" applyAlignment="1"/>
    <xf numFmtId="0" fontId="70" fillId="0" borderId="0" xfId="1" applyFont="1" applyBorder="1" applyAlignment="1">
      <alignment vertical="center"/>
    </xf>
    <xf numFmtId="0" fontId="70" fillId="0" borderId="40" xfId="1" applyFont="1" applyBorder="1" applyAlignment="1">
      <alignment vertical="center"/>
    </xf>
    <xf numFmtId="0" fontId="44" fillId="0" borderId="0" xfId="1" applyFont="1" applyBorder="1" applyAlignment="1">
      <alignment horizontal="right" vertical="center"/>
    </xf>
    <xf numFmtId="0" fontId="44" fillId="0" borderId="40" xfId="1" applyFont="1" applyBorder="1" applyAlignment="1">
      <alignment horizontal="right" vertical="center"/>
    </xf>
    <xf numFmtId="0" fontId="13" fillId="0" borderId="0" xfId="1" applyFont="1" applyBorder="1" applyAlignment="1">
      <alignment horizontal="center" vertical="center"/>
    </xf>
    <xf numFmtId="0" fontId="13" fillId="0" borderId="40" xfId="1" applyFont="1" applyBorder="1" applyAlignment="1">
      <alignment horizontal="center" vertical="center"/>
    </xf>
    <xf numFmtId="0" fontId="43" fillId="0" borderId="0" xfId="1" applyFont="1" applyBorder="1" applyAlignment="1">
      <alignment vertical="center"/>
    </xf>
    <xf numFmtId="0" fontId="4" fillId="0" borderId="0" xfId="1" applyBorder="1" applyAlignment="1">
      <alignment horizontal="centerContinuous" vertical="center"/>
    </xf>
    <xf numFmtId="0" fontId="13" fillId="0" borderId="40" xfId="1" applyFont="1" applyBorder="1" applyAlignment="1">
      <alignment horizontal="centerContinuous" vertical="center"/>
    </xf>
    <xf numFmtId="0" fontId="13" fillId="0" borderId="0" xfId="1" applyFont="1" applyBorder="1" applyAlignment="1">
      <alignment horizontal="centerContinuous" vertical="center"/>
    </xf>
    <xf numFmtId="0" fontId="73" fillId="0" borderId="0" xfId="1" applyFont="1" applyBorder="1" applyAlignment="1">
      <alignment vertical="top"/>
    </xf>
    <xf numFmtId="0" fontId="4" fillId="0" borderId="0" xfId="1" applyBorder="1" applyAlignment="1">
      <alignment vertical="top"/>
    </xf>
    <xf numFmtId="0" fontId="4" fillId="0" borderId="40" xfId="1" applyBorder="1" applyAlignment="1">
      <alignment vertical="top"/>
    </xf>
    <xf numFmtId="0" fontId="4" fillId="0" borderId="0" xfId="1" applyBorder="1" applyAlignment="1">
      <alignment horizontal="right" vertical="top"/>
    </xf>
    <xf numFmtId="177" fontId="9" fillId="0" borderId="0" xfId="1" applyNumberFormat="1" applyFont="1" applyBorder="1" applyAlignment="1">
      <alignment horizontal="centerContinuous" vertical="center"/>
    </xf>
    <xf numFmtId="177" fontId="9" fillId="0" borderId="40" xfId="1" applyNumberFormat="1" applyFont="1" applyBorder="1" applyAlignment="1">
      <alignment horizontal="centerContinuous" vertical="center"/>
    </xf>
    <xf numFmtId="0" fontId="6" fillId="0" borderId="0" xfId="1" applyFont="1" applyBorder="1" applyAlignment="1">
      <alignment horizontal="centerContinuous" vertical="center"/>
    </xf>
    <xf numFmtId="0" fontId="4" fillId="0" borderId="40" xfId="1" applyBorder="1" applyAlignment="1">
      <alignment horizontal="centerContinuous" vertical="center"/>
    </xf>
    <xf numFmtId="0" fontId="4" fillId="37" borderId="25" xfId="1" applyFill="1" applyBorder="1" applyProtection="1">
      <protection locked="0"/>
    </xf>
    <xf numFmtId="0" fontId="4" fillId="37" borderId="19" xfId="1" applyFill="1" applyBorder="1" applyProtection="1">
      <protection locked="0"/>
    </xf>
    <xf numFmtId="0" fontId="4" fillId="37" borderId="0" xfId="1" applyFill="1" applyBorder="1" applyProtection="1">
      <protection locked="0"/>
    </xf>
    <xf numFmtId="0" fontId="4" fillId="37" borderId="40" xfId="1" applyFill="1" applyBorder="1" applyProtection="1">
      <protection locked="0"/>
    </xf>
    <xf numFmtId="0" fontId="4" fillId="0" borderId="19" xfId="1" applyBorder="1"/>
    <xf numFmtId="0" fontId="13" fillId="0" borderId="40" xfId="1" applyFont="1" applyBorder="1" applyAlignment="1">
      <alignment vertical="center"/>
    </xf>
    <xf numFmtId="2" fontId="4" fillId="40" borderId="0" xfId="1" applyNumberFormat="1" applyFill="1" applyBorder="1" applyProtection="1">
      <protection locked="0"/>
    </xf>
    <xf numFmtId="2" fontId="4" fillId="37" borderId="19" xfId="1" applyNumberFormat="1" applyFill="1" applyBorder="1" applyProtection="1">
      <protection locked="0"/>
    </xf>
    <xf numFmtId="2" fontId="4" fillId="37" borderId="0" xfId="1" applyNumberFormat="1" applyFill="1" applyBorder="1" applyProtection="1">
      <protection locked="0"/>
    </xf>
    <xf numFmtId="2" fontId="4" fillId="37" borderId="40" xfId="1" applyNumberFormat="1" applyFill="1" applyBorder="1" applyProtection="1">
      <protection locked="0"/>
    </xf>
    <xf numFmtId="2" fontId="9" fillId="37" borderId="0" xfId="1" applyNumberFormat="1" applyFont="1" applyFill="1" applyBorder="1" applyProtection="1">
      <protection locked="0"/>
    </xf>
    <xf numFmtId="0" fontId="4" fillId="0" borderId="42" xfId="1" applyBorder="1"/>
    <xf numFmtId="0" fontId="4" fillId="0" borderId="23" xfId="1" applyBorder="1"/>
    <xf numFmtId="0" fontId="9" fillId="0" borderId="23" xfId="1" applyFont="1" applyBorder="1"/>
    <xf numFmtId="0" fontId="9" fillId="0" borderId="43" xfId="1" applyFont="1" applyBorder="1"/>
    <xf numFmtId="0" fontId="13" fillId="0" borderId="43" xfId="1" applyFont="1" applyBorder="1" applyAlignment="1">
      <alignment vertical="center"/>
    </xf>
    <xf numFmtId="0" fontId="9" fillId="0" borderId="40" xfId="1" applyFont="1" applyBorder="1"/>
    <xf numFmtId="0" fontId="44" fillId="0" borderId="2" xfId="1" applyFont="1" applyBorder="1" applyAlignment="1">
      <alignment horizontal="right" vertical="center"/>
    </xf>
    <xf numFmtId="2" fontId="5" fillId="30" borderId="44" xfId="1" applyNumberFormat="1" applyFont="1" applyFill="1" applyBorder="1" applyAlignment="1">
      <alignment horizontal="center"/>
    </xf>
    <xf numFmtId="2" fontId="5" fillId="30" borderId="2" xfId="1" applyNumberFormat="1" applyFont="1" applyFill="1" applyBorder="1" applyAlignment="1">
      <alignment horizontal="center"/>
    </xf>
    <xf numFmtId="2" fontId="5" fillId="30" borderId="39" xfId="1" applyNumberFormat="1" applyFont="1" applyFill="1" applyBorder="1" applyAlignment="1">
      <alignment horizontal="center"/>
    </xf>
    <xf numFmtId="2" fontId="5" fillId="30" borderId="44" xfId="1" applyNumberFormat="1" applyFont="1" applyFill="1" applyBorder="1" applyAlignment="1">
      <alignment horizontal="right"/>
    </xf>
    <xf numFmtId="2" fontId="5" fillId="30" borderId="39" xfId="1" applyNumberFormat="1" applyFont="1" applyFill="1" applyBorder="1" applyAlignment="1">
      <alignment horizontal="right"/>
    </xf>
    <xf numFmtId="0" fontId="31" fillId="0" borderId="2" xfId="1" applyFont="1" applyBorder="1" applyAlignment="1">
      <alignment horizontal="centerContinuous" vertical="center"/>
    </xf>
    <xf numFmtId="2" fontId="5" fillId="30" borderId="42" xfId="1" applyNumberFormat="1" applyFont="1" applyFill="1" applyBorder="1" applyAlignment="1">
      <alignment horizontal="centerContinuous"/>
    </xf>
    <xf numFmtId="2" fontId="5" fillId="30" borderId="23" xfId="1" applyNumberFormat="1" applyFont="1" applyFill="1" applyBorder="1" applyAlignment="1">
      <alignment horizontal="centerContinuous"/>
    </xf>
    <xf numFmtId="2" fontId="5" fillId="30" borderId="43" xfId="1" applyNumberFormat="1" applyFont="1" applyFill="1" applyBorder="1" applyAlignment="1">
      <alignment horizontal="centerContinuous"/>
    </xf>
    <xf numFmtId="2" fontId="5" fillId="30" borderId="42" xfId="1" applyNumberFormat="1" applyFont="1" applyFill="1" applyBorder="1" applyAlignment="1">
      <alignment horizontal="right"/>
    </xf>
    <xf numFmtId="2" fontId="5" fillId="30" borderId="43" xfId="1" applyNumberFormat="1" applyFont="1" applyFill="1" applyBorder="1" applyAlignment="1">
      <alignment horizontal="right"/>
    </xf>
    <xf numFmtId="0" fontId="13" fillId="0" borderId="0" xfId="1" applyFont="1" applyBorder="1" applyAlignment="1">
      <alignment horizontal="centerContinuous"/>
    </xf>
    <xf numFmtId="0" fontId="4" fillId="0" borderId="0" xfId="1" applyBorder="1" applyAlignment="1">
      <alignment horizontal="centerContinuous"/>
    </xf>
    <xf numFmtId="0" fontId="44" fillId="0" borderId="0" xfId="1" applyFont="1" applyBorder="1" applyAlignment="1">
      <alignment horizontal="left" vertical="top"/>
    </xf>
    <xf numFmtId="0" fontId="16" fillId="0" borderId="40" xfId="1" applyFont="1" applyBorder="1" applyAlignment="1">
      <alignment vertical="top"/>
    </xf>
    <xf numFmtId="0" fontId="16" fillId="0" borderId="0" xfId="1" applyFont="1" applyBorder="1" applyAlignment="1">
      <alignment vertical="top"/>
    </xf>
    <xf numFmtId="0" fontId="16" fillId="0" borderId="0" xfId="1" applyFont="1" applyBorder="1" applyAlignment="1">
      <alignment horizontal="right" vertical="top"/>
    </xf>
    <xf numFmtId="14" fontId="6" fillId="0" borderId="40" xfId="1" applyNumberFormat="1" applyFont="1" applyBorder="1" applyAlignment="1">
      <alignment horizontal="left" vertical="top"/>
    </xf>
    <xf numFmtId="0" fontId="9" fillId="0" borderId="0" xfId="1" applyFont="1" applyBorder="1" applyAlignment="1">
      <alignment vertical="top"/>
    </xf>
    <xf numFmtId="0" fontId="4" fillId="0" borderId="0" xfId="1" applyBorder="1" applyAlignment="1" applyProtection="1">
      <alignment vertical="center"/>
      <protection locked="0"/>
    </xf>
    <xf numFmtId="0" fontId="9" fillId="0" borderId="0" xfId="1" applyFont="1" applyBorder="1" applyAlignment="1">
      <alignment horizontal="right" vertical="center"/>
    </xf>
    <xf numFmtId="0" fontId="20" fillId="0" borderId="0" xfId="1" applyFont="1" applyAlignment="1">
      <alignment horizontal="center" vertical="center"/>
    </xf>
    <xf numFmtId="0" fontId="4" fillId="0" borderId="0" xfId="1" applyFill="1" applyAlignment="1">
      <alignment vertical="center"/>
    </xf>
    <xf numFmtId="0" fontId="4" fillId="0" borderId="25" xfId="1" applyBorder="1" applyAlignment="1">
      <alignment vertical="center"/>
    </xf>
    <xf numFmtId="0" fontId="20" fillId="0" borderId="25" xfId="1" applyFont="1" applyBorder="1" applyAlignment="1">
      <alignment vertical="center"/>
    </xf>
    <xf numFmtId="0" fontId="4" fillId="0" borderId="36" xfId="1" applyBorder="1" applyAlignment="1">
      <alignment vertical="center"/>
    </xf>
    <xf numFmtId="3" fontId="6" fillId="4" borderId="0" xfId="1" applyNumberFormat="1" applyFont="1" applyFill="1" applyBorder="1" applyAlignment="1">
      <alignment horizontal="right" vertical="center"/>
    </xf>
    <xf numFmtId="0" fontId="6" fillId="4" borderId="0" xfId="1" applyFont="1" applyFill="1" applyBorder="1" applyAlignment="1">
      <alignment horizontal="right" vertical="center"/>
    </xf>
    <xf numFmtId="0" fontId="9" fillId="4" borderId="0" xfId="1" applyFont="1" applyFill="1" applyBorder="1" applyAlignment="1">
      <alignment horizontal="left" vertical="center"/>
    </xf>
    <xf numFmtId="0" fontId="9" fillId="4" borderId="0" xfId="1" applyFont="1" applyFill="1" applyBorder="1" applyAlignment="1">
      <alignment horizontal="right" vertical="center"/>
    </xf>
    <xf numFmtId="4" fontId="6" fillId="4" borderId="0" xfId="1" applyNumberFormat="1" applyFont="1" applyFill="1" applyBorder="1" applyAlignment="1">
      <alignment horizontal="right" vertical="center"/>
    </xf>
    <xf numFmtId="0" fontId="109" fillId="4" borderId="0" xfId="1" applyFont="1" applyFill="1" applyBorder="1" applyAlignment="1" applyProtection="1">
      <alignment horizontal="right" vertical="center"/>
    </xf>
    <xf numFmtId="0" fontId="20" fillId="0" borderId="0" xfId="1" applyFont="1" applyAlignment="1" applyProtection="1">
      <alignment horizontal="center" vertical="center"/>
      <protection locked="0"/>
    </xf>
    <xf numFmtId="188" fontId="4" fillId="0" borderId="0" xfId="1" applyNumberFormat="1" applyBorder="1" applyAlignment="1">
      <alignment horizontal="right" vertical="center"/>
    </xf>
    <xf numFmtId="0" fontId="4" fillId="0" borderId="0" xfId="1" applyFill="1"/>
    <xf numFmtId="0" fontId="110" fillId="0" borderId="34" xfId="1" applyFont="1" applyBorder="1" applyAlignment="1">
      <alignment horizontal="center" wrapText="1"/>
    </xf>
    <xf numFmtId="190" fontId="110" fillId="0" borderId="115" xfId="1" applyNumberFormat="1" applyFont="1" applyBorder="1" applyAlignment="1"/>
    <xf numFmtId="190" fontId="110" fillId="0" borderId="116" xfId="1" applyNumberFormat="1" applyFont="1" applyBorder="1" applyAlignment="1"/>
    <xf numFmtId="0" fontId="110" fillId="0" borderId="35" xfId="1" applyFont="1" applyBorder="1" applyAlignment="1">
      <alignment horizontal="center" wrapText="1"/>
    </xf>
    <xf numFmtId="190" fontId="111" fillId="30" borderId="58" xfId="1" applyNumberFormat="1" applyFont="1" applyFill="1" applyBorder="1" applyAlignment="1"/>
    <xf numFmtId="190" fontId="111" fillId="30" borderId="57" xfId="1" applyNumberFormat="1" applyFont="1" applyFill="1" applyBorder="1" applyAlignment="1"/>
    <xf numFmtId="0" fontId="111" fillId="30" borderId="3" xfId="1" applyFont="1" applyFill="1" applyBorder="1" applyAlignment="1">
      <alignment horizontal="center" wrapText="1"/>
    </xf>
    <xf numFmtId="190" fontId="110" fillId="0" borderId="58" xfId="1" applyNumberFormat="1" applyFont="1" applyBorder="1" applyAlignment="1"/>
    <xf numFmtId="190" fontId="110" fillId="0" borderId="8" xfId="1" applyNumberFormat="1" applyFont="1" applyBorder="1" applyAlignment="1"/>
    <xf numFmtId="0" fontId="110" fillId="0" borderId="25" xfId="1" applyFont="1" applyBorder="1" applyAlignment="1">
      <alignment horizontal="center" wrapText="1"/>
    </xf>
    <xf numFmtId="3" fontId="111" fillId="30" borderId="58" xfId="1" applyNumberFormat="1" applyFont="1" applyFill="1" applyBorder="1" applyAlignment="1">
      <alignment horizontal="center"/>
    </xf>
    <xf numFmtId="3" fontId="111" fillId="30" borderId="57" xfId="1" applyNumberFormat="1" applyFont="1" applyFill="1" applyBorder="1" applyAlignment="1">
      <alignment horizontal="center"/>
    </xf>
    <xf numFmtId="172" fontId="110" fillId="0" borderId="58" xfId="1" applyNumberFormat="1" applyFont="1" applyBorder="1" applyAlignment="1"/>
    <xf numFmtId="172" fontId="110" fillId="0" borderId="8" xfId="1" applyNumberFormat="1" applyFont="1" applyBorder="1" applyAlignment="1"/>
    <xf numFmtId="172" fontId="111" fillId="0" borderId="58" xfId="1" applyNumberFormat="1" applyFont="1" applyBorder="1" applyAlignment="1"/>
    <xf numFmtId="172" fontId="111" fillId="0" borderId="57" xfId="1" applyNumberFormat="1" applyFont="1" applyBorder="1" applyAlignment="1"/>
    <xf numFmtId="0" fontId="111" fillId="0" borderId="3" xfId="1" applyFont="1" applyBorder="1" applyAlignment="1">
      <alignment horizontal="center" wrapText="1"/>
    </xf>
    <xf numFmtId="3" fontId="110" fillId="0" borderId="44" xfId="1" applyNumberFormat="1" applyFont="1" applyBorder="1" applyAlignment="1">
      <alignment horizontal="center"/>
    </xf>
    <xf numFmtId="3" fontId="110" fillId="0" borderId="61" xfId="1" applyNumberFormat="1" applyFont="1" applyBorder="1" applyAlignment="1">
      <alignment horizontal="center"/>
    </xf>
    <xf numFmtId="3" fontId="110" fillId="0" borderId="19" xfId="1" applyNumberFormat="1" applyFont="1" applyBorder="1" applyAlignment="1">
      <alignment horizontal="center"/>
    </xf>
    <xf numFmtId="3" fontId="110" fillId="0" borderId="0" xfId="1" applyNumberFormat="1" applyFont="1" applyBorder="1" applyAlignment="1">
      <alignment horizontal="center"/>
    </xf>
    <xf numFmtId="0" fontId="110" fillId="0" borderId="27" xfId="1" applyFont="1" applyBorder="1" applyAlignment="1">
      <alignment horizontal="center" wrapText="1"/>
    </xf>
    <xf numFmtId="0" fontId="111" fillId="0" borderId="25" xfId="1" applyFont="1" applyBorder="1" applyAlignment="1">
      <alignment horizontal="center" wrapText="1"/>
    </xf>
    <xf numFmtId="0" fontId="111" fillId="0" borderId="19" xfId="1" applyFont="1" applyBorder="1" applyAlignment="1">
      <alignment horizontal="center"/>
    </xf>
    <xf numFmtId="0" fontId="111" fillId="30" borderId="72" xfId="1" applyFont="1" applyFill="1" applyBorder="1" applyAlignment="1">
      <alignment horizontal="center"/>
    </xf>
    <xf numFmtId="0" fontId="9" fillId="30" borderId="65" xfId="1" applyFont="1" applyFill="1" applyBorder="1" applyAlignment="1">
      <alignment vertical="center"/>
    </xf>
    <xf numFmtId="0" fontId="111" fillId="0" borderId="0" xfId="1" applyFont="1" applyBorder="1" applyAlignment="1">
      <alignment horizontal="center"/>
    </xf>
    <xf numFmtId="0" fontId="9" fillId="0" borderId="25" xfId="1" applyFont="1" applyBorder="1" applyAlignment="1">
      <alignment horizontal="right" vertical="center"/>
    </xf>
    <xf numFmtId="0" fontId="111" fillId="0" borderId="0" xfId="1" applyFont="1" applyBorder="1" applyAlignment="1">
      <alignment horizontal="left" wrapText="1"/>
    </xf>
    <xf numFmtId="0" fontId="9" fillId="0" borderId="40" xfId="1" applyFont="1" applyBorder="1" applyAlignment="1">
      <alignment horizontal="center" vertical="center"/>
    </xf>
    <xf numFmtId="0" fontId="9" fillId="0" borderId="3" xfId="1" applyFont="1" applyBorder="1" applyAlignment="1">
      <alignment horizontal="right" vertical="center"/>
    </xf>
    <xf numFmtId="0" fontId="110" fillId="0" borderId="2" xfId="1" applyFont="1" applyBorder="1"/>
    <xf numFmtId="0" fontId="9" fillId="0" borderId="2" xfId="1" applyFont="1" applyBorder="1" applyAlignment="1">
      <alignment vertical="center"/>
    </xf>
    <xf numFmtId="0" fontId="9" fillId="0" borderId="39" xfId="1" applyFont="1" applyBorder="1" applyAlignment="1">
      <alignment horizontal="center" vertical="center"/>
    </xf>
    <xf numFmtId="0" fontId="9" fillId="0" borderId="23" xfId="1" applyFont="1" applyBorder="1" applyAlignment="1">
      <alignment horizontal="right" vertical="center"/>
    </xf>
    <xf numFmtId="0" fontId="4" fillId="2" borderId="0" xfId="1" applyFill="1" applyBorder="1" applyAlignment="1">
      <alignment vertical="center"/>
    </xf>
    <xf numFmtId="0" fontId="9" fillId="2" borderId="0" xfId="1" applyFont="1" applyFill="1" applyBorder="1" applyAlignment="1">
      <alignment horizontal="left" vertical="center"/>
    </xf>
    <xf numFmtId="0" fontId="9" fillId="2" borderId="0" xfId="1" applyFont="1" applyFill="1" applyBorder="1" applyAlignment="1">
      <alignment horizontal="right" vertical="center"/>
    </xf>
    <xf numFmtId="0" fontId="20" fillId="2" borderId="0" xfId="1" applyFont="1" applyFill="1" applyBorder="1" applyAlignment="1">
      <alignment vertical="center"/>
    </xf>
    <xf numFmtId="0" fontId="20" fillId="2" borderId="0" xfId="1" applyFont="1" applyFill="1" applyAlignment="1">
      <alignment horizontal="center" vertical="center"/>
    </xf>
    <xf numFmtId="0" fontId="4" fillId="2" borderId="0" xfId="1" applyFill="1" applyAlignment="1">
      <alignment vertical="center"/>
    </xf>
    <xf numFmtId="0" fontId="4" fillId="0" borderId="59" xfId="1" applyBorder="1" applyAlignment="1">
      <alignment vertical="center"/>
    </xf>
    <xf numFmtId="0" fontId="4" fillId="0" borderId="46" xfId="1" applyBorder="1" applyAlignment="1">
      <alignment vertical="center"/>
    </xf>
    <xf numFmtId="0" fontId="4" fillId="30" borderId="41" xfId="1" applyFill="1" applyBorder="1" applyAlignment="1">
      <alignment vertical="center"/>
    </xf>
    <xf numFmtId="0" fontId="4" fillId="0" borderId="47" xfId="1" applyBorder="1" applyAlignment="1">
      <alignment vertical="center"/>
    </xf>
    <xf numFmtId="0" fontId="9" fillId="0" borderId="46" xfId="1" applyFont="1" applyBorder="1" applyAlignment="1">
      <alignment horizontal="left" vertical="center"/>
    </xf>
    <xf numFmtId="0" fontId="9" fillId="0" borderId="41" xfId="1" applyFont="1" applyBorder="1" applyAlignment="1">
      <alignment horizontal="right" vertical="center"/>
    </xf>
    <xf numFmtId="0" fontId="4" fillId="0" borderId="41" xfId="1" applyBorder="1" applyAlignment="1">
      <alignment vertical="center"/>
    </xf>
    <xf numFmtId="0" fontId="20" fillId="0" borderId="49" xfId="1" applyFont="1" applyBorder="1" applyAlignment="1">
      <alignment horizontal="center" vertical="center"/>
    </xf>
    <xf numFmtId="0" fontId="20" fillId="0" borderId="30" xfId="1" applyFont="1" applyBorder="1" applyAlignment="1">
      <alignment horizontal="center" vertical="center"/>
    </xf>
    <xf numFmtId="0" fontId="4" fillId="0" borderId="64" xfId="1" applyBorder="1" applyAlignment="1">
      <alignment vertical="center"/>
    </xf>
    <xf numFmtId="0" fontId="4" fillId="30" borderId="0" xfId="1" applyFill="1" applyBorder="1" applyAlignment="1">
      <alignment vertical="center"/>
    </xf>
    <xf numFmtId="0" fontId="4" fillId="0" borderId="19" xfId="1" applyBorder="1" applyAlignment="1">
      <alignment vertical="center"/>
    </xf>
    <xf numFmtId="0" fontId="9" fillId="0" borderId="40" xfId="1" applyFont="1" applyBorder="1" applyAlignment="1">
      <alignment horizontal="left" vertical="center"/>
    </xf>
    <xf numFmtId="185" fontId="4" fillId="0" borderId="19" xfId="1" applyNumberFormat="1" applyBorder="1" applyAlignment="1">
      <alignment vertical="center"/>
    </xf>
    <xf numFmtId="0" fontId="6" fillId="0" borderId="127" xfId="105" applyFont="1" applyBorder="1" applyAlignment="1" applyProtection="1">
      <alignment horizontal="right" vertical="center"/>
    </xf>
    <xf numFmtId="0" fontId="20" fillId="0" borderId="127" xfId="1" applyFont="1" applyBorder="1" applyAlignment="1">
      <alignment vertical="center"/>
    </xf>
    <xf numFmtId="0" fontId="16" fillId="0" borderId="125" xfId="1" applyFont="1" applyBorder="1" applyAlignment="1">
      <alignment vertical="center"/>
    </xf>
    <xf numFmtId="0" fontId="20" fillId="0" borderId="0" xfId="1" applyFont="1" applyBorder="1" applyAlignment="1">
      <alignment horizontal="right" vertical="center"/>
    </xf>
    <xf numFmtId="0" fontId="6" fillId="0" borderId="2" xfId="1" applyFont="1" applyBorder="1" applyAlignment="1">
      <alignment horizontal="right" vertical="center"/>
    </xf>
    <xf numFmtId="0" fontId="16" fillId="0" borderId="39" xfId="1" applyFont="1" applyBorder="1" applyAlignment="1">
      <alignment vertical="center"/>
    </xf>
    <xf numFmtId="0" fontId="16" fillId="0" borderId="0" xfId="1" applyFont="1" applyBorder="1" applyAlignment="1">
      <alignment vertical="center"/>
    </xf>
    <xf numFmtId="0" fontId="4" fillId="0" borderId="128" xfId="1" applyBorder="1" applyAlignment="1">
      <alignment vertical="center"/>
    </xf>
    <xf numFmtId="0" fontId="4" fillId="0" borderId="43" xfId="1" applyBorder="1" applyAlignment="1">
      <alignment vertical="center"/>
    </xf>
    <xf numFmtId="0" fontId="4" fillId="30" borderId="23" xfId="1" applyFill="1" applyBorder="1" applyAlignment="1">
      <alignment vertical="center"/>
    </xf>
    <xf numFmtId="0" fontId="4" fillId="0" borderId="42" xfId="1" applyBorder="1" applyAlignment="1">
      <alignment vertical="center"/>
    </xf>
    <xf numFmtId="0" fontId="9" fillId="0" borderId="43" xfId="1" applyFont="1" applyBorder="1" applyAlignment="1">
      <alignment horizontal="left" vertical="center"/>
    </xf>
    <xf numFmtId="0" fontId="4" fillId="0" borderId="23" xfId="1" applyBorder="1" applyAlignment="1">
      <alignment vertical="center"/>
    </xf>
    <xf numFmtId="0" fontId="6" fillId="32" borderId="0" xfId="1" applyFont="1" applyFill="1" applyBorder="1" applyAlignment="1" applyProtection="1">
      <alignment horizontal="left" vertical="center"/>
      <protection locked="0"/>
    </xf>
    <xf numFmtId="0" fontId="4" fillId="0" borderId="78" xfId="1" applyBorder="1" applyAlignment="1">
      <alignment vertical="center"/>
    </xf>
    <xf numFmtId="0" fontId="4" fillId="0" borderId="130" xfId="1" applyBorder="1" applyAlignment="1">
      <alignment vertical="center"/>
    </xf>
    <xf numFmtId="0" fontId="4" fillId="30" borderId="24" xfId="1" applyFill="1" applyBorder="1" applyAlignment="1">
      <alignment vertical="center"/>
    </xf>
    <xf numFmtId="0" fontId="4" fillId="0" borderId="131" xfId="1" applyBorder="1" applyAlignment="1">
      <alignment vertical="center"/>
    </xf>
    <xf numFmtId="0" fontId="9" fillId="0" borderId="130" xfId="1" applyFont="1" applyBorder="1" applyAlignment="1">
      <alignment horizontal="left" vertical="center"/>
    </xf>
    <xf numFmtId="0" fontId="9" fillId="0" borderId="24" xfId="1" applyFont="1" applyBorder="1" applyAlignment="1">
      <alignment horizontal="right" vertical="center"/>
    </xf>
    <xf numFmtId="0" fontId="4" fillId="0" borderId="24" xfId="1" applyBorder="1" applyAlignment="1">
      <alignment vertical="center"/>
    </xf>
    <xf numFmtId="0" fontId="20" fillId="0" borderId="132" xfId="1" applyFont="1" applyBorder="1" applyAlignment="1">
      <alignment horizontal="center" vertical="center"/>
    </xf>
    <xf numFmtId="0" fontId="4" fillId="3" borderId="0" xfId="1" applyFill="1" applyBorder="1" applyAlignment="1">
      <alignment vertical="center"/>
    </xf>
    <xf numFmtId="188" fontId="6" fillId="0" borderId="44" xfId="1" applyNumberFormat="1" applyFont="1" applyBorder="1" applyAlignment="1">
      <alignment horizontal="right" vertical="center"/>
    </xf>
    <xf numFmtId="202" fontId="4" fillId="0" borderId="39" xfId="1" applyNumberFormat="1" applyBorder="1" applyAlignment="1">
      <alignment horizontal="right" vertical="center"/>
    </xf>
    <xf numFmtId="188" fontId="6" fillId="30" borderId="44" xfId="1" applyNumberFormat="1" applyFont="1" applyFill="1" applyBorder="1" applyAlignment="1">
      <alignment horizontal="right" vertical="center"/>
    </xf>
    <xf numFmtId="0" fontId="6" fillId="0" borderId="44" xfId="1" applyFont="1" applyBorder="1" applyAlignment="1">
      <alignment horizontal="right" vertical="center"/>
    </xf>
    <xf numFmtId="49" fontId="4" fillId="0" borderId="2" xfId="1" applyNumberFormat="1" applyBorder="1" applyAlignment="1">
      <alignment horizontal="left" vertical="center"/>
    </xf>
    <xf numFmtId="0" fontId="4" fillId="0" borderId="39" xfId="1" applyBorder="1" applyAlignment="1">
      <alignment vertical="center"/>
    </xf>
    <xf numFmtId="0" fontId="20" fillId="0" borderId="34" xfId="1" applyFont="1" applyBorder="1" applyAlignment="1">
      <alignment horizontal="center" vertical="center"/>
    </xf>
    <xf numFmtId="188" fontId="6" fillId="0" borderId="19" xfId="1" applyNumberFormat="1" applyFont="1" applyBorder="1" applyAlignment="1">
      <alignment horizontal="right" vertical="center"/>
    </xf>
    <xf numFmtId="202" fontId="4" fillId="0" borderId="40" xfId="1" applyNumberFormat="1" applyBorder="1" applyAlignment="1">
      <alignment horizontal="right" vertical="center"/>
    </xf>
    <xf numFmtId="188" fontId="6" fillId="30" borderId="19" xfId="1" applyNumberFormat="1" applyFont="1" applyFill="1" applyBorder="1" applyAlignment="1">
      <alignment horizontal="right" vertical="center"/>
    </xf>
    <xf numFmtId="49" fontId="4" fillId="0" borderId="0" xfId="1" applyNumberFormat="1" applyBorder="1" applyAlignment="1">
      <alignment horizontal="left" vertical="center"/>
    </xf>
    <xf numFmtId="0" fontId="20" fillId="0" borderId="25" xfId="1" applyFont="1" applyBorder="1" applyAlignment="1">
      <alignment horizontal="center" vertical="center"/>
    </xf>
    <xf numFmtId="188" fontId="13" fillId="0" borderId="58" xfId="1" applyNumberFormat="1" applyFont="1" applyBorder="1" applyAlignment="1">
      <alignment horizontal="right" vertical="center"/>
    </xf>
    <xf numFmtId="202" fontId="4" fillId="0" borderId="77" xfId="1" applyNumberFormat="1" applyBorder="1" applyAlignment="1">
      <alignment horizontal="right" vertical="center"/>
    </xf>
    <xf numFmtId="188" fontId="13" fillId="30" borderId="58" xfId="1" applyNumberFormat="1" applyFont="1" applyFill="1" applyBorder="1" applyAlignment="1">
      <alignment horizontal="right" vertical="center"/>
    </xf>
    <xf numFmtId="0" fontId="6" fillId="0" borderId="57" xfId="1" applyFont="1" applyBorder="1" applyAlignment="1">
      <alignment horizontal="right" vertical="center"/>
    </xf>
    <xf numFmtId="49" fontId="5" fillId="0" borderId="57" xfId="1" applyNumberFormat="1" applyFont="1" applyBorder="1" applyAlignment="1">
      <alignment horizontal="left" vertical="center"/>
    </xf>
    <xf numFmtId="0" fontId="4" fillId="0" borderId="57" xfId="1" applyBorder="1" applyAlignment="1">
      <alignment vertical="center"/>
    </xf>
    <xf numFmtId="188" fontId="6" fillId="0" borderId="42" xfId="1" applyNumberFormat="1" applyFont="1" applyBorder="1" applyAlignment="1">
      <alignment horizontal="right" vertical="center"/>
    </xf>
    <xf numFmtId="202" fontId="4" fillId="0" borderId="43" xfId="1" applyNumberFormat="1" applyBorder="1" applyAlignment="1">
      <alignment horizontal="right" vertical="center"/>
    </xf>
    <xf numFmtId="188" fontId="6" fillId="30" borderId="42" xfId="1" applyNumberFormat="1" applyFont="1" applyFill="1" applyBorder="1" applyAlignment="1">
      <alignment horizontal="right" vertical="center"/>
    </xf>
    <xf numFmtId="0" fontId="9" fillId="3" borderId="0" xfId="67" applyFill="1" applyBorder="1" applyAlignment="1">
      <alignment vertical="center"/>
    </xf>
    <xf numFmtId="0" fontId="6" fillId="0" borderId="2" xfId="67" applyFont="1" applyBorder="1" applyAlignment="1">
      <alignment horizontal="right" vertical="center"/>
    </xf>
    <xf numFmtId="2" fontId="6" fillId="0" borderId="2" xfId="67" applyNumberFormat="1" applyFont="1" applyBorder="1" applyAlignment="1">
      <alignment vertical="center"/>
    </xf>
    <xf numFmtId="0" fontId="6" fillId="0" borderId="2" xfId="67" applyFont="1" applyBorder="1" applyAlignment="1">
      <alignment vertical="center"/>
    </xf>
    <xf numFmtId="0" fontId="13" fillId="0" borderId="2" xfId="67" applyFont="1" applyBorder="1" applyAlignment="1">
      <alignment vertical="center"/>
    </xf>
    <xf numFmtId="0" fontId="20" fillId="0" borderId="25" xfId="67" applyFont="1" applyBorder="1" applyAlignment="1">
      <alignment horizontal="center" vertical="center"/>
    </xf>
    <xf numFmtId="0" fontId="9" fillId="0" borderId="23" xfId="67" applyFont="1" applyBorder="1" applyAlignment="1">
      <alignment horizontal="right" vertical="center"/>
    </xf>
    <xf numFmtId="1" fontId="9" fillId="0" borderId="23" xfId="67" applyNumberFormat="1" applyBorder="1" applyAlignment="1">
      <alignment vertical="center"/>
    </xf>
    <xf numFmtId="0" fontId="9" fillId="0" borderId="23" xfId="67" applyBorder="1" applyAlignment="1">
      <alignment vertical="center"/>
    </xf>
    <xf numFmtId="0" fontId="14" fillId="0" borderId="23" xfId="67" applyFont="1" applyBorder="1" applyAlignment="1">
      <alignment vertical="center"/>
    </xf>
    <xf numFmtId="0" fontId="20" fillId="0" borderId="36" xfId="67" applyFont="1" applyBorder="1" applyAlignment="1" applyProtection="1">
      <alignment horizontal="center" vertical="center"/>
      <protection locked="0"/>
    </xf>
    <xf numFmtId="0" fontId="13" fillId="0" borderId="2" xfId="105" applyFont="1" applyBorder="1" applyAlignment="1" applyProtection="1">
      <alignment horizontal="right" vertical="center"/>
    </xf>
    <xf numFmtId="0" fontId="114" fillId="0" borderId="2" xfId="105" applyFont="1" applyBorder="1" applyAlignment="1" applyProtection="1">
      <alignment vertical="center"/>
    </xf>
    <xf numFmtId="0" fontId="20" fillId="0" borderId="39" xfId="105" applyFont="1" applyBorder="1" applyAlignment="1" applyProtection="1">
      <alignment vertical="center"/>
    </xf>
    <xf numFmtId="0" fontId="13" fillId="0" borderId="0" xfId="105" applyFont="1" applyBorder="1" applyAlignment="1" applyProtection="1">
      <alignment horizontal="right" vertical="center"/>
    </xf>
    <xf numFmtId="0" fontId="114" fillId="0" borderId="0" xfId="105" applyFont="1" applyBorder="1" applyAlignment="1" applyProtection="1">
      <alignment vertical="center"/>
    </xf>
    <xf numFmtId="0" fontId="14" fillId="0" borderId="0" xfId="105" applyFont="1" applyBorder="1" applyAlignment="1" applyProtection="1">
      <alignment vertical="center"/>
    </xf>
    <xf numFmtId="0" fontId="20" fillId="0" borderId="25" xfId="1" applyFont="1" applyBorder="1" applyAlignment="1" applyProtection="1">
      <alignment horizontal="center" vertical="center"/>
      <protection locked="0"/>
    </xf>
    <xf numFmtId="0" fontId="6" fillId="0" borderId="2" xfId="105" applyFont="1" applyBorder="1" applyAlignment="1" applyProtection="1">
      <alignment horizontal="right" vertical="center"/>
    </xf>
    <xf numFmtId="0" fontId="45" fillId="0" borderId="2" xfId="105" applyFont="1" applyBorder="1" applyAlignment="1" applyProtection="1">
      <alignment vertical="center"/>
    </xf>
    <xf numFmtId="0" fontId="13" fillId="0" borderId="19" xfId="105" applyFont="1" applyBorder="1" applyAlignment="1" applyProtection="1">
      <alignment horizontal="right" vertical="center"/>
    </xf>
    <xf numFmtId="0" fontId="45"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42" xfId="1" applyFont="1" applyBorder="1" applyAlignment="1">
      <alignment horizontal="right" vertical="center"/>
    </xf>
    <xf numFmtId="0" fontId="114" fillId="0" borderId="23" xfId="105" applyFont="1" applyBorder="1" applyAlignment="1" applyProtection="1">
      <alignment vertical="center"/>
    </xf>
    <xf numFmtId="0" fontId="16" fillId="0" borderId="43" xfId="105" applyFont="1" applyBorder="1" applyAlignment="1" applyProtection="1">
      <alignment vertical="center"/>
    </xf>
    <xf numFmtId="0" fontId="20" fillId="0" borderId="36" xfId="1" applyFont="1" applyBorder="1" applyAlignment="1">
      <alignment horizontal="center" vertical="center"/>
    </xf>
    <xf numFmtId="200" fontId="13" fillId="0" borderId="80" xfId="1" applyNumberFormat="1" applyFont="1" applyFill="1" applyBorder="1" applyAlignment="1">
      <alignment vertical="center"/>
    </xf>
    <xf numFmtId="171" fontId="13" fillId="0" borderId="63" xfId="1" applyNumberFormat="1" applyFont="1" applyFill="1" applyBorder="1" applyAlignment="1">
      <alignment vertical="center"/>
    </xf>
    <xf numFmtId="200" fontId="13" fillId="30" borderId="80" xfId="1" applyNumberFormat="1" applyFont="1" applyFill="1" applyBorder="1" applyAlignment="1">
      <alignment vertical="center"/>
    </xf>
    <xf numFmtId="171" fontId="13" fillId="30" borderId="63" xfId="1" applyNumberFormat="1" applyFont="1" applyFill="1" applyBorder="1" applyAlignment="1">
      <alignment vertical="center"/>
    </xf>
    <xf numFmtId="185" fontId="13" fillId="0" borderId="34" xfId="1" applyNumberFormat="1" applyFont="1" applyFill="1" applyBorder="1" applyAlignment="1">
      <alignment vertical="center"/>
    </xf>
    <xf numFmtId="171" fontId="13" fillId="0" borderId="34" xfId="1" applyNumberFormat="1" applyFont="1" applyFill="1" applyBorder="1" applyAlignment="1">
      <alignment vertical="center"/>
    </xf>
    <xf numFmtId="0" fontId="9" fillId="0" borderId="2" xfId="1" applyFont="1" applyFill="1" applyBorder="1" applyAlignment="1">
      <alignment horizontal="right" vertical="center"/>
    </xf>
    <xf numFmtId="0" fontId="114" fillId="0" borderId="2" xfId="105" applyFont="1" applyFill="1" applyBorder="1" applyAlignment="1" applyProtection="1">
      <alignment vertical="center"/>
    </xf>
    <xf numFmtId="0" fontId="14" fillId="0" borderId="2" xfId="105" applyFont="1" applyFill="1" applyBorder="1" applyAlignment="1" applyProtection="1">
      <alignment vertical="center"/>
    </xf>
    <xf numFmtId="0" fontId="14" fillId="0" borderId="39" xfId="105" applyFont="1" applyFill="1" applyBorder="1" applyAlignment="1" applyProtection="1">
      <alignment horizontal="left" vertical="center"/>
    </xf>
    <xf numFmtId="200" fontId="13" fillId="0" borderId="83" xfId="1" applyNumberFormat="1" applyFont="1" applyFill="1" applyBorder="1" applyAlignment="1">
      <alignment vertical="center"/>
    </xf>
    <xf numFmtId="171" fontId="13" fillId="0" borderId="70" xfId="1" applyNumberFormat="1" applyFont="1" applyFill="1" applyBorder="1" applyAlignment="1">
      <alignment vertical="center"/>
    </xf>
    <xf numFmtId="200" fontId="13" fillId="30" borderId="83" xfId="1" applyNumberFormat="1" applyFont="1" applyFill="1" applyBorder="1" applyAlignment="1">
      <alignment vertical="center"/>
    </xf>
    <xf numFmtId="171" fontId="13" fillId="30" borderId="70" xfId="1" applyNumberFormat="1" applyFont="1" applyFill="1" applyBorder="1" applyAlignment="1">
      <alignment vertical="center"/>
    </xf>
    <xf numFmtId="185" fontId="13" fillId="0" borderId="36" xfId="1" applyNumberFormat="1" applyFont="1" applyFill="1" applyBorder="1" applyAlignment="1">
      <alignment vertical="center"/>
    </xf>
    <xf numFmtId="171" fontId="13" fillId="0" borderId="36" xfId="1" applyNumberFormat="1" applyFont="1" applyFill="1" applyBorder="1" applyAlignment="1">
      <alignment vertical="center"/>
    </xf>
    <xf numFmtId="0" fontId="4" fillId="0" borderId="23" xfId="1" applyFill="1" applyBorder="1" applyAlignment="1">
      <alignment horizontal="right" vertical="center"/>
    </xf>
    <xf numFmtId="0" fontId="114" fillId="0" borderId="23" xfId="105" applyFont="1" applyFill="1" applyBorder="1" applyAlignment="1" applyProtection="1">
      <alignment vertical="center"/>
    </xf>
    <xf numFmtId="0" fontId="14" fillId="0" borderId="23" xfId="105" applyFont="1" applyFill="1" applyBorder="1" applyAlignment="1" applyProtection="1">
      <alignment vertical="center"/>
    </xf>
    <xf numFmtId="0" fontId="14" fillId="0" borderId="43" xfId="105" applyFont="1" applyFill="1" applyBorder="1" applyAlignment="1" applyProtection="1">
      <alignment horizontal="left" vertical="center"/>
    </xf>
    <xf numFmtId="200" fontId="6" fillId="4" borderId="80" xfId="1" applyNumberFormat="1" applyFont="1" applyFill="1" applyBorder="1" applyAlignment="1">
      <alignment vertical="center"/>
    </xf>
    <xf numFmtId="171" fontId="6" fillId="0" borderId="67" xfId="1" applyNumberFormat="1" applyFont="1" applyBorder="1" applyAlignment="1">
      <alignment vertical="center"/>
    </xf>
    <xf numFmtId="200" fontId="6" fillId="30" borderId="2" xfId="1" applyNumberFormat="1" applyFont="1" applyFill="1" applyBorder="1" applyAlignment="1">
      <alignment vertical="center"/>
    </xf>
    <xf numFmtId="171" fontId="6" fillId="30" borderId="67" xfId="1" applyNumberFormat="1" applyFont="1" applyFill="1" applyBorder="1" applyAlignment="1">
      <alignment vertical="center"/>
    </xf>
    <xf numFmtId="200" fontId="6" fillId="0" borderId="0" xfId="1" applyNumberFormat="1" applyFont="1" applyBorder="1" applyAlignment="1">
      <alignment vertical="center"/>
    </xf>
    <xf numFmtId="0" fontId="6" fillId="0" borderId="0" xfId="105" applyFont="1" applyBorder="1" applyAlignment="1" applyProtection="1">
      <alignment vertical="center"/>
    </xf>
    <xf numFmtId="0" fontId="9" fillId="0" borderId="0" xfId="105" applyFont="1" applyBorder="1" applyAlignment="1" applyProtection="1">
      <alignment vertical="center"/>
    </xf>
    <xf numFmtId="0" fontId="9" fillId="0" borderId="23" xfId="1" applyFont="1" applyFill="1" applyBorder="1" applyAlignment="1">
      <alignment horizontal="right" vertical="center"/>
    </xf>
    <xf numFmtId="200" fontId="9" fillId="0" borderId="82" xfId="1" applyNumberFormat="1" applyFont="1" applyBorder="1" applyAlignment="1">
      <alignment vertical="center"/>
    </xf>
    <xf numFmtId="200" fontId="9" fillId="30" borderId="0" xfId="1" applyNumberFormat="1" applyFont="1" applyFill="1" applyBorder="1" applyAlignment="1">
      <alignment vertical="center"/>
    </xf>
    <xf numFmtId="171" fontId="6" fillId="30" borderId="133" xfId="1" applyNumberFormat="1" applyFont="1" applyFill="1" applyBorder="1" applyAlignment="1">
      <alignment vertical="center"/>
    </xf>
    <xf numFmtId="200" fontId="9" fillId="0" borderId="0" xfId="1" applyNumberFormat="1" applyFont="1" applyBorder="1" applyAlignment="1">
      <alignment vertical="center"/>
    </xf>
    <xf numFmtId="0" fontId="6" fillId="0" borderId="57" xfId="105" applyFont="1" applyFill="1" applyBorder="1" applyAlignment="1" applyProtection="1">
      <alignment horizontal="left" vertical="center"/>
    </xf>
    <xf numFmtId="0" fontId="16" fillId="0" borderId="0" xfId="105" applyFont="1" applyBorder="1" applyAlignment="1" applyProtection="1">
      <alignment vertical="center"/>
    </xf>
    <xf numFmtId="200" fontId="9" fillId="0" borderId="81" xfId="1" applyNumberFormat="1" applyFont="1" applyFill="1" applyBorder="1" applyAlignment="1">
      <alignment vertical="center"/>
    </xf>
    <xf numFmtId="171" fontId="6" fillId="0" borderId="133" xfId="1" applyNumberFormat="1" applyFont="1" applyFill="1" applyBorder="1" applyAlignment="1">
      <alignment vertical="center"/>
    </xf>
    <xf numFmtId="200" fontId="9" fillId="30" borderId="58" xfId="1" applyNumberFormat="1" applyFont="1" applyFill="1" applyBorder="1" applyAlignment="1">
      <alignment vertical="center"/>
    </xf>
    <xf numFmtId="200" fontId="9" fillId="0" borderId="57" xfId="1" applyNumberFormat="1" applyFont="1" applyFill="1" applyBorder="1" applyAlignment="1">
      <alignment vertical="center"/>
    </xf>
    <xf numFmtId="0" fontId="16" fillId="0" borderId="58" xfId="105" applyFont="1" applyFill="1" applyBorder="1" applyAlignment="1" applyProtection="1">
      <alignment horizontal="left" vertical="center"/>
    </xf>
    <xf numFmtId="0" fontId="16" fillId="0" borderId="57" xfId="105" applyFont="1" applyFill="1" applyBorder="1" applyAlignment="1" applyProtection="1">
      <alignment horizontal="left" vertical="center"/>
    </xf>
    <xf numFmtId="0" fontId="14" fillId="0" borderId="77" xfId="105" applyFont="1" applyFill="1" applyBorder="1" applyAlignment="1" applyProtection="1">
      <alignment horizontal="left" vertical="center"/>
    </xf>
    <xf numFmtId="0" fontId="4" fillId="0" borderId="0" xfId="1" applyAlignment="1"/>
    <xf numFmtId="0" fontId="9" fillId="0" borderId="82" xfId="105" applyFont="1" applyBorder="1" applyAlignment="1" applyProtection="1">
      <alignment horizontal="center"/>
    </xf>
    <xf numFmtId="0" fontId="9" fillId="0" borderId="67" xfId="105" applyFont="1" applyBorder="1" applyAlignment="1" applyProtection="1">
      <alignment horizontal="center"/>
    </xf>
    <xf numFmtId="0" fontId="9" fillId="30" borderId="0" xfId="105" applyFont="1" applyFill="1" applyBorder="1" applyAlignment="1" applyProtection="1">
      <alignment horizontal="center"/>
    </xf>
    <xf numFmtId="0" fontId="9" fillId="30" borderId="67" xfId="105" applyFont="1" applyFill="1" applyBorder="1" applyAlignment="1" applyProtection="1">
      <alignment horizontal="center"/>
    </xf>
    <xf numFmtId="0" fontId="9" fillId="0" borderId="0" xfId="105" applyFont="1" applyBorder="1" applyAlignment="1" applyProtection="1">
      <alignment horizontal="center"/>
    </xf>
    <xf numFmtId="0" fontId="14" fillId="0" borderId="19" xfId="105" applyFont="1" applyBorder="1" applyAlignment="1" applyProtection="1">
      <alignment horizontal="left"/>
    </xf>
    <xf numFmtId="0" fontId="14" fillId="0" borderId="0" xfId="105" applyFont="1" applyBorder="1" applyAlignment="1" applyProtection="1">
      <alignment horizontal="left"/>
    </xf>
    <xf numFmtId="0" fontId="20" fillId="0" borderId="25" xfId="1" applyFont="1" applyBorder="1" applyAlignment="1">
      <alignment horizont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6" fillId="0" borderId="0" xfId="105" applyFont="1" applyBorder="1" applyAlignment="1" applyProtection="1">
      <alignment horizontal="right" vertical="center"/>
    </xf>
    <xf numFmtId="0" fontId="6" fillId="0" borderId="40" xfId="105" applyFont="1" applyBorder="1" applyAlignment="1" applyProtection="1">
      <alignment vertical="center"/>
    </xf>
    <xf numFmtId="0" fontId="20" fillId="0" borderId="19" xfId="105" applyFont="1" applyBorder="1" applyAlignment="1" applyProtection="1">
      <alignment horizontal="right" vertical="center"/>
    </xf>
    <xf numFmtId="0" fontId="20" fillId="0" borderId="136" xfId="105" applyFont="1" applyBorder="1" applyAlignment="1" applyProtection="1">
      <alignment horizontal="right"/>
    </xf>
    <xf numFmtId="0" fontId="114" fillId="0" borderId="0" xfId="105" applyFont="1" applyBorder="1" applyAlignment="1" applyProtection="1"/>
    <xf numFmtId="0" fontId="14" fillId="0" borderId="0" xfId="105" applyFont="1" applyBorder="1" applyAlignment="1" applyProtection="1"/>
    <xf numFmtId="0" fontId="6" fillId="0" borderId="139" xfId="105" applyFont="1" applyBorder="1" applyAlignment="1" applyProtection="1">
      <alignment horizontal="right" vertical="center"/>
    </xf>
    <xf numFmtId="0" fontId="114" fillId="0" borderId="139" xfId="105" applyFont="1" applyBorder="1" applyAlignment="1" applyProtection="1">
      <alignment vertical="center"/>
    </xf>
    <xf numFmtId="0" fontId="14" fillId="0" borderId="139" xfId="105" applyFont="1" applyBorder="1" applyAlignment="1" applyProtection="1">
      <alignment vertical="center"/>
    </xf>
    <xf numFmtId="0" fontId="14" fillId="0" borderId="138" xfId="105" applyFont="1" applyBorder="1" applyAlignment="1" applyProtection="1">
      <alignment vertical="center"/>
    </xf>
    <xf numFmtId="4" fontId="13" fillId="0" borderId="140" xfId="1" applyNumberFormat="1" applyFont="1" applyBorder="1" applyAlignment="1">
      <alignment horizontal="center" vertical="center"/>
    </xf>
    <xf numFmtId="3" fontId="13" fillId="0" borderId="141" xfId="1" applyNumberFormat="1" applyFont="1" applyBorder="1" applyAlignment="1">
      <alignment horizontal="center" vertical="center"/>
    </xf>
    <xf numFmtId="4" fontId="13" fillId="30" borderId="126" xfId="1" applyNumberFormat="1" applyFont="1" applyFill="1" applyBorder="1" applyAlignment="1">
      <alignment horizontal="center" vertical="center"/>
    </xf>
    <xf numFmtId="3" fontId="13" fillId="30" borderId="141" xfId="1" applyNumberFormat="1" applyFont="1" applyFill="1" applyBorder="1" applyAlignment="1">
      <alignment horizontal="center" vertical="center"/>
    </xf>
    <xf numFmtId="4" fontId="13" fillId="0" borderId="126" xfId="1" applyNumberFormat="1" applyFont="1" applyBorder="1" applyAlignment="1">
      <alignment horizontal="center" vertical="center"/>
    </xf>
    <xf numFmtId="0" fontId="20" fillId="0" borderId="127" xfId="105" applyFont="1" applyBorder="1" applyAlignment="1" applyProtection="1">
      <alignment horizontal="right" vertical="center"/>
    </xf>
    <xf numFmtId="0" fontId="14" fillId="0" borderId="127" xfId="105" applyFont="1" applyBorder="1" applyAlignment="1" applyProtection="1">
      <alignment vertical="center"/>
    </xf>
    <xf numFmtId="0" fontId="14" fillId="0" borderId="125" xfId="105" applyFont="1" applyBorder="1" applyAlignment="1" applyProtection="1">
      <alignment vertical="center"/>
    </xf>
    <xf numFmtId="4" fontId="13" fillId="0" borderId="142" xfId="1" applyNumberFormat="1" applyFont="1" applyBorder="1" applyAlignment="1">
      <alignment horizontal="center"/>
    </xf>
    <xf numFmtId="3" fontId="13" fillId="0" borderId="143" xfId="1" applyNumberFormat="1" applyFont="1" applyBorder="1" applyAlignment="1">
      <alignment horizontal="center"/>
    </xf>
    <xf numFmtId="4" fontId="13" fillId="30" borderId="134" xfId="1" applyNumberFormat="1" applyFont="1" applyFill="1" applyBorder="1" applyAlignment="1">
      <alignment horizontal="center"/>
    </xf>
    <xf numFmtId="3" fontId="13" fillId="30" borderId="143" xfId="1" applyNumberFormat="1" applyFont="1" applyFill="1" applyBorder="1" applyAlignment="1">
      <alignment horizontal="center"/>
    </xf>
    <xf numFmtId="4" fontId="13" fillId="0" borderId="134" xfId="1" applyNumberFormat="1" applyFont="1" applyBorder="1" applyAlignment="1">
      <alignment horizontal="center"/>
    </xf>
    <xf numFmtId="0" fontId="20" fillId="0" borderId="136" xfId="105" applyFont="1" applyBorder="1" applyAlignment="1" applyProtection="1"/>
    <xf numFmtId="0" fontId="14" fillId="0" borderId="136" xfId="105" applyFont="1" applyBorder="1" applyAlignment="1" applyProtection="1"/>
    <xf numFmtId="0" fontId="14" fillId="0" borderId="135" xfId="105" applyFont="1" applyBorder="1" applyAlignment="1" applyProtection="1"/>
    <xf numFmtId="0" fontId="9" fillId="0" borderId="83" xfId="105" applyFont="1" applyBorder="1" applyAlignment="1" applyProtection="1">
      <alignment horizontal="center" vertical="center"/>
    </xf>
    <xf numFmtId="0" fontId="9" fillId="0" borderId="70" xfId="105" applyFont="1" applyBorder="1" applyAlignment="1" applyProtection="1">
      <alignment horizontal="center" vertical="center"/>
    </xf>
    <xf numFmtId="0" fontId="9" fillId="30" borderId="23" xfId="105" applyFont="1" applyFill="1" applyBorder="1" applyAlignment="1" applyProtection="1">
      <alignment horizontal="center" vertical="center"/>
    </xf>
    <xf numFmtId="0" fontId="9" fillId="30" borderId="70" xfId="105" applyFont="1" applyFill="1" applyBorder="1" applyAlignment="1" applyProtection="1">
      <alignment horizontal="center" vertical="center"/>
    </xf>
    <xf numFmtId="0" fontId="9" fillId="0" borderId="23" xfId="105" applyFont="1" applyBorder="1" applyAlignment="1" applyProtection="1">
      <alignment horizontal="center" vertical="center"/>
    </xf>
    <xf numFmtId="0" fontId="6" fillId="0" borderId="144" xfId="105" applyFont="1" applyBorder="1" applyAlignment="1" applyProtection="1">
      <alignment horizontal="right" vertical="center"/>
    </xf>
    <xf numFmtId="0" fontId="114" fillId="0" borderId="144" xfId="105" applyFont="1" applyBorder="1" applyAlignment="1" applyProtection="1">
      <alignment vertical="center"/>
    </xf>
    <xf numFmtId="0" fontId="14" fillId="0" borderId="145" xfId="105" applyFont="1" applyBorder="1" applyAlignment="1" applyProtection="1">
      <alignment vertical="center"/>
    </xf>
    <xf numFmtId="0" fontId="6" fillId="0" borderId="44" xfId="105" applyFont="1" applyFill="1" applyBorder="1" applyAlignment="1" applyProtection="1">
      <alignment horizontal="right" vertical="center"/>
    </xf>
    <xf numFmtId="0" fontId="15" fillId="0" borderId="2" xfId="105" applyFont="1" applyFill="1" applyBorder="1" applyAlignment="1" applyProtection="1">
      <alignment vertical="center"/>
    </xf>
    <xf numFmtId="0" fontId="20" fillId="0" borderId="2" xfId="105" applyFont="1" applyFill="1" applyBorder="1" applyAlignment="1" applyProtection="1">
      <alignment vertical="center"/>
    </xf>
    <xf numFmtId="0" fontId="20" fillId="0" borderId="34" xfId="1" applyFont="1" applyBorder="1" applyAlignment="1" applyProtection="1">
      <alignment horizontal="center" vertical="center"/>
      <protection locked="0"/>
    </xf>
    <xf numFmtId="0" fontId="6" fillId="0" borderId="42" xfId="105" applyFont="1" applyFill="1" applyBorder="1" applyAlignment="1" applyProtection="1">
      <alignment horizontal="right" vertical="center"/>
    </xf>
    <xf numFmtId="0" fontId="6" fillId="0" borderId="0" xfId="1" quotePrefix="1" applyFont="1" applyBorder="1" applyAlignment="1">
      <alignment vertical="center"/>
    </xf>
    <xf numFmtId="0" fontId="13" fillId="0" borderId="0" xfId="105" applyFont="1" applyBorder="1" applyAlignment="1" applyProtection="1">
      <alignment vertical="center"/>
    </xf>
    <xf numFmtId="0" fontId="6" fillId="0" borderId="23" xfId="105" applyFont="1" applyBorder="1" applyAlignment="1" applyProtection="1">
      <alignment horizontal="right" vertical="center"/>
    </xf>
    <xf numFmtId="0" fontId="13" fillId="0" borderId="23" xfId="105" applyFont="1" applyBorder="1" applyAlignment="1" applyProtection="1">
      <alignment vertical="center"/>
    </xf>
    <xf numFmtId="0" fontId="14" fillId="0" borderId="23" xfId="105" applyFont="1" applyBorder="1" applyAlignment="1" applyProtection="1">
      <alignment vertical="center"/>
    </xf>
    <xf numFmtId="0" fontId="14" fillId="0" borderId="2" xfId="105" applyFont="1" applyBorder="1" applyAlignment="1" applyProtection="1">
      <alignment vertical="center"/>
    </xf>
    <xf numFmtId="205" fontId="5" fillId="0" borderId="23" xfId="105" applyNumberFormat="1" applyFont="1" applyBorder="1" applyAlignment="1" applyProtection="1">
      <alignment horizontal="center" vertical="center"/>
    </xf>
    <xf numFmtId="0" fontId="6" fillId="0" borderId="23" xfId="105" applyFont="1" applyBorder="1" applyAlignment="1" applyProtection="1">
      <alignment vertical="center"/>
    </xf>
    <xf numFmtId="0" fontId="6" fillId="0" borderId="43" xfId="105" applyFont="1" applyBorder="1" applyAlignment="1" applyProtection="1">
      <alignment vertical="center"/>
    </xf>
    <xf numFmtId="206" fontId="13" fillId="0" borderId="58" xfId="1" applyNumberFormat="1" applyFont="1" applyBorder="1" applyAlignment="1">
      <alignment horizontal="right" vertical="center"/>
    </xf>
    <xf numFmtId="206" fontId="13" fillId="0" borderId="77" xfId="1" applyNumberFormat="1" applyFont="1" applyBorder="1" applyAlignment="1">
      <alignment horizontal="right" vertical="center"/>
    </xf>
    <xf numFmtId="0" fontId="4" fillId="30" borderId="58" xfId="1" applyFill="1" applyBorder="1" applyAlignment="1">
      <alignment vertical="center"/>
    </xf>
    <xf numFmtId="206" fontId="13" fillId="30" borderId="77" xfId="1" applyNumberFormat="1" applyFont="1" applyFill="1" applyBorder="1" applyAlignment="1">
      <alignment horizontal="right" vertical="center"/>
    </xf>
    <xf numFmtId="0" fontId="4" fillId="0" borderId="58" xfId="1" applyBorder="1" applyAlignment="1">
      <alignment vertical="center"/>
    </xf>
    <xf numFmtId="206" fontId="13" fillId="4" borderId="77" xfId="1" applyNumberFormat="1" applyFont="1" applyFill="1" applyBorder="1" applyAlignment="1">
      <alignment horizontal="right" vertical="center"/>
    </xf>
    <xf numFmtId="0" fontId="13" fillId="0" borderId="57" xfId="1" applyFont="1" applyBorder="1" applyAlignment="1">
      <alignment horizontal="right" vertical="center"/>
    </xf>
    <xf numFmtId="0" fontId="114" fillId="0" borderId="57" xfId="105" applyFont="1" applyBorder="1" applyAlignment="1" applyProtection="1">
      <alignment vertical="center"/>
    </xf>
    <xf numFmtId="0" fontId="14" fillId="0" borderId="57" xfId="105" applyFont="1" applyBorder="1" applyAlignment="1" applyProtection="1">
      <alignment vertical="center"/>
    </xf>
    <xf numFmtId="0" fontId="6" fillId="0" borderId="2" xfId="105" applyFont="1" applyFill="1" applyBorder="1" applyAlignment="1" applyProtection="1">
      <alignment horizontal="right" vertical="center"/>
    </xf>
    <xf numFmtId="0" fontId="20" fillId="0" borderId="2" xfId="105" applyFont="1" applyFill="1" applyBorder="1" applyAlignment="1" applyProtection="1">
      <alignment horizontal="left" vertical="center"/>
    </xf>
    <xf numFmtId="0" fontId="13" fillId="0" borderId="23" xfId="105" applyFont="1" applyFill="1" applyBorder="1" applyAlignment="1" applyProtection="1">
      <alignment horizontal="right" vertical="center"/>
    </xf>
    <xf numFmtId="9" fontId="6" fillId="0" borderId="0" xfId="105" applyNumberFormat="1" applyFont="1" applyBorder="1" applyAlignment="1" applyProtection="1">
      <alignment horizontal="right" vertical="center"/>
    </xf>
    <xf numFmtId="0" fontId="6" fillId="0" borderId="0" xfId="105" quotePrefix="1" applyFont="1" applyBorder="1" applyAlignment="1" applyProtection="1">
      <alignment vertical="center"/>
    </xf>
    <xf numFmtId="0" fontId="20" fillId="0" borderId="0" xfId="105" applyFont="1" applyBorder="1" applyAlignment="1" applyProtection="1">
      <alignment vertical="center"/>
    </xf>
    <xf numFmtId="2" fontId="6" fillId="30" borderId="44" xfId="1" applyNumberFormat="1" applyFont="1" applyFill="1" applyBorder="1" applyAlignment="1">
      <alignment horizontal="right" vertical="center"/>
    </xf>
    <xf numFmtId="188" fontId="6" fillId="30" borderId="39" xfId="1" applyNumberFormat="1" applyFont="1" applyFill="1" applyBorder="1" applyAlignment="1">
      <alignment horizontal="right" vertical="center"/>
    </xf>
    <xf numFmtId="2" fontId="6" fillId="41" borderId="44" xfId="1" applyNumberFormat="1" applyFont="1" applyFill="1" applyBorder="1" applyAlignment="1">
      <alignment horizontal="right" vertical="center"/>
    </xf>
    <xf numFmtId="188" fontId="6" fillId="41" borderId="39" xfId="1" applyNumberFormat="1" applyFont="1" applyFill="1" applyBorder="1" applyAlignment="1">
      <alignment horizontal="right" vertical="center"/>
    </xf>
    <xf numFmtId="0" fontId="6" fillId="30" borderId="2" xfId="1" applyFont="1" applyFill="1" applyBorder="1" applyAlignment="1">
      <alignment horizontal="right" vertical="center"/>
    </xf>
    <xf numFmtId="0" fontId="45" fillId="30" borderId="2" xfId="105" applyFont="1" applyFill="1" applyBorder="1" applyAlignment="1" applyProtection="1">
      <alignment vertical="center"/>
    </xf>
    <xf numFmtId="0" fontId="4" fillId="30" borderId="2" xfId="1" applyFill="1" applyBorder="1" applyAlignment="1">
      <alignment vertical="center"/>
    </xf>
    <xf numFmtId="0" fontId="20" fillId="30" borderId="39" xfId="105" applyFont="1" applyFill="1" applyBorder="1" applyAlignment="1" applyProtection="1">
      <alignment vertical="center"/>
    </xf>
    <xf numFmtId="0" fontId="6" fillId="0" borderId="42" xfId="1" applyFont="1" applyFill="1" applyBorder="1" applyAlignment="1">
      <alignment horizontal="right" vertical="center"/>
    </xf>
    <xf numFmtId="0" fontId="45" fillId="0" borderId="23" xfId="105" applyFont="1" applyFill="1" applyBorder="1" applyAlignment="1" applyProtection="1">
      <alignment vertical="center"/>
    </xf>
    <xf numFmtId="0" fontId="4" fillId="0" borderId="23" xfId="1" applyFill="1" applyBorder="1" applyAlignment="1">
      <alignment vertical="center"/>
    </xf>
    <xf numFmtId="0" fontId="14" fillId="0" borderId="43" xfId="105" applyFont="1" applyFill="1" applyBorder="1" applyAlignment="1" applyProtection="1">
      <alignment vertical="center"/>
    </xf>
    <xf numFmtId="0" fontId="16" fillId="0" borderId="0" xfId="105" applyFont="1" applyBorder="1" applyAlignment="1">
      <alignment vertical="center"/>
    </xf>
    <xf numFmtId="0" fontId="6" fillId="0" borderId="0" xfId="105" applyFont="1" applyBorder="1" applyAlignment="1">
      <alignment vertical="center"/>
    </xf>
    <xf numFmtId="0" fontId="6" fillId="0" borderId="0" xfId="105" applyFont="1" applyFill="1" applyBorder="1" applyAlignment="1" applyProtection="1">
      <alignment horizontal="right" vertical="center"/>
    </xf>
    <xf numFmtId="0" fontId="6" fillId="0" borderId="23" xfId="1" applyFont="1" applyBorder="1" applyAlignment="1">
      <alignment horizontal="right" vertical="center"/>
    </xf>
    <xf numFmtId="0" fontId="16" fillId="0" borderId="23" xfId="105" applyFont="1" applyBorder="1" applyAlignment="1" applyProtection="1">
      <alignment vertical="center"/>
    </xf>
    <xf numFmtId="0" fontId="6" fillId="0" borderId="57" xfId="105" applyFont="1" applyFill="1" applyBorder="1" applyAlignment="1" applyProtection="1">
      <alignment horizontal="right" vertical="center"/>
    </xf>
    <xf numFmtId="0" fontId="16" fillId="0" borderId="57" xfId="105" applyFont="1" applyBorder="1" applyAlignment="1" applyProtection="1">
      <alignment vertical="center"/>
    </xf>
    <xf numFmtId="0" fontId="13" fillId="0" borderId="57" xfId="105" applyFont="1" applyBorder="1" applyAlignment="1" applyProtection="1">
      <alignment horizontal="left" vertical="center"/>
    </xf>
    <xf numFmtId="0" fontId="14" fillId="0" borderId="39" xfId="1" applyFont="1" applyBorder="1" applyAlignment="1">
      <alignment vertical="center"/>
    </xf>
    <xf numFmtId="0" fontId="16" fillId="0" borderId="2" xfId="105" applyFont="1" applyBorder="1" applyAlignment="1" applyProtection="1">
      <alignment vertical="center"/>
    </xf>
    <xf numFmtId="0" fontId="13" fillId="0" borderId="2" xfId="105" applyFont="1" applyBorder="1" applyAlignment="1" applyProtection="1">
      <alignment horizontal="left" vertical="center"/>
    </xf>
    <xf numFmtId="0" fontId="6" fillId="0" borderId="40" xfId="105" applyFont="1" applyBorder="1" applyAlignment="1">
      <alignment vertical="center"/>
    </xf>
    <xf numFmtId="0" fontId="20" fillId="0" borderId="25" xfId="1" applyFont="1" applyFill="1" applyBorder="1" applyAlignment="1">
      <alignment horizontal="center" vertical="center"/>
    </xf>
    <xf numFmtId="0" fontId="114" fillId="0" borderId="2" xfId="1" applyFont="1" applyBorder="1" applyAlignment="1">
      <alignment vertical="center"/>
    </xf>
    <xf numFmtId="0" fontId="115" fillId="0" borderId="0" xfId="1" applyFont="1" applyAlignment="1">
      <alignment vertical="center"/>
    </xf>
    <xf numFmtId="0" fontId="13" fillId="0" borderId="2" xfId="1" applyFont="1" applyFill="1" applyBorder="1" applyAlignment="1">
      <alignment horizontal="right" vertical="center"/>
    </xf>
    <xf numFmtId="0" fontId="14" fillId="0" borderId="2" xfId="1" applyFont="1" applyBorder="1" applyAlignment="1">
      <alignment vertical="center"/>
    </xf>
    <xf numFmtId="172" fontId="16" fillId="4" borderId="44" xfId="1" applyNumberFormat="1" applyFont="1" applyFill="1" applyBorder="1" applyAlignment="1">
      <alignment horizontal="right" vertical="center"/>
    </xf>
    <xf numFmtId="0" fontId="6" fillId="0" borderId="39" xfId="1" applyFont="1" applyBorder="1" applyAlignment="1">
      <alignment horizontal="left" vertical="center"/>
    </xf>
    <xf numFmtId="172" fontId="16" fillId="41" borderId="44" xfId="1" applyNumberFormat="1" applyFont="1" applyFill="1" applyBorder="1" applyAlignment="1">
      <alignment horizontal="right" vertical="center"/>
    </xf>
    <xf numFmtId="0" fontId="6" fillId="41" borderId="39" xfId="1" applyFont="1" applyFill="1" applyBorder="1" applyAlignment="1">
      <alignment horizontal="left" vertical="center"/>
    </xf>
    <xf numFmtId="0" fontId="115" fillId="0" borderId="2" xfId="1" applyFont="1" applyBorder="1" applyAlignment="1">
      <alignment vertical="center"/>
    </xf>
    <xf numFmtId="0" fontId="6" fillId="0" borderId="2" xfId="1" applyFont="1" applyBorder="1" applyAlignment="1">
      <alignment vertical="center"/>
    </xf>
    <xf numFmtId="172" fontId="14" fillId="4" borderId="42" xfId="1" applyNumberFormat="1" applyFont="1" applyFill="1" applyBorder="1" applyAlignment="1">
      <alignment horizontal="right" vertical="center"/>
    </xf>
    <xf numFmtId="0" fontId="6" fillId="0" borderId="43" xfId="1" applyFont="1" applyBorder="1" applyAlignment="1">
      <alignment horizontal="left" vertical="center"/>
    </xf>
    <xf numFmtId="172" fontId="14" fillId="41" borderId="42" xfId="1" applyNumberFormat="1" applyFont="1" applyFill="1" applyBorder="1" applyAlignment="1">
      <alignment horizontal="right" vertical="center"/>
    </xf>
    <xf numFmtId="0" fontId="6" fillId="41" borderId="43" xfId="1" applyFont="1" applyFill="1" applyBorder="1" applyAlignment="1">
      <alignment horizontal="left" vertical="center"/>
    </xf>
    <xf numFmtId="0" fontId="13" fillId="0" borderId="23" xfId="1" applyFont="1" applyBorder="1" applyAlignment="1">
      <alignment horizontal="right" vertical="center"/>
    </xf>
    <xf numFmtId="0" fontId="114" fillId="0" borderId="23" xfId="1" applyFont="1" applyBorder="1" applyAlignment="1">
      <alignment vertical="center"/>
    </xf>
    <xf numFmtId="0" fontId="14" fillId="0" borderId="23" xfId="1" applyFont="1" applyBorder="1" applyAlignment="1">
      <alignment vertical="center"/>
    </xf>
    <xf numFmtId="0" fontId="20" fillId="0" borderId="25" xfId="1" applyFont="1" applyBorder="1" applyAlignment="1" applyProtection="1">
      <alignment horizontal="center" vertical="center"/>
    </xf>
    <xf numFmtId="0" fontId="116" fillId="0" borderId="23" xfId="1" applyFont="1" applyBorder="1" applyAlignment="1">
      <alignment horizontal="right" vertical="center"/>
    </xf>
    <xf numFmtId="0" fontId="100" fillId="0" borderId="23" xfId="1" applyFont="1" applyBorder="1" applyAlignment="1">
      <alignment vertical="center"/>
    </xf>
    <xf numFmtId="0" fontId="13" fillId="0" borderId="58" xfId="1" applyFont="1" applyBorder="1" applyAlignment="1">
      <alignment horizontal="right" vertical="center"/>
    </xf>
    <xf numFmtId="0" fontId="4" fillId="0" borderId="57" xfId="1" applyFill="1" applyBorder="1" applyAlignment="1">
      <alignment vertical="center"/>
    </xf>
    <xf numFmtId="0" fontId="14" fillId="0" borderId="77" xfId="1" applyFont="1" applyFill="1" applyBorder="1" applyAlignment="1">
      <alignment vertical="center"/>
    </xf>
    <xf numFmtId="0" fontId="60" fillId="3" borderId="0" xfId="1" applyFont="1" applyFill="1" applyBorder="1" applyAlignment="1">
      <alignment vertical="center"/>
    </xf>
    <xf numFmtId="0" fontId="6" fillId="0" borderId="58" xfId="1" applyFont="1" applyBorder="1" applyAlignment="1">
      <alignment vertical="center"/>
    </xf>
    <xf numFmtId="0" fontId="118" fillId="0" borderId="77" xfId="1" applyFont="1" applyBorder="1" applyAlignment="1">
      <alignment horizontal="left" vertical="center"/>
    </xf>
    <xf numFmtId="0" fontId="13" fillId="4" borderId="58" xfId="1" applyFont="1" applyFill="1" applyBorder="1" applyAlignment="1" applyProtection="1">
      <alignment horizontal="right" vertical="center"/>
    </xf>
    <xf numFmtId="0" fontId="118" fillId="0" borderId="57" xfId="1" applyFont="1" applyBorder="1" applyAlignment="1">
      <alignment horizontal="left" vertical="center"/>
    </xf>
    <xf numFmtId="0" fontId="109" fillId="4" borderId="58" xfId="1" applyFont="1" applyFill="1" applyBorder="1" applyAlignment="1" applyProtection="1">
      <alignment horizontal="right" vertical="center"/>
    </xf>
    <xf numFmtId="0" fontId="109" fillId="0" borderId="57" xfId="1" applyFont="1" applyBorder="1" applyAlignment="1">
      <alignment horizontal="right" vertical="center"/>
    </xf>
    <xf numFmtId="0" fontId="16" fillId="0" borderId="77" xfId="1" applyFont="1" applyBorder="1" applyAlignment="1" applyProtection="1">
      <alignment vertical="center"/>
    </xf>
    <xf numFmtId="0" fontId="119" fillId="0" borderId="57" xfId="1" applyFont="1" applyFill="1" applyBorder="1" applyAlignment="1">
      <alignment horizontal="center" vertical="center"/>
    </xf>
    <xf numFmtId="0" fontId="18" fillId="0" borderId="57" xfId="1" applyFont="1" applyFill="1" applyBorder="1" applyAlignment="1">
      <alignment vertical="center"/>
    </xf>
    <xf numFmtId="0" fontId="18" fillId="0" borderId="77" xfId="1" applyFont="1" applyFill="1" applyBorder="1" applyAlignment="1">
      <alignment vertical="center"/>
    </xf>
    <xf numFmtId="3" fontId="120" fillId="4" borderId="0" xfId="1" applyNumberFormat="1" applyFont="1" applyFill="1" applyAlignment="1">
      <alignment horizontal="right" vertical="center"/>
    </xf>
    <xf numFmtId="3" fontId="120" fillId="4" borderId="0" xfId="1" applyNumberFormat="1" applyFont="1" applyFill="1" applyBorder="1" applyAlignment="1">
      <alignment horizontal="right" vertical="center"/>
    </xf>
    <xf numFmtId="3" fontId="120" fillId="4" borderId="0" xfId="1" applyNumberFormat="1" applyFont="1" applyFill="1" applyBorder="1" applyAlignment="1">
      <alignment horizontal="left" vertical="center"/>
    </xf>
    <xf numFmtId="3" fontId="77" fillId="4" borderId="48" xfId="1" applyNumberFormat="1" applyFont="1" applyFill="1" applyBorder="1" applyAlignment="1">
      <alignment horizontal="right" vertical="center"/>
    </xf>
    <xf numFmtId="3" fontId="77" fillId="4" borderId="47" xfId="1" applyNumberFormat="1" applyFont="1" applyFill="1" applyBorder="1" applyAlignment="1">
      <alignment horizontal="right" vertical="center"/>
    </xf>
    <xf numFmtId="3" fontId="77" fillId="4" borderId="48" xfId="1" applyNumberFormat="1" applyFont="1" applyFill="1" applyBorder="1" applyAlignment="1">
      <alignment horizontal="left" vertical="center"/>
    </xf>
    <xf numFmtId="3" fontId="77" fillId="4" borderId="60" xfId="105" applyNumberFormat="1" applyFont="1" applyFill="1" applyBorder="1" applyAlignment="1" applyProtection="1">
      <alignment horizontal="left" vertical="center"/>
    </xf>
    <xf numFmtId="3" fontId="121" fillId="32" borderId="0" xfId="1" applyNumberFormat="1" applyFont="1" applyFill="1" applyAlignment="1">
      <alignment horizontal="right" vertical="center"/>
    </xf>
    <xf numFmtId="3" fontId="120" fillId="4" borderId="47" xfId="105" applyNumberFormat="1" applyFont="1" applyFill="1" applyBorder="1" applyAlignment="1" applyProtection="1">
      <alignment horizontal="right" vertical="center"/>
    </xf>
    <xf numFmtId="3" fontId="120" fillId="4" borderId="29" xfId="1" applyNumberFormat="1" applyFont="1" applyFill="1" applyBorder="1" applyAlignment="1">
      <alignment horizontal="right" vertical="center"/>
    </xf>
    <xf numFmtId="3" fontId="120" fillId="4" borderId="19" xfId="1" applyNumberFormat="1" applyFont="1" applyFill="1" applyBorder="1" applyAlignment="1">
      <alignment horizontal="right" vertical="center"/>
    </xf>
    <xf numFmtId="3" fontId="120" fillId="4" borderId="32" xfId="1" applyNumberFormat="1" applyFont="1" applyFill="1" applyBorder="1" applyAlignment="1">
      <alignment horizontal="left" vertical="center"/>
    </xf>
    <xf numFmtId="3" fontId="120" fillId="4" borderId="25"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protection locked="0"/>
    </xf>
    <xf numFmtId="3" fontId="120" fillId="4" borderId="147" xfId="1" applyNumberFormat="1" applyFont="1" applyFill="1" applyBorder="1" applyAlignment="1">
      <alignment horizontal="right" vertical="center"/>
    </xf>
    <xf numFmtId="3" fontId="120" fillId="4" borderId="131" xfId="1" applyNumberFormat="1" applyFont="1" applyFill="1" applyBorder="1" applyAlignment="1">
      <alignment horizontal="right" vertical="center"/>
    </xf>
    <xf numFmtId="3" fontId="120" fillId="4" borderId="79" xfId="105" applyNumberFormat="1" applyFont="1" applyFill="1" applyBorder="1" applyAlignment="1">
      <alignment horizontal="left" vertical="center"/>
    </xf>
    <xf numFmtId="4" fontId="120" fillId="4" borderId="0" xfId="1" applyNumberFormat="1" applyFont="1" applyFill="1" applyAlignment="1">
      <alignment horizontal="right" vertical="center"/>
    </xf>
    <xf numFmtId="4" fontId="77" fillId="4" borderId="25" xfId="1" applyNumberFormat="1" applyFont="1" applyFill="1" applyBorder="1" applyAlignment="1">
      <alignment horizontal="right" vertical="center"/>
    </xf>
    <xf numFmtId="4" fontId="77" fillId="4" borderId="19" xfId="1" applyNumberFormat="1" applyFont="1" applyFill="1" applyBorder="1" applyAlignment="1">
      <alignment horizontal="right" vertical="center"/>
    </xf>
    <xf numFmtId="4" fontId="77" fillId="4" borderId="29" xfId="1" applyNumberFormat="1" applyFont="1" applyFill="1" applyBorder="1" applyAlignment="1">
      <alignment horizontal="right" vertical="center"/>
    </xf>
    <xf numFmtId="4" fontId="120" fillId="4" borderId="127" xfId="105" applyNumberFormat="1" applyFont="1" applyFill="1" applyBorder="1" applyAlignment="1" applyProtection="1">
      <alignment horizontal="right" vertical="center"/>
    </xf>
    <xf numFmtId="4" fontId="120" fillId="4" borderId="149" xfId="105" applyNumberFormat="1" applyFont="1" applyFill="1" applyBorder="1" applyAlignment="1" applyProtection="1">
      <alignment horizontal="center" vertical="center" wrapText="1"/>
    </xf>
    <xf numFmtId="3" fontId="120" fillId="4" borderId="0" xfId="105" applyNumberFormat="1" applyFont="1" applyFill="1" applyBorder="1" applyAlignment="1" applyProtection="1">
      <alignment horizontal="right" vertical="center"/>
    </xf>
    <xf numFmtId="3" fontId="77" fillId="4" borderId="32" xfId="105" applyNumberFormat="1" applyFont="1" applyFill="1" applyBorder="1" applyAlignment="1" applyProtection="1">
      <alignment horizontal="left" vertical="center"/>
    </xf>
    <xf numFmtId="4" fontId="120" fillId="4" borderId="0" xfId="105" applyNumberFormat="1" applyFont="1" applyFill="1" applyBorder="1" applyAlignment="1" applyProtection="1">
      <alignment horizontal="right" vertical="center"/>
    </xf>
    <xf numFmtId="4" fontId="120" fillId="4" borderId="32" xfId="105" applyNumberFormat="1" applyFont="1" applyFill="1" applyBorder="1" applyAlignment="1" applyProtection="1">
      <alignment horizontal="left" vertical="center"/>
    </xf>
    <xf numFmtId="4" fontId="120" fillId="4" borderId="25" xfId="1" applyNumberFormat="1" applyFont="1" applyFill="1" applyBorder="1" applyAlignment="1">
      <alignment horizontal="right" vertical="center"/>
    </xf>
    <xf numFmtId="4" fontId="120" fillId="4" borderId="19" xfId="1" applyNumberFormat="1" applyFont="1" applyFill="1" applyBorder="1" applyAlignment="1">
      <alignment horizontal="right" vertical="center"/>
    </xf>
    <xf numFmtId="4" fontId="120" fillId="4" borderId="29" xfId="1" applyNumberFormat="1" applyFont="1" applyFill="1" applyBorder="1" applyAlignment="1">
      <alignment horizontal="right" vertical="center"/>
    </xf>
    <xf numFmtId="3" fontId="120" fillId="4" borderId="136" xfId="105" applyNumberFormat="1" applyFont="1" applyFill="1" applyBorder="1" applyAlignment="1" applyProtection="1">
      <alignment horizontal="right" vertical="center"/>
    </xf>
    <xf numFmtId="3" fontId="120" fillId="4" borderId="150" xfId="105" applyNumberFormat="1" applyFont="1" applyFill="1" applyBorder="1" applyAlignment="1" applyProtection="1">
      <alignment horizontal="left" vertical="center"/>
    </xf>
    <xf numFmtId="4" fontId="77" fillId="4" borderId="151" xfId="1" applyNumberFormat="1" applyFont="1" applyFill="1" applyBorder="1" applyAlignment="1">
      <alignment horizontal="right" vertical="center"/>
    </xf>
    <xf numFmtId="4" fontId="77" fillId="4" borderId="126" xfId="1" applyNumberFormat="1" applyFont="1" applyFill="1" applyBorder="1" applyAlignment="1">
      <alignment horizontal="right" vertical="center"/>
    </xf>
    <xf numFmtId="4" fontId="77" fillId="4" borderId="152" xfId="1" applyNumberFormat="1" applyFont="1" applyFill="1" applyBorder="1" applyAlignment="1">
      <alignment horizontal="right" vertical="center"/>
    </xf>
    <xf numFmtId="4" fontId="77" fillId="0" borderId="25" xfId="1" applyNumberFormat="1" applyFont="1" applyFill="1" applyBorder="1" applyAlignment="1">
      <alignment horizontal="right" vertical="center"/>
    </xf>
    <xf numFmtId="4" fontId="77" fillId="0" borderId="19" xfId="1" applyNumberFormat="1" applyFont="1" applyFill="1" applyBorder="1" applyAlignment="1">
      <alignment horizontal="right" vertical="center"/>
    </xf>
    <xf numFmtId="4" fontId="77" fillId="0" borderId="29" xfId="1" applyNumberFormat="1" applyFont="1" applyFill="1" applyBorder="1" applyAlignment="1">
      <alignment horizontal="right" vertical="center"/>
    </xf>
    <xf numFmtId="3" fontId="120" fillId="0" borderId="153" xfId="1" applyNumberFormat="1" applyFont="1" applyFill="1" applyBorder="1" applyAlignment="1">
      <alignment horizontal="right" vertical="center"/>
    </xf>
    <xf numFmtId="3" fontId="120" fillId="0" borderId="134" xfId="1" applyNumberFormat="1" applyFont="1" applyFill="1" applyBorder="1" applyAlignment="1">
      <alignment horizontal="right" vertical="center"/>
    </xf>
    <xf numFmtId="3" fontId="120" fillId="0" borderId="154" xfId="1" applyNumberFormat="1" applyFont="1" applyFill="1" applyBorder="1" applyAlignment="1">
      <alignment horizontal="right" vertical="center"/>
    </xf>
    <xf numFmtId="4" fontId="77" fillId="0" borderId="151" xfId="1" applyNumberFormat="1" applyFont="1" applyFill="1" applyBorder="1" applyAlignment="1">
      <alignment horizontal="right" vertical="center"/>
    </xf>
    <xf numFmtId="4" fontId="77" fillId="0" borderId="126" xfId="1" applyNumberFormat="1" applyFont="1" applyFill="1" applyBorder="1" applyAlignment="1">
      <alignment horizontal="right" vertical="center"/>
    </xf>
    <xf numFmtId="4" fontId="77" fillId="0" borderId="152" xfId="1" applyNumberFormat="1" applyFont="1" applyFill="1" applyBorder="1" applyAlignment="1">
      <alignment horizontal="right" vertical="center"/>
    </xf>
    <xf numFmtId="4" fontId="120" fillId="4" borderId="149" xfId="105" applyNumberFormat="1" applyFont="1" applyFill="1" applyBorder="1" applyAlignment="1" applyProtection="1">
      <alignment horizontal="left" vertical="center"/>
    </xf>
    <xf numFmtId="3" fontId="77" fillId="4" borderId="150" xfId="105" applyNumberFormat="1" applyFont="1" applyFill="1" applyBorder="1" applyAlignment="1" applyProtection="1">
      <alignment horizontal="left" vertical="center"/>
    </xf>
    <xf numFmtId="4" fontId="77" fillId="4" borderId="32" xfId="105" applyNumberFormat="1" applyFont="1" applyFill="1" applyBorder="1" applyAlignment="1" applyProtection="1">
      <alignment horizontal="left" vertical="center"/>
    </xf>
    <xf numFmtId="3" fontId="77" fillId="4" borderId="3" xfId="1" applyNumberFormat="1" applyFont="1" applyFill="1" applyBorder="1" applyAlignment="1">
      <alignment horizontal="right" vertical="center"/>
    </xf>
    <xf numFmtId="3" fontId="77" fillId="4" borderId="58" xfId="1" applyNumberFormat="1" applyFont="1" applyFill="1" applyBorder="1" applyAlignment="1">
      <alignment horizontal="right" vertical="center"/>
    </xf>
    <xf numFmtId="3" fontId="120" fillId="4" borderId="58" xfId="105" applyNumberFormat="1" applyFont="1" applyFill="1" applyBorder="1" applyAlignment="1" applyProtection="1">
      <alignment horizontal="right" vertical="center"/>
    </xf>
    <xf numFmtId="3" fontId="77" fillId="4" borderId="155" xfId="105" applyNumberFormat="1" applyFont="1" applyFill="1" applyBorder="1" applyAlignment="1" applyProtection="1">
      <alignment horizontal="left" vertical="center"/>
    </xf>
    <xf numFmtId="3" fontId="120" fillId="4" borderId="34" xfId="1" applyNumberFormat="1" applyFont="1" applyFill="1" applyBorder="1" applyAlignment="1">
      <alignment horizontal="right" vertical="center"/>
    </xf>
    <xf numFmtId="3" fontId="120" fillId="4" borderId="44" xfId="1" applyNumberFormat="1" applyFont="1" applyFill="1" applyBorder="1" applyAlignment="1">
      <alignment horizontal="right" vertical="center"/>
    </xf>
    <xf numFmtId="3" fontId="120" fillId="4" borderId="32" xfId="105" applyNumberFormat="1" applyFont="1" applyFill="1" applyBorder="1" applyAlignment="1" applyProtection="1">
      <alignment horizontal="left" vertical="center"/>
    </xf>
    <xf numFmtId="3" fontId="77" fillId="4" borderId="25" xfId="1" applyNumberFormat="1" applyFont="1" applyFill="1" applyBorder="1" applyAlignment="1">
      <alignment horizontal="right" vertical="center"/>
    </xf>
    <xf numFmtId="3" fontId="77" fillId="4" borderId="19" xfId="1" applyNumberFormat="1" applyFont="1" applyFill="1" applyBorder="1" applyAlignment="1">
      <alignment horizontal="right" vertical="center"/>
    </xf>
    <xf numFmtId="3" fontId="77" fillId="4" borderId="29" xfId="1" applyNumberFormat="1" applyFont="1" applyFill="1" applyBorder="1" applyAlignment="1">
      <alignment horizontal="right" vertical="center"/>
    </xf>
    <xf numFmtId="3" fontId="120" fillId="4" borderId="36" xfId="1" applyNumberFormat="1" applyFont="1" applyFill="1" applyBorder="1" applyAlignment="1">
      <alignment horizontal="right" vertical="center"/>
    </xf>
    <xf numFmtId="3" fontId="120" fillId="4" borderId="42" xfId="1" applyNumberFormat="1" applyFont="1" applyFill="1" applyBorder="1" applyAlignment="1">
      <alignment horizontal="right" vertical="center"/>
    </xf>
    <xf numFmtId="3" fontId="120" fillId="4" borderId="23" xfId="105" applyNumberFormat="1" applyFont="1" applyFill="1" applyBorder="1" applyAlignment="1" applyProtection="1">
      <alignment horizontal="right" vertical="center"/>
    </xf>
    <xf numFmtId="3" fontId="77" fillId="4" borderId="158" xfId="105" applyNumberFormat="1" applyFont="1" applyFill="1" applyBorder="1" applyAlignment="1" applyProtection="1">
      <alignment horizontal="left" vertical="center"/>
    </xf>
    <xf numFmtId="4" fontId="120" fillId="4" borderId="34" xfId="1" applyNumberFormat="1" applyFont="1" applyFill="1" applyBorder="1" applyAlignment="1">
      <alignment horizontal="right" vertical="center"/>
    </xf>
    <xf numFmtId="4" fontId="120" fillId="4" borderId="44" xfId="1" applyNumberFormat="1" applyFont="1" applyFill="1" applyBorder="1" applyAlignment="1">
      <alignment horizontal="right" vertical="center"/>
    </xf>
    <xf numFmtId="4" fontId="120" fillId="4" borderId="44" xfId="105" applyNumberFormat="1" applyFont="1" applyFill="1" applyBorder="1" applyAlignment="1" applyProtection="1">
      <alignment horizontal="right" vertical="center"/>
    </xf>
    <xf numFmtId="4" fontId="120" fillId="4" borderId="159" xfId="105" applyNumberFormat="1" applyFont="1" applyFill="1" applyBorder="1" applyAlignment="1" applyProtection="1">
      <alignment horizontal="left" vertical="center"/>
    </xf>
    <xf numFmtId="3" fontId="77" fillId="4" borderId="36" xfId="1" applyNumberFormat="1" applyFont="1" applyFill="1" applyBorder="1" applyAlignment="1">
      <alignment horizontal="right" vertical="center"/>
    </xf>
    <xf numFmtId="3" fontId="77" fillId="4" borderId="42" xfId="1" applyNumberFormat="1" applyFont="1" applyFill="1" applyBorder="1" applyAlignment="1">
      <alignment horizontal="right" vertical="center"/>
    </xf>
    <xf numFmtId="3" fontId="77" fillId="4" borderId="157" xfId="1" applyNumberFormat="1" applyFont="1" applyFill="1" applyBorder="1" applyAlignment="1">
      <alignment horizontal="right" vertical="center"/>
    </xf>
    <xf numFmtId="3" fontId="120" fillId="4" borderId="42" xfId="105" applyNumberFormat="1" applyFont="1" applyFill="1" applyBorder="1" applyAlignment="1" applyProtection="1">
      <alignment horizontal="right" vertical="center"/>
    </xf>
    <xf numFmtId="4" fontId="120" fillId="4" borderId="2" xfId="105" applyNumberFormat="1" applyFont="1" applyFill="1" applyBorder="1" applyAlignment="1" applyProtection="1">
      <alignment horizontal="right" vertical="center"/>
    </xf>
    <xf numFmtId="3" fontId="77" fillId="4" borderId="34" xfId="1" applyNumberFormat="1" applyFont="1" applyFill="1" applyBorder="1" applyAlignment="1">
      <alignment horizontal="right" vertical="center"/>
    </xf>
    <xf numFmtId="3" fontId="77" fillId="4" borderId="44" xfId="1" applyNumberFormat="1" applyFont="1" applyFill="1" applyBorder="1" applyAlignment="1">
      <alignment horizontal="right" vertical="center"/>
    </xf>
    <xf numFmtId="3" fontId="120" fillId="4" borderId="2" xfId="105" applyNumberFormat="1" applyFont="1" applyFill="1" applyBorder="1" applyAlignment="1" applyProtection="1">
      <alignment horizontal="right" vertical="center"/>
    </xf>
    <xf numFmtId="3" fontId="77" fillId="4" borderId="159" xfId="105" applyNumberFormat="1" applyFont="1" applyFill="1" applyBorder="1" applyAlignment="1" applyProtection="1">
      <alignment horizontal="left" vertical="center"/>
    </xf>
    <xf numFmtId="4" fontId="122" fillId="4" borderId="0" xfId="105" applyNumberFormat="1" applyFont="1" applyFill="1" applyBorder="1" applyAlignment="1" applyProtection="1">
      <alignment horizontal="right" vertical="center"/>
    </xf>
    <xf numFmtId="3" fontId="120" fillId="0" borderId="25" xfId="1" applyNumberFormat="1" applyFont="1" applyFill="1" applyBorder="1" applyAlignment="1">
      <alignment horizontal="right" vertical="center"/>
    </xf>
    <xf numFmtId="3" fontId="120" fillId="4" borderId="158" xfId="105" applyNumberFormat="1" applyFont="1" applyFill="1" applyBorder="1" applyAlignment="1" applyProtection="1">
      <alignment horizontal="left" vertical="center"/>
    </xf>
    <xf numFmtId="165" fontId="120" fillId="4" borderId="0" xfId="1" applyNumberFormat="1" applyFont="1" applyFill="1" applyAlignment="1">
      <alignment horizontal="right" vertical="center"/>
    </xf>
    <xf numFmtId="165" fontId="77" fillId="4" borderId="25" xfId="1" applyNumberFormat="1" applyFont="1" applyFill="1" applyBorder="1" applyAlignment="1">
      <alignment horizontal="right" vertical="center"/>
    </xf>
    <xf numFmtId="165" fontId="77" fillId="4" borderId="19" xfId="1" applyNumberFormat="1" applyFont="1" applyFill="1" applyBorder="1" applyAlignment="1">
      <alignment horizontal="right" vertical="center"/>
    </xf>
    <xf numFmtId="165" fontId="77" fillId="4" borderId="29" xfId="1" applyNumberFormat="1" applyFont="1" applyFill="1" applyBorder="1" applyAlignment="1">
      <alignment horizontal="right" vertical="center"/>
    </xf>
    <xf numFmtId="165" fontId="120" fillId="4" borderId="0" xfId="1" applyNumberFormat="1" applyFont="1" applyFill="1" applyBorder="1" applyAlignment="1">
      <alignment horizontal="right" vertical="center"/>
    </xf>
    <xf numFmtId="165" fontId="77" fillId="4" borderId="32" xfId="105" applyNumberFormat="1" applyFont="1" applyFill="1" applyBorder="1" applyAlignment="1" applyProtection="1">
      <alignment horizontal="left" vertical="center"/>
    </xf>
    <xf numFmtId="3" fontId="120" fillId="4" borderId="25" xfId="61" applyNumberFormat="1" applyFont="1" applyFill="1" applyBorder="1" applyAlignment="1">
      <alignment horizontal="right" vertical="center"/>
    </xf>
    <xf numFmtId="3" fontId="120" fillId="4" borderId="19" xfId="61" applyNumberFormat="1" applyFont="1" applyFill="1" applyBorder="1" applyAlignment="1">
      <alignment horizontal="right" vertical="center"/>
    </xf>
    <xf numFmtId="3" fontId="120" fillId="4" borderId="29" xfId="61" applyNumberFormat="1" applyFont="1" applyFill="1" applyBorder="1" applyAlignment="1">
      <alignment horizontal="right" vertical="center"/>
    </xf>
    <xf numFmtId="3" fontId="121" fillId="4" borderId="32" xfId="1" applyNumberFormat="1" applyFont="1" applyFill="1" applyBorder="1" applyAlignment="1">
      <alignment horizontal="left" vertical="center"/>
    </xf>
    <xf numFmtId="3" fontId="77" fillId="4" borderId="3" xfId="61" applyNumberFormat="1" applyFont="1" applyFill="1" applyBorder="1" applyAlignment="1">
      <alignment horizontal="right" vertical="center"/>
    </xf>
    <xf numFmtId="3" fontId="77" fillId="4" borderId="58" xfId="61" applyNumberFormat="1" applyFont="1" applyFill="1" applyBorder="1" applyAlignment="1">
      <alignment horizontal="right" vertical="center"/>
    </xf>
    <xf numFmtId="3" fontId="120" fillId="4" borderId="57" xfId="1" applyNumberFormat="1" applyFont="1" applyFill="1" applyBorder="1" applyAlignment="1">
      <alignment horizontal="right" vertical="center"/>
    </xf>
    <xf numFmtId="3" fontId="77" fillId="4" borderId="25" xfId="61" applyNumberFormat="1" applyFont="1" applyFill="1" applyBorder="1" applyAlignment="1">
      <alignment horizontal="right" vertical="center"/>
    </xf>
    <xf numFmtId="3" fontId="77" fillId="4" borderId="19" xfId="61" applyNumberFormat="1" applyFont="1" applyFill="1" applyBorder="1" applyAlignment="1">
      <alignment horizontal="right" vertical="center"/>
    </xf>
    <xf numFmtId="3" fontId="77" fillId="4" borderId="29" xfId="61" applyNumberFormat="1" applyFont="1" applyFill="1" applyBorder="1" applyAlignment="1">
      <alignment horizontal="right" vertical="center"/>
    </xf>
    <xf numFmtId="3" fontId="120" fillId="4" borderId="19" xfId="105" applyNumberFormat="1" applyFont="1" applyFill="1" applyBorder="1" applyAlignment="1" applyProtection="1">
      <alignment horizontal="right" vertical="center"/>
    </xf>
    <xf numFmtId="3" fontId="120" fillId="4" borderId="32" xfId="105" applyNumberFormat="1" applyFont="1" applyFill="1" applyBorder="1" applyAlignment="1">
      <alignment horizontal="left" vertical="center"/>
    </xf>
    <xf numFmtId="3" fontId="120" fillId="4" borderId="23" xfId="1" applyNumberFormat="1" applyFont="1" applyFill="1" applyBorder="1" applyAlignment="1">
      <alignment horizontal="right" vertical="center"/>
    </xf>
    <xf numFmtId="3" fontId="120" fillId="4" borderId="2" xfId="1" applyNumberFormat="1" applyFont="1" applyFill="1" applyBorder="1" applyAlignment="1">
      <alignment horizontal="right" vertical="center"/>
    </xf>
    <xf numFmtId="3" fontId="77" fillId="4" borderId="159" xfId="1" applyNumberFormat="1" applyFont="1" applyFill="1" applyBorder="1" applyAlignment="1">
      <alignment horizontal="left" vertical="center"/>
    </xf>
    <xf numFmtId="4" fontId="123" fillId="4" borderId="0" xfId="1" applyNumberFormat="1" applyFont="1" applyFill="1" applyAlignment="1">
      <alignment horizontal="right" vertical="center"/>
    </xf>
    <xf numFmtId="4" fontId="77" fillId="4" borderId="34" xfId="1" applyNumberFormat="1" applyFont="1" applyFill="1" applyBorder="1" applyAlignment="1">
      <alignment horizontal="right" vertical="center"/>
    </xf>
    <xf numFmtId="4" fontId="77" fillId="4" borderId="44" xfId="1" applyNumberFormat="1" applyFont="1" applyFill="1" applyBorder="1" applyAlignment="1">
      <alignment horizontal="right" vertical="center"/>
    </xf>
    <xf numFmtId="4" fontId="77" fillId="4" borderId="159" xfId="1" applyNumberFormat="1" applyFont="1" applyFill="1" applyBorder="1" applyAlignment="1">
      <alignment horizontal="left" vertical="center"/>
    </xf>
    <xf numFmtId="3" fontId="123" fillId="4" borderId="0" xfId="1" applyNumberFormat="1" applyFont="1" applyFill="1" applyAlignment="1">
      <alignment horizontal="right" vertical="center"/>
    </xf>
    <xf numFmtId="3" fontId="120" fillId="4" borderId="159" xfId="1" applyNumberFormat="1" applyFont="1" applyFill="1" applyBorder="1" applyAlignment="1">
      <alignment horizontal="left" vertical="center"/>
    </xf>
    <xf numFmtId="3" fontId="77" fillId="4" borderId="158" xfId="1" applyNumberFormat="1" applyFont="1" applyFill="1" applyBorder="1" applyAlignment="1">
      <alignment horizontal="left" vertical="center"/>
    </xf>
    <xf numFmtId="3" fontId="123" fillId="4" borderId="0" xfId="1" applyNumberFormat="1" applyFont="1" applyFill="1" applyAlignment="1">
      <alignment horizontal="center" vertical="center" wrapText="1"/>
    </xf>
    <xf numFmtId="3" fontId="77" fillId="4" borderId="147" xfId="1" applyNumberFormat="1" applyFont="1" applyFill="1" applyBorder="1" applyAlignment="1">
      <alignment horizontal="center" vertical="center" wrapText="1"/>
    </xf>
    <xf numFmtId="3" fontId="120" fillId="4" borderId="24" xfId="1" applyNumberFormat="1" applyFont="1" applyFill="1" applyBorder="1" applyAlignment="1">
      <alignment horizontal="center" vertical="center" wrapText="1"/>
    </xf>
    <xf numFmtId="3" fontId="77" fillId="4" borderId="79" xfId="1" applyNumberFormat="1" applyFont="1" applyFill="1" applyBorder="1" applyAlignment="1">
      <alignment horizontal="left" vertical="center" wrapText="1"/>
    </xf>
    <xf numFmtId="3" fontId="69" fillId="4" borderId="41" xfId="1" applyNumberFormat="1" applyFont="1" applyFill="1" applyBorder="1" applyAlignment="1">
      <alignment horizontal="left" vertical="center"/>
    </xf>
    <xf numFmtId="207" fontId="120" fillId="4" borderId="0" xfId="1" applyNumberFormat="1" applyFont="1" applyFill="1" applyAlignment="1">
      <alignment horizontal="left" vertical="center"/>
    </xf>
    <xf numFmtId="3" fontId="120" fillId="4" borderId="40" xfId="1" applyNumberFormat="1" applyFont="1" applyFill="1" applyBorder="1" applyAlignment="1">
      <alignment horizontal="right" vertical="center"/>
    </xf>
    <xf numFmtId="3" fontId="77" fillId="4" borderId="0" xfId="1" applyNumberFormat="1" applyFont="1" applyFill="1" applyBorder="1" applyAlignment="1">
      <alignment horizontal="left" vertical="center"/>
    </xf>
    <xf numFmtId="189" fontId="14" fillId="0" borderId="58" xfId="61" applyNumberFormat="1" applyFont="1" applyBorder="1" applyAlignment="1" applyProtection="1">
      <alignment vertical="center"/>
    </xf>
    <xf numFmtId="0" fontId="6" fillId="0" borderId="57" xfId="1" applyFont="1" applyBorder="1" applyAlignment="1" applyProtection="1">
      <alignment vertical="center"/>
    </xf>
    <xf numFmtId="0" fontId="5" fillId="0" borderId="2" xfId="1" applyFont="1" applyBorder="1" applyAlignment="1" applyProtection="1">
      <alignment vertical="center"/>
    </xf>
    <xf numFmtId="0" fontId="6" fillId="0" borderId="57" xfId="1" applyFont="1" applyBorder="1" applyAlignment="1" applyProtection="1">
      <alignment horizontal="left" vertical="center"/>
    </xf>
    <xf numFmtId="208" fontId="15" fillId="31" borderId="58" xfId="1" applyNumberFormat="1" applyFont="1" applyFill="1" applyBorder="1" applyAlignment="1" applyProtection="1">
      <alignment horizontal="center" vertical="center"/>
      <protection locked="0"/>
    </xf>
    <xf numFmtId="0" fontId="15" fillId="0" borderId="77" xfId="1" applyFont="1" applyBorder="1" applyAlignment="1" applyProtection="1">
      <alignment vertical="center" wrapText="1"/>
    </xf>
    <xf numFmtId="184" fontId="15" fillId="4" borderId="58" xfId="61" applyNumberFormat="1" applyFont="1" applyFill="1" applyBorder="1" applyAlignment="1" applyProtection="1">
      <alignment horizontal="center" vertical="center"/>
    </xf>
    <xf numFmtId="0" fontId="15" fillId="0" borderId="8" xfId="1" applyFont="1" applyBorder="1" applyAlignment="1" applyProtection="1">
      <alignment vertical="center"/>
    </xf>
    <xf numFmtId="170" fontId="6" fillId="4" borderId="19" xfId="1" applyNumberFormat="1" applyFont="1" applyFill="1" applyBorder="1" applyAlignment="1" applyProtection="1">
      <alignment horizontal="right" vertical="center"/>
    </xf>
    <xf numFmtId="170" fontId="6" fillId="4" borderId="62" xfId="1" applyNumberFormat="1" applyFont="1" applyFill="1" applyBorder="1" applyAlignment="1" applyProtection="1">
      <alignment horizontal="right" vertical="center"/>
    </xf>
    <xf numFmtId="181" fontId="6" fillId="31" borderId="63" xfId="105" applyNumberFormat="1" applyFont="1" applyFill="1" applyBorder="1" applyAlignment="1" applyProtection="1">
      <alignment vertical="center"/>
      <protection locked="0"/>
    </xf>
    <xf numFmtId="0" fontId="6" fillId="27" borderId="0" xfId="1" applyFont="1" applyFill="1" applyBorder="1" applyAlignment="1" applyProtection="1">
      <alignment vertical="center"/>
    </xf>
    <xf numFmtId="170" fontId="6" fillId="27" borderId="62" xfId="1" applyNumberFormat="1" applyFont="1" applyFill="1" applyBorder="1" applyAlignment="1" applyProtection="1">
      <alignment horizontal="right" vertical="center"/>
    </xf>
    <xf numFmtId="181" fontId="6" fillId="31" borderId="67" xfId="105" applyNumberFormat="1" applyFont="1" applyFill="1" applyBorder="1" applyAlignment="1" applyProtection="1">
      <alignment vertical="center"/>
      <protection locked="0"/>
    </xf>
    <xf numFmtId="0" fontId="6" fillId="31" borderId="80" xfId="105" applyFont="1" applyFill="1" applyBorder="1" applyAlignment="1" applyProtection="1">
      <alignment horizontal="left" vertical="center"/>
      <protection locked="0"/>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170" fontId="6" fillId="4" borderId="66" xfId="1" applyNumberFormat="1" applyFont="1" applyFill="1" applyBorder="1" applyAlignment="1" applyProtection="1">
      <alignment horizontal="right" vertical="center"/>
    </xf>
    <xf numFmtId="170" fontId="6" fillId="27" borderId="66" xfId="1" applyNumberFormat="1" applyFont="1" applyFill="1" applyBorder="1" applyAlignment="1" applyProtection="1">
      <alignment horizontal="right" vertical="center"/>
    </xf>
    <xf numFmtId="0" fontId="6" fillId="31" borderId="160" xfId="105" applyFont="1" applyFill="1" applyBorder="1" applyAlignment="1" applyProtection="1">
      <alignment horizontal="left" vertical="center"/>
      <protection locked="0"/>
    </xf>
    <xf numFmtId="0" fontId="6" fillId="31" borderId="121" xfId="105" applyFont="1" applyFill="1" applyBorder="1" applyAlignment="1" applyProtection="1">
      <alignment vertical="center"/>
      <protection locked="0"/>
    </xf>
    <xf numFmtId="189" fontId="14" fillId="0" borderId="19" xfId="61" applyNumberFormat="1" applyFont="1" applyBorder="1" applyAlignment="1" applyProtection="1">
      <alignment vertical="center"/>
    </xf>
    <xf numFmtId="188" fontId="9" fillId="0" borderId="161" xfId="1" applyNumberFormat="1" applyFont="1" applyBorder="1" applyAlignment="1" applyProtection="1">
      <alignment horizontal="center" vertical="center"/>
    </xf>
    <xf numFmtId="188" fontId="9" fillId="0" borderId="92" xfId="1" applyNumberFormat="1" applyFont="1" applyBorder="1" applyAlignment="1" applyProtection="1">
      <alignment horizontal="center" vertical="center"/>
    </xf>
    <xf numFmtId="189" fontId="14" fillId="27" borderId="0" xfId="61" applyNumberFormat="1" applyFont="1" applyFill="1" applyBorder="1" applyAlignment="1" applyProtection="1">
      <alignment horizontal="center" vertical="center"/>
    </xf>
    <xf numFmtId="188" fontId="9" fillId="27" borderId="161" xfId="1" applyNumberFormat="1" applyFont="1" applyFill="1" applyBorder="1" applyAlignment="1" applyProtection="1">
      <alignment horizontal="center" vertical="center"/>
    </xf>
    <xf numFmtId="188" fontId="9" fillId="27" borderId="92" xfId="1" applyNumberFormat="1" applyFont="1" applyFill="1" applyBorder="1" applyAlignment="1" applyProtection="1">
      <alignment horizontal="center" vertical="center"/>
    </xf>
    <xf numFmtId="189" fontId="14" fillId="0" borderId="0" xfId="61" applyNumberFormat="1" applyFont="1" applyBorder="1" applyAlignment="1" applyProtection="1">
      <alignment horizontal="center" vertical="center"/>
    </xf>
    <xf numFmtId="0" fontId="9" fillId="0" borderId="161" xfId="105" applyFont="1" applyBorder="1" applyAlignment="1" applyProtection="1">
      <alignment horizontal="center" vertical="center"/>
    </xf>
    <xf numFmtId="0" fontId="9" fillId="0" borderId="122" xfId="105" applyFont="1" applyBorder="1" applyAlignment="1" applyProtection="1">
      <alignment horizontal="center" vertical="center"/>
    </xf>
    <xf numFmtId="0" fontId="16" fillId="0" borderId="90" xfId="105" applyFont="1" applyBorder="1" applyAlignment="1" applyProtection="1">
      <alignment horizontal="left" vertical="center"/>
    </xf>
    <xf numFmtId="209" fontId="6" fillId="4" borderId="91" xfId="1" applyNumberFormat="1" applyFont="1" applyFill="1" applyBorder="1" applyAlignment="1" applyProtection="1">
      <alignment horizontal="center" vertical="center"/>
    </xf>
    <xf numFmtId="0" fontId="9" fillId="0" borderId="91" xfId="1" applyFont="1" applyBorder="1" applyProtection="1"/>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189" fontId="14" fillId="0" borderId="42" xfId="61" applyNumberFormat="1" applyFont="1" applyBorder="1" applyAlignment="1" applyProtection="1">
      <alignment vertical="center"/>
    </xf>
    <xf numFmtId="188" fontId="16" fillId="0" borderId="0" xfId="1" applyNumberFormat="1" applyFont="1" applyBorder="1" applyAlignment="1" applyProtection="1">
      <alignment vertical="center"/>
    </xf>
    <xf numFmtId="188" fontId="16" fillId="0" borderId="40" xfId="1" applyNumberFormat="1" applyFont="1" applyBorder="1" applyAlignment="1" applyProtection="1">
      <alignment vertical="center"/>
    </xf>
    <xf numFmtId="189" fontId="14" fillId="27" borderId="42" xfId="61" applyNumberFormat="1" applyFont="1" applyFill="1" applyBorder="1" applyAlignment="1" applyProtection="1">
      <alignment vertical="center"/>
    </xf>
    <xf numFmtId="188" fontId="16" fillId="27" borderId="0" xfId="1" applyNumberFormat="1" applyFont="1" applyFill="1" applyBorder="1" applyAlignment="1" applyProtection="1">
      <alignment vertical="center"/>
    </xf>
    <xf numFmtId="188" fontId="16" fillId="27" borderId="40" xfId="1" applyNumberFormat="1" applyFont="1" applyFill="1" applyBorder="1" applyAlignment="1" applyProtection="1">
      <alignment vertical="center"/>
    </xf>
    <xf numFmtId="0" fontId="16" fillId="0" borderId="19" xfId="105" applyFont="1" applyBorder="1" applyAlignment="1" applyProtection="1">
      <alignment horizontal="left" vertical="center"/>
    </xf>
    <xf numFmtId="189" fontId="14" fillId="0" borderId="44" xfId="61" applyNumberFormat="1" applyFont="1" applyBorder="1" applyAlignment="1" applyProtection="1">
      <alignment vertical="center"/>
    </xf>
    <xf numFmtId="0" fontId="6" fillId="0" borderId="2" xfId="1" applyFont="1" applyBorder="1" applyAlignment="1" applyProtection="1">
      <alignment horizontal="center" vertical="center"/>
    </xf>
    <xf numFmtId="3" fontId="6" fillId="4" borderId="39" xfId="1" applyNumberFormat="1" applyFont="1" applyFill="1" applyBorder="1" applyAlignment="1" applyProtection="1">
      <alignment horizontal="right" vertical="center"/>
    </xf>
    <xf numFmtId="189" fontId="14" fillId="27" borderId="44" xfId="61" applyNumberFormat="1" applyFont="1" applyFill="1" applyBorder="1" applyAlignment="1" applyProtection="1">
      <alignment vertical="center"/>
    </xf>
    <xf numFmtId="0" fontId="6" fillId="27" borderId="2" xfId="1" applyFont="1" applyFill="1" applyBorder="1" applyAlignment="1" applyProtection="1">
      <alignment horizontal="center" vertical="center"/>
    </xf>
    <xf numFmtId="3" fontId="6" fillId="27" borderId="39" xfId="1" applyNumberFormat="1" applyFont="1" applyFill="1" applyBorder="1" applyAlignment="1" applyProtection="1">
      <alignment horizontal="right" vertical="center"/>
    </xf>
    <xf numFmtId="0" fontId="16" fillId="0" borderId="2" xfId="105" applyFont="1" applyBorder="1" applyAlignment="1" applyProtection="1">
      <alignment horizontal="left" vertical="center"/>
    </xf>
    <xf numFmtId="190" fontId="6" fillId="4" borderId="162" xfId="105" applyNumberFormat="1" applyFont="1" applyFill="1" applyBorder="1" applyAlignment="1" applyProtection="1">
      <alignment vertical="center"/>
    </xf>
    <xf numFmtId="0" fontId="6" fillId="27" borderId="0" xfId="1" applyFont="1" applyFill="1" applyBorder="1" applyAlignment="1" applyProtection="1">
      <alignment horizontal="center" vertical="center"/>
    </xf>
    <xf numFmtId="0" fontId="6" fillId="27" borderId="0" xfId="1" applyFont="1" applyFill="1" applyBorder="1" applyAlignment="1" applyProtection="1">
      <alignment horizontal="left" vertical="center"/>
    </xf>
    <xf numFmtId="182" fontId="6" fillId="4" borderId="162" xfId="61" applyNumberFormat="1" applyFont="1" applyFill="1" applyBorder="1" applyAlignment="1" applyProtection="1">
      <alignment vertical="center"/>
    </xf>
    <xf numFmtId="188" fontId="14" fillId="0" borderId="44" xfId="1" applyNumberFormat="1" applyFont="1" applyBorder="1" applyAlignment="1" applyProtection="1">
      <alignment horizontal="right" vertical="center"/>
    </xf>
    <xf numFmtId="0" fontId="6" fillId="31" borderId="162" xfId="1" applyFont="1" applyFill="1" applyBorder="1" applyAlignment="1" applyProtection="1">
      <alignment horizontal="center" vertical="center"/>
      <protection locked="0"/>
    </xf>
    <xf numFmtId="177" fontId="6" fillId="31" borderId="39" xfId="105" applyNumberFormat="1" applyFont="1" applyFill="1" applyBorder="1" applyAlignment="1" applyProtection="1">
      <alignment horizontal="center" vertical="center"/>
      <protection locked="0"/>
    </xf>
    <xf numFmtId="188" fontId="14" fillId="27" borderId="44" xfId="1" applyNumberFormat="1" applyFont="1" applyFill="1" applyBorder="1" applyAlignment="1" applyProtection="1">
      <alignment horizontal="right" vertical="center"/>
    </xf>
    <xf numFmtId="0" fontId="6" fillId="31" borderId="62" xfId="1" applyFont="1" applyFill="1" applyBorder="1" applyAlignment="1" applyProtection="1">
      <alignment vertical="center"/>
      <protection locked="0"/>
    </xf>
    <xf numFmtId="0" fontId="9" fillId="0" borderId="39" xfId="1" applyFont="1" applyBorder="1" applyProtection="1"/>
    <xf numFmtId="0" fontId="20" fillId="0" borderId="161" xfId="105" applyFont="1" applyBorder="1" applyAlignment="1" applyProtection="1">
      <alignment horizontal="center" vertical="center" wrapText="1"/>
    </xf>
    <xf numFmtId="0" fontId="9" fillId="0" borderId="92" xfId="105" applyFont="1" applyBorder="1" applyAlignment="1" applyProtection="1">
      <alignment horizontal="center" vertical="center"/>
    </xf>
    <xf numFmtId="0" fontId="20" fillId="27" borderId="161" xfId="105" applyFont="1" applyFill="1" applyBorder="1" applyAlignment="1" applyProtection="1">
      <alignment horizontal="center" vertical="center" wrapText="1"/>
    </xf>
    <xf numFmtId="0" fontId="9" fillId="27" borderId="92" xfId="105" applyFont="1" applyFill="1" applyBorder="1" applyAlignment="1" applyProtection="1">
      <alignment horizontal="center" vertical="center"/>
    </xf>
    <xf numFmtId="209" fontId="6" fillId="4" borderId="0" xfId="1" applyNumberFormat="1" applyFont="1" applyFill="1" applyBorder="1" applyAlignment="1" applyProtection="1">
      <alignment horizontal="center" vertical="center"/>
    </xf>
    <xf numFmtId="210" fontId="6" fillId="0" borderId="2" xfId="1" applyNumberFormat="1" applyFont="1" applyBorder="1" applyAlignment="1" applyProtection="1">
      <alignment horizontal="right" vertical="center"/>
    </xf>
    <xf numFmtId="210" fontId="6" fillId="31" borderId="39" xfId="1" applyNumberFormat="1" applyFont="1" applyFill="1" applyBorder="1" applyAlignment="1" applyProtection="1">
      <alignment horizontal="right" vertical="center"/>
      <protection locked="0"/>
    </xf>
    <xf numFmtId="210" fontId="6" fillId="27" borderId="2" xfId="1" applyNumberFormat="1" applyFont="1" applyFill="1" applyBorder="1" applyAlignment="1" applyProtection="1">
      <alignment horizontal="right" vertical="center"/>
    </xf>
    <xf numFmtId="0" fontId="16" fillId="0" borderId="44" xfId="105" applyFont="1" applyBorder="1" applyAlignment="1" applyProtection="1">
      <alignment horizontal="left" vertical="center"/>
    </xf>
    <xf numFmtId="180" fontId="6" fillId="31" borderId="162"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44" xfId="61" applyNumberFormat="1" applyFont="1" applyFill="1" applyBorder="1" applyAlignment="1" applyProtection="1">
      <alignmen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1"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3" xfId="1" applyNumberFormat="1" applyFont="1" applyFill="1" applyBorder="1" applyAlignment="1" applyProtection="1">
      <alignment horizontal="right" vertical="center"/>
    </xf>
    <xf numFmtId="189" fontId="14" fillId="0" borderId="19" xfId="61" applyNumberFormat="1" applyFont="1" applyFill="1" applyBorder="1" applyAlignment="1" applyProtection="1">
      <alignmen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9" fontId="14" fillId="27" borderId="0" xfId="61" applyNumberFormat="1" applyFont="1" applyFill="1" applyBorder="1" applyAlignment="1" applyProtection="1">
      <alignmen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189" fontId="14" fillId="0" borderId="0" xfId="61" applyNumberFormat="1" applyFont="1" applyFill="1" applyBorder="1" applyAlignment="1" applyProtection="1">
      <alignment vertical="center"/>
    </xf>
    <xf numFmtId="0" fontId="9" fillId="0" borderId="164" xfId="105" applyFont="1" applyBorder="1" applyAlignment="1" applyProtection="1">
      <alignment horizontal="center" vertical="center"/>
    </xf>
    <xf numFmtId="209" fontId="6" fillId="4" borderId="161" xfId="1" applyNumberFormat="1" applyFont="1" applyFill="1" applyBorder="1" applyAlignment="1" applyProtection="1">
      <alignment horizontal="center" vertical="center"/>
    </xf>
    <xf numFmtId="189" fontId="14" fillId="0" borderId="42" xfId="61" applyNumberFormat="1" applyFont="1" applyFill="1" applyBorder="1" applyAlignment="1" applyProtection="1">
      <alignment vertical="center"/>
    </xf>
    <xf numFmtId="0" fontId="16" fillId="0" borderId="83" xfId="105" applyFont="1" applyBorder="1" applyAlignment="1" applyProtection="1">
      <alignment horizontal="left" vertical="center"/>
    </xf>
    <xf numFmtId="170" fontId="13" fillId="0" borderId="44" xfId="1" applyNumberFormat="1" applyFont="1" applyBorder="1" applyAlignment="1" applyProtection="1">
      <alignment horizontal="right" vertical="center"/>
    </xf>
    <xf numFmtId="212" fontId="14" fillId="0" borderId="2" xfId="61" applyNumberFormat="1" applyFont="1" applyBorder="1" applyAlignment="1" applyProtection="1">
      <alignment vertical="center"/>
    </xf>
    <xf numFmtId="178" fontId="13" fillId="0" borderId="2" xfId="1" applyNumberFormat="1" applyFont="1" applyBorder="1" applyAlignment="1" applyProtection="1">
      <alignment horizontal="right" vertical="center"/>
    </xf>
    <xf numFmtId="170" fontId="13" fillId="27" borderId="44" xfId="1" applyNumberFormat="1" applyFont="1" applyFill="1" applyBorder="1" applyAlignment="1" applyProtection="1">
      <alignment horizontal="right" vertical="center"/>
    </xf>
    <xf numFmtId="212" fontId="14" fillId="27" borderId="2" xfId="61" applyNumberFormat="1" applyFont="1" applyFill="1" applyBorder="1" applyAlignment="1" applyProtection="1">
      <alignment vertical="center"/>
    </xf>
    <xf numFmtId="178" fontId="13" fillId="27" borderId="2" xfId="1" applyNumberFormat="1" applyFont="1" applyFill="1" applyBorder="1" applyAlignment="1" applyProtection="1">
      <alignment horizontal="right" vertical="center"/>
    </xf>
    <xf numFmtId="0" fontId="9" fillId="0" borderId="44" xfId="1" applyFont="1" applyBorder="1" applyProtection="1"/>
    <xf numFmtId="172" fontId="6" fillId="31" borderId="162" xfId="105" applyNumberFormat="1" applyFont="1" applyFill="1" applyBorder="1" applyAlignment="1" applyProtection="1">
      <alignment vertical="center"/>
      <protection locked="0"/>
    </xf>
    <xf numFmtId="0" fontId="14" fillId="0" borderId="39" xfId="105" applyFont="1" applyBorder="1" applyAlignment="1" applyProtection="1">
      <alignment vertical="center"/>
    </xf>
    <xf numFmtId="170" fontId="16" fillId="0" borderId="19" xfId="61" applyNumberFormat="1" applyFont="1" applyBorder="1" applyAlignment="1" applyProtection="1">
      <alignment vertical="center"/>
    </xf>
    <xf numFmtId="212" fontId="16" fillId="0" borderId="0" xfId="61" applyNumberFormat="1" applyFont="1" applyBorder="1" applyAlignment="1" applyProtection="1">
      <alignment vertical="center"/>
    </xf>
    <xf numFmtId="178" fontId="6" fillId="0" borderId="40" xfId="1" applyNumberFormat="1" applyFont="1" applyBorder="1" applyAlignment="1" applyProtection="1">
      <alignment horizontal="right" vertical="center"/>
    </xf>
    <xf numFmtId="170" fontId="16" fillId="27" borderId="19" xfId="61" applyNumberFormat="1" applyFont="1" applyFill="1" applyBorder="1" applyAlignment="1" applyProtection="1">
      <alignment vertical="center"/>
    </xf>
    <xf numFmtId="212" fontId="16" fillId="27" borderId="0" xfId="61" applyNumberFormat="1" applyFont="1" applyFill="1" applyBorder="1" applyAlignment="1" applyProtection="1">
      <alignment vertical="center"/>
    </xf>
    <xf numFmtId="178" fontId="6" fillId="27" borderId="40" xfId="1" applyNumberFormat="1" applyFont="1" applyFill="1" applyBorder="1" applyAlignment="1" applyProtection="1">
      <alignment horizontal="right" vertical="center"/>
    </xf>
    <xf numFmtId="170" fontId="9" fillId="0" borderId="0" xfId="1" applyNumberFormat="1" applyFont="1" applyBorder="1" applyAlignment="1" applyProtection="1">
      <alignment vertical="center"/>
    </xf>
    <xf numFmtId="170" fontId="6" fillId="0" borderId="44" xfId="61" applyNumberFormat="1" applyFont="1" applyBorder="1" applyAlignment="1" applyProtection="1">
      <alignment vertical="center"/>
    </xf>
    <xf numFmtId="206" fontId="6" fillId="0" borderId="62" xfId="105" applyNumberFormat="1" applyFont="1" applyBorder="1" applyAlignment="1" applyProtection="1">
      <alignment vertical="center"/>
    </xf>
    <xf numFmtId="213" fontId="6" fillId="31" borderId="39" xfId="105" applyNumberFormat="1" applyFont="1" applyFill="1" applyBorder="1" applyAlignment="1" applyProtection="1">
      <alignment vertical="center"/>
      <protection locked="0"/>
    </xf>
    <xf numFmtId="206" fontId="6" fillId="27" borderId="62" xfId="105" applyNumberFormat="1" applyFont="1" applyFill="1" applyBorder="1" applyAlignment="1" applyProtection="1">
      <alignment vertical="center"/>
    </xf>
    <xf numFmtId="176"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vertical="center"/>
    </xf>
    <xf numFmtId="213" fontId="6" fillId="4" borderId="61" xfId="105" applyNumberFormat="1" applyFont="1" applyFill="1" applyBorder="1" applyAlignment="1" applyProtection="1">
      <alignment horizontal="center" vertical="center"/>
    </xf>
    <xf numFmtId="170" fontId="124" fillId="0" borderId="90" xfId="1" applyNumberFormat="1" applyFont="1" applyBorder="1" applyAlignment="1" applyProtection="1">
      <alignment horizontal="right" vertical="center"/>
    </xf>
    <xf numFmtId="206" fontId="124" fillId="0" borderId="161" xfId="105" applyNumberFormat="1" applyFont="1" applyBorder="1" applyAlignment="1" applyProtection="1">
      <alignment horizontal="right" vertical="center"/>
    </xf>
    <xf numFmtId="213" fontId="124" fillId="31" borderId="92" xfId="105" applyNumberFormat="1" applyFont="1" applyFill="1" applyBorder="1" applyAlignment="1" applyProtection="1">
      <alignment horizontal="right" vertical="center"/>
      <protection locked="0"/>
    </xf>
    <xf numFmtId="170" fontId="124" fillId="27" borderId="90" xfId="1" applyNumberFormat="1" applyFont="1" applyFill="1" applyBorder="1" applyAlignment="1" applyProtection="1">
      <alignment horizontal="right" vertical="center"/>
    </xf>
    <xf numFmtId="206" fontId="124" fillId="27" borderId="161" xfId="105" applyNumberFormat="1" applyFont="1" applyFill="1" applyBorder="1" applyAlignment="1" applyProtection="1">
      <alignment horizontal="right" vertical="center"/>
    </xf>
    <xf numFmtId="176"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vertical="center"/>
    </xf>
    <xf numFmtId="213" fontId="124" fillId="4" borderId="122" xfId="105" applyNumberFormat="1" applyFont="1" applyFill="1" applyBorder="1" applyAlignment="1" applyProtection="1">
      <alignment horizontal="center" vertical="center"/>
    </xf>
    <xf numFmtId="0" fontId="124" fillId="4" borderId="92" xfId="1" applyFont="1" applyFill="1" applyBorder="1" applyAlignment="1" applyProtection="1">
      <alignment vertical="center"/>
    </xf>
    <xf numFmtId="170" fontId="6" fillId="0" borderId="19" xfId="1" applyNumberFormat="1" applyFont="1" applyBorder="1" applyAlignment="1" applyProtection="1">
      <alignment horizontal="right" vertical="center"/>
    </xf>
    <xf numFmtId="206" fontId="6" fillId="0" borderId="66" xfId="105" applyNumberFormat="1" applyFont="1" applyBorder="1" applyAlignment="1" applyProtection="1">
      <alignment horizontal="right" vertical="center"/>
    </xf>
    <xf numFmtId="213" fontId="6" fillId="31" borderId="40" xfId="105" applyNumberFormat="1" applyFont="1" applyFill="1" applyBorder="1" applyAlignment="1" applyProtection="1">
      <alignment horizontal="right" vertical="center"/>
      <protection locked="0"/>
    </xf>
    <xf numFmtId="170" fontId="6" fillId="27" borderId="19" xfId="1" applyNumberFormat="1" applyFont="1" applyFill="1" applyBorder="1" applyAlignment="1" applyProtection="1">
      <alignment horizontal="right" vertical="center"/>
    </xf>
    <xf numFmtId="206" fontId="6" fillId="27" borderId="66" xfId="105" applyNumberFormat="1" applyFont="1" applyFill="1" applyBorder="1" applyAlignment="1" applyProtection="1">
      <alignment horizontal="right" vertical="center"/>
    </xf>
    <xf numFmtId="176"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vertical="center"/>
    </xf>
    <xf numFmtId="213" fontId="6" fillId="4" borderId="65" xfId="105" applyNumberFormat="1" applyFont="1" applyFill="1" applyBorder="1" applyAlignment="1" applyProtection="1">
      <alignment horizontal="center" vertical="center"/>
    </xf>
    <xf numFmtId="0" fontId="6" fillId="4" borderId="40" xfId="1" applyFont="1" applyFill="1" applyBorder="1" applyAlignment="1" applyProtection="1">
      <alignment vertical="center"/>
    </xf>
    <xf numFmtId="206" fontId="6" fillId="0" borderId="66" xfId="1" applyNumberFormat="1" applyFont="1" applyBorder="1" applyAlignment="1" applyProtection="1">
      <alignment horizontal="right" vertical="center"/>
    </xf>
    <xf numFmtId="213" fontId="6" fillId="31" borderId="40" xfId="1" applyNumberFormat="1" applyFont="1" applyFill="1" applyBorder="1" applyAlignment="1" applyProtection="1">
      <alignment horizontal="right" vertical="center"/>
      <protection locked="0"/>
    </xf>
    <xf numFmtId="206" fontId="6" fillId="27" borderId="66" xfId="1" applyNumberFormat="1" applyFont="1" applyFill="1" applyBorder="1" applyAlignment="1" applyProtection="1">
      <alignment horizontal="right" vertical="center"/>
    </xf>
    <xf numFmtId="0" fontId="6" fillId="4" borderId="100" xfId="1" applyFont="1" applyFill="1" applyBorder="1" applyAlignment="1" applyProtection="1">
      <alignment vertical="center"/>
    </xf>
    <xf numFmtId="188" fontId="9" fillId="0" borderId="90" xfId="1" applyNumberFormat="1" applyFont="1" applyBorder="1" applyAlignment="1" applyProtection="1">
      <alignment horizontal="center" vertical="center"/>
    </xf>
    <xf numFmtId="178" fontId="6" fillId="0" borderId="92" xfId="1" applyNumberFormat="1" applyFont="1" applyBorder="1" applyAlignment="1" applyProtection="1">
      <alignment horizontal="center" vertical="center"/>
    </xf>
    <xf numFmtId="188" fontId="9" fillId="27" borderId="90" xfId="1" applyNumberFormat="1" applyFont="1" applyFill="1" applyBorder="1" applyAlignment="1" applyProtection="1">
      <alignment horizontal="center" vertical="center"/>
    </xf>
    <xf numFmtId="0" fontId="9" fillId="27" borderId="161" xfId="105" applyFont="1" applyFill="1" applyBorder="1" applyAlignment="1" applyProtection="1">
      <alignment horizontal="center" vertical="center"/>
    </xf>
    <xf numFmtId="178" fontId="6" fillId="27" borderId="92" xfId="1" applyNumberFormat="1" applyFont="1" applyFill="1" applyBorder="1" applyAlignment="1" applyProtection="1">
      <alignment horizontal="center" vertical="center"/>
    </xf>
    <xf numFmtId="0" fontId="6" fillId="0" borderId="91" xfId="105" applyFont="1" applyBorder="1" applyAlignment="1" applyProtection="1">
      <alignment vertical="center"/>
    </xf>
    <xf numFmtId="170" fontId="13" fillId="0" borderId="19" xfId="61" applyNumberFormat="1" applyFont="1" applyBorder="1" applyAlignment="1" applyProtection="1">
      <alignment vertical="center"/>
    </xf>
    <xf numFmtId="0" fontId="6" fillId="0" borderId="66" xfId="1" applyFont="1" applyBorder="1" applyAlignment="1" applyProtection="1">
      <alignment horizontal="center" vertical="center"/>
    </xf>
    <xf numFmtId="170" fontId="13" fillId="27" borderId="19" xfId="61" applyNumberFormat="1" applyFont="1" applyFill="1" applyBorder="1" applyAlignment="1" applyProtection="1">
      <alignment vertical="center"/>
    </xf>
    <xf numFmtId="0" fontId="6" fillId="27" borderId="66" xfId="1" applyFont="1" applyFill="1" applyBorder="1" applyAlignment="1" applyProtection="1">
      <alignment horizontal="center" vertical="center"/>
    </xf>
    <xf numFmtId="0" fontId="6" fillId="27" borderId="40" xfId="1" applyFont="1" applyFill="1" applyBorder="1" applyAlignment="1" applyProtection="1">
      <alignment horizontal="center" vertical="center"/>
    </xf>
    <xf numFmtId="0" fontId="6" fillId="0" borderId="19" xfId="1" applyFont="1" applyBorder="1" applyAlignment="1" applyProtection="1">
      <alignment horizontal="centerContinuous" vertical="center"/>
    </xf>
    <xf numFmtId="0" fontId="6" fillId="0" borderId="65" xfId="1" applyFont="1" applyBorder="1" applyAlignment="1" applyProtection="1">
      <alignment horizontal="centerContinuous" vertical="center"/>
    </xf>
    <xf numFmtId="0" fontId="6" fillId="0" borderId="65" xfId="105" applyFont="1" applyBorder="1" applyAlignment="1" applyProtection="1">
      <alignment horizontal="right" vertical="center"/>
    </xf>
    <xf numFmtId="188" fontId="14" fillId="0" borderId="0" xfId="1" applyNumberFormat="1" applyFont="1" applyBorder="1" applyAlignment="1" applyProtection="1">
      <alignment horizontal="right" vertical="center"/>
    </xf>
    <xf numFmtId="188" fontId="14" fillId="0" borderId="40" xfId="1" applyNumberFormat="1" applyFont="1" applyBorder="1" applyAlignment="1" applyProtection="1">
      <alignment horizontal="right" vertical="center"/>
    </xf>
    <xf numFmtId="188" fontId="14" fillId="27" borderId="0" xfId="1" applyNumberFormat="1" applyFont="1" applyFill="1" applyBorder="1" applyAlignment="1" applyProtection="1">
      <alignment horizontal="right" vertical="center"/>
    </xf>
    <xf numFmtId="188" fontId="14" fillId="27" borderId="40" xfId="1" applyNumberFormat="1" applyFont="1" applyFill="1" applyBorder="1" applyAlignment="1" applyProtection="1">
      <alignment horizontal="right" vertical="center"/>
    </xf>
    <xf numFmtId="170" fontId="6" fillId="0" borderId="44" xfId="1" applyNumberFormat="1" applyFont="1" applyBorder="1" applyAlignment="1" applyProtection="1">
      <alignment horizontal="right" vertical="center"/>
    </xf>
    <xf numFmtId="170" fontId="6" fillId="0" borderId="62" xfId="1" applyNumberFormat="1" applyFont="1" applyBorder="1" applyAlignment="1" applyProtection="1">
      <alignment horizontal="right" vertical="center"/>
    </xf>
    <xf numFmtId="180" fontId="6" fillId="31" borderId="63" xfId="105" applyNumberFormat="1" applyFont="1" applyFill="1" applyBorder="1" applyAlignment="1" applyProtection="1">
      <alignment vertical="center"/>
      <protection locked="0"/>
    </xf>
    <xf numFmtId="200" fontId="6" fillId="4" borderId="62" xfId="105" applyNumberFormat="1" applyFont="1" applyFill="1" applyBorder="1" applyAlignment="1" applyProtection="1">
      <alignment vertical="center"/>
    </xf>
    <xf numFmtId="0" fontId="6" fillId="4" borderId="39" xfId="105" applyFont="1" applyFill="1" applyBorder="1" applyAlignment="1" applyProtection="1">
      <alignment vertical="center"/>
    </xf>
    <xf numFmtId="170" fontId="6" fillId="0" borderId="66" xfId="1" applyNumberFormat="1" applyFont="1" applyBorder="1" applyAlignment="1" applyProtection="1">
      <alignment horizontal="right" vertical="center"/>
    </xf>
    <xf numFmtId="180" fontId="6" fillId="31" borderId="67" xfId="105" applyNumberFormat="1" applyFont="1" applyFill="1" applyBorder="1" applyAlignment="1" applyProtection="1">
      <alignment vertical="center"/>
      <protection locked="0"/>
    </xf>
    <xf numFmtId="200" fontId="6" fillId="4" borderId="66" xfId="105" applyNumberFormat="1" applyFont="1" applyFill="1" applyBorder="1" applyAlignment="1" applyProtection="1">
      <alignment vertical="center"/>
    </xf>
    <xf numFmtId="0" fontId="6" fillId="4" borderId="40" xfId="1" applyFont="1" applyFill="1" applyBorder="1" applyProtection="1"/>
    <xf numFmtId="188" fontId="6" fillId="0" borderId="19" xfId="1" applyNumberFormat="1" applyFont="1" applyBorder="1" applyAlignment="1" applyProtection="1">
      <alignment horizontal="center" vertical="center"/>
    </xf>
    <xf numFmtId="0" fontId="9" fillId="0" borderId="166" xfId="105" applyFont="1" applyBorder="1" applyAlignment="1" applyProtection="1">
      <alignment horizontal="center" vertical="center"/>
    </xf>
    <xf numFmtId="0" fontId="5" fillId="27" borderId="0" xfId="1" applyFont="1" applyFill="1" applyBorder="1" applyAlignment="1" applyProtection="1">
      <alignment horizontal="center" vertical="center"/>
    </xf>
    <xf numFmtId="0" fontId="9" fillId="27" borderId="166" xfId="105" applyFont="1" applyFill="1" applyBorder="1" applyAlignment="1" applyProtection="1">
      <alignment horizontal="center" vertical="center"/>
    </xf>
    <xf numFmtId="0" fontId="5" fillId="0" borderId="0" xfId="1" applyFont="1" applyBorder="1" applyAlignment="1" applyProtection="1">
      <alignment horizontal="center" vertical="center"/>
    </xf>
    <xf numFmtId="210" fontId="14" fillId="0" borderId="0" xfId="1" applyNumberFormat="1" applyFont="1" applyBorder="1" applyAlignment="1" applyProtection="1">
      <alignment horizontal="right" vertical="center"/>
    </xf>
    <xf numFmtId="210" fontId="6" fillId="0" borderId="40" xfId="1" applyNumberFormat="1" applyFont="1" applyBorder="1" applyAlignment="1" applyProtection="1">
      <alignment horizontal="right" vertical="center"/>
    </xf>
    <xf numFmtId="210" fontId="14" fillId="27" borderId="0" xfId="1" applyNumberFormat="1" applyFont="1" applyFill="1" applyBorder="1" applyAlignment="1" applyProtection="1">
      <alignment horizontal="right" vertical="center"/>
    </xf>
    <xf numFmtId="210" fontId="6" fillId="27" borderId="40" xfId="1" applyNumberFormat="1" applyFont="1" applyFill="1" applyBorder="1" applyAlignment="1" applyProtection="1">
      <alignment horizontal="right" vertical="center"/>
    </xf>
    <xf numFmtId="210" fontId="6" fillId="0" borderId="63" xfId="1" applyNumberFormat="1" applyFont="1" applyBorder="1" applyAlignment="1" applyProtection="1">
      <alignment horizontal="right" vertical="center"/>
    </xf>
    <xf numFmtId="210" fontId="6" fillId="27" borderId="63" xfId="1" applyNumberFormat="1" applyFont="1" applyFill="1" applyBorder="1" applyAlignment="1" applyProtection="1">
      <alignment horizontal="right" vertical="center"/>
    </xf>
    <xf numFmtId="181" fontId="6" fillId="31" borderId="61" xfId="105" applyNumberFormat="1" applyFont="1" applyFill="1" applyBorder="1" applyAlignment="1" applyProtection="1">
      <alignment horizontal="right" vertical="center"/>
      <protection locked="0"/>
    </xf>
    <xf numFmtId="176" fontId="6" fillId="0" borderId="61" xfId="105" applyNumberFormat="1" applyFont="1" applyFill="1" applyBorder="1" applyAlignment="1" applyProtection="1">
      <alignment vertical="center"/>
    </xf>
    <xf numFmtId="210" fontId="6" fillId="0" borderId="67" xfId="1" applyNumberFormat="1" applyFont="1" applyBorder="1" applyAlignment="1" applyProtection="1">
      <alignment horizontal="right" vertical="center"/>
    </xf>
    <xf numFmtId="210" fontId="6" fillId="27" borderId="67" xfId="1" applyNumberFormat="1" applyFont="1" applyFill="1" applyBorder="1" applyAlignment="1" applyProtection="1">
      <alignment horizontal="right" vertical="center"/>
    </xf>
    <xf numFmtId="181" fontId="6" fillId="31" borderId="65" xfId="105" applyNumberFormat="1" applyFont="1" applyFill="1" applyBorder="1" applyAlignment="1" applyProtection="1">
      <alignment horizontal="right" vertical="center"/>
      <protection locked="0"/>
    </xf>
    <xf numFmtId="176" fontId="6" fillId="0" borderId="65" xfId="105" applyNumberFormat="1" applyFont="1" applyFill="1" applyBorder="1" applyAlignment="1" applyProtection="1">
      <alignment vertical="center"/>
    </xf>
    <xf numFmtId="0" fontId="6" fillId="0" borderId="104" xfId="105" applyFont="1" applyBorder="1" applyAlignment="1" applyProtection="1">
      <alignment vertical="center"/>
    </xf>
    <xf numFmtId="0" fontId="6" fillId="0" borderId="100" xfId="1" applyFont="1" applyBorder="1" applyAlignment="1" applyProtection="1">
      <alignment vertical="center"/>
    </xf>
    <xf numFmtId="188" fontId="6" fillId="0" borderId="82" xfId="1" applyNumberFormat="1" applyFont="1" applyBorder="1" applyAlignment="1" applyProtection="1">
      <alignment horizontal="center" vertical="center"/>
    </xf>
    <xf numFmtId="188" fontId="9" fillId="0" borderId="166" xfId="1" applyNumberFormat="1" applyFont="1" applyBorder="1" applyAlignment="1" applyProtection="1">
      <alignment horizontal="center" vertical="center"/>
    </xf>
    <xf numFmtId="0" fontId="5" fillId="27" borderId="0" xfId="1" applyFont="1" applyFill="1" applyBorder="1" applyAlignment="1" applyProtection="1">
      <alignment vertical="center"/>
    </xf>
    <xf numFmtId="188" fontId="9" fillId="27" borderId="166" xfId="1" applyNumberFormat="1" applyFont="1" applyFill="1" applyBorder="1" applyAlignment="1" applyProtection="1">
      <alignment horizontal="center" vertical="center"/>
    </xf>
    <xf numFmtId="0" fontId="14" fillId="0" borderId="92" xfId="105" applyFont="1" applyBorder="1" applyAlignment="1" applyProtection="1">
      <alignment vertical="center"/>
    </xf>
    <xf numFmtId="189" fontId="14" fillId="0" borderId="0" xfId="61" applyNumberFormat="1" applyFont="1" applyBorder="1" applyAlignment="1" applyProtection="1">
      <alignment vertical="center"/>
    </xf>
    <xf numFmtId="0" fontId="5" fillId="27" borderId="19" xfId="1" applyFont="1" applyFill="1" applyBorder="1" applyAlignment="1" applyProtection="1">
      <alignment vertical="center"/>
    </xf>
    <xf numFmtId="0" fontId="5" fillId="0" borderId="19" xfId="1" applyFont="1" applyBorder="1" applyAlignment="1" applyProtection="1">
      <alignment vertical="center"/>
    </xf>
    <xf numFmtId="0" fontId="9" fillId="0" borderId="82" xfId="1" applyFont="1" applyBorder="1" applyAlignment="1" applyProtection="1">
      <alignment horizontal="center" vertical="center"/>
    </xf>
    <xf numFmtId="0" fontId="9" fillId="0" borderId="65" xfId="1" applyFont="1" applyBorder="1" applyAlignment="1" applyProtection="1">
      <alignment horizontal="center" vertical="center"/>
    </xf>
    <xf numFmtId="0" fontId="6" fillId="0" borderId="42" xfId="105" applyFont="1" applyFill="1" applyBorder="1" applyAlignment="1" applyProtection="1">
      <alignment horizontal="left" vertical="center"/>
    </xf>
    <xf numFmtId="0" fontId="14" fillId="0" borderId="43" xfId="105" applyFont="1" applyBorder="1" applyAlignment="1" applyProtection="1">
      <alignment vertical="center"/>
    </xf>
    <xf numFmtId="206" fontId="6" fillId="31" borderId="63" xfId="1" applyNumberFormat="1" applyFont="1" applyFill="1" applyBorder="1" applyAlignment="1" applyProtection="1">
      <alignment horizontal="right" vertical="center"/>
      <protection locked="0"/>
    </xf>
    <xf numFmtId="176" fontId="6" fillId="4" borderId="62" xfId="105" applyNumberFormat="1" applyFont="1" applyFill="1" applyBorder="1" applyAlignment="1" applyProtection="1">
      <alignment horizontal="right" vertical="center"/>
    </xf>
    <xf numFmtId="176" fontId="6" fillId="31" borderId="62" xfId="105" applyNumberFormat="1" applyFont="1" applyFill="1" applyBorder="1" applyAlignment="1" applyProtection="1">
      <alignment horizontal="right" vertical="center"/>
      <protection locked="0"/>
    </xf>
    <xf numFmtId="0" fontId="6" fillId="31" borderId="2" xfId="105" applyFont="1" applyFill="1" applyBorder="1" applyAlignment="1" applyProtection="1">
      <alignment vertical="center"/>
      <protection locked="0"/>
    </xf>
    <xf numFmtId="206" fontId="6" fillId="31" borderId="67" xfId="1" applyNumberFormat="1" applyFont="1" applyFill="1" applyBorder="1" applyAlignment="1" applyProtection="1">
      <alignment horizontal="right" vertical="center"/>
      <protection locked="0"/>
    </xf>
    <xf numFmtId="176" fontId="6" fillId="4" borderId="66" xfId="105" applyNumberFormat="1" applyFont="1" applyFill="1" applyBorder="1" applyAlignment="1" applyProtection="1">
      <alignment horizontal="right" vertical="center"/>
    </xf>
    <xf numFmtId="176" fontId="6" fillId="31" borderId="66" xfId="105" applyNumberFormat="1" applyFont="1" applyFill="1" applyBorder="1" applyAlignment="1" applyProtection="1">
      <alignment horizontal="right" vertical="center"/>
      <protection locked="0"/>
    </xf>
    <xf numFmtId="0" fontId="6" fillId="0" borderId="100" xfId="105" applyFont="1" applyBorder="1" applyAlignment="1" applyProtection="1">
      <alignment vertical="center"/>
    </xf>
    <xf numFmtId="0" fontId="9" fillId="27" borderId="0" xfId="1" applyFont="1" applyFill="1" applyBorder="1" applyAlignment="1" applyProtection="1">
      <alignment vertical="center"/>
    </xf>
    <xf numFmtId="0" fontId="6" fillId="0" borderId="123" xfId="1" applyFont="1" applyBorder="1" applyAlignment="1" applyProtection="1">
      <alignment horizontal="center" vertical="center"/>
    </xf>
    <xf numFmtId="0" fontId="14" fillId="0" borderId="92" xfId="1" applyFont="1" applyBorder="1" applyAlignment="1" applyProtection="1">
      <alignment vertical="center"/>
    </xf>
    <xf numFmtId="189" fontId="14" fillId="27" borderId="19" xfId="61" applyNumberFormat="1" applyFont="1" applyFill="1" applyBorder="1" applyAlignment="1" applyProtection="1">
      <alignment vertical="center"/>
    </xf>
    <xf numFmtId="0" fontId="16" fillId="0" borderId="23" xfId="1" applyFont="1" applyBorder="1" applyAlignment="1" applyProtection="1">
      <alignment vertical="center"/>
    </xf>
    <xf numFmtId="189" fontId="14" fillId="31" borderId="58" xfId="61" applyNumberFormat="1" applyFont="1" applyFill="1" applyBorder="1" applyAlignment="1" applyProtection="1">
      <alignment vertical="center"/>
      <protection locked="0"/>
    </xf>
    <xf numFmtId="170" fontId="6" fillId="4" borderId="57" xfId="61" applyNumberFormat="1" applyFont="1" applyFill="1" applyBorder="1" applyAlignment="1" applyProtection="1">
      <alignment vertical="center"/>
    </xf>
    <xf numFmtId="188" fontId="6" fillId="4" borderId="77" xfId="61" applyNumberFormat="1" applyFont="1" applyFill="1" applyBorder="1" applyAlignment="1" applyProtection="1">
      <alignment vertical="center"/>
    </xf>
    <xf numFmtId="170" fontId="6" fillId="27" borderId="57" xfId="61" applyNumberFormat="1" applyFont="1" applyFill="1" applyBorder="1" applyAlignment="1" applyProtection="1">
      <alignment vertical="center"/>
    </xf>
    <xf numFmtId="188" fontId="6" fillId="27" borderId="77" xfId="61" applyNumberFormat="1" applyFont="1" applyFill="1" applyBorder="1" applyAlignment="1" applyProtection="1">
      <alignment vertical="center"/>
    </xf>
    <xf numFmtId="0" fontId="6" fillId="0" borderId="57" xfId="1" applyFont="1" applyFill="1" applyBorder="1" applyAlignment="1" applyProtection="1">
      <alignment vertical="center"/>
    </xf>
    <xf numFmtId="170" fontId="6" fillId="4" borderId="44" xfId="1" applyNumberFormat="1" applyFont="1" applyFill="1" applyBorder="1" applyAlignment="1" applyProtection="1">
      <alignment horizontal="right" vertical="center"/>
    </xf>
    <xf numFmtId="170" fontId="6" fillId="4" borderId="2" xfId="1" applyNumberFormat="1" applyFont="1" applyFill="1" applyBorder="1" applyAlignment="1" applyProtection="1">
      <alignment horizontal="right" vertical="center"/>
    </xf>
    <xf numFmtId="188" fontId="6" fillId="0" borderId="39" xfId="61" applyNumberFormat="1" applyFont="1" applyBorder="1" applyAlignment="1" applyProtection="1">
      <alignment vertical="center"/>
    </xf>
    <xf numFmtId="188" fontId="6" fillId="27" borderId="39" xfId="61" applyNumberFormat="1" applyFont="1" applyFill="1" applyBorder="1" applyAlignment="1" applyProtection="1">
      <alignment vertical="center"/>
    </xf>
    <xf numFmtId="0" fontId="16" fillId="0" borderId="2" xfId="1" applyFont="1" applyBorder="1" applyAlignment="1" applyProtection="1">
      <alignment horizontal="left" vertical="center"/>
    </xf>
    <xf numFmtId="0" fontId="6" fillId="4" borderId="39" xfId="1" applyFont="1" applyFill="1" applyBorder="1" applyAlignment="1" applyProtection="1">
      <alignment horizontal="center" vertical="center"/>
    </xf>
    <xf numFmtId="189" fontId="6" fillId="0" borderId="44" xfId="1" applyNumberFormat="1" applyFont="1" applyBorder="1" applyAlignment="1" applyProtection="1">
      <alignment vertical="center"/>
    </xf>
    <xf numFmtId="189" fontId="6" fillId="0" borderId="2" xfId="1" applyNumberFormat="1" applyFont="1" applyBorder="1" applyAlignment="1" applyProtection="1">
      <alignment vertical="center"/>
    </xf>
    <xf numFmtId="189" fontId="6" fillId="0" borderId="39" xfId="1" applyNumberFormat="1" applyFont="1" applyBorder="1" applyAlignment="1" applyProtection="1">
      <alignment vertical="center"/>
    </xf>
    <xf numFmtId="170" fontId="6" fillId="4" borderId="0" xfId="1" applyNumberFormat="1" applyFont="1" applyFill="1" applyBorder="1" applyAlignment="1" applyProtection="1">
      <alignment horizontal="right" vertical="center"/>
    </xf>
    <xf numFmtId="188" fontId="6" fillId="0" borderId="40" xfId="61" applyNumberFormat="1" applyFont="1" applyBorder="1" applyAlignment="1" applyProtection="1">
      <alignment vertical="center"/>
    </xf>
    <xf numFmtId="188" fontId="6" fillId="27" borderId="40" xfId="61" applyNumberFormat="1" applyFont="1" applyFill="1" applyBorder="1" applyAlignment="1" applyProtection="1">
      <alignment vertical="center"/>
    </xf>
    <xf numFmtId="0" fontId="16" fillId="0" borderId="0" xfId="1" applyFont="1" applyBorder="1" applyAlignment="1" applyProtection="1">
      <alignment horizontal="left" vertical="center"/>
    </xf>
    <xf numFmtId="0" fontId="6" fillId="4" borderId="40" xfId="1" applyFont="1" applyFill="1" applyBorder="1" applyAlignment="1" applyProtection="1">
      <alignment horizontal="center" vertical="center"/>
    </xf>
    <xf numFmtId="0" fontId="5" fillId="0" borderId="42" xfId="1" applyFont="1" applyBorder="1" applyAlignment="1" applyProtection="1">
      <alignment vertical="center"/>
    </xf>
    <xf numFmtId="188" fontId="14" fillId="0" borderId="0" xfId="61" applyNumberFormat="1" applyFont="1" applyBorder="1" applyAlignment="1" applyProtection="1">
      <alignment vertical="center"/>
    </xf>
    <xf numFmtId="188" fontId="14" fillId="0" borderId="40" xfId="61" applyNumberFormat="1" applyFont="1" applyBorder="1" applyAlignment="1" applyProtection="1">
      <alignment vertical="center"/>
    </xf>
    <xf numFmtId="188" fontId="14" fillId="27" borderId="0" xfId="61" applyNumberFormat="1" applyFont="1" applyFill="1" applyBorder="1" applyAlignment="1" applyProtection="1">
      <alignment vertical="center"/>
    </xf>
    <xf numFmtId="188" fontId="14" fillId="27" borderId="40" xfId="61" applyNumberFormat="1" applyFont="1" applyFill="1" applyBorder="1" applyAlignment="1" applyProtection="1">
      <alignment vertical="center"/>
    </xf>
    <xf numFmtId="0" fontId="9" fillId="0" borderId="0" xfId="1" applyFont="1" applyProtection="1"/>
    <xf numFmtId="170" fontId="6" fillId="4" borderId="2" xfId="6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xf>
    <xf numFmtId="0" fontId="6" fillId="27" borderId="2" xfId="1" applyFont="1" applyFill="1" applyBorder="1" applyAlignment="1" applyProtection="1">
      <alignment vertical="center"/>
    </xf>
    <xf numFmtId="170" fontId="6" fillId="27" borderId="2" xfId="61" applyNumberFormat="1" applyFont="1" applyFill="1" applyBorder="1" applyAlignment="1" applyProtection="1">
      <alignment horizontal="right" vertical="center"/>
    </xf>
    <xf numFmtId="170" fontId="6" fillId="4" borderId="2" xfId="61" applyNumberFormat="1" applyFont="1" applyFill="1" applyBorder="1" applyAlignment="1" applyProtection="1">
      <alignment vertical="center"/>
    </xf>
    <xf numFmtId="0" fontId="6" fillId="4" borderId="2" xfId="1" applyFont="1" applyFill="1" applyBorder="1" applyAlignment="1" applyProtection="1">
      <alignment vertical="center"/>
    </xf>
    <xf numFmtId="177" fontId="6" fillId="0" borderId="0" xfId="1" applyNumberFormat="1" applyFont="1" applyAlignment="1" applyProtection="1">
      <alignment horizontal="center" vertical="center"/>
    </xf>
    <xf numFmtId="214" fontId="6" fillId="4" borderId="0" xfId="1" applyNumberFormat="1" applyFont="1" applyFill="1" applyBorder="1" applyAlignment="1" applyProtection="1">
      <alignment vertical="center"/>
    </xf>
    <xf numFmtId="188" fontId="6" fillId="31" borderId="40" xfId="61" applyNumberFormat="1" applyFont="1" applyFill="1" applyBorder="1" applyAlignment="1" applyProtection="1">
      <alignment vertical="center"/>
      <protection locked="0"/>
    </xf>
    <xf numFmtId="0" fontId="16" fillId="0" borderId="0" xfId="1" applyFont="1" applyBorder="1" applyProtection="1"/>
    <xf numFmtId="0" fontId="70" fillId="0" borderId="0" xfId="1" applyFont="1" applyAlignment="1" applyProtection="1">
      <alignment horizontal="center" vertical="center"/>
    </xf>
    <xf numFmtId="177" fontId="70" fillId="0" borderId="0" xfId="1" applyNumberFormat="1" applyFont="1" applyAlignment="1" applyProtection="1">
      <alignment horizontal="center" vertical="center"/>
    </xf>
    <xf numFmtId="0" fontId="70" fillId="0" borderId="0" xfId="1" applyFont="1" applyAlignment="1" applyProtection="1">
      <alignment horizontal="right" vertical="center"/>
    </xf>
    <xf numFmtId="0" fontId="6" fillId="0" borderId="0" xfId="1" applyFont="1" applyFill="1" applyBorder="1" applyAlignment="1" applyProtection="1">
      <alignment horizontal="left" vertical="center"/>
    </xf>
    <xf numFmtId="0" fontId="115" fillId="0" borderId="0" xfId="1" applyFont="1" applyAlignment="1" applyProtection="1">
      <alignment vertical="center"/>
    </xf>
    <xf numFmtId="3" fontId="6" fillId="0" borderId="61" xfId="61" applyNumberFormat="1" applyFont="1" applyFill="1" applyBorder="1" applyAlignment="1" applyProtection="1">
      <alignment horizontal="right" vertical="center"/>
    </xf>
    <xf numFmtId="189" fontId="6" fillId="0" borderId="2" xfId="61" applyNumberFormat="1" applyFont="1" applyBorder="1" applyAlignment="1" applyProtection="1">
      <alignment horizontal="center" vertical="center"/>
    </xf>
    <xf numFmtId="0" fontId="31" fillId="27" borderId="44" xfId="1" applyFont="1" applyFill="1" applyBorder="1" applyAlignment="1" applyProtection="1">
      <alignment vertical="center"/>
    </xf>
    <xf numFmtId="3" fontId="6" fillId="31" borderId="61" xfId="61" applyNumberFormat="1" applyFont="1" applyFill="1" applyBorder="1" applyAlignment="1" applyProtection="1">
      <alignment horizontal="center" vertical="center"/>
      <protection locked="0"/>
    </xf>
    <xf numFmtId="0" fontId="115" fillId="0" borderId="44" xfId="1" applyFont="1" applyBorder="1" applyAlignment="1" applyProtection="1">
      <alignment vertical="center"/>
    </xf>
    <xf numFmtId="189" fontId="6" fillId="0" borderId="39" xfId="61" applyNumberFormat="1" applyFont="1" applyBorder="1" applyAlignment="1" applyProtection="1">
      <alignment horizontal="center" vertical="center"/>
    </xf>
    <xf numFmtId="176" fontId="6" fillId="4" borderId="2" xfId="105" applyNumberFormat="1" applyFont="1" applyFill="1" applyBorder="1" applyAlignment="1" applyProtection="1">
      <alignment horizontal="right" vertical="center"/>
    </xf>
    <xf numFmtId="0" fontId="115" fillId="0" borderId="2" xfId="1" applyFont="1" applyBorder="1" applyAlignment="1" applyProtection="1">
      <alignment vertical="center"/>
    </xf>
    <xf numFmtId="0" fontId="16" fillId="0" borderId="2" xfId="1" applyFont="1" applyBorder="1" applyAlignment="1" applyProtection="1">
      <alignment vertical="center"/>
    </xf>
    <xf numFmtId="189" fontId="6" fillId="0" borderId="0" xfId="61" applyNumberFormat="1" applyFont="1" applyBorder="1" applyAlignment="1" applyProtection="1">
      <alignment vertical="center"/>
    </xf>
    <xf numFmtId="189" fontId="6" fillId="0" borderId="66" xfId="61" applyNumberFormat="1" applyFont="1" applyBorder="1" applyAlignment="1" applyProtection="1">
      <alignment horizontal="center" vertical="center"/>
    </xf>
    <xf numFmtId="0" fontId="6" fillId="27" borderId="19" xfId="1" applyFont="1" applyFill="1" applyBorder="1" applyAlignment="1" applyProtection="1">
      <alignment vertical="center"/>
    </xf>
    <xf numFmtId="189" fontId="6" fillId="27" borderId="0" xfId="61" applyNumberFormat="1" applyFont="1" applyFill="1" applyBorder="1" applyAlignment="1" applyProtection="1">
      <alignment vertical="center"/>
    </xf>
    <xf numFmtId="189" fontId="6" fillId="0" borderId="72" xfId="61" applyNumberFormat="1" applyFont="1" applyBorder="1" applyAlignment="1" applyProtection="1">
      <alignment horizontal="center" vertical="center"/>
    </xf>
    <xf numFmtId="0" fontId="115" fillId="0" borderId="42" xfId="1" applyFont="1" applyBorder="1" applyAlignment="1" applyProtection="1">
      <alignment vertical="center"/>
    </xf>
    <xf numFmtId="189" fontId="6" fillId="0" borderId="70" xfId="61" applyNumberFormat="1" applyFont="1" applyBorder="1" applyAlignment="1" applyProtection="1">
      <alignment horizontal="center" vertical="center"/>
    </xf>
    <xf numFmtId="176" fontId="6" fillId="4" borderId="65" xfId="105" applyNumberFormat="1" applyFont="1" applyFill="1" applyBorder="1" applyAlignment="1" applyProtection="1">
      <alignment horizontal="right" vertical="center"/>
    </xf>
    <xf numFmtId="9" fontId="6" fillId="31" borderId="0" xfId="1" applyNumberFormat="1" applyFont="1" applyFill="1" applyBorder="1" applyAlignment="1" applyProtection="1">
      <alignment horizontal="center" vertical="center"/>
      <protection locked="0"/>
    </xf>
    <xf numFmtId="189" fontId="16" fillId="0" borderId="44" xfId="1" applyNumberFormat="1" applyFont="1" applyBorder="1" applyAlignment="1" applyProtection="1">
      <alignment vertical="center"/>
    </xf>
    <xf numFmtId="189" fontId="16" fillId="0" borderId="2" xfId="1" applyNumberFormat="1" applyFont="1" applyBorder="1" applyAlignment="1" applyProtection="1">
      <alignment vertical="center"/>
    </xf>
    <xf numFmtId="189" fontId="16" fillId="0" borderId="39" xfId="1" applyNumberFormat="1" applyFont="1" applyBorder="1" applyAlignment="1" applyProtection="1">
      <alignment vertical="center"/>
    </xf>
    <xf numFmtId="0" fontId="6" fillId="0" borderId="44" xfId="1" applyFont="1" applyBorder="1" applyAlignment="1" applyProtection="1">
      <alignment vertical="center"/>
    </xf>
    <xf numFmtId="189" fontId="6" fillId="0" borderId="62" xfId="61" applyNumberFormat="1" applyFont="1" applyBorder="1" applyAlignment="1" applyProtection="1">
      <alignment vertical="center"/>
    </xf>
    <xf numFmtId="215" fontId="6" fillId="31" borderId="2" xfId="61" applyNumberFormat="1" applyFont="1" applyFill="1" applyBorder="1" applyAlignment="1" applyProtection="1">
      <alignment horizontal="right" vertical="center"/>
      <protection locked="0"/>
    </xf>
    <xf numFmtId="0" fontId="6" fillId="27" borderId="44" xfId="1" applyFont="1" applyFill="1" applyBorder="1" applyAlignment="1" applyProtection="1">
      <alignment vertical="center"/>
    </xf>
    <xf numFmtId="189" fontId="6" fillId="27" borderId="62" xfId="61" applyNumberFormat="1" applyFont="1" applyFill="1" applyBorder="1" applyAlignment="1" applyProtection="1">
      <alignment vertical="center"/>
    </xf>
    <xf numFmtId="215" fontId="6" fillId="31" borderId="39" xfId="61" applyNumberFormat="1" applyFont="1" applyFill="1" applyBorder="1" applyAlignment="1" applyProtection="1">
      <alignment horizontal="right" vertical="center"/>
      <protection locked="0"/>
    </xf>
    <xf numFmtId="0" fontId="115" fillId="0" borderId="0" xfId="1" applyFont="1" applyBorder="1" applyAlignment="1" applyProtection="1">
      <alignment vertical="center"/>
    </xf>
    <xf numFmtId="2" fontId="6" fillId="31" borderId="80" xfId="1" applyNumberFormat="1" applyFont="1" applyFill="1" applyBorder="1" applyAlignment="1" applyProtection="1">
      <alignment horizontal="center" vertical="center"/>
      <protection locked="0"/>
    </xf>
    <xf numFmtId="0" fontId="70" fillId="0" borderId="42" xfId="1" applyFont="1" applyBorder="1" applyAlignment="1" applyProtection="1">
      <alignment vertical="center"/>
    </xf>
    <xf numFmtId="189" fontId="6" fillId="0" borderId="163" xfId="61" applyNumberFormat="1" applyFont="1" applyBorder="1" applyAlignment="1" applyProtection="1">
      <alignment vertical="center"/>
    </xf>
    <xf numFmtId="215" fontId="6" fillId="4" borderId="0" xfId="1" applyNumberFormat="1" applyFont="1" applyFill="1" applyBorder="1" applyAlignment="1" applyProtection="1">
      <alignment horizontal="right" vertical="center"/>
    </xf>
    <xf numFmtId="189" fontId="6" fillId="27" borderId="163" xfId="61" applyNumberFormat="1" applyFont="1" applyFill="1" applyBorder="1" applyAlignment="1" applyProtection="1">
      <alignment vertical="center"/>
    </xf>
    <xf numFmtId="215" fontId="6" fillId="27" borderId="0" xfId="1" applyNumberFormat="1" applyFont="1" applyFill="1" applyBorder="1" applyAlignment="1" applyProtection="1">
      <alignment horizontal="right" vertical="center"/>
    </xf>
    <xf numFmtId="215" fontId="6" fillId="4" borderId="100" xfId="1" applyNumberFormat="1" applyFont="1" applyFill="1" applyBorder="1" applyAlignment="1" applyProtection="1">
      <alignment horizontal="right" vertical="center"/>
    </xf>
    <xf numFmtId="0" fontId="125" fillId="0" borderId="0" xfId="2" applyFont="1" applyBorder="1" applyAlignment="1" applyProtection="1">
      <alignment vertical="center"/>
    </xf>
    <xf numFmtId="0" fontId="14" fillId="0" borderId="91" xfId="1" applyFont="1" applyBorder="1" applyAlignment="1" applyProtection="1">
      <alignment vertical="center"/>
    </xf>
    <xf numFmtId="0" fontId="6" fillId="0" borderId="23" xfId="1" applyFont="1" applyBorder="1" applyAlignment="1" applyProtection="1">
      <alignment horizontal="center" vertical="center"/>
    </xf>
    <xf numFmtId="0" fontId="6" fillId="0" borderId="43" xfId="1" applyFont="1" applyBorder="1" applyAlignment="1" applyProtection="1">
      <alignment horizontal="center" vertical="center"/>
    </xf>
    <xf numFmtId="0" fontId="6" fillId="27" borderId="23" xfId="1" applyFont="1" applyFill="1" applyBorder="1" applyAlignment="1" applyProtection="1">
      <alignment horizontal="center" vertical="center"/>
    </xf>
    <xf numFmtId="0" fontId="6" fillId="27" borderId="43" xfId="1" applyFont="1" applyFill="1" applyBorder="1" applyAlignment="1" applyProtection="1">
      <alignment horizontal="center" vertical="center"/>
    </xf>
    <xf numFmtId="0" fontId="6" fillId="0" borderId="19" xfId="1" applyFont="1" applyFill="1" applyBorder="1" applyAlignment="1" applyProtection="1">
      <alignment horizontal="left" vertical="center"/>
    </xf>
    <xf numFmtId="0" fontId="68" fillId="0" borderId="0" xfId="1" applyFont="1" applyAlignment="1" applyProtection="1">
      <alignment vertical="center"/>
    </xf>
    <xf numFmtId="1" fontId="43" fillId="31" borderId="42" xfId="61" applyNumberFormat="1" applyFont="1" applyFill="1" applyBorder="1" applyAlignment="1" applyProtection="1">
      <alignment horizontal="center" vertical="center"/>
      <protection locked="0"/>
    </xf>
    <xf numFmtId="1" fontId="43" fillId="31" borderId="23" xfId="61" applyNumberFormat="1" applyFont="1" applyFill="1" applyBorder="1" applyAlignment="1" applyProtection="1">
      <alignment horizontal="center" vertical="center"/>
      <protection locked="0"/>
    </xf>
    <xf numFmtId="0" fontId="127" fillId="0" borderId="58" xfId="1" applyFont="1" applyBorder="1" applyAlignment="1" applyProtection="1">
      <alignment horizontal="left" vertical="center"/>
    </xf>
    <xf numFmtId="0" fontId="126" fillId="0" borderId="57" xfId="1" applyFont="1" applyBorder="1" applyAlignment="1" applyProtection="1">
      <alignment vertical="center"/>
    </xf>
    <xf numFmtId="0" fontId="126" fillId="0" borderId="77" xfId="1" applyFont="1" applyBorder="1" applyAlignment="1" applyProtection="1">
      <alignment vertical="center"/>
    </xf>
    <xf numFmtId="0" fontId="9" fillId="0" borderId="0" xfId="1" applyFont="1" applyAlignment="1" applyProtection="1">
      <alignment vertical="top"/>
    </xf>
    <xf numFmtId="0" fontId="9" fillId="0" borderId="0" xfId="1" applyFont="1" applyAlignment="1" applyProtection="1">
      <alignment vertical="top"/>
      <protection locked="0"/>
    </xf>
    <xf numFmtId="0" fontId="6" fillId="0" borderId="44" xfId="1" applyFont="1" applyBorder="1" applyAlignment="1" applyProtection="1">
      <alignment vertical="center"/>
      <protection locked="0"/>
    </xf>
    <xf numFmtId="0" fontId="4" fillId="0" borderId="39" xfId="1" applyBorder="1" applyAlignment="1" applyProtection="1">
      <alignment vertical="top"/>
    </xf>
    <xf numFmtId="0" fontId="9" fillId="0" borderId="0" xfId="1" applyFont="1" applyBorder="1" applyAlignment="1" applyProtection="1">
      <alignment vertical="top"/>
    </xf>
    <xf numFmtId="0" fontId="43" fillId="4" borderId="0" xfId="1" applyFont="1" applyFill="1" applyBorder="1" applyAlignment="1" applyProtection="1">
      <alignment horizontal="right" vertical="top"/>
    </xf>
    <xf numFmtId="0" fontId="9" fillId="31" borderId="0" xfId="1" applyFont="1" applyFill="1"/>
    <xf numFmtId="0" fontId="128" fillId="0" borderId="42" xfId="1" applyFont="1" applyBorder="1" applyAlignment="1" applyProtection="1">
      <alignment vertical="center"/>
      <protection locked="0"/>
    </xf>
    <xf numFmtId="0" fontId="4" fillId="0" borderId="43" xfId="1" applyBorder="1" applyAlignment="1" applyProtection="1">
      <alignment vertical="top"/>
    </xf>
    <xf numFmtId="0" fontId="18" fillId="4" borderId="0" xfId="1" applyFont="1" applyFill="1" applyBorder="1" applyAlignment="1" applyProtection="1">
      <alignment horizontal="right" vertical="top"/>
    </xf>
    <xf numFmtId="0" fontId="18" fillId="31" borderId="0" xfId="1" applyFont="1" applyFill="1" applyBorder="1" applyAlignment="1" applyProtection="1">
      <alignment horizontal="right" vertical="top"/>
    </xf>
    <xf numFmtId="0" fontId="45" fillId="0" borderId="0" xfId="1" applyFont="1" applyBorder="1" applyAlignment="1" applyProtection="1">
      <alignment horizontal="left" vertical="top"/>
    </xf>
    <xf numFmtId="0" fontId="96" fillId="0" borderId="0" xfId="1" applyFont="1" applyBorder="1" applyAlignment="1" applyProtection="1">
      <alignment vertical="top"/>
    </xf>
    <xf numFmtId="0" fontId="129" fillId="0" borderId="0" xfId="1" applyFont="1" applyBorder="1" applyAlignment="1" applyProtection="1">
      <alignment vertical="top"/>
    </xf>
    <xf numFmtId="0" fontId="44" fillId="0" borderId="0" xfId="1" applyFont="1" applyAlignment="1" applyProtection="1">
      <alignment horizontal="right" vertical="top"/>
    </xf>
    <xf numFmtId="189" fontId="12" fillId="0" borderId="0" xfId="1" applyNumberFormat="1" applyFont="1" applyAlignment="1" applyProtection="1">
      <alignment vertical="top"/>
    </xf>
    <xf numFmtId="0" fontId="12" fillId="0" borderId="0" xfId="1" applyFont="1" applyAlignment="1" applyProtection="1">
      <alignment horizontal="right" vertical="top"/>
    </xf>
    <xf numFmtId="14" fontId="6" fillId="0" borderId="0" xfId="1" applyNumberFormat="1" applyFont="1" applyAlignment="1" applyProtection="1">
      <alignment horizontal="centerContinuous" vertical="top"/>
    </xf>
    <xf numFmtId="170" fontId="6" fillId="0" borderId="90" xfId="1" applyNumberFormat="1" applyFont="1" applyBorder="1" applyAlignment="1" applyProtection="1">
      <alignment horizontal="right" vertical="center"/>
    </xf>
    <xf numFmtId="206" fontId="6" fillId="0" borderId="161" xfId="105" applyNumberFormat="1" applyFont="1" applyBorder="1" applyAlignment="1" applyProtection="1">
      <alignment horizontal="right" vertical="center"/>
    </xf>
    <xf numFmtId="213" fontId="6" fillId="31" borderId="92" xfId="105" applyNumberFormat="1" applyFont="1" applyFill="1" applyBorder="1" applyAlignment="1" applyProtection="1">
      <alignment horizontal="right" vertical="center"/>
      <protection locked="0"/>
    </xf>
    <xf numFmtId="170" fontId="6" fillId="27" borderId="90" xfId="1" applyNumberFormat="1" applyFont="1" applyFill="1" applyBorder="1" applyAlignment="1" applyProtection="1">
      <alignment horizontal="right" vertical="center"/>
    </xf>
    <xf numFmtId="206" fontId="6" fillId="27" borderId="161" xfId="105" applyNumberFormat="1" applyFont="1" applyFill="1" applyBorder="1" applyAlignment="1" applyProtection="1">
      <alignment horizontal="right" vertical="center"/>
    </xf>
    <xf numFmtId="176"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vertical="center"/>
    </xf>
    <xf numFmtId="213" fontId="6" fillId="4" borderId="122" xfId="105" applyNumberFormat="1" applyFont="1" applyFill="1" applyBorder="1" applyAlignment="1" applyProtection="1">
      <alignment horizontal="center" vertical="center"/>
    </xf>
    <xf numFmtId="0" fontId="6" fillId="4" borderId="92" xfId="1" applyFont="1" applyFill="1" applyBorder="1" applyAlignment="1" applyProtection="1">
      <alignment vertical="center"/>
    </xf>
    <xf numFmtId="0" fontId="6" fillId="0" borderId="0" xfId="1" applyFont="1" applyBorder="1" applyAlignment="1" applyProtection="1">
      <alignment vertical="center"/>
      <protection locked="0"/>
    </xf>
    <xf numFmtId="0" fontId="17" fillId="0" borderId="0" xfId="1" applyFont="1" applyBorder="1" applyAlignment="1" applyProtection="1">
      <alignment vertical="top"/>
    </xf>
    <xf numFmtId="0" fontId="9" fillId="33" borderId="0" xfId="1" applyFont="1" applyFill="1" applyBorder="1" applyAlignment="1" applyProtection="1">
      <alignment vertical="top"/>
    </xf>
    <xf numFmtId="0" fontId="6" fillId="0" borderId="19" xfId="1" applyFont="1" applyBorder="1" applyAlignment="1" applyProtection="1">
      <alignment vertical="center"/>
      <protection locked="0"/>
    </xf>
    <xf numFmtId="0" fontId="6" fillId="0" borderId="40" xfId="1" applyFont="1" applyBorder="1" applyAlignment="1" applyProtection="1">
      <alignment vertical="center"/>
      <protection locked="0"/>
    </xf>
    <xf numFmtId="0" fontId="6" fillId="0" borderId="42" xfId="1" applyFont="1" applyBorder="1" applyAlignment="1" applyProtection="1">
      <alignment vertical="center"/>
      <protection locked="0"/>
    </xf>
    <xf numFmtId="0" fontId="6" fillId="0" borderId="23" xfId="1" applyFont="1" applyBorder="1" applyAlignment="1" applyProtection="1">
      <alignment vertical="center"/>
      <protection locked="0"/>
    </xf>
    <xf numFmtId="0" fontId="6" fillId="0" borderId="43" xfId="1" applyFont="1" applyBorder="1" applyAlignment="1" applyProtection="1">
      <alignment vertical="center"/>
      <protection locked="0"/>
    </xf>
    <xf numFmtId="188" fontId="14" fillId="0" borderId="43" xfId="61" applyNumberFormat="1" applyFont="1" applyBorder="1" applyAlignment="1" applyProtection="1">
      <alignment vertical="center"/>
    </xf>
    <xf numFmtId="188" fontId="14" fillId="27" borderId="43" xfId="61" applyNumberFormat="1" applyFont="1" applyFill="1" applyBorder="1" applyAlignment="1" applyProtection="1">
      <alignment vertical="center"/>
    </xf>
    <xf numFmtId="177" fontId="9" fillId="0" borderId="0" xfId="1" applyNumberFormat="1" applyFont="1" applyBorder="1" applyAlignment="1" applyProtection="1">
      <alignment vertical="center"/>
    </xf>
    <xf numFmtId="3" fontId="9" fillId="0" borderId="0" xfId="1" applyNumberFormat="1" applyFont="1" applyBorder="1" applyAlignment="1" applyProtection="1">
      <alignment horizontal="right" vertical="center"/>
    </xf>
    <xf numFmtId="180" fontId="6" fillId="31" borderId="63" xfId="105" applyNumberFormat="1" applyFont="1" applyFill="1" applyBorder="1" applyAlignment="1" applyProtection="1">
      <alignment horizontal="right" vertical="center"/>
      <protection locked="0"/>
    </xf>
    <xf numFmtId="180" fontId="6" fillId="31" borderId="67" xfId="105" applyNumberFormat="1" applyFont="1" applyFill="1" applyBorder="1" applyAlignment="1" applyProtection="1">
      <alignment horizontal="right" vertical="center"/>
      <protection locked="0"/>
    </xf>
    <xf numFmtId="3" fontId="6" fillId="0" borderId="39" xfId="1" applyNumberFormat="1" applyFont="1" applyFill="1" applyBorder="1" applyAlignment="1" applyProtection="1">
      <alignment horizontal="right" vertical="center"/>
    </xf>
    <xf numFmtId="189" fontId="14" fillId="0" borderId="44" xfId="61" applyNumberFormat="1" applyFont="1" applyFill="1" applyBorder="1" applyAlignment="1" applyProtection="1">
      <alignment vertical="center"/>
    </xf>
    <xf numFmtId="0" fontId="6" fillId="0" borderId="2" xfId="1" applyFont="1" applyFill="1" applyBorder="1" applyAlignment="1" applyProtection="1">
      <alignment horizontal="center" vertical="center"/>
    </xf>
    <xf numFmtId="182" fontId="6" fillId="31" borderId="63" xfId="1" applyNumberFormat="1" applyFont="1" applyFill="1" applyBorder="1" applyAlignment="1" applyProtection="1">
      <alignment horizontal="right" vertical="center"/>
      <protection locked="0"/>
    </xf>
    <xf numFmtId="189" fontId="6" fillId="31" borderId="67" xfId="1" applyNumberFormat="1" applyFont="1" applyFill="1" applyBorder="1" applyAlignment="1" applyProtection="1">
      <alignment horizontal="right" vertical="center"/>
      <protection locked="0"/>
    </xf>
    <xf numFmtId="176" fontId="6" fillId="4" borderId="80" xfId="105" applyNumberFormat="1" applyFont="1" applyFill="1" applyBorder="1" applyAlignment="1" applyProtection="1">
      <alignment horizontal="left" vertical="center" indent="1"/>
    </xf>
    <xf numFmtId="176" fontId="6" fillId="4" borderId="66" xfId="105" applyNumberFormat="1" applyFont="1" applyFill="1" applyBorder="1" applyAlignment="1" applyProtection="1">
      <alignment horizontal="left" vertical="center" indent="1"/>
    </xf>
    <xf numFmtId="0" fontId="5" fillId="0" borderId="0" xfId="1" applyFont="1" applyAlignment="1" applyProtection="1">
      <alignment horizontal="right" vertical="center"/>
    </xf>
    <xf numFmtId="2" fontId="5" fillId="0" borderId="0" xfId="1" applyNumberFormat="1" applyFont="1" applyAlignment="1" applyProtection="1">
      <alignment vertical="center"/>
    </xf>
    <xf numFmtId="0" fontId="31" fillId="0" borderId="0" xfId="55" applyFont="1" applyAlignment="1">
      <alignment horizontal="center"/>
    </xf>
    <xf numFmtId="0" fontId="9" fillId="0" borderId="0" xfId="1" applyFont="1" applyFill="1"/>
    <xf numFmtId="0" fontId="18" fillId="0" borderId="0" xfId="1" applyFont="1" applyFill="1" applyBorder="1" applyAlignment="1" applyProtection="1">
      <alignment horizontal="right" vertical="top"/>
    </xf>
    <xf numFmtId="182" fontId="6" fillId="0" borderId="162" xfId="61" applyNumberFormat="1" applyFont="1" applyBorder="1" applyAlignment="1" applyProtection="1">
      <alignment vertical="center"/>
    </xf>
    <xf numFmtId="176" fontId="6" fillId="31" borderId="63" xfId="1" applyNumberFormat="1" applyFont="1" applyFill="1" applyBorder="1" applyAlignment="1" applyProtection="1">
      <alignment horizontal="right" vertical="center"/>
      <protection locked="0"/>
    </xf>
    <xf numFmtId="176" fontId="6" fillId="31" borderId="67" xfId="1" applyNumberFormat="1" applyFont="1" applyFill="1" applyBorder="1" applyAlignment="1" applyProtection="1">
      <alignment horizontal="right" vertical="center"/>
      <protection locked="0"/>
    </xf>
    <xf numFmtId="2" fontId="9" fillId="0" borderId="3" xfId="1" applyNumberFormat="1" applyFont="1" applyBorder="1" applyProtection="1">
      <protection locked="0"/>
    </xf>
    <xf numFmtId="2" fontId="9" fillId="0" borderId="77" xfId="1" applyNumberFormat="1" applyFont="1" applyBorder="1" applyProtection="1">
      <protection locked="0"/>
    </xf>
    <xf numFmtId="176" fontId="6" fillId="31" borderId="67" xfId="105" applyNumberFormat="1" applyFont="1" applyFill="1" applyBorder="1" applyAlignment="1" applyProtection="1">
      <alignment vertical="center"/>
      <protection locked="0"/>
    </xf>
    <xf numFmtId="176" fontId="6" fillId="31" borderId="63" xfId="105" applyNumberFormat="1" applyFont="1" applyFill="1" applyBorder="1" applyAlignment="1" applyProtection="1">
      <alignment vertical="center"/>
      <protection locked="0"/>
    </xf>
    <xf numFmtId="217" fontId="6" fillId="31" borderId="2" xfId="61" applyNumberFormat="1" applyFont="1" applyFill="1" applyBorder="1" applyAlignment="1" applyProtection="1">
      <alignment horizontal="right" vertical="center"/>
      <protection locked="0"/>
    </xf>
    <xf numFmtId="217" fontId="6" fillId="31" borderId="39" xfId="61" applyNumberFormat="1" applyFont="1" applyFill="1" applyBorder="1" applyAlignment="1" applyProtection="1">
      <alignment horizontal="right" vertical="center"/>
      <protection locked="0"/>
    </xf>
    <xf numFmtId="0" fontId="9" fillId="4" borderId="0" xfId="1" applyFont="1" applyFill="1" applyBorder="1" applyAlignment="1" applyProtection="1">
      <alignment horizontal="left" vertical="top"/>
    </xf>
    <xf numFmtId="0" fontId="6" fillId="0" borderId="0" xfId="1" applyFont="1" applyAlignment="1">
      <alignment vertical="center"/>
    </xf>
    <xf numFmtId="1" fontId="6" fillId="31" borderId="63" xfId="1" applyNumberFormat="1" applyFont="1" applyFill="1" applyBorder="1" applyAlignment="1" applyProtection="1">
      <alignment horizontal="center" vertical="center"/>
      <protection locked="0"/>
    </xf>
    <xf numFmtId="176" fontId="6" fillId="4" borderId="61" xfId="105" applyNumberFormat="1" applyFont="1" applyFill="1" applyBorder="1" applyAlignment="1" applyProtection="1">
      <alignment horizontal="right" vertical="center"/>
    </xf>
    <xf numFmtId="0" fontId="120" fillId="0" borderId="71" xfId="1" applyFont="1" applyBorder="1" applyAlignment="1" applyProtection="1">
      <alignment vertical="center"/>
    </xf>
    <xf numFmtId="218" fontId="6" fillId="31" borderId="2" xfId="1" applyNumberFormat="1" applyFont="1" applyFill="1" applyBorder="1" applyAlignment="1" applyProtection="1">
      <alignment vertical="center"/>
      <protection locked="0"/>
    </xf>
    <xf numFmtId="0" fontId="20" fillId="0" borderId="0" xfId="1" applyFont="1" applyAlignment="1">
      <alignment vertical="center"/>
    </xf>
    <xf numFmtId="0" fontId="13" fillId="0" borderId="0" xfId="1" applyFont="1" applyFill="1" applyAlignment="1" applyProtection="1">
      <alignment horizontal="right" vertical="center"/>
      <protection locked="0"/>
    </xf>
    <xf numFmtId="0" fontId="131" fillId="0" borderId="0" xfId="1" applyFont="1" applyAlignment="1" applyProtection="1">
      <alignment vertical="center"/>
    </xf>
    <xf numFmtId="190" fontId="6" fillId="31" borderId="162" xfId="105" applyNumberFormat="1" applyFont="1" applyFill="1" applyBorder="1" applyAlignment="1" applyProtection="1">
      <alignment vertical="center"/>
      <protection locked="0"/>
    </xf>
    <xf numFmtId="189" fontId="14" fillId="31" borderId="42" xfId="61" applyNumberFormat="1" applyFont="1" applyFill="1" applyBorder="1" applyAlignment="1" applyProtection="1">
      <alignment vertical="center"/>
      <protection locked="0"/>
    </xf>
    <xf numFmtId="180" fontId="6" fillId="37" borderId="63" xfId="105" applyNumberFormat="1" applyFont="1" applyFill="1" applyBorder="1" applyAlignment="1" applyProtection="1">
      <alignment vertical="center"/>
      <protection locked="0"/>
    </xf>
    <xf numFmtId="180" fontId="6" fillId="37" borderId="67" xfId="105" applyNumberFormat="1" applyFont="1" applyFill="1" applyBorder="1" applyAlignment="1" applyProtection="1">
      <alignment vertical="center"/>
      <protection locked="0"/>
    </xf>
    <xf numFmtId="182" fontId="6" fillId="31" borderId="67" xfId="1" applyNumberFormat="1" applyFont="1" applyFill="1" applyBorder="1" applyAlignment="1" applyProtection="1">
      <alignment horizontal="right" vertical="center"/>
      <protection locked="0"/>
    </xf>
    <xf numFmtId="188" fontId="6" fillId="37" borderId="40" xfId="61" applyNumberFormat="1" applyFont="1" applyFill="1" applyBorder="1" applyAlignment="1" applyProtection="1">
      <alignment vertical="center"/>
      <protection locked="0"/>
    </xf>
    <xf numFmtId="0" fontId="108" fillId="0" borderId="0" xfId="1" applyFont="1" applyAlignment="1" applyProtection="1">
      <alignment vertical="center"/>
    </xf>
    <xf numFmtId="0" fontId="4" fillId="0" borderId="0" xfId="1" applyProtection="1">
      <protection locked="0"/>
    </xf>
    <xf numFmtId="14" fontId="6" fillId="0" borderId="0" xfId="1" applyNumberFormat="1" applyFont="1" applyAlignment="1">
      <alignment horizontal="left" vertical="top"/>
    </xf>
    <xf numFmtId="0" fontId="16" fillId="0" borderId="0" xfId="1" applyFont="1" applyAlignment="1">
      <alignment vertical="top"/>
    </xf>
    <xf numFmtId="0" fontId="14" fillId="0" borderId="0" xfId="1" applyFont="1" applyAlignment="1">
      <alignment vertical="center"/>
    </xf>
    <xf numFmtId="0" fontId="119" fillId="0" borderId="0" xfId="1" applyFont="1" applyBorder="1" applyAlignment="1">
      <alignment vertical="center"/>
    </xf>
    <xf numFmtId="0" fontId="20" fillId="0" borderId="0" xfId="1" applyFont="1" applyAlignment="1" applyProtection="1">
      <alignment horizontal="center"/>
    </xf>
    <xf numFmtId="0" fontId="4" fillId="0" borderId="44" xfId="1" applyBorder="1" applyAlignment="1" applyProtection="1">
      <alignment horizontal="center"/>
    </xf>
    <xf numFmtId="0" fontId="4" fillId="0" borderId="19" xfId="1" applyBorder="1" applyAlignment="1" applyProtection="1">
      <alignment horizontal="center"/>
    </xf>
    <xf numFmtId="0" fontId="4" fillId="0" borderId="42" xfId="1" applyBorder="1" applyAlignment="1" applyProtection="1">
      <alignment horizontal="center"/>
    </xf>
    <xf numFmtId="174" fontId="14" fillId="0" borderId="167" xfId="1" applyNumberFormat="1" applyFont="1" applyBorder="1" applyAlignment="1" applyProtection="1">
      <alignment vertical="center"/>
    </xf>
    <xf numFmtId="0" fontId="43" fillId="0" borderId="173" xfId="1" applyFont="1" applyBorder="1" applyAlignment="1" applyProtection="1">
      <alignment horizontal="center" vertical="top" wrapText="1"/>
    </xf>
    <xf numFmtId="0" fontId="64" fillId="0" borderId="174" xfId="1" applyFont="1" applyBorder="1" applyAlignment="1" applyProtection="1">
      <alignment horizontal="center" vertical="top" wrapText="1"/>
    </xf>
    <xf numFmtId="0" fontId="135" fillId="0" borderId="0" xfId="1" applyFont="1" applyProtection="1"/>
    <xf numFmtId="0" fontId="135" fillId="0" borderId="0" xfId="1" applyFont="1" applyProtection="1">
      <protection locked="0"/>
    </xf>
    <xf numFmtId="174" fontId="18" fillId="0" borderId="0" xfId="1" applyNumberFormat="1" applyFont="1" applyBorder="1" applyAlignment="1" applyProtection="1">
      <alignment horizontal="right"/>
    </xf>
    <xf numFmtId="174" fontId="14" fillId="30" borderId="175" xfId="1" applyNumberFormat="1" applyFont="1" applyFill="1" applyBorder="1" applyAlignment="1" applyProtection="1">
      <alignment vertical="center"/>
    </xf>
    <xf numFmtId="0" fontId="63" fillId="0" borderId="47" xfId="1" applyFont="1" applyBorder="1" applyAlignment="1" applyProtection="1">
      <alignment horizontal="center" vertical="center"/>
    </xf>
    <xf numFmtId="174" fontId="14" fillId="30" borderId="176" xfId="1" applyNumberFormat="1" applyFont="1" applyFill="1" applyBorder="1" applyAlignment="1" applyProtection="1">
      <alignment vertical="center"/>
    </xf>
    <xf numFmtId="0" fontId="55" fillId="0" borderId="6" xfId="1" applyFont="1" applyBorder="1" applyAlignment="1" applyProtection="1">
      <alignment vertical="center"/>
    </xf>
    <xf numFmtId="174" fontId="16" fillId="30" borderId="177" xfId="1" applyNumberFormat="1" applyFont="1" applyFill="1" applyBorder="1" applyAlignment="1" applyProtection="1">
      <alignment vertical="center"/>
    </xf>
    <xf numFmtId="0" fontId="15" fillId="0" borderId="30" xfId="1" applyFont="1" applyBorder="1" applyAlignment="1" applyProtection="1">
      <alignment vertical="center"/>
    </xf>
    <xf numFmtId="174" fontId="14" fillId="30" borderId="177" xfId="1" applyNumberFormat="1" applyFont="1" applyFill="1" applyBorder="1" applyAlignment="1" applyProtection="1">
      <alignment vertical="center"/>
    </xf>
    <xf numFmtId="175" fontId="16" fillId="30" borderId="177" xfId="1" applyNumberFormat="1" applyFont="1" applyFill="1" applyBorder="1" applyAlignment="1" applyProtection="1">
      <alignment vertical="center"/>
    </xf>
    <xf numFmtId="175" fontId="9" fillId="0" borderId="0" xfId="1" applyNumberFormat="1" applyFont="1" applyBorder="1" applyAlignment="1" applyProtection="1">
      <alignment horizontal="right" vertical="center"/>
    </xf>
    <xf numFmtId="219" fontId="4" fillId="0" borderId="0" xfId="1" applyNumberFormat="1"/>
    <xf numFmtId="0" fontId="43" fillId="30" borderId="173" xfId="1" applyFont="1" applyFill="1" applyBorder="1" applyAlignment="1" applyProtection="1">
      <alignment horizontal="center" vertical="top" wrapText="1"/>
    </xf>
    <xf numFmtId="0" fontId="15" fillId="0" borderId="6" xfId="1" applyFont="1" applyBorder="1" applyAlignment="1" applyProtection="1">
      <alignment vertical="center" wrapText="1"/>
    </xf>
    <xf numFmtId="0" fontId="15" fillId="0" borderId="172" xfId="1" applyFont="1" applyBorder="1" applyAlignment="1" applyProtection="1">
      <alignment horizontal="center"/>
    </xf>
    <xf numFmtId="0" fontId="4" fillId="0" borderId="89" xfId="1" applyBorder="1" applyProtection="1"/>
    <xf numFmtId="0" fontId="12" fillId="0" borderId="0" xfId="1" applyFont="1" applyAlignment="1" applyProtection="1">
      <alignment horizontal="center"/>
    </xf>
    <xf numFmtId="0" fontId="137" fillId="0" borderId="0" xfId="1" applyFont="1" applyProtection="1"/>
    <xf numFmtId="0" fontId="137" fillId="0" borderId="0" xfId="1" applyFont="1" applyAlignment="1" applyProtection="1">
      <alignment vertical="center"/>
    </xf>
    <xf numFmtId="0" fontId="138" fillId="0" borderId="0" xfId="1" applyFont="1" applyAlignment="1" applyProtection="1">
      <alignment horizontal="center"/>
      <protection locked="0"/>
    </xf>
    <xf numFmtId="0" fontId="12" fillId="0" borderId="0" xfId="1" applyFont="1" applyAlignment="1" applyProtection="1">
      <alignment vertical="center"/>
    </xf>
    <xf numFmtId="0" fontId="139" fillId="0" borderId="0" xfId="1" applyFont="1" applyBorder="1" applyAlignment="1">
      <alignment horizontal="left" vertical="center"/>
    </xf>
    <xf numFmtId="0" fontId="135" fillId="0" borderId="0" xfId="1" applyFont="1" applyAlignment="1" applyProtection="1">
      <alignment horizontal="center"/>
      <protection locked="0"/>
    </xf>
    <xf numFmtId="0" fontId="140" fillId="0" borderId="0" xfId="1" applyFont="1" applyProtection="1"/>
    <xf numFmtId="0" fontId="4" fillId="0" borderId="0" xfId="1" applyAlignment="1" applyProtection="1">
      <alignment horizontal="center"/>
    </xf>
    <xf numFmtId="0" fontId="142" fillId="0" borderId="0" xfId="1" applyFont="1" applyAlignment="1">
      <alignment horizontal="center"/>
    </xf>
    <xf numFmtId="0" fontId="6" fillId="0" borderId="0" xfId="1" applyFont="1" applyAlignment="1">
      <alignment horizontal="left"/>
    </xf>
    <xf numFmtId="0" fontId="4" fillId="0" borderId="0" xfId="1" applyAlignment="1">
      <alignment horizontal="left"/>
    </xf>
    <xf numFmtId="0" fontId="9" fillId="0" borderId="0" xfId="1" applyFont="1" applyFill="1" applyBorder="1" applyAlignment="1">
      <alignment horizontal="left" vertical="center"/>
    </xf>
    <xf numFmtId="0" fontId="6" fillId="0" borderId="0" xfId="1" applyFont="1" applyFill="1" applyAlignment="1">
      <alignment vertical="center"/>
    </xf>
    <xf numFmtId="0" fontId="6" fillId="0" borderId="0" xfId="1" applyFont="1" applyAlignment="1">
      <alignment horizontal="right" vertical="center"/>
    </xf>
    <xf numFmtId="2" fontId="13" fillId="0" borderId="0" xfId="1" applyNumberFormat="1" applyFont="1" applyAlignment="1">
      <alignment horizontal="left" vertical="center"/>
    </xf>
    <xf numFmtId="2" fontId="6" fillId="0" borderId="0" xfId="1" applyNumberFormat="1" applyFont="1" applyAlignment="1">
      <alignment vertical="center"/>
    </xf>
    <xf numFmtId="2" fontId="6" fillId="0" borderId="0" xfId="1" applyNumberFormat="1" applyFont="1" applyAlignment="1">
      <alignment horizontal="left" vertical="center"/>
    </xf>
    <xf numFmtId="0" fontId="5" fillId="0" borderId="0" xfId="1" applyFont="1"/>
    <xf numFmtId="0" fontId="9" fillId="0" borderId="0" xfId="1" applyFont="1" applyBorder="1" applyAlignment="1">
      <alignment horizontal="center" vertical="center"/>
    </xf>
    <xf numFmtId="0" fontId="72" fillId="0" borderId="0" xfId="1" applyFont="1" applyAlignment="1">
      <alignment vertical="center"/>
    </xf>
    <xf numFmtId="0" fontId="72" fillId="0" borderId="0" xfId="1" applyFont="1" applyAlignment="1">
      <alignment horizontal="left" vertical="center"/>
    </xf>
    <xf numFmtId="0" fontId="72" fillId="0" borderId="0" xfId="1" applyFont="1" applyAlignment="1">
      <alignment horizontal="right" vertical="center"/>
    </xf>
    <xf numFmtId="0" fontId="70" fillId="0" borderId="0" xfId="1" applyFont="1" applyAlignment="1">
      <alignment vertical="center"/>
    </xf>
    <xf numFmtId="0" fontId="44" fillId="0" borderId="0" xfId="1" applyFont="1" applyAlignment="1">
      <alignment horizontal="left" vertical="center"/>
    </xf>
    <xf numFmtId="0" fontId="44" fillId="0" borderId="0" xfId="1" applyFont="1" applyAlignment="1">
      <alignment horizontal="right" vertical="center"/>
    </xf>
    <xf numFmtId="0" fontId="5" fillId="0" borderId="0" xfId="1" applyFont="1" applyBorder="1" applyAlignment="1">
      <alignment horizontal="center" vertical="center"/>
    </xf>
    <xf numFmtId="0" fontId="143" fillId="0" borderId="0" xfId="1" applyFont="1" applyAlignment="1">
      <alignment horizontal="center" vertical="center"/>
    </xf>
    <xf numFmtId="0" fontId="72" fillId="0" borderId="0" xfId="1" applyFont="1" applyFill="1" applyAlignment="1">
      <alignment vertical="center"/>
    </xf>
    <xf numFmtId="176" fontId="6" fillId="0" borderId="0" xfId="1" applyNumberFormat="1" applyFont="1" applyBorder="1" applyAlignment="1">
      <alignment vertical="center"/>
    </xf>
    <xf numFmtId="0" fontId="31" fillId="0" borderId="0" xfId="1" applyFont="1" applyAlignment="1">
      <alignment horizontal="centerContinuous" vertical="center"/>
    </xf>
    <xf numFmtId="0" fontId="72" fillId="0" borderId="44" xfId="1" applyFont="1" applyBorder="1" applyAlignment="1">
      <alignment vertical="center"/>
    </xf>
    <xf numFmtId="0" fontId="72" fillId="0" borderId="34" xfId="1" applyFont="1" applyBorder="1" applyAlignment="1">
      <alignment vertical="center"/>
    </xf>
    <xf numFmtId="0" fontId="70" fillId="0" borderId="19" xfId="1" applyFont="1" applyBorder="1" applyAlignment="1">
      <alignment vertical="center"/>
    </xf>
    <xf numFmtId="0" fontId="70" fillId="0" borderId="25" xfId="1" applyFont="1" applyBorder="1" applyAlignment="1">
      <alignment vertical="center"/>
    </xf>
    <xf numFmtId="0" fontId="144" fillId="0" borderId="0" xfId="1" applyFont="1" applyAlignment="1">
      <alignment horizontal="center" vertical="center"/>
    </xf>
    <xf numFmtId="0" fontId="44" fillId="0" borderId="19" xfId="1" applyFont="1" applyBorder="1" applyAlignment="1">
      <alignment horizontal="right" vertical="center"/>
    </xf>
    <xf numFmtId="0" fontId="44" fillId="0" borderId="25" xfId="1" applyFont="1" applyBorder="1" applyAlignment="1">
      <alignment horizontal="right" vertical="center"/>
    </xf>
    <xf numFmtId="0" fontId="127" fillId="0" borderId="0" xfId="1" applyFont="1" applyAlignment="1">
      <alignment horizontal="center" vertical="center"/>
    </xf>
    <xf numFmtId="0" fontId="6" fillId="0" borderId="19" xfId="1" applyFont="1" applyBorder="1" applyAlignment="1">
      <alignment vertical="center"/>
    </xf>
    <xf numFmtId="0" fontId="116" fillId="0" borderId="0" xfId="1" applyFont="1" applyAlignment="1">
      <alignment horizontal="center" vertical="center"/>
    </xf>
    <xf numFmtId="0" fontId="4" fillId="0" borderId="0" xfId="1" applyAlignment="1">
      <alignment vertical="top"/>
    </xf>
    <xf numFmtId="0" fontId="4" fillId="0" borderId="0" xfId="1" applyFill="1" applyAlignment="1">
      <alignment vertical="top"/>
    </xf>
    <xf numFmtId="0" fontId="4" fillId="0" borderId="0" xfId="1" applyAlignment="1">
      <alignment horizontal="right" vertical="top"/>
    </xf>
    <xf numFmtId="0" fontId="72" fillId="0" borderId="25" xfId="1" applyFont="1" applyBorder="1" applyAlignment="1">
      <alignment vertical="center"/>
    </xf>
    <xf numFmtId="176" fontId="11" fillId="31" borderId="65" xfId="1" applyNumberFormat="1" applyFont="1" applyFill="1" applyBorder="1" applyAlignment="1" applyProtection="1">
      <alignment vertical="center"/>
      <protection locked="0"/>
    </xf>
    <xf numFmtId="0" fontId="6" fillId="31" borderId="19" xfId="1" applyFont="1" applyFill="1" applyBorder="1" applyAlignment="1" applyProtection="1">
      <alignment vertical="center"/>
      <protection locked="0"/>
    </xf>
    <xf numFmtId="14" fontId="9" fillId="0" borderId="0" xfId="1" applyNumberFormat="1" applyFont="1"/>
    <xf numFmtId="0" fontId="72" fillId="0" borderId="19" xfId="1" applyFont="1" applyBorder="1" applyAlignment="1">
      <alignment vertical="center"/>
    </xf>
    <xf numFmtId="0" fontId="143" fillId="0" borderId="0" xfId="1" applyFont="1" applyAlignment="1">
      <alignment vertical="center"/>
    </xf>
    <xf numFmtId="2" fontId="145" fillId="0" borderId="2" xfId="1" applyNumberFormat="1" applyFont="1" applyFill="1" applyBorder="1" applyAlignment="1">
      <alignment horizontal="left"/>
    </xf>
    <xf numFmtId="0" fontId="145" fillId="0" borderId="39" xfId="1" applyFont="1" applyFill="1" applyBorder="1"/>
    <xf numFmtId="2" fontId="145" fillId="0" borderId="42" xfId="1" applyNumberFormat="1" applyFont="1" applyFill="1" applyBorder="1" applyAlignment="1">
      <alignment horizontal="left"/>
    </xf>
    <xf numFmtId="2" fontId="145" fillId="0" borderId="23" xfId="1" applyNumberFormat="1" applyFont="1" applyFill="1" applyBorder="1" applyAlignment="1">
      <alignment horizontal="left"/>
    </xf>
    <xf numFmtId="0" fontId="145" fillId="0" borderId="43" xfId="1" applyFont="1" applyFill="1" applyBorder="1"/>
    <xf numFmtId="0" fontId="134" fillId="0" borderId="0" xfId="1" applyFont="1" applyAlignment="1">
      <alignment horizontal="center" vertical="center"/>
    </xf>
    <xf numFmtId="0" fontId="11" fillId="0" borderId="0" xfId="1" applyFont="1" applyBorder="1" applyAlignment="1">
      <alignment horizontal="center" vertical="center"/>
    </xf>
    <xf numFmtId="176" fontId="6" fillId="0" borderId="0" xfId="61" applyNumberFormat="1" applyFont="1" applyBorder="1" applyAlignment="1">
      <alignment vertical="center"/>
    </xf>
    <xf numFmtId="178" fontId="6" fillId="0" borderId="0" xfId="1" applyNumberFormat="1" applyFont="1" applyBorder="1" applyAlignment="1">
      <alignment vertical="center"/>
    </xf>
    <xf numFmtId="0" fontId="12" fillId="0" borderId="0" xfId="1" applyFont="1" applyBorder="1" applyAlignment="1">
      <alignment horizontal="left" vertical="center"/>
    </xf>
    <xf numFmtId="0" fontId="6" fillId="0" borderId="0" xfId="1" applyFont="1" applyBorder="1" applyAlignment="1">
      <alignment horizontal="center" vertical="center"/>
    </xf>
    <xf numFmtId="0" fontId="70" fillId="0" borderId="58" xfId="1" applyFont="1" applyBorder="1" applyAlignment="1">
      <alignment vertical="center"/>
    </xf>
    <xf numFmtId="0" fontId="70" fillId="0" borderId="3" xfId="1" applyFont="1" applyBorder="1" applyAlignment="1">
      <alignment vertical="center"/>
    </xf>
    <xf numFmtId="0" fontId="31" fillId="0" borderId="0" xfId="1" applyFont="1" applyAlignment="1">
      <alignment horizontal="left" vertical="center"/>
    </xf>
    <xf numFmtId="0" fontId="31" fillId="0" borderId="0" xfId="1" applyFont="1" applyAlignment="1" applyProtection="1">
      <alignment horizontal="left" vertical="center"/>
      <protection locked="0"/>
    </xf>
    <xf numFmtId="178" fontId="6" fillId="0" borderId="157" xfId="1" applyNumberFormat="1" applyFont="1" applyBorder="1" applyAlignment="1">
      <alignment vertical="center"/>
    </xf>
    <xf numFmtId="0" fontId="70" fillId="0" borderId="0" xfId="1" applyFont="1" applyAlignment="1">
      <alignment horizontal="left" vertical="center"/>
    </xf>
    <xf numFmtId="0" fontId="4" fillId="0" borderId="0" xfId="1" applyAlignment="1">
      <alignment horizontal="centerContinuous" vertical="center"/>
    </xf>
    <xf numFmtId="0" fontId="44" fillId="0" borderId="0" xfId="1" applyFont="1" applyFill="1" applyBorder="1" applyAlignment="1">
      <alignment horizontal="right" vertical="top"/>
    </xf>
    <xf numFmtId="0" fontId="6" fillId="0" borderId="0" xfId="1" applyFont="1" applyAlignment="1">
      <alignment horizontal="left" vertical="top"/>
    </xf>
    <xf numFmtId="0" fontId="142" fillId="0" borderId="0" xfId="1" applyFont="1" applyAlignment="1">
      <alignment horizontal="center" vertical="center"/>
    </xf>
    <xf numFmtId="0" fontId="4" fillId="0" borderId="0" xfId="1" applyAlignment="1">
      <alignment horizontal="left" vertical="top"/>
    </xf>
    <xf numFmtId="0" fontId="4" fillId="0" borderId="0" xfId="1" applyAlignment="1">
      <alignment horizontal="center" vertical="center"/>
    </xf>
    <xf numFmtId="0" fontId="20" fillId="0" borderId="0" xfId="67" applyFont="1" applyBorder="1" applyAlignment="1" applyProtection="1">
      <alignment vertical="center"/>
    </xf>
    <xf numFmtId="0" fontId="20" fillId="0" borderId="0" xfId="67" applyFont="1" applyAlignment="1" applyProtection="1">
      <alignment horizontal="left" vertical="center"/>
    </xf>
    <xf numFmtId="2" fontId="20" fillId="0" borderId="0" xfId="67" applyNumberFormat="1" applyFont="1" applyBorder="1" applyAlignment="1" applyProtection="1">
      <alignment vertical="center"/>
    </xf>
    <xf numFmtId="0" fontId="20" fillId="31" borderId="46" xfId="67" applyFont="1" applyFill="1" applyBorder="1" applyAlignment="1" applyProtection="1">
      <alignment horizontal="left" vertical="center"/>
      <protection locked="0"/>
    </xf>
    <xf numFmtId="180" fontId="20" fillId="31" borderId="88" xfId="67" applyNumberFormat="1" applyFont="1" applyFill="1" applyBorder="1" applyAlignment="1" applyProtection="1">
      <alignment vertical="center"/>
      <protection locked="0"/>
    </xf>
    <xf numFmtId="0" fontId="9" fillId="0" borderId="0" xfId="67" applyFill="1"/>
    <xf numFmtId="0" fontId="9" fillId="0" borderId="0" xfId="67" applyFont="1"/>
    <xf numFmtId="0" fontId="12" fillId="0" borderId="0" xfId="67" applyFont="1"/>
    <xf numFmtId="180" fontId="31" fillId="31" borderId="88" xfId="67" applyNumberFormat="1" applyFont="1" applyFill="1" applyBorder="1" applyAlignment="1" applyProtection="1">
      <alignment vertical="center"/>
      <protection locked="0"/>
    </xf>
    <xf numFmtId="0" fontId="9" fillId="0" borderId="32" xfId="1" applyFont="1" applyBorder="1" applyAlignment="1" applyProtection="1">
      <alignment vertical="center"/>
    </xf>
    <xf numFmtId="0" fontId="20" fillId="0" borderId="0" xfId="67" applyFont="1" applyAlignment="1" applyProtection="1">
      <alignment vertical="center"/>
      <protection locked="0"/>
    </xf>
    <xf numFmtId="0" fontId="31" fillId="0" borderId="0" xfId="67" applyFont="1" applyAlignment="1" applyProtection="1">
      <alignment vertical="center"/>
    </xf>
    <xf numFmtId="0" fontId="9" fillId="0" borderId="0" xfId="67" applyFont="1" applyAlignment="1">
      <alignment vertical="center"/>
    </xf>
    <xf numFmtId="0" fontId="20" fillId="0" borderId="0" xfId="67" applyFont="1" applyFill="1" applyAlignment="1" applyProtection="1">
      <alignment vertical="center"/>
    </xf>
    <xf numFmtId="0" fontId="12" fillId="0" borderId="0" xfId="1" applyFont="1"/>
    <xf numFmtId="0" fontId="20" fillId="0" borderId="0" xfId="67" applyFont="1" applyFill="1" applyBorder="1" applyAlignment="1" applyProtection="1">
      <alignment horizontal="left" vertical="center"/>
    </xf>
    <xf numFmtId="180" fontId="148" fillId="31" borderId="88" xfId="67" applyNumberFormat="1" applyFont="1" applyFill="1" applyBorder="1" applyAlignment="1" applyProtection="1">
      <alignment vertical="center"/>
      <protection locked="0"/>
    </xf>
    <xf numFmtId="0" fontId="20" fillId="0" borderId="0" xfId="67" applyFont="1" applyFill="1" applyBorder="1" applyAlignment="1" applyProtection="1">
      <alignment horizontal="left" vertical="center"/>
      <protection locked="0"/>
    </xf>
    <xf numFmtId="0" fontId="20" fillId="0" borderId="0" xfId="67" applyFont="1"/>
    <xf numFmtId="180" fontId="63" fillId="31" borderId="81" xfId="105" applyNumberFormat="1" applyFont="1" applyFill="1" applyBorder="1" applyAlignment="1" applyProtection="1">
      <alignment vertical="center"/>
      <protection locked="0"/>
    </xf>
    <xf numFmtId="0" fontId="20" fillId="0" borderId="77" xfId="67" applyFont="1" applyFill="1" applyBorder="1" applyAlignment="1" applyProtection="1">
      <alignment horizontal="left" vertical="center"/>
    </xf>
    <xf numFmtId="4" fontId="20" fillId="31" borderId="86" xfId="67" applyNumberFormat="1" applyFont="1" applyFill="1" applyBorder="1" applyAlignment="1" applyProtection="1">
      <alignment horizontal="center" vertical="center"/>
      <protection locked="0"/>
    </xf>
    <xf numFmtId="4" fontId="20" fillId="0" borderId="47" xfId="67" applyNumberFormat="1" applyFont="1" applyFill="1" applyBorder="1" applyAlignment="1" applyProtection="1">
      <alignment horizontal="center" vertical="center"/>
    </xf>
    <xf numFmtId="4" fontId="20" fillId="0" borderId="46" xfId="67" applyNumberFormat="1" applyFont="1" applyFill="1" applyBorder="1" applyAlignment="1" applyProtection="1">
      <alignment horizontal="right" vertical="center"/>
    </xf>
    <xf numFmtId="4" fontId="20" fillId="31" borderId="84" xfId="67" applyNumberFormat="1" applyFont="1" applyFill="1" applyBorder="1" applyAlignment="1" applyProtection="1">
      <alignment horizontal="center" vertical="center"/>
      <protection locked="0"/>
    </xf>
    <xf numFmtId="4" fontId="20" fillId="31" borderId="85" xfId="67" applyNumberFormat="1" applyFont="1" applyFill="1" applyBorder="1" applyAlignment="1" applyProtection="1">
      <alignment horizontal="center" vertical="center"/>
      <protection locked="0"/>
    </xf>
    <xf numFmtId="2" fontId="20" fillId="31" borderId="86" xfId="67" applyNumberFormat="1" applyFont="1" applyFill="1" applyBorder="1" applyAlignment="1" applyProtection="1">
      <alignment horizontal="center" vertical="center"/>
      <protection locked="0"/>
    </xf>
    <xf numFmtId="179" fontId="20" fillId="31" borderId="46" xfId="67" applyNumberFormat="1" applyFont="1" applyFill="1" applyBorder="1" applyAlignment="1" applyProtection="1">
      <alignment horizontal="center" vertical="center"/>
      <protection locked="0"/>
    </xf>
    <xf numFmtId="180" fontId="20" fillId="31" borderId="87" xfId="67" applyNumberFormat="1" applyFont="1" applyFill="1" applyBorder="1" applyAlignment="1" applyProtection="1">
      <alignment vertical="center"/>
      <protection locked="0"/>
    </xf>
    <xf numFmtId="4" fontId="20" fillId="0" borderId="19" xfId="67" applyNumberFormat="1" applyFont="1" applyFill="1" applyBorder="1" applyAlignment="1" applyProtection="1">
      <alignment horizontal="center" vertical="center"/>
    </xf>
    <xf numFmtId="4" fontId="20" fillId="0" borderId="40" xfId="67" applyNumberFormat="1" applyFont="1" applyFill="1" applyBorder="1" applyAlignment="1" applyProtection="1">
      <alignment horizontal="right" vertical="center"/>
    </xf>
    <xf numFmtId="179" fontId="20" fillId="31" borderId="0" xfId="1" applyNumberFormat="1" applyFont="1" applyFill="1" applyBorder="1" applyAlignment="1" applyProtection="1">
      <alignment horizontal="center" vertical="center"/>
      <protection locked="0"/>
    </xf>
    <xf numFmtId="0" fontId="20" fillId="0" borderId="0" xfId="67" applyFont="1" applyAlignment="1" applyProtection="1">
      <alignment horizontal="centerContinuous" vertical="center"/>
    </xf>
    <xf numFmtId="181" fontId="20" fillId="0" borderId="0" xfId="67" applyNumberFormat="1" applyFont="1" applyBorder="1" applyAlignment="1" applyProtection="1">
      <alignment vertical="center"/>
    </xf>
    <xf numFmtId="182" fontId="20" fillId="4" borderId="72" xfId="67" applyNumberFormat="1" applyFont="1" applyFill="1" applyBorder="1" applyAlignment="1" applyProtection="1">
      <alignment horizontal="center" vertical="center"/>
    </xf>
    <xf numFmtId="182" fontId="20" fillId="4" borderId="0" xfId="67" applyNumberFormat="1" applyFont="1" applyFill="1" applyBorder="1" applyAlignment="1" applyProtection="1">
      <alignment horizontal="center" vertical="center"/>
    </xf>
    <xf numFmtId="0" fontId="16" fillId="0" borderId="0" xfId="67" applyFont="1" applyBorder="1" applyAlignment="1" applyProtection="1">
      <alignment vertical="top"/>
    </xf>
    <xf numFmtId="2" fontId="13" fillId="0" borderId="3" xfId="67" applyNumberFormat="1" applyFont="1" applyBorder="1" applyAlignment="1" applyProtection="1">
      <alignment horizontal="center" vertical="center"/>
    </xf>
    <xf numFmtId="1" fontId="13" fillId="4" borderId="9" xfId="67" applyNumberFormat="1" applyFont="1" applyFill="1" applyBorder="1" applyAlignment="1" applyProtection="1">
      <alignment horizontal="center" vertical="center"/>
    </xf>
    <xf numFmtId="0" fontId="9" fillId="0" borderId="0" xfId="67" applyAlignment="1" applyProtection="1">
      <alignment vertical="center"/>
    </xf>
    <xf numFmtId="2" fontId="15" fillId="0" borderId="161" xfId="67" applyNumberFormat="1" applyFont="1" applyBorder="1" applyAlignment="1" applyProtection="1">
      <alignment vertical="center"/>
    </xf>
    <xf numFmtId="0" fontId="15" fillId="0" borderId="0" xfId="67" applyFont="1" applyAlignment="1" applyProtection="1">
      <alignment vertical="center"/>
    </xf>
    <xf numFmtId="0" fontId="15" fillId="0" borderId="0" xfId="67" applyFont="1" applyBorder="1" applyAlignment="1" applyProtection="1">
      <alignment vertical="center"/>
    </xf>
    <xf numFmtId="2" fontId="15" fillId="31" borderId="161" xfId="67" applyNumberFormat="1" applyFont="1" applyFill="1" applyBorder="1" applyAlignment="1" applyProtection="1">
      <alignment horizontal="center" vertical="center"/>
      <protection locked="0"/>
    </xf>
    <xf numFmtId="0" fontId="15" fillId="0" borderId="0" xfId="67" applyFont="1" applyAlignment="1" applyProtection="1">
      <alignment horizontal="left" vertical="center"/>
    </xf>
    <xf numFmtId="0" fontId="43" fillId="0" borderId="0" xfId="67" applyFont="1" applyBorder="1" applyAlignment="1" applyProtection="1">
      <alignment vertical="center"/>
    </xf>
    <xf numFmtId="0" fontId="119" fillId="0" borderId="0" xfId="67" applyFont="1" applyBorder="1" applyAlignment="1">
      <alignment vertical="center"/>
    </xf>
    <xf numFmtId="0" fontId="142" fillId="0" borderId="0" xfId="1" applyFont="1" applyAlignment="1" applyProtection="1">
      <alignment horizontal="center" vertical="center"/>
    </xf>
    <xf numFmtId="0" fontId="116" fillId="0" borderId="0" xfId="1" applyFont="1" applyAlignment="1" applyProtection="1">
      <alignment horizontal="center" vertical="center"/>
    </xf>
    <xf numFmtId="0" fontId="6" fillId="0" borderId="159" xfId="1" applyFont="1" applyBorder="1" applyAlignment="1" applyProtection="1">
      <alignment vertical="center"/>
    </xf>
    <xf numFmtId="49" fontId="9" fillId="0" borderId="44" xfId="1" applyNumberFormat="1" applyFont="1" applyBorder="1" applyAlignment="1" applyProtection="1">
      <alignment vertical="center"/>
    </xf>
    <xf numFmtId="0" fontId="101" fillId="0" borderId="0" xfId="1" applyFont="1" applyAlignment="1" applyProtection="1">
      <alignment horizontal="center" vertical="center"/>
    </xf>
    <xf numFmtId="0" fontId="6" fillId="0" borderId="0" xfId="1" applyFont="1" applyAlignment="1" applyProtection="1">
      <alignment vertical="center" wrapText="1"/>
    </xf>
    <xf numFmtId="0" fontId="9" fillId="0" borderId="0" xfId="1" applyFont="1" applyBorder="1" applyAlignment="1" applyProtection="1">
      <alignment horizontal="center" vertical="center"/>
    </xf>
    <xf numFmtId="171" fontId="9" fillId="0" borderId="65" xfId="61" applyNumberFormat="1" applyFont="1" applyFill="1" applyBorder="1" applyAlignment="1" applyProtection="1">
      <alignment horizontal="right" vertical="center"/>
      <protection locked="0"/>
    </xf>
    <xf numFmtId="171" fontId="9" fillId="0" borderId="67" xfId="61" applyNumberFormat="1" applyFont="1" applyFill="1" applyBorder="1" applyAlignment="1" applyProtection="1">
      <alignment vertical="center"/>
      <protection locked="0"/>
    </xf>
    <xf numFmtId="0" fontId="14" fillId="0" borderId="24" xfId="1" applyFont="1" applyBorder="1" applyAlignment="1" applyProtection="1">
      <alignment vertical="center"/>
    </xf>
    <xf numFmtId="171" fontId="9" fillId="0" borderId="146" xfId="61" applyNumberFormat="1" applyFont="1" applyBorder="1" applyAlignment="1" applyProtection="1">
      <alignment horizontal="right" vertical="center"/>
    </xf>
    <xf numFmtId="188" fontId="9" fillId="0" borderId="87" xfId="1" applyNumberFormat="1" applyFont="1" applyBorder="1" applyAlignment="1" applyProtection="1">
      <alignment horizontal="right" vertical="center"/>
    </xf>
    <xf numFmtId="189" fontId="9" fillId="31" borderId="87" xfId="1" applyNumberFormat="1" applyFont="1" applyFill="1" applyBorder="1" applyAlignment="1" applyProtection="1">
      <alignment horizontal="right" vertical="center"/>
      <protection locked="0"/>
    </xf>
    <xf numFmtId="190" fontId="9" fillId="4" borderId="87" xfId="1" applyNumberFormat="1" applyFont="1" applyFill="1" applyBorder="1" applyAlignment="1" applyProtection="1">
      <alignment horizontal="right" vertical="center"/>
    </xf>
    <xf numFmtId="170" fontId="9" fillId="4" borderId="87" xfId="1" applyNumberFormat="1" applyFont="1" applyFill="1" applyBorder="1" applyAlignment="1" applyProtection="1">
      <alignment horizontal="right" vertical="center"/>
    </xf>
    <xf numFmtId="170" fontId="9" fillId="31" borderId="87" xfId="1" applyNumberFormat="1" applyFont="1" applyFill="1" applyBorder="1" applyAlignment="1" applyProtection="1">
      <alignment horizontal="right" vertical="center"/>
      <protection locked="0"/>
    </xf>
    <xf numFmtId="189" fontId="9" fillId="31" borderId="86" xfId="1" applyNumberFormat="1" applyFont="1" applyFill="1" applyBorder="1" applyAlignment="1" applyProtection="1">
      <alignment horizontal="right" vertical="center"/>
      <protection locked="0"/>
    </xf>
    <xf numFmtId="0" fontId="9" fillId="0" borderId="41" xfId="1" applyFont="1" applyBorder="1" applyAlignment="1" applyProtection="1">
      <alignment vertical="center"/>
    </xf>
    <xf numFmtId="0" fontId="9" fillId="31" borderId="41" xfId="1" applyFont="1" applyFill="1" applyBorder="1" applyAlignment="1" applyProtection="1">
      <alignment vertical="center"/>
      <protection locked="0"/>
    </xf>
    <xf numFmtId="171" fontId="9" fillId="0" borderId="29" xfId="61" applyNumberFormat="1" applyFont="1" applyBorder="1" applyAlignment="1" applyProtection="1">
      <alignment horizontal="right" vertical="center"/>
    </xf>
    <xf numFmtId="171" fontId="6" fillId="0" borderId="29" xfId="61" applyNumberFormat="1" applyFont="1" applyBorder="1" applyAlignment="1" applyProtection="1">
      <alignment horizontal="right" vertical="center"/>
    </xf>
    <xf numFmtId="171" fontId="14" fillId="4" borderId="29" xfId="61" applyNumberFormat="1" applyFont="1" applyFill="1" applyBorder="1" applyAlignment="1" applyProtection="1">
      <alignment horizontal="right" vertical="center"/>
    </xf>
    <xf numFmtId="171" fontId="9" fillId="0" borderId="156" xfId="61" applyNumberFormat="1" applyFont="1" applyBorder="1" applyAlignment="1" applyProtection="1">
      <alignment horizontal="right" vertical="center"/>
    </xf>
    <xf numFmtId="0" fontId="6" fillId="0" borderId="183" xfId="1" applyFont="1" applyBorder="1" applyAlignment="1" applyProtection="1">
      <alignment vertical="center"/>
    </xf>
    <xf numFmtId="186" fontId="108" fillId="0" borderId="0" xfId="1" applyNumberFormat="1" applyFont="1" applyFill="1" applyBorder="1" applyAlignment="1" applyProtection="1">
      <alignment horizontal="right" vertical="center"/>
    </xf>
    <xf numFmtId="0" fontId="6" fillId="0" borderId="60" xfId="1" applyFont="1" applyBorder="1" applyAlignment="1" applyProtection="1">
      <alignment vertical="center"/>
    </xf>
    <xf numFmtId="0" fontId="116" fillId="0" borderId="0" xfId="1" applyFont="1" applyAlignment="1" applyProtection="1">
      <alignment horizontal="left" vertical="center"/>
    </xf>
    <xf numFmtId="0" fontId="143" fillId="0" borderId="0" xfId="1" applyFont="1" applyAlignment="1" applyProtection="1">
      <alignment horizontal="center" vertical="center"/>
    </xf>
    <xf numFmtId="0" fontId="144" fillId="0" borderId="0" xfId="1" applyFont="1" applyAlignment="1" applyProtection="1">
      <alignment horizontal="center" vertical="center"/>
    </xf>
    <xf numFmtId="0" fontId="127" fillId="0" borderId="0" xfId="1" applyFont="1" applyAlignment="1" applyProtection="1">
      <alignment horizontal="center" vertical="center"/>
    </xf>
    <xf numFmtId="0" fontId="9" fillId="0" borderId="0" xfId="1" applyFont="1" applyFill="1" applyBorder="1" applyAlignment="1" applyProtection="1">
      <alignment vertical="center"/>
    </xf>
    <xf numFmtId="177" fontId="9" fillId="0" borderId="0" xfId="1" applyNumberFormat="1" applyFont="1" applyFill="1" applyBorder="1" applyAlignment="1" applyProtection="1">
      <alignment horizontal="center" vertical="center"/>
    </xf>
    <xf numFmtId="0" fontId="9" fillId="0" borderId="24" xfId="1" applyFont="1" applyFill="1" applyBorder="1" applyAlignment="1" applyProtection="1">
      <alignment vertical="center"/>
    </xf>
    <xf numFmtId="0" fontId="44" fillId="0" borderId="0" xfId="1" applyFont="1" applyProtection="1"/>
    <xf numFmtId="0" fontId="16" fillId="0" borderId="0" xfId="124" applyFont="1" applyAlignment="1" applyProtection="1">
      <alignment vertical="center"/>
    </xf>
    <xf numFmtId="0" fontId="16" fillId="0" borderId="0" xfId="124" applyFont="1" applyAlignment="1" applyProtection="1">
      <alignment horizontal="center" vertical="center"/>
    </xf>
    <xf numFmtId="185" fontId="16" fillId="0" borderId="0" xfId="124" applyNumberFormat="1" applyFont="1" applyAlignment="1" applyProtection="1">
      <alignment vertical="center"/>
    </xf>
    <xf numFmtId="0" fontId="4" fillId="0" borderId="2" xfId="1" applyBorder="1"/>
    <xf numFmtId="0" fontId="16" fillId="0" borderId="2" xfId="124" applyFont="1" applyBorder="1" applyAlignment="1" applyProtection="1">
      <alignment vertical="center"/>
    </xf>
    <xf numFmtId="0" fontId="44" fillId="0" borderId="39" xfId="1" applyFont="1" applyBorder="1"/>
    <xf numFmtId="0" fontId="44" fillId="31" borderId="59" xfId="124" applyFont="1" applyFill="1" applyBorder="1" applyAlignment="1" applyProtection="1">
      <alignment horizontal="center" vertical="center"/>
      <protection locked="0"/>
    </xf>
    <xf numFmtId="0" fontId="44" fillId="31" borderId="46" xfId="124" applyFont="1" applyFill="1" applyBorder="1" applyAlignment="1" applyProtection="1">
      <alignment horizontal="center" vertical="center"/>
      <protection locked="0"/>
    </xf>
    <xf numFmtId="0" fontId="44" fillId="31" borderId="186" xfId="124" applyFont="1" applyFill="1" applyBorder="1" applyAlignment="1" applyProtection="1">
      <alignment horizontal="left" vertical="center"/>
      <protection locked="0"/>
    </xf>
    <xf numFmtId="0" fontId="16" fillId="0" borderId="60" xfId="124" applyFont="1" applyBorder="1" applyAlignment="1" applyProtection="1">
      <alignment horizontal="center" vertical="center"/>
    </xf>
    <xf numFmtId="0" fontId="16" fillId="0" borderId="0" xfId="124" applyFont="1" applyBorder="1" applyAlignment="1" applyProtection="1">
      <alignment vertical="center"/>
    </xf>
    <xf numFmtId="0" fontId="44" fillId="0" borderId="0" xfId="124" applyFont="1" applyBorder="1" applyAlignment="1" applyProtection="1">
      <alignment vertical="center"/>
    </xf>
    <xf numFmtId="0" fontId="44" fillId="0" borderId="40" xfId="1" applyFont="1" applyBorder="1"/>
    <xf numFmtId="0" fontId="44" fillId="31" borderId="187" xfId="124" applyFont="1" applyFill="1" applyBorder="1" applyAlignment="1" applyProtection="1">
      <alignment horizontal="center" vertical="center"/>
      <protection locked="0"/>
    </xf>
    <xf numFmtId="0" fontId="44" fillId="31" borderId="99" xfId="124" applyFont="1" applyFill="1" applyBorder="1" applyAlignment="1" applyProtection="1">
      <alignment horizontal="center" vertical="center"/>
      <protection locked="0"/>
    </xf>
    <xf numFmtId="0" fontId="44" fillId="31" borderId="183" xfId="124" applyFont="1" applyFill="1" applyBorder="1" applyAlignment="1" applyProtection="1">
      <alignment horizontal="left" vertical="center"/>
      <protection locked="0"/>
    </xf>
    <xf numFmtId="0" fontId="16" fillId="0" borderId="32" xfId="124" applyFont="1" applyBorder="1" applyAlignment="1" applyProtection="1">
      <alignment horizontal="center" vertical="center"/>
    </xf>
    <xf numFmtId="0" fontId="94" fillId="31" borderId="188" xfId="124" applyFont="1" applyFill="1" applyBorder="1" applyAlignment="1" applyProtection="1">
      <alignment horizontal="center" vertical="center"/>
      <protection locked="0"/>
    </xf>
    <xf numFmtId="0" fontId="44" fillId="31" borderId="92" xfId="124" applyFont="1" applyFill="1" applyBorder="1" applyAlignment="1" applyProtection="1">
      <alignment horizontal="center" vertical="center"/>
      <protection locked="0"/>
    </xf>
    <xf numFmtId="0" fontId="94" fillId="31" borderId="187" xfId="124" applyFont="1" applyFill="1" applyBorder="1" applyAlignment="1" applyProtection="1">
      <alignment vertical="center"/>
      <protection locked="0"/>
    </xf>
    <xf numFmtId="0" fontId="94" fillId="31" borderId="92" xfId="124" applyFont="1" applyFill="1" applyBorder="1" applyAlignment="1" applyProtection="1">
      <alignment horizontal="center" vertical="center"/>
      <protection locked="0"/>
    </xf>
    <xf numFmtId="0" fontId="44" fillId="31" borderId="183" xfId="128" applyBorder="1">
      <alignment horizontal="left" vertical="center"/>
      <protection locked="0"/>
    </xf>
    <xf numFmtId="0" fontId="9" fillId="0" borderId="0" xfId="1" applyFont="1" applyFill="1" applyBorder="1"/>
    <xf numFmtId="0" fontId="16" fillId="0" borderId="19" xfId="124" applyFont="1" applyBorder="1" applyAlignment="1" applyProtection="1">
      <alignment vertical="center"/>
    </xf>
    <xf numFmtId="0" fontId="16" fillId="0" borderId="40" xfId="124" applyFont="1" applyBorder="1" applyAlignment="1" applyProtection="1">
      <alignment vertical="center"/>
    </xf>
    <xf numFmtId="0" fontId="12" fillId="0" borderId="107" xfId="1" applyFont="1" applyBorder="1"/>
    <xf numFmtId="0" fontId="12" fillId="0" borderId="108" xfId="1" applyFont="1" applyBorder="1"/>
    <xf numFmtId="0" fontId="43" fillId="0" borderId="189" xfId="124" applyFont="1" applyBorder="1" applyAlignment="1" applyProtection="1">
      <alignment horizontal="left" vertical="center"/>
    </xf>
    <xf numFmtId="0" fontId="16" fillId="0" borderId="108" xfId="124" applyFont="1" applyBorder="1" applyAlignment="1" applyProtection="1">
      <alignment horizontal="center" vertical="center"/>
    </xf>
    <xf numFmtId="0" fontId="44" fillId="0" borderId="40" xfId="124" applyFont="1" applyBorder="1" applyAlignment="1" applyProtection="1">
      <alignment vertical="center"/>
    </xf>
    <xf numFmtId="0" fontId="44" fillId="31" borderId="32" xfId="124" applyFont="1" applyFill="1" applyBorder="1" applyAlignment="1" applyProtection="1">
      <alignment horizontal="left" vertical="center"/>
      <protection locked="0"/>
    </xf>
    <xf numFmtId="0" fontId="9" fillId="0" borderId="19" xfId="1" applyFont="1" applyBorder="1"/>
    <xf numFmtId="0" fontId="44" fillId="31" borderId="183" xfId="128" applyFont="1" applyBorder="1">
      <alignment horizontal="left" vertical="center"/>
      <protection locked="0"/>
    </xf>
    <xf numFmtId="0" fontId="4" fillId="0" borderId="107" xfId="1" applyBorder="1"/>
    <xf numFmtId="0" fontId="4" fillId="0" borderId="95" xfId="1" applyBorder="1"/>
    <xf numFmtId="0" fontId="16" fillId="0" borderId="95" xfId="124" applyFont="1" applyBorder="1" applyAlignment="1" applyProtection="1">
      <alignment vertical="center"/>
    </xf>
    <xf numFmtId="0" fontId="43" fillId="0" borderId="108" xfId="124" applyFont="1" applyBorder="1" applyAlignment="1" applyProtection="1">
      <alignment vertical="center"/>
    </xf>
    <xf numFmtId="0" fontId="9" fillId="0" borderId="108" xfId="124" applyFont="1" applyBorder="1" applyAlignment="1" applyProtection="1">
      <alignment horizontal="center" vertical="center"/>
    </xf>
    <xf numFmtId="0" fontId="98" fillId="0" borderId="0" xfId="124" applyFont="1" applyAlignment="1" applyProtection="1">
      <alignment horizontal="left" vertical="center"/>
    </xf>
    <xf numFmtId="0" fontId="43" fillId="4" borderId="0" xfId="1" applyFont="1" applyFill="1" applyAlignment="1" applyProtection="1">
      <alignment horizontal="right" vertical="center"/>
    </xf>
    <xf numFmtId="0" fontId="44" fillId="0" borderId="0" xfId="1" applyFont="1" applyAlignment="1" applyProtection="1">
      <alignment horizontal="right"/>
    </xf>
    <xf numFmtId="0" fontId="16" fillId="0" borderId="0" xfId="124" applyFont="1" applyAlignment="1" applyProtection="1">
      <alignment horizontal="right" vertical="center"/>
    </xf>
    <xf numFmtId="0" fontId="97" fillId="0" borderId="0" xfId="124" applyFont="1" applyAlignment="1" applyProtection="1">
      <alignment vertical="center"/>
    </xf>
    <xf numFmtId="0" fontId="16" fillId="0" borderId="0" xfId="124" applyFont="1" applyAlignment="1" applyProtection="1">
      <alignment vertical="center"/>
      <protection locked="0"/>
    </xf>
    <xf numFmtId="177" fontId="9" fillId="0" borderId="0" xfId="1" applyNumberFormat="1" applyFont="1"/>
    <xf numFmtId="0" fontId="15" fillId="0" borderId="59" xfId="1" applyFont="1" applyBorder="1" applyAlignment="1" applyProtection="1">
      <alignment vertical="center"/>
    </xf>
    <xf numFmtId="2" fontId="15" fillId="0" borderId="41" xfId="1" applyNumberFormat="1" applyFont="1" applyBorder="1" applyAlignment="1" applyProtection="1">
      <alignment vertical="center"/>
    </xf>
    <xf numFmtId="177" fontId="15" fillId="0" borderId="60" xfId="1" applyNumberFormat="1" applyFont="1" applyBorder="1" applyAlignment="1" applyProtection="1">
      <alignment vertical="center"/>
    </xf>
    <xf numFmtId="184" fontId="15" fillId="0" borderId="0" xfId="1" applyNumberFormat="1" applyFont="1" applyAlignment="1" applyProtection="1">
      <alignment vertical="center"/>
    </xf>
    <xf numFmtId="185" fontId="5" fillId="0" borderId="93" xfId="1" applyNumberFormat="1" applyFont="1" applyBorder="1" applyAlignment="1" applyProtection="1">
      <alignment horizontal="right" vertical="center"/>
    </xf>
    <xf numFmtId="184" fontId="20" fillId="0" borderId="190" xfId="1" applyNumberFormat="1" applyFont="1" applyBorder="1" applyAlignment="1" applyProtection="1">
      <alignment horizontal="center" vertical="center"/>
    </xf>
    <xf numFmtId="4" fontId="5" fillId="4" borderId="95" xfId="1" applyNumberFormat="1" applyFont="1" applyFill="1" applyBorder="1" applyAlignment="1" applyProtection="1">
      <alignment vertical="center"/>
    </xf>
    <xf numFmtId="0" fontId="5" fillId="4" borderId="95" xfId="1" applyFont="1" applyFill="1" applyBorder="1" applyAlignment="1" applyProtection="1">
      <alignment vertical="center"/>
    </xf>
    <xf numFmtId="4" fontId="5" fillId="4" borderId="108" xfId="1" applyNumberFormat="1" applyFont="1" applyFill="1" applyBorder="1" applyAlignment="1" applyProtection="1">
      <alignment vertical="center"/>
    </xf>
    <xf numFmtId="185" fontId="13" fillId="0" borderId="191" xfId="1" applyNumberFormat="1" applyFont="1" applyBorder="1" applyAlignment="1" applyProtection="1">
      <alignment horizontal="right" vertical="center"/>
    </xf>
    <xf numFmtId="184" fontId="20" fillId="0" borderId="192" xfId="1" applyNumberFormat="1" applyFont="1" applyBorder="1" applyAlignment="1" applyProtection="1">
      <alignment horizontal="center" vertical="center"/>
    </xf>
    <xf numFmtId="4" fontId="13" fillId="0" borderId="193" xfId="1" applyNumberFormat="1" applyFont="1" applyBorder="1" applyAlignment="1" applyProtection="1">
      <alignment horizontal="center" vertical="center"/>
    </xf>
    <xf numFmtId="0" fontId="13" fillId="0" borderId="194" xfId="1" applyFont="1" applyBorder="1" applyAlignment="1" applyProtection="1">
      <alignment vertical="center"/>
    </xf>
    <xf numFmtId="4" fontId="13" fillId="0" borderId="193" xfId="1" applyNumberFormat="1" applyFont="1" applyBorder="1" applyAlignment="1" applyProtection="1">
      <alignment vertical="center"/>
    </xf>
    <xf numFmtId="4" fontId="13" fillId="0" borderId="194" xfId="1" applyNumberFormat="1" applyFont="1" applyBorder="1" applyAlignment="1" applyProtection="1">
      <alignment vertical="center"/>
    </xf>
    <xf numFmtId="0" fontId="13" fillId="0" borderId="193" xfId="1" applyFont="1" applyBorder="1" applyAlignment="1" applyProtection="1">
      <alignment vertical="center"/>
    </xf>
    <xf numFmtId="4" fontId="13" fillId="0" borderId="195" xfId="1" applyNumberFormat="1" applyFont="1" applyBorder="1" applyAlignment="1" applyProtection="1">
      <alignment vertical="center"/>
    </xf>
    <xf numFmtId="0" fontId="4" fillId="0" borderId="196" xfId="1" applyBorder="1" applyAlignment="1" applyProtection="1">
      <alignment vertical="center"/>
    </xf>
    <xf numFmtId="185" fontId="55" fillId="0" borderId="197" xfId="1" applyNumberFormat="1" applyFont="1" applyBorder="1" applyAlignment="1" applyProtection="1">
      <alignment horizontal="center" vertical="center"/>
    </xf>
    <xf numFmtId="0" fontId="55" fillId="0" borderId="198" xfId="1" applyFont="1" applyBorder="1" applyAlignment="1" applyProtection="1">
      <alignment vertical="center"/>
    </xf>
    <xf numFmtId="0" fontId="4" fillId="0" borderId="21" xfId="1" applyBorder="1" applyAlignment="1" applyProtection="1">
      <alignment vertical="center"/>
    </xf>
    <xf numFmtId="185" fontId="4" fillId="0" borderId="29" xfId="1" applyNumberFormat="1" applyBorder="1" applyAlignment="1" applyProtection="1">
      <alignment horizontal="right" vertical="center"/>
    </xf>
    <xf numFmtId="4" fontId="15" fillId="0" borderId="32" xfId="1" applyNumberFormat="1" applyFont="1" applyBorder="1" applyAlignment="1" applyProtection="1">
      <alignment vertical="center"/>
    </xf>
    <xf numFmtId="185" fontId="85" fillId="0" borderId="29" xfId="1" applyNumberFormat="1" applyFont="1" applyBorder="1" applyAlignment="1" applyProtection="1">
      <alignment horizontal="center" vertical="center"/>
    </xf>
    <xf numFmtId="0" fontId="4" fillId="0" borderId="67" xfId="1" applyBorder="1" applyAlignment="1" applyProtection="1">
      <alignment horizontal="center" vertical="center"/>
    </xf>
    <xf numFmtId="0" fontId="5" fillId="0" borderId="30" xfId="1" applyFont="1" applyBorder="1" applyAlignment="1" applyProtection="1">
      <alignment horizontal="left" vertical="center"/>
    </xf>
    <xf numFmtId="185" fontId="55" fillId="0" borderId="168" xfId="1" applyNumberFormat="1" applyFont="1" applyBorder="1" applyAlignment="1" applyProtection="1">
      <alignment horizontal="center" vertical="center"/>
    </xf>
    <xf numFmtId="185" fontId="55" fillId="0" borderId="199" xfId="1" applyNumberFormat="1" applyFont="1" applyBorder="1" applyAlignment="1" applyProtection="1">
      <alignment horizontal="right" vertical="center"/>
    </xf>
    <xf numFmtId="3" fontId="55" fillId="0" borderId="179" xfId="1" applyNumberFormat="1" applyFont="1" applyBorder="1" applyAlignment="1" applyProtection="1">
      <alignment vertical="center"/>
    </xf>
    <xf numFmtId="3" fontId="55" fillId="0" borderId="200" xfId="1" applyNumberFormat="1" applyFont="1" applyBorder="1" applyAlignment="1" applyProtection="1">
      <alignment vertical="center"/>
    </xf>
    <xf numFmtId="0" fontId="55" fillId="0" borderId="171" xfId="1" applyFont="1" applyBorder="1" applyAlignment="1" applyProtection="1">
      <alignment vertical="center"/>
    </xf>
    <xf numFmtId="4" fontId="15" fillId="31" borderId="32" xfId="1" applyNumberFormat="1" applyFont="1" applyFill="1" applyBorder="1" applyAlignment="1" applyProtection="1">
      <alignment vertical="center"/>
      <protection locked="0"/>
    </xf>
    <xf numFmtId="0" fontId="15" fillId="0" borderId="21" xfId="1" applyFont="1" applyBorder="1" applyAlignment="1" applyProtection="1">
      <alignment horizontal="center" vertical="center"/>
    </xf>
    <xf numFmtId="185" fontId="15" fillId="0" borderId="156" xfId="1" applyNumberFormat="1" applyFont="1" applyBorder="1" applyAlignment="1" applyProtection="1">
      <alignment horizontal="center" vertical="center"/>
    </xf>
    <xf numFmtId="0" fontId="85" fillId="0" borderId="159" xfId="1" applyFont="1" applyBorder="1" applyAlignment="1" applyProtection="1">
      <alignment horizontal="center" vertical="center"/>
    </xf>
    <xf numFmtId="0" fontId="85" fillId="0" borderId="21" xfId="1" applyFont="1" applyBorder="1" applyAlignment="1" applyProtection="1">
      <alignment horizontal="center" vertical="center"/>
    </xf>
    <xf numFmtId="185" fontId="4" fillId="0" borderId="0" xfId="1" applyNumberFormat="1" applyBorder="1" applyAlignment="1" applyProtection="1">
      <alignment horizontal="right" vertical="center"/>
    </xf>
    <xf numFmtId="0" fontId="4" fillId="0" borderId="32" xfId="1" applyBorder="1" applyAlignment="1" applyProtection="1">
      <alignment vertical="center"/>
    </xf>
    <xf numFmtId="2" fontId="55" fillId="0" borderId="21" xfId="1" applyNumberFormat="1" applyFont="1" applyBorder="1" applyAlignment="1" applyProtection="1">
      <alignment vertical="center"/>
    </xf>
    <xf numFmtId="3" fontId="55" fillId="0" borderId="199" xfId="1" applyNumberFormat="1" applyFont="1" applyBorder="1" applyAlignment="1" applyProtection="1">
      <alignment vertical="center"/>
    </xf>
    <xf numFmtId="3" fontId="55" fillId="0" borderId="201" xfId="1" applyNumberFormat="1" applyFont="1" applyBorder="1" applyAlignment="1" applyProtection="1">
      <alignment vertical="center"/>
    </xf>
    <xf numFmtId="3" fontId="55" fillId="0" borderId="202" xfId="1" applyNumberFormat="1" applyFont="1" applyBorder="1" applyAlignment="1" applyProtection="1">
      <alignment vertical="center"/>
    </xf>
    <xf numFmtId="3" fontId="55" fillId="0" borderId="203" xfId="1" applyNumberFormat="1" applyFont="1" applyBorder="1" applyAlignment="1" applyProtection="1">
      <alignment vertical="center"/>
    </xf>
    <xf numFmtId="0" fontId="15" fillId="0" borderId="159" xfId="1" applyFont="1" applyBorder="1" applyAlignment="1" applyProtection="1">
      <alignment vertical="center"/>
    </xf>
    <xf numFmtId="0" fontId="15" fillId="0" borderId="30" xfId="1" applyFont="1" applyBorder="1" applyAlignment="1" applyProtection="1">
      <alignment horizontal="left" vertical="center"/>
    </xf>
    <xf numFmtId="0" fontId="15" fillId="0" borderId="156" xfId="1" applyFont="1" applyBorder="1" applyAlignment="1" applyProtection="1">
      <alignment horizontal="center" vertical="center"/>
    </xf>
    <xf numFmtId="0" fontId="85" fillId="0" borderId="29" xfId="1" applyFont="1" applyBorder="1" applyAlignment="1" applyProtection="1">
      <alignment horizontal="center" vertical="center"/>
    </xf>
    <xf numFmtId="10" fontId="15" fillId="31" borderId="66" xfId="1" applyNumberFormat="1" applyFont="1" applyFill="1" applyBorder="1" applyAlignment="1" applyProtection="1">
      <alignment horizontal="center" vertical="center"/>
      <protection locked="0"/>
    </xf>
    <xf numFmtId="0" fontId="85" fillId="0" borderId="22" xfId="1" applyFont="1" applyBorder="1" applyAlignment="1" applyProtection="1">
      <alignment horizontal="center" vertical="center"/>
    </xf>
    <xf numFmtId="0" fontId="85" fillId="0" borderId="78" xfId="1" applyFont="1" applyBorder="1" applyAlignment="1" applyProtection="1">
      <alignment horizontal="center" vertical="center"/>
    </xf>
    <xf numFmtId="0" fontId="85" fillId="0" borderId="24" xfId="1" applyFont="1" applyBorder="1" applyAlignment="1" applyProtection="1">
      <alignment horizontal="center" vertical="center"/>
    </xf>
    <xf numFmtId="0" fontId="85" fillId="0" borderId="130" xfId="1" applyFont="1" applyBorder="1" applyAlignment="1" applyProtection="1">
      <alignment horizontal="center" vertical="center"/>
    </xf>
    <xf numFmtId="0" fontId="85" fillId="0" borderId="184" xfId="1" applyFont="1" applyBorder="1" applyAlignment="1" applyProtection="1">
      <alignment horizontal="center" vertical="center"/>
    </xf>
    <xf numFmtId="0" fontId="85" fillId="0" borderId="204" xfId="1" applyFont="1" applyBorder="1" applyAlignment="1" applyProtection="1">
      <alignment horizontal="center" vertical="center"/>
    </xf>
    <xf numFmtId="0" fontId="85" fillId="0" borderId="185" xfId="1" applyFont="1" applyBorder="1" applyAlignment="1" applyProtection="1">
      <alignment horizontal="center" vertical="center"/>
    </xf>
    <xf numFmtId="0" fontId="85" fillId="0" borderId="205" xfId="1" applyFont="1" applyBorder="1" applyAlignment="1" applyProtection="1">
      <alignment horizontal="center" vertical="center"/>
    </xf>
    <xf numFmtId="0" fontId="5" fillId="0" borderId="132" xfId="1" applyFont="1" applyBorder="1" applyAlignment="1" applyProtection="1">
      <alignment horizontal="left" vertical="center"/>
    </xf>
    <xf numFmtId="4" fontId="5" fillId="4" borderId="0" xfId="1" applyNumberFormat="1" applyFont="1" applyFill="1" applyBorder="1" applyAlignment="1" applyProtection="1">
      <alignment horizontal="center" vertical="center"/>
    </xf>
    <xf numFmtId="0" fontId="20" fillId="4" borderId="0" xfId="1" applyFont="1" applyFill="1" applyBorder="1" applyAlignment="1" applyProtection="1">
      <alignment horizontal="right" vertical="center"/>
    </xf>
    <xf numFmtId="3" fontId="15" fillId="4" borderId="0" xfId="1" applyNumberFormat="1" applyFont="1" applyFill="1" applyBorder="1" applyAlignment="1" applyProtection="1">
      <alignment horizontal="center" vertical="center"/>
    </xf>
    <xf numFmtId="0" fontId="4" fillId="4" borderId="0" xfId="1" applyFill="1" applyAlignment="1" applyProtection="1">
      <alignment vertical="center"/>
    </xf>
    <xf numFmtId="185" fontId="5" fillId="31" borderId="146" xfId="1" applyNumberFormat="1" applyFont="1" applyFill="1" applyBorder="1" applyAlignment="1" applyProtection="1">
      <alignment horizontal="right" vertical="center"/>
      <protection locked="0"/>
    </xf>
    <xf numFmtId="184" fontId="20" fillId="0" borderId="47" xfId="1" applyNumberFormat="1" applyFont="1" applyBorder="1" applyAlignment="1" applyProtection="1">
      <alignment horizontal="center" vertical="center"/>
    </xf>
    <xf numFmtId="0" fontId="15" fillId="0" borderId="46" xfId="1" applyFont="1" applyBorder="1" applyAlignment="1" applyProtection="1">
      <alignment horizontal="left" vertical="center"/>
    </xf>
    <xf numFmtId="0" fontId="15" fillId="0" borderId="41" xfId="1" applyFont="1" applyBorder="1" applyAlignment="1" applyProtection="1">
      <alignment vertical="center"/>
    </xf>
    <xf numFmtId="0" fontId="15" fillId="0" borderId="46" xfId="1" applyFont="1" applyBorder="1" applyAlignment="1" applyProtection="1">
      <alignment vertical="center"/>
    </xf>
    <xf numFmtId="0" fontId="15" fillId="0" borderId="200" xfId="1" applyFont="1" applyBorder="1" applyAlignment="1" applyProtection="1">
      <alignment vertical="center"/>
    </xf>
    <xf numFmtId="3" fontId="15" fillId="31" borderId="179" xfId="1" applyNumberFormat="1" applyFont="1" applyFill="1" applyBorder="1" applyAlignment="1" applyProtection="1">
      <alignment horizontal="right" vertical="center"/>
      <protection locked="0"/>
    </xf>
    <xf numFmtId="0" fontId="15" fillId="0" borderId="171" xfId="1" applyFont="1" applyBorder="1" applyAlignment="1" applyProtection="1">
      <alignment vertical="center"/>
    </xf>
    <xf numFmtId="0" fontId="15" fillId="0" borderId="148" xfId="1" applyFont="1" applyBorder="1" applyAlignment="1" applyProtection="1">
      <alignment vertical="center"/>
    </xf>
    <xf numFmtId="0" fontId="9" fillId="0" borderId="130" xfId="1" applyFont="1" applyBorder="1" applyAlignment="1" applyProtection="1">
      <alignment vertical="center"/>
    </xf>
    <xf numFmtId="0" fontId="15" fillId="0" borderId="24" xfId="1" applyFont="1" applyBorder="1" applyAlignment="1" applyProtection="1">
      <alignment vertical="center"/>
    </xf>
    <xf numFmtId="0" fontId="4" fillId="0" borderId="130" xfId="1" applyBorder="1" applyAlignment="1" applyProtection="1">
      <alignment vertical="center"/>
    </xf>
    <xf numFmtId="0" fontId="15" fillId="0" borderId="75" xfId="1" applyFont="1" applyBorder="1" applyAlignment="1" applyProtection="1">
      <alignment vertical="center"/>
    </xf>
    <xf numFmtId="0" fontId="15" fillId="31" borderId="74" xfId="1" applyFont="1" applyFill="1" applyBorder="1" applyAlignment="1" applyProtection="1">
      <alignment horizontal="right" vertical="center"/>
      <protection locked="0"/>
    </xf>
    <xf numFmtId="0" fontId="15" fillId="0" borderId="76" xfId="1" applyFont="1" applyBorder="1" applyAlignment="1" applyProtection="1">
      <alignment horizontal="left" vertical="center"/>
    </xf>
    <xf numFmtId="0" fontId="15" fillId="4" borderId="0" xfId="1" applyFont="1" applyFill="1" applyAlignment="1" applyProtection="1">
      <alignment vertical="center"/>
    </xf>
    <xf numFmtId="0" fontId="15" fillId="4" borderId="0" xfId="1" applyFont="1" applyFill="1" applyBorder="1" applyAlignment="1" applyProtection="1">
      <alignment horizontal="center" vertical="center"/>
    </xf>
    <xf numFmtId="4" fontId="5" fillId="0" borderId="0" xfId="1" applyNumberFormat="1" applyFont="1" applyBorder="1" applyAlignment="1" applyProtection="1">
      <alignment vertical="center"/>
    </xf>
    <xf numFmtId="0" fontId="64" fillId="4" borderId="0" xfId="1" applyFont="1" applyFill="1" applyBorder="1" applyAlignment="1" applyProtection="1">
      <alignment horizontal="center" vertical="center"/>
    </xf>
    <xf numFmtId="2" fontId="13" fillId="0" borderId="207" xfId="1" applyNumberFormat="1" applyFont="1" applyBorder="1" applyAlignment="1" applyProtection="1">
      <alignment vertical="center"/>
    </xf>
    <xf numFmtId="0" fontId="15" fillId="0" borderId="207" xfId="1" applyFont="1" applyBorder="1" applyAlignment="1" applyProtection="1">
      <alignment horizontal="center" vertical="center"/>
    </xf>
    <xf numFmtId="0" fontId="55" fillId="0" borderId="193" xfId="1" applyFont="1" applyBorder="1" applyAlignment="1" applyProtection="1">
      <alignment vertical="center"/>
    </xf>
    <xf numFmtId="0" fontId="13" fillId="0" borderId="195" xfId="1" applyFont="1" applyBorder="1" applyAlignment="1" applyProtection="1">
      <alignment vertical="center"/>
    </xf>
    <xf numFmtId="2" fontId="55" fillId="0" borderId="169" xfId="1" applyNumberFormat="1" applyFont="1" applyBorder="1" applyAlignment="1" applyProtection="1">
      <alignment vertical="center"/>
    </xf>
    <xf numFmtId="0" fontId="15" fillId="0" borderId="169" xfId="1" applyFont="1" applyBorder="1" applyAlignment="1" applyProtection="1">
      <alignment horizontal="center" vertical="center"/>
    </xf>
    <xf numFmtId="0" fontId="15" fillId="0" borderId="170" xfId="1" applyFont="1" applyBorder="1" applyAlignment="1" applyProtection="1">
      <alignment vertical="center"/>
    </xf>
    <xf numFmtId="9" fontId="0" fillId="0" borderId="0" xfId="61" applyFont="1" applyAlignment="1" applyProtection="1">
      <alignment vertical="center"/>
    </xf>
    <xf numFmtId="0" fontId="15" fillId="0" borderId="32" xfId="1" applyFont="1" applyBorder="1" applyAlignment="1" applyProtection="1">
      <alignment vertical="center"/>
    </xf>
    <xf numFmtId="0" fontId="15" fillId="0" borderId="128" xfId="1" applyFont="1" applyBorder="1" applyAlignment="1" applyProtection="1">
      <alignment vertical="center"/>
    </xf>
    <xf numFmtId="0" fontId="55" fillId="0" borderId="158" xfId="1" applyFont="1" applyBorder="1" applyAlignment="1" applyProtection="1">
      <alignment vertical="center"/>
    </xf>
    <xf numFmtId="0" fontId="55" fillId="0" borderId="32" xfId="1" applyFont="1" applyBorder="1" applyAlignment="1" applyProtection="1">
      <alignment vertical="center"/>
    </xf>
    <xf numFmtId="0" fontId="4" fillId="0" borderId="78" xfId="1" applyBorder="1" applyAlignment="1" applyProtection="1">
      <alignment vertical="center"/>
    </xf>
    <xf numFmtId="0" fontId="5" fillId="0" borderId="79" xfId="1" applyFont="1" applyBorder="1" applyAlignment="1" applyProtection="1">
      <alignment vertical="center"/>
    </xf>
    <xf numFmtId="2" fontId="55" fillId="0" borderId="48" xfId="1" applyNumberFormat="1" applyFont="1" applyBorder="1" applyAlignment="1" applyProtection="1">
      <alignment vertical="center"/>
    </xf>
    <xf numFmtId="0" fontId="15" fillId="0" borderId="48" xfId="1" applyFont="1" applyBorder="1" applyAlignment="1" applyProtection="1">
      <alignment horizontal="center" vertical="center"/>
    </xf>
    <xf numFmtId="0" fontId="15" fillId="0" borderId="47" xfId="1" applyFont="1" applyBorder="1" applyAlignment="1" applyProtection="1">
      <alignment vertical="center"/>
    </xf>
    <xf numFmtId="0" fontId="55" fillId="0" borderId="60" xfId="1" applyFont="1" applyBorder="1" applyAlignment="1" applyProtection="1">
      <alignment vertical="center"/>
    </xf>
    <xf numFmtId="0" fontId="5" fillId="0" borderId="158" xfId="1" applyFont="1" applyBorder="1" applyAlignment="1" applyProtection="1">
      <alignment vertical="center"/>
    </xf>
    <xf numFmtId="184" fontId="15" fillId="31" borderId="44" xfId="61" applyNumberFormat="1" applyFont="1" applyFill="1" applyBorder="1" applyAlignment="1" applyProtection="1">
      <alignment vertical="center"/>
      <protection locked="0"/>
    </xf>
    <xf numFmtId="0" fontId="55" fillId="0" borderId="155" xfId="1" applyFont="1" applyBorder="1" applyAlignment="1" applyProtection="1">
      <alignment vertical="center"/>
    </xf>
    <xf numFmtId="0" fontId="15" fillId="0" borderId="24" xfId="1" applyFont="1" applyBorder="1" applyAlignment="1" applyProtection="1">
      <alignment horizontal="center" vertical="center"/>
    </xf>
    <xf numFmtId="0" fontId="55" fillId="0" borderId="79" xfId="1" applyFont="1" applyBorder="1" applyAlignment="1" applyProtection="1">
      <alignment vertical="center"/>
    </xf>
    <xf numFmtId="0" fontId="15" fillId="0" borderId="48" xfId="1" applyFont="1" applyBorder="1" applyAlignment="1" applyProtection="1">
      <alignment vertical="center"/>
    </xf>
    <xf numFmtId="0" fontId="15" fillId="0" borderId="47" xfId="1" applyFont="1" applyBorder="1" applyAlignment="1" applyProtection="1">
      <alignment horizontal="right" vertical="center"/>
    </xf>
    <xf numFmtId="0" fontId="15" fillId="0" borderId="147" xfId="1" applyFont="1" applyBorder="1" applyAlignment="1" applyProtection="1">
      <alignment vertical="center"/>
    </xf>
    <xf numFmtId="0" fontId="15" fillId="0" borderId="147" xfId="1" applyFont="1" applyBorder="1" applyAlignment="1" applyProtection="1">
      <alignment horizontal="center" vertical="center"/>
    </xf>
    <xf numFmtId="0" fontId="15" fillId="0" borderId="131" xfId="1" applyFont="1" applyBorder="1" applyAlignment="1" applyProtection="1">
      <alignment horizontal="right" vertical="center"/>
    </xf>
    <xf numFmtId="0" fontId="16" fillId="0" borderId="0" xfId="1" applyFont="1"/>
    <xf numFmtId="0" fontId="16" fillId="0" borderId="0" xfId="67" applyFont="1"/>
    <xf numFmtId="0" fontId="9" fillId="0" borderId="0" xfId="67" applyFont="1" applyAlignment="1" applyProtection="1">
      <alignment vertical="center"/>
    </xf>
    <xf numFmtId="2" fontId="9" fillId="24" borderId="59" xfId="67" applyNumberFormat="1" applyFont="1" applyFill="1" applyBorder="1" applyAlignment="1" applyProtection="1">
      <alignment horizontal="center" vertical="center"/>
      <protection locked="0"/>
    </xf>
    <xf numFmtId="2" fontId="9" fillId="24" borderId="46" xfId="67" applyNumberFormat="1" applyFont="1" applyFill="1" applyBorder="1" applyAlignment="1" applyProtection="1">
      <alignment horizontal="center" vertical="center"/>
      <protection locked="0"/>
    </xf>
    <xf numFmtId="0" fontId="9" fillId="24" borderId="41" xfId="1" applyFont="1" applyFill="1" applyBorder="1" applyAlignment="1" applyProtection="1">
      <alignment vertical="center"/>
      <protection locked="0"/>
    </xf>
    <xf numFmtId="0" fontId="9" fillId="24" borderId="41" xfId="67" applyFont="1" applyFill="1" applyBorder="1" applyAlignment="1" applyProtection="1">
      <alignment vertical="center"/>
      <protection locked="0"/>
    </xf>
    <xf numFmtId="0" fontId="9" fillId="24" borderId="60" xfId="67" applyFont="1" applyFill="1" applyBorder="1" applyAlignment="1" applyProtection="1">
      <alignment vertical="center"/>
      <protection locked="0"/>
    </xf>
    <xf numFmtId="0" fontId="60" fillId="0" borderId="0" xfId="55" applyFont="1">
      <alignment horizontal="center"/>
    </xf>
    <xf numFmtId="2" fontId="9" fillId="0" borderId="59" xfId="67" applyNumberFormat="1" applyFont="1" applyBorder="1" applyAlignment="1" applyProtection="1">
      <alignment horizontal="center" vertical="center"/>
    </xf>
    <xf numFmtId="2" fontId="9" fillId="0" borderId="46" xfId="67" applyNumberFormat="1" applyFont="1" applyBorder="1" applyAlignment="1" applyProtection="1">
      <alignment horizontal="center" vertical="center"/>
    </xf>
    <xf numFmtId="0" fontId="9" fillId="0" borderId="41" xfId="124" applyFont="1" applyBorder="1" applyAlignment="1" applyProtection="1">
      <alignment vertical="center"/>
    </xf>
    <xf numFmtId="0" fontId="9" fillId="0" borderId="60" xfId="67" applyFont="1" applyBorder="1" applyAlignment="1" applyProtection="1">
      <alignment vertical="center"/>
    </xf>
    <xf numFmtId="2" fontId="9" fillId="24" borderId="64" xfId="67" applyNumberFormat="1" applyFont="1" applyFill="1" applyBorder="1" applyAlignment="1" applyProtection="1">
      <alignment horizontal="center" vertical="center"/>
      <protection locked="0"/>
    </xf>
    <xf numFmtId="2" fontId="9" fillId="24" borderId="40" xfId="67" applyNumberFormat="1" applyFont="1" applyFill="1" applyBorder="1" applyAlignment="1" applyProtection="1">
      <alignment horizontal="center" vertical="center"/>
      <protection locked="0"/>
    </xf>
    <xf numFmtId="0" fontId="9" fillId="24" borderId="0" xfId="1" applyFont="1" applyFill="1" applyBorder="1" applyAlignment="1" applyProtection="1">
      <alignment vertical="center"/>
      <protection locked="0"/>
    </xf>
    <xf numFmtId="0" fontId="152" fillId="24" borderId="0" xfId="67" applyFont="1" applyFill="1" applyBorder="1" applyAlignment="1" applyProtection="1">
      <alignment vertical="center"/>
      <protection locked="0"/>
    </xf>
    <xf numFmtId="0" fontId="9" fillId="24" borderId="32" xfId="67" applyFont="1" applyFill="1" applyBorder="1" applyAlignment="1" applyProtection="1">
      <alignment vertical="center"/>
      <protection locked="0"/>
    </xf>
    <xf numFmtId="2" fontId="9" fillId="0" borderId="64" xfId="67" applyNumberFormat="1" applyFont="1" applyBorder="1" applyAlignment="1" applyProtection="1">
      <alignment horizontal="center" vertical="center"/>
    </xf>
    <xf numFmtId="0" fontId="9" fillId="0" borderId="0" xfId="124" applyFont="1" applyBorder="1" applyAlignment="1" applyProtection="1">
      <alignment vertical="center"/>
    </xf>
    <xf numFmtId="0" fontId="9" fillId="0" borderId="32" xfId="67" applyFont="1" applyBorder="1" applyAlignment="1" applyProtection="1">
      <alignment vertical="center"/>
    </xf>
    <xf numFmtId="0" fontId="9" fillId="0" borderId="0" xfId="67" applyFont="1" applyBorder="1" applyAlignment="1" applyProtection="1">
      <alignment vertical="center"/>
    </xf>
    <xf numFmtId="49" fontId="72" fillId="0" borderId="0" xfId="1" applyNumberFormat="1" applyFont="1" applyAlignment="1" applyProtection="1">
      <alignment vertical="center"/>
    </xf>
    <xf numFmtId="0" fontId="9" fillId="27" borderId="64" xfId="67" applyFont="1" applyFill="1" applyBorder="1" applyAlignment="1">
      <alignment horizontal="center" vertical="center" wrapText="1"/>
    </xf>
    <xf numFmtId="0" fontId="9" fillId="27" borderId="40" xfId="67" applyFont="1" applyFill="1" applyBorder="1" applyAlignment="1">
      <alignment horizontal="center" vertical="center" wrapText="1"/>
    </xf>
    <xf numFmtId="0" fontId="5" fillId="27" borderId="19" xfId="67" applyFont="1" applyFill="1" applyBorder="1" applyAlignment="1" applyProtection="1">
      <alignment horizontal="center" vertical="center"/>
    </xf>
    <xf numFmtId="0" fontId="5" fillId="27" borderId="0" xfId="67" applyFont="1" applyFill="1" applyBorder="1" applyAlignment="1" applyProtection="1">
      <alignment horizontal="center" vertical="center"/>
    </xf>
    <xf numFmtId="0" fontId="5" fillId="27" borderId="32" xfId="67" applyFont="1" applyFill="1" applyBorder="1" applyAlignment="1" applyProtection="1">
      <alignment horizontal="center" vertical="center"/>
    </xf>
    <xf numFmtId="0" fontId="9" fillId="0" borderId="0" xfId="124" applyFont="1" applyAlignment="1" applyProtection="1">
      <alignment vertical="center"/>
    </xf>
    <xf numFmtId="0" fontId="5" fillId="0" borderId="208" xfId="1" applyFont="1" applyBorder="1" applyAlignment="1" applyProtection="1">
      <alignment vertical="center"/>
    </xf>
    <xf numFmtId="2" fontId="5" fillId="0" borderId="200" xfId="1" applyNumberFormat="1" applyFont="1" applyBorder="1" applyAlignment="1" applyProtection="1">
      <alignment vertical="center"/>
    </xf>
    <xf numFmtId="0" fontId="5" fillId="0" borderId="200" xfId="1" applyFont="1" applyBorder="1" applyAlignment="1" applyProtection="1">
      <alignment vertical="center"/>
    </xf>
    <xf numFmtId="0" fontId="5" fillId="0" borderId="171" xfId="1" applyFont="1" applyBorder="1" applyAlignment="1" applyProtection="1">
      <alignment vertical="center"/>
    </xf>
    <xf numFmtId="9" fontId="15" fillId="0" borderId="32" xfId="61" applyFont="1" applyBorder="1" applyAlignment="1" applyProtection="1">
      <alignment horizontal="center" vertical="center"/>
    </xf>
    <xf numFmtId="2" fontId="15" fillId="0" borderId="32" xfId="1" applyNumberFormat="1" applyFont="1" applyBorder="1" applyAlignment="1" applyProtection="1">
      <alignment vertical="center"/>
    </xf>
    <xf numFmtId="0" fontId="4" fillId="0" borderId="64" xfId="1" applyBorder="1" applyAlignment="1" applyProtection="1">
      <alignment vertical="center"/>
    </xf>
    <xf numFmtId="49" fontId="5" fillId="31" borderId="78" xfId="1" applyNumberFormat="1" applyFont="1" applyFill="1" applyBorder="1" applyAlignment="1" applyProtection="1">
      <alignment horizontal="left" vertical="center"/>
      <protection locked="0"/>
    </xf>
    <xf numFmtId="49" fontId="5" fillId="31" borderId="24" xfId="1" applyNumberFormat="1" applyFont="1" applyFill="1" applyBorder="1" applyAlignment="1" applyProtection="1">
      <alignment horizontal="left" vertical="center"/>
      <protection locked="0"/>
    </xf>
    <xf numFmtId="2" fontId="6" fillId="0" borderId="24" xfId="1" applyNumberFormat="1" applyFont="1" applyBorder="1" applyAlignment="1" applyProtection="1">
      <alignment vertical="center"/>
    </xf>
    <xf numFmtId="2" fontId="6" fillId="0" borderId="79" xfId="1" applyNumberFormat="1" applyFont="1" applyBorder="1" applyAlignment="1" applyProtection="1">
      <alignment vertical="center"/>
    </xf>
    <xf numFmtId="0" fontId="4" fillId="0" borderId="0" xfId="1" applyFill="1" applyProtection="1"/>
    <xf numFmtId="0" fontId="9" fillId="0" borderId="41" xfId="1" applyFont="1" applyFill="1" applyBorder="1" applyAlignment="1" applyProtection="1">
      <alignment vertical="center"/>
    </xf>
    <xf numFmtId="0" fontId="9" fillId="0" borderId="60" xfId="1" applyFont="1" applyFill="1" applyBorder="1" applyAlignment="1" applyProtection="1">
      <alignment vertical="center"/>
    </xf>
    <xf numFmtId="0" fontId="88" fillId="0" borderId="0" xfId="1" applyFont="1" applyAlignment="1" applyProtection="1">
      <alignment vertical="center"/>
    </xf>
    <xf numFmtId="0" fontId="9" fillId="0" borderId="32" xfId="1" applyFont="1" applyFill="1" applyBorder="1" applyAlignment="1" applyProtection="1">
      <alignment vertical="center"/>
    </xf>
    <xf numFmtId="0" fontId="4" fillId="0" borderId="41" xfId="1" applyFill="1" applyBorder="1" applyAlignment="1" applyProtection="1">
      <alignment vertical="center"/>
    </xf>
    <xf numFmtId="0" fontId="12" fillId="0" borderId="29" xfId="1" applyFont="1" applyFill="1" applyBorder="1" applyAlignment="1" applyProtection="1">
      <alignment vertical="center"/>
    </xf>
    <xf numFmtId="0" fontId="12" fillId="0" borderId="0" xfId="1" applyFont="1" applyFill="1" applyBorder="1" applyAlignment="1" applyProtection="1">
      <alignment vertical="center"/>
    </xf>
    <xf numFmtId="0" fontId="12" fillId="0" borderId="25" xfId="1" applyFont="1" applyFill="1" applyBorder="1" applyAlignment="1" applyProtection="1">
      <alignment vertical="center"/>
    </xf>
    <xf numFmtId="0" fontId="4" fillId="0" borderId="0" xfId="1" applyFill="1" applyBorder="1" applyProtection="1"/>
    <xf numFmtId="0" fontId="12" fillId="0" borderId="25" xfId="1" applyFont="1" applyFill="1" applyBorder="1" applyProtection="1"/>
    <xf numFmtId="0" fontId="4" fillId="0" borderId="32" xfId="1" applyFill="1" applyBorder="1" applyAlignment="1" applyProtection="1">
      <alignment vertical="center"/>
    </xf>
    <xf numFmtId="0" fontId="12" fillId="0" borderId="29" xfId="1" applyFont="1" applyFill="1" applyBorder="1" applyProtection="1"/>
    <xf numFmtId="0" fontId="12" fillId="0" borderId="0" xfId="1" applyFont="1" applyFill="1" applyBorder="1" applyProtection="1"/>
    <xf numFmtId="0" fontId="9" fillId="0" borderId="32" xfId="1" applyFont="1" applyFill="1" applyBorder="1" applyProtection="1"/>
    <xf numFmtId="0" fontId="9" fillId="0" borderId="0" xfId="1" applyFont="1" applyFill="1" applyBorder="1" applyProtection="1"/>
    <xf numFmtId="0" fontId="9" fillId="0" borderId="23" xfId="1" applyFont="1" applyFill="1" applyBorder="1" applyAlignment="1" applyProtection="1">
      <alignment horizontal="right" vertical="center"/>
    </xf>
    <xf numFmtId="0" fontId="9" fillId="0" borderId="23" xfId="1" applyFont="1" applyFill="1" applyBorder="1" applyAlignment="1" applyProtection="1">
      <alignment vertical="center"/>
    </xf>
    <xf numFmtId="0" fontId="9" fillId="0" borderId="158" xfId="1" applyFont="1" applyFill="1" applyBorder="1" applyAlignment="1" applyProtection="1">
      <alignment vertical="center"/>
    </xf>
    <xf numFmtId="0" fontId="12" fillId="0" borderId="0" xfId="1" applyNumberFormat="1" applyFont="1" applyFill="1" applyBorder="1" applyAlignment="1" applyProtection="1">
      <alignment horizontal="right"/>
    </xf>
    <xf numFmtId="177" fontId="9" fillId="0" borderId="0" xfId="1" applyNumberFormat="1" applyFont="1" applyFill="1" applyBorder="1" applyAlignment="1" applyProtection="1">
      <alignment horizontal="right"/>
    </xf>
    <xf numFmtId="0" fontId="9" fillId="0" borderId="29" xfId="1" applyFont="1" applyFill="1" applyBorder="1" applyProtection="1"/>
    <xf numFmtId="0" fontId="9" fillId="0" borderId="25" xfId="1" applyFont="1" applyFill="1" applyBorder="1" applyProtection="1"/>
    <xf numFmtId="49" fontId="9" fillId="0" borderId="64" xfId="1" applyNumberFormat="1" applyFont="1" applyFill="1" applyBorder="1" applyAlignment="1" applyProtection="1">
      <alignment vertical="center"/>
    </xf>
    <xf numFmtId="0" fontId="153" fillId="0" borderId="29" xfId="1" applyFont="1" applyFill="1" applyBorder="1" applyProtection="1"/>
    <xf numFmtId="0" fontId="153" fillId="0" borderId="0" xfId="1" applyFont="1" applyFill="1" applyBorder="1" applyProtection="1"/>
    <xf numFmtId="0" fontId="153" fillId="0" borderId="25" xfId="1" applyFont="1" applyFill="1" applyBorder="1" applyProtection="1"/>
    <xf numFmtId="0" fontId="153" fillId="0" borderId="29" xfId="1" applyFont="1" applyFill="1" applyBorder="1" applyAlignment="1" applyProtection="1">
      <alignment horizontal="right"/>
    </xf>
    <xf numFmtId="49" fontId="153" fillId="0" borderId="0" xfId="1" applyNumberFormat="1" applyFont="1" applyFill="1" applyBorder="1" applyAlignment="1" applyProtection="1">
      <alignment horizontal="right"/>
    </xf>
    <xf numFmtId="0" fontId="12" fillId="0" borderId="0" xfId="1" applyNumberFormat="1" applyFont="1" applyFill="1" applyBorder="1" applyProtection="1"/>
    <xf numFmtId="0" fontId="9" fillId="0" borderId="24" xfId="1" applyFont="1" applyFill="1" applyBorder="1" applyAlignment="1" applyProtection="1">
      <alignment horizontal="right" vertical="center"/>
    </xf>
    <xf numFmtId="0" fontId="9" fillId="0" borderId="79" xfId="1" applyFont="1" applyFill="1" applyBorder="1" applyProtection="1"/>
    <xf numFmtId="0" fontId="9" fillId="0" borderId="0" xfId="1" applyFont="1" applyAlignment="1" applyProtection="1">
      <alignment horizontal="left" vertical="center"/>
    </xf>
    <xf numFmtId="0" fontId="0" fillId="0" borderId="0" xfId="123" applyFont="1" applyProtection="1">
      <alignment vertical="center"/>
    </xf>
    <xf numFmtId="0" fontId="18" fillId="0" borderId="0" xfId="1" applyFont="1" applyAlignment="1" applyProtection="1">
      <alignment horizontal="left" vertical="center"/>
    </xf>
    <xf numFmtId="177" fontId="5" fillId="0" borderId="0" xfId="1" applyNumberFormat="1" applyFont="1" applyAlignment="1" applyProtection="1">
      <alignment vertical="center"/>
    </xf>
    <xf numFmtId="0" fontId="154" fillId="0" borderId="0" xfId="1" applyFont="1" applyAlignment="1" applyProtection="1">
      <alignment horizontal="left" vertical="center"/>
    </xf>
    <xf numFmtId="2" fontId="154" fillId="0" borderId="0" xfId="1" applyNumberFormat="1" applyFont="1" applyAlignment="1" applyProtection="1">
      <alignment horizontal="left" vertical="center"/>
    </xf>
    <xf numFmtId="177" fontId="155" fillId="0" borderId="0" xfId="1" applyNumberFormat="1" applyFont="1" applyAlignment="1" applyProtection="1">
      <alignment horizontal="left" vertical="center"/>
    </xf>
    <xf numFmtId="0" fontId="18" fillId="4" borderId="0" xfId="1" applyFont="1" applyFill="1" applyAlignment="1" applyProtection="1">
      <alignment horizontal="right" vertical="center"/>
    </xf>
    <xf numFmtId="3" fontId="120" fillId="4" borderId="0" xfId="1" applyNumberFormat="1" applyFont="1" applyFill="1" applyAlignment="1">
      <alignment horizontal="center" vertical="center"/>
    </xf>
    <xf numFmtId="0" fontId="31" fillId="0" borderId="0" xfId="1" applyFont="1" applyAlignment="1">
      <alignment vertical="center" wrapText="1" shrinkToFit="1"/>
    </xf>
    <xf numFmtId="3" fontId="120" fillId="4" borderId="0" xfId="1" applyNumberFormat="1" applyFont="1" applyFill="1" applyBorder="1" applyAlignment="1">
      <alignment horizontal="center" vertical="center"/>
    </xf>
    <xf numFmtId="0" fontId="9" fillId="0" borderId="0" xfId="1" applyFont="1" applyFill="1" applyBorder="1" applyAlignment="1">
      <alignment horizontal="right" vertical="center"/>
    </xf>
    <xf numFmtId="177" fontId="4" fillId="0" borderId="0" xfId="1" applyNumberFormat="1" applyBorder="1" applyAlignment="1" applyProtection="1">
      <alignment vertical="center"/>
    </xf>
    <xf numFmtId="0" fontId="9" fillId="0" borderId="43" xfId="1" applyFont="1" applyBorder="1" applyAlignment="1" applyProtection="1">
      <alignment horizontal="left" vertical="center"/>
    </xf>
    <xf numFmtId="0" fontId="9" fillId="0" borderId="40" xfId="1" applyFont="1" applyBorder="1" applyAlignment="1" applyProtection="1">
      <alignment horizontal="left" vertical="center"/>
    </xf>
    <xf numFmtId="0" fontId="9" fillId="0" borderId="39" xfId="1" applyFont="1" applyBorder="1" applyAlignment="1" applyProtection="1">
      <alignment horizontal="left" vertical="center"/>
    </xf>
    <xf numFmtId="189" fontId="14" fillId="0" borderId="170" xfId="61" applyNumberFormat="1" applyFont="1" applyBorder="1" applyAlignment="1" applyProtection="1">
      <alignment vertical="center"/>
    </xf>
    <xf numFmtId="0" fontId="6" fillId="0" borderId="200" xfId="1" applyFont="1" applyBorder="1" applyAlignment="1" applyProtection="1">
      <alignment vertical="center"/>
    </xf>
    <xf numFmtId="0" fontId="5" fillId="0" borderId="41" xfId="1" applyFont="1" applyBorder="1" applyAlignment="1" applyProtection="1">
      <alignment vertical="center"/>
    </xf>
    <xf numFmtId="0" fontId="4" fillId="0" borderId="200" xfId="1" applyBorder="1" applyAlignment="1" applyProtection="1">
      <alignment vertical="center"/>
    </xf>
    <xf numFmtId="0" fontId="5" fillId="0" borderId="179" xfId="1" applyFont="1" applyBorder="1" applyAlignment="1" applyProtection="1">
      <alignment vertical="center"/>
    </xf>
    <xf numFmtId="0" fontId="6" fillId="0" borderId="200" xfId="1" applyFont="1" applyBorder="1" applyAlignment="1" applyProtection="1">
      <alignment horizontal="left" vertical="center"/>
    </xf>
    <xf numFmtId="208" fontId="15" fillId="31" borderId="170" xfId="1" applyNumberFormat="1" applyFont="1" applyFill="1" applyBorder="1" applyAlignment="1" applyProtection="1">
      <alignment horizontal="center" vertical="center"/>
      <protection locked="0"/>
    </xf>
    <xf numFmtId="0" fontId="15" fillId="0" borderId="179" xfId="1" applyFont="1" applyBorder="1" applyAlignment="1" applyProtection="1">
      <alignment wrapText="1"/>
    </xf>
    <xf numFmtId="9" fontId="15" fillId="4" borderId="170" xfId="61" applyFont="1" applyFill="1" applyBorder="1" applyAlignment="1" applyProtection="1">
      <alignment horizontal="center" vertical="center"/>
    </xf>
    <xf numFmtId="0" fontId="15" fillId="0" borderId="199" xfId="1" applyFont="1" applyBorder="1" applyAlignment="1" applyProtection="1">
      <alignment vertical="center"/>
    </xf>
    <xf numFmtId="170" fontId="6" fillId="4" borderId="64" xfId="1" applyNumberFormat="1" applyFont="1" applyFill="1" applyBorder="1" applyAlignment="1" applyProtection="1">
      <alignment horizontal="right" vertical="center"/>
    </xf>
    <xf numFmtId="0" fontId="6" fillId="27" borderId="0" xfId="1" applyFont="1" applyFill="1" applyAlignment="1" applyProtection="1">
      <alignment vertical="center"/>
    </xf>
    <xf numFmtId="0" fontId="6" fillId="4" borderId="32" xfId="105" applyFont="1" applyFill="1" applyBorder="1" applyAlignment="1" applyProtection="1">
      <alignment vertical="center"/>
    </xf>
    <xf numFmtId="189" fontId="14" fillId="0" borderId="64" xfId="61" applyNumberFormat="1" applyFont="1" applyBorder="1" applyAlignment="1" applyProtection="1">
      <alignment vertical="center"/>
    </xf>
    <xf numFmtId="188" fontId="156" fillId="0" borderId="161" xfId="1" applyNumberFormat="1" applyFont="1" applyBorder="1" applyAlignment="1" applyProtection="1">
      <alignment horizontal="center" vertical="center"/>
    </xf>
    <xf numFmtId="188" fontId="156" fillId="0" borderId="92" xfId="1" applyNumberFormat="1" applyFont="1" applyBorder="1" applyAlignment="1" applyProtection="1">
      <alignment horizontal="center" vertical="center"/>
    </xf>
    <xf numFmtId="188" fontId="156" fillId="27" borderId="161" xfId="1" applyNumberFormat="1" applyFont="1" applyFill="1" applyBorder="1" applyAlignment="1" applyProtection="1">
      <alignment horizontal="center" vertical="center"/>
    </xf>
    <xf numFmtId="188" fontId="156" fillId="27" borderId="92" xfId="1" applyNumberFormat="1" applyFont="1" applyFill="1" applyBorder="1" applyAlignment="1" applyProtection="1">
      <alignment horizontal="center" vertical="center"/>
    </xf>
    <xf numFmtId="0" fontId="156" fillId="0" borderId="161" xfId="105" applyFont="1" applyBorder="1" applyAlignment="1" applyProtection="1">
      <alignment horizontal="center" vertical="center"/>
    </xf>
    <xf numFmtId="0" fontId="156" fillId="0" borderId="122" xfId="105" applyFont="1" applyBorder="1" applyAlignment="1" applyProtection="1">
      <alignment horizontal="center" vertical="center"/>
    </xf>
    <xf numFmtId="0" fontId="4" fillId="0" borderId="91" xfId="1" applyBorder="1" applyProtection="1"/>
    <xf numFmtId="0" fontId="6" fillId="0" borderId="183" xfId="105" applyFont="1" applyBorder="1" applyAlignment="1" applyProtection="1">
      <alignment vertical="center"/>
    </xf>
    <xf numFmtId="189" fontId="14" fillId="0" borderId="128" xfId="61" applyNumberFormat="1" applyFont="1" applyBorder="1" applyAlignment="1" applyProtection="1">
      <alignment vertical="center"/>
    </xf>
    <xf numFmtId="0" fontId="16" fillId="0" borderId="19" xfId="105" applyFont="1" applyBorder="1" applyAlignment="1" applyProtection="1">
      <alignment horizontal="right" vertical="center"/>
    </xf>
    <xf numFmtId="0" fontId="14" fillId="0" borderId="32" xfId="1" applyFont="1" applyBorder="1" applyAlignment="1" applyProtection="1">
      <alignment vertical="center"/>
    </xf>
    <xf numFmtId="189" fontId="14" fillId="0" borderId="129" xfId="61" applyNumberFormat="1" applyFont="1" applyBorder="1" applyAlignment="1" applyProtection="1">
      <alignment vertical="center"/>
    </xf>
    <xf numFmtId="0" fontId="6" fillId="0" borderId="159" xfId="105" applyFont="1" applyBorder="1" applyAlignment="1" applyProtection="1">
      <alignment vertical="center"/>
    </xf>
    <xf numFmtId="0" fontId="14" fillId="0" borderId="32" xfId="105" applyFont="1" applyBorder="1" applyAlignment="1" applyProtection="1">
      <alignment vertical="center"/>
    </xf>
    <xf numFmtId="188" fontId="14" fillId="0" borderId="129" xfId="1" applyNumberFormat="1" applyFont="1" applyBorder="1" applyAlignment="1" applyProtection="1">
      <alignment horizontal="right" vertical="center"/>
    </xf>
    <xf numFmtId="0" fontId="4" fillId="0" borderId="159" xfId="1" applyBorder="1" applyProtection="1"/>
    <xf numFmtId="0" fontId="48" fillId="0" borderId="161" xfId="105" applyFont="1" applyBorder="1" applyAlignment="1" applyProtection="1">
      <alignment horizontal="center" vertical="center" wrapText="1"/>
    </xf>
    <xf numFmtId="0" fontId="156" fillId="0" borderId="92" xfId="105" applyFont="1" applyBorder="1" applyAlignment="1" applyProtection="1">
      <alignment horizontal="center" vertical="center"/>
    </xf>
    <xf numFmtId="0" fontId="48" fillId="27" borderId="161" xfId="105" applyFont="1" applyFill="1" applyBorder="1" applyAlignment="1" applyProtection="1">
      <alignment horizontal="center" vertical="center" wrapText="1"/>
    </xf>
    <xf numFmtId="0" fontId="156" fillId="27" borderId="92" xfId="105" applyFont="1" applyFill="1" applyBorder="1" applyAlignment="1" applyProtection="1">
      <alignment horizontal="center" vertical="center"/>
    </xf>
    <xf numFmtId="170" fontId="6" fillId="4" borderId="129" xfId="1" applyNumberFormat="1" applyFont="1" applyFill="1" applyBorder="1" applyAlignment="1" applyProtection="1">
      <alignment horizontal="right" vertical="center"/>
    </xf>
    <xf numFmtId="188" fontId="6" fillId="4" borderId="39" xfId="1" applyNumberFormat="1" applyFont="1" applyFill="1" applyBorder="1" applyAlignment="1" applyProtection="1">
      <alignment horizontal="right" vertical="center"/>
    </xf>
    <xf numFmtId="0" fontId="6" fillId="4" borderId="159" xfId="1" applyFont="1" applyFill="1" applyBorder="1" applyAlignment="1" applyProtection="1">
      <alignment vertical="center"/>
    </xf>
    <xf numFmtId="188" fontId="6" fillId="4" borderId="40" xfId="1" applyNumberFormat="1" applyFont="1" applyFill="1" applyBorder="1" applyAlignment="1" applyProtection="1">
      <alignment horizontal="right" vertical="center"/>
    </xf>
    <xf numFmtId="188" fontId="6" fillId="4" borderId="66" xfId="1" applyNumberFormat="1" applyFont="1" applyFill="1" applyBorder="1" applyAlignment="1" applyProtection="1">
      <alignment horizontal="right" vertical="center"/>
    </xf>
    <xf numFmtId="188" fontId="13" fillId="0" borderId="0" xfId="1" applyNumberFormat="1" applyFont="1" applyBorder="1" applyAlignment="1" applyProtection="1">
      <alignment horizontal="right" vertical="center"/>
    </xf>
    <xf numFmtId="188" fontId="13" fillId="0" borderId="40" xfId="1" applyNumberFormat="1" applyFont="1" applyBorder="1" applyAlignment="1" applyProtection="1">
      <alignment horizontal="right" vertical="center"/>
    </xf>
    <xf numFmtId="0" fontId="156" fillId="0" borderId="164" xfId="105" applyFont="1" applyBorder="1" applyAlignment="1" applyProtection="1">
      <alignment horizontal="center" vertical="center"/>
    </xf>
    <xf numFmtId="0" fontId="16" fillId="0" borderId="83" xfId="105" applyFont="1" applyBorder="1" applyAlignment="1" applyProtection="1">
      <alignment horizontal="right" vertical="center"/>
    </xf>
    <xf numFmtId="170" fontId="13" fillId="0" borderId="129" xfId="1" applyNumberFormat="1" applyFont="1" applyBorder="1" applyAlignment="1" applyProtection="1">
      <alignment horizontal="right" vertical="center"/>
    </xf>
    <xf numFmtId="0" fontId="14" fillId="0" borderId="159" xfId="105" applyFont="1" applyBorder="1" applyAlignment="1" applyProtection="1">
      <alignment vertical="center"/>
    </xf>
    <xf numFmtId="170" fontId="16" fillId="0" borderId="64" xfId="61" applyNumberFormat="1" applyFont="1" applyBorder="1" applyAlignment="1" applyProtection="1">
      <alignment vertical="center"/>
    </xf>
    <xf numFmtId="0" fontId="16" fillId="0" borderId="44" xfId="105" applyFont="1" applyBorder="1" applyAlignment="1" applyProtection="1">
      <alignment horizontal="right" vertical="center"/>
    </xf>
    <xf numFmtId="0" fontId="16" fillId="0" borderId="159" xfId="105" applyFont="1" applyBorder="1" applyAlignment="1" applyProtection="1">
      <alignment vertical="center"/>
    </xf>
    <xf numFmtId="170" fontId="6" fillId="0" borderId="64" xfId="61" applyNumberFormat="1" applyFont="1" applyBorder="1" applyAlignment="1" applyProtection="1">
      <alignment vertical="center"/>
    </xf>
    <xf numFmtId="206" fontId="6" fillId="0" borderId="57" xfId="105" applyNumberFormat="1" applyFont="1" applyBorder="1" applyAlignment="1" applyProtection="1">
      <alignment vertical="center"/>
    </xf>
    <xf numFmtId="213" fontId="6" fillId="31" borderId="77" xfId="105" applyNumberFormat="1" applyFont="1" applyFill="1" applyBorder="1" applyAlignment="1" applyProtection="1">
      <alignment vertical="center"/>
      <protection locked="0"/>
    </xf>
    <xf numFmtId="170" fontId="6" fillId="27" borderId="19" xfId="61" applyNumberFormat="1" applyFont="1" applyFill="1" applyBorder="1" applyAlignment="1" applyProtection="1">
      <alignment vertical="center"/>
    </xf>
    <xf numFmtId="170" fontId="6" fillId="0" borderId="0" xfId="61" applyNumberFormat="1" applyFont="1" applyBorder="1" applyAlignment="1" applyProtection="1">
      <alignment vertical="center"/>
    </xf>
    <xf numFmtId="0" fontId="158" fillId="0" borderId="57" xfId="105" applyFont="1" applyFill="1" applyBorder="1" applyAlignment="1" applyProtection="1">
      <alignment horizontal="left" vertical="center" wrapText="1"/>
      <protection locked="0"/>
    </xf>
    <xf numFmtId="0" fontId="14" fillId="0" borderId="155" xfId="105" applyFont="1" applyBorder="1" applyAlignment="1" applyProtection="1">
      <alignment vertical="center"/>
    </xf>
    <xf numFmtId="170" fontId="6" fillId="0" borderId="129" xfId="61" applyNumberFormat="1" applyFont="1" applyBorder="1" applyAlignment="1" applyProtection="1">
      <alignment vertical="center"/>
    </xf>
    <xf numFmtId="170" fontId="6" fillId="0" borderId="64" xfId="1" applyNumberFormat="1" applyFont="1" applyBorder="1" applyAlignment="1" applyProtection="1">
      <alignment horizontal="right" vertical="center"/>
    </xf>
    <xf numFmtId="0" fontId="6" fillId="4" borderId="32" xfId="1" applyFont="1" applyFill="1" applyBorder="1" applyAlignment="1" applyProtection="1">
      <alignment vertical="center"/>
    </xf>
    <xf numFmtId="0" fontId="6" fillId="4" borderId="212" xfId="1" applyFont="1" applyFill="1" applyBorder="1" applyAlignment="1" applyProtection="1">
      <alignment vertical="center"/>
    </xf>
    <xf numFmtId="188" fontId="156" fillId="0" borderId="188" xfId="1" applyNumberFormat="1" applyFont="1" applyBorder="1" applyAlignment="1" applyProtection="1">
      <alignment horizontal="center" vertical="center"/>
    </xf>
    <xf numFmtId="188" fontId="156" fillId="27" borderId="90" xfId="1" applyNumberFormat="1" applyFont="1" applyFill="1" applyBorder="1" applyAlignment="1" applyProtection="1">
      <alignment horizontal="center" vertical="center"/>
    </xf>
    <xf numFmtId="0" fontId="156" fillId="27" borderId="161" xfId="105" applyFont="1" applyFill="1" applyBorder="1" applyAlignment="1" applyProtection="1">
      <alignment horizontal="center" vertical="center"/>
    </xf>
    <xf numFmtId="188" fontId="156" fillId="0" borderId="90" xfId="1" applyNumberFormat="1" applyFont="1" applyBorder="1" applyAlignment="1" applyProtection="1">
      <alignment horizontal="center" vertical="center"/>
    </xf>
    <xf numFmtId="0" fontId="4" fillId="0" borderId="91" xfId="1" applyBorder="1" applyAlignment="1" applyProtection="1">
      <alignment vertical="center"/>
    </xf>
    <xf numFmtId="0" fontId="4" fillId="0" borderId="183" xfId="1" applyBorder="1" applyAlignment="1" applyProtection="1">
      <alignment vertical="center"/>
    </xf>
    <xf numFmtId="170" fontId="13" fillId="0" borderId="64" xfId="61" applyNumberFormat="1" applyFont="1" applyBorder="1" applyAlignment="1" applyProtection="1">
      <alignment vertical="center"/>
    </xf>
    <xf numFmtId="0" fontId="6" fillId="0" borderId="32" xfId="105" applyFont="1" applyBorder="1" applyAlignment="1" applyProtection="1">
      <alignment vertical="center"/>
    </xf>
    <xf numFmtId="188" fontId="14" fillId="0" borderId="23" xfId="1" applyNumberFormat="1" applyFont="1" applyBorder="1" applyAlignment="1" applyProtection="1">
      <alignment horizontal="right" vertical="center"/>
    </xf>
    <xf numFmtId="188" fontId="14" fillId="0" borderId="43" xfId="1" applyNumberFormat="1" applyFont="1" applyBorder="1" applyAlignment="1" applyProtection="1">
      <alignment horizontal="right" vertical="center"/>
    </xf>
    <xf numFmtId="188" fontId="14" fillId="27" borderId="23" xfId="1" applyNumberFormat="1" applyFont="1" applyFill="1" applyBorder="1" applyAlignment="1" applyProtection="1">
      <alignment horizontal="right" vertical="center"/>
    </xf>
    <xf numFmtId="188" fontId="14" fillId="27" borderId="43" xfId="1" applyNumberFormat="1" applyFont="1" applyFill="1" applyBorder="1" applyAlignment="1" applyProtection="1">
      <alignment horizontal="right" vertical="center"/>
    </xf>
    <xf numFmtId="0" fontId="16" fillId="0" borderId="42" xfId="105" applyFont="1" applyBorder="1" applyAlignment="1" applyProtection="1">
      <alignment horizontal="right" vertical="center"/>
    </xf>
    <xf numFmtId="0" fontId="14" fillId="0" borderId="158" xfId="105" applyFont="1" applyBorder="1" applyAlignment="1" applyProtection="1">
      <alignment vertical="center"/>
    </xf>
    <xf numFmtId="170" fontId="6" fillId="0" borderId="129" xfId="1" applyNumberFormat="1" applyFont="1" applyBorder="1" applyAlignment="1" applyProtection="1">
      <alignment horizontal="right" vertical="center"/>
    </xf>
    <xf numFmtId="206" fontId="6" fillId="31" borderId="63" xfId="105" applyNumberFormat="1" applyFont="1" applyFill="1" applyBorder="1" applyAlignment="1" applyProtection="1">
      <alignment vertical="center"/>
      <protection locked="0"/>
    </xf>
    <xf numFmtId="0" fontId="6" fillId="4" borderId="159" xfId="105" applyFont="1" applyFill="1" applyBorder="1" applyAlignment="1" applyProtection="1">
      <alignment vertical="center"/>
    </xf>
    <xf numFmtId="206" fontId="6" fillId="31" borderId="67" xfId="105" applyNumberFormat="1" applyFont="1" applyFill="1" applyBorder="1" applyAlignment="1" applyProtection="1">
      <alignment vertical="center"/>
      <protection locked="0"/>
    </xf>
    <xf numFmtId="0" fontId="6" fillId="4" borderId="32" xfId="1" applyFont="1" applyFill="1" applyBorder="1" applyProtection="1"/>
    <xf numFmtId="188" fontId="6" fillId="0" borderId="64" xfId="1" applyNumberFormat="1" applyFont="1" applyBorder="1" applyAlignment="1" applyProtection="1">
      <alignment horizontal="center" vertical="center"/>
    </xf>
    <xf numFmtId="0" fontId="156" fillId="0" borderId="166" xfId="105" applyFont="1" applyBorder="1" applyAlignment="1" applyProtection="1">
      <alignment horizontal="center" vertical="center"/>
    </xf>
    <xf numFmtId="0" fontId="51" fillId="27" borderId="0" xfId="1" applyFont="1" applyFill="1" applyBorder="1" applyAlignment="1" applyProtection="1">
      <alignment horizontal="center" vertical="center"/>
    </xf>
    <xf numFmtId="0" fontId="156" fillId="27" borderId="166" xfId="105" applyFont="1" applyFill="1" applyBorder="1" applyAlignment="1" applyProtection="1">
      <alignment horizontal="center" vertical="center"/>
    </xf>
    <xf numFmtId="0" fontId="51" fillId="0" borderId="0" xfId="1" applyFont="1" applyBorder="1" applyAlignment="1" applyProtection="1">
      <alignment horizontal="center" vertical="center"/>
    </xf>
    <xf numFmtId="0" fontId="6" fillId="0" borderId="83" xfId="105" applyFont="1" applyFill="1" applyBorder="1" applyAlignment="1" applyProtection="1">
      <alignment horizontal="right" vertical="center"/>
    </xf>
    <xf numFmtId="176" fontId="6" fillId="31" borderId="61" xfId="105" applyNumberFormat="1" applyFont="1" applyFill="1" applyBorder="1" applyAlignment="1" applyProtection="1">
      <alignment vertical="center"/>
      <protection locked="0"/>
    </xf>
    <xf numFmtId="176" fontId="6" fillId="31" borderId="65" xfId="105" applyNumberFormat="1" applyFont="1" applyFill="1" applyBorder="1" applyAlignment="1" applyProtection="1">
      <alignment vertical="center"/>
      <protection locked="0"/>
    </xf>
    <xf numFmtId="0" fontId="6" fillId="0" borderId="212" xfId="1" applyFont="1" applyBorder="1" applyAlignment="1" applyProtection="1">
      <alignment vertical="center"/>
    </xf>
    <xf numFmtId="188" fontId="6" fillId="0" borderId="88" xfId="1" applyNumberFormat="1" applyFont="1" applyBorder="1" applyAlignment="1" applyProtection="1">
      <alignment horizontal="center" vertical="center"/>
    </xf>
    <xf numFmtId="188" fontId="156" fillId="0" borderId="166" xfId="1" applyNumberFormat="1" applyFont="1" applyBorder="1" applyAlignment="1" applyProtection="1">
      <alignment horizontal="center" vertical="center"/>
    </xf>
    <xf numFmtId="0" fontId="51" fillId="27" borderId="0" xfId="1" applyFont="1" applyFill="1" applyAlignment="1" applyProtection="1">
      <alignment vertical="center"/>
    </xf>
    <xf numFmtId="188" fontId="156" fillId="27" borderId="166" xfId="1" applyNumberFormat="1" applyFont="1" applyFill="1" applyBorder="1" applyAlignment="1" applyProtection="1">
      <alignment horizontal="center" vertical="center"/>
    </xf>
    <xf numFmtId="0" fontId="51" fillId="0" borderId="0" xfId="1" applyFont="1" applyAlignment="1" applyProtection="1">
      <alignment vertical="center"/>
    </xf>
    <xf numFmtId="0" fontId="14" fillId="0" borderId="183" xfId="105" applyFont="1" applyBorder="1" applyAlignment="1" applyProtection="1">
      <alignment vertical="center"/>
    </xf>
    <xf numFmtId="0" fontId="11" fillId="0" borderId="0" xfId="1" applyFont="1" applyBorder="1" applyAlignment="1" applyProtection="1">
      <alignment horizontal="left" vertical="center"/>
    </xf>
    <xf numFmtId="0" fontId="6" fillId="0" borderId="212" xfId="105" applyFont="1" applyBorder="1" applyAlignment="1" applyProtection="1">
      <alignment vertical="center"/>
    </xf>
    <xf numFmtId="0" fontId="156" fillId="27" borderId="0" xfId="1" applyFont="1" applyFill="1" applyAlignment="1" applyProtection="1">
      <alignment vertical="center"/>
    </xf>
    <xf numFmtId="0" fontId="156" fillId="0" borderId="0" xfId="1" applyFont="1" applyAlignment="1" applyProtection="1">
      <alignment vertical="center"/>
    </xf>
    <xf numFmtId="0" fontId="118" fillId="0" borderId="123" xfId="1" applyFont="1" applyBorder="1" applyAlignment="1" applyProtection="1">
      <alignment horizontal="center" vertical="center"/>
    </xf>
    <xf numFmtId="0" fontId="14" fillId="0" borderId="183" xfId="1" applyFont="1" applyBorder="1" applyAlignment="1" applyProtection="1">
      <alignment vertical="center"/>
    </xf>
    <xf numFmtId="0" fontId="14" fillId="0" borderId="158" xfId="1" applyFont="1" applyBorder="1" applyAlignment="1" applyProtection="1">
      <alignment vertical="center"/>
    </xf>
    <xf numFmtId="189" fontId="14" fillId="31" borderId="209" xfId="61" applyNumberFormat="1" applyFont="1" applyFill="1" applyBorder="1" applyAlignment="1" applyProtection="1">
      <alignment vertical="center"/>
      <protection locked="0"/>
    </xf>
    <xf numFmtId="0" fontId="6" fillId="4" borderId="159" xfId="1" applyFont="1" applyFill="1" applyBorder="1" applyAlignment="1" applyProtection="1">
      <alignment horizontal="center" vertical="center"/>
    </xf>
    <xf numFmtId="0" fontId="6" fillId="4" borderId="32" xfId="1" applyFont="1" applyFill="1" applyBorder="1" applyAlignment="1" applyProtection="1">
      <alignment horizontal="center" vertical="center"/>
    </xf>
    <xf numFmtId="0" fontId="16" fillId="0" borderId="2" xfId="1" applyFont="1" applyBorder="1" applyProtection="1"/>
    <xf numFmtId="0" fontId="6" fillId="0" borderId="23" xfId="1" applyFont="1" applyFill="1" applyBorder="1" applyAlignment="1" applyProtection="1">
      <alignment horizontal="right" vertical="center"/>
    </xf>
    <xf numFmtId="0" fontId="14" fillId="0" borderId="23" xfId="1" applyFont="1" applyBorder="1" applyAlignment="1" applyProtection="1">
      <alignment vertical="center"/>
    </xf>
    <xf numFmtId="9" fontId="118" fillId="31" borderId="0" xfId="1" applyNumberFormat="1" applyFont="1" applyFill="1" applyBorder="1" applyAlignment="1" applyProtection="1">
      <alignment horizontal="center" vertical="center"/>
      <protection locked="0"/>
    </xf>
    <xf numFmtId="0" fontId="6" fillId="0" borderId="129" xfId="1" applyFont="1" applyBorder="1" applyAlignment="1" applyProtection="1">
      <alignment vertical="center"/>
    </xf>
    <xf numFmtId="0" fontId="6" fillId="0" borderId="19" xfId="1" applyFont="1" applyFill="1" applyBorder="1" applyAlignment="1" applyProtection="1">
      <alignment horizontal="right" vertical="center"/>
    </xf>
    <xf numFmtId="0" fontId="14" fillId="0" borderId="32" xfId="1" applyFont="1" applyBorder="1" applyAlignment="1" applyProtection="1">
      <alignment horizontal="left" vertical="center"/>
    </xf>
    <xf numFmtId="1" fontId="43" fillId="31" borderId="78" xfId="61" applyNumberFormat="1" applyFont="1" applyFill="1" applyBorder="1" applyAlignment="1" applyProtection="1">
      <alignment horizontal="center" vertical="center"/>
      <protection locked="0"/>
    </xf>
    <xf numFmtId="1" fontId="43" fillId="31" borderId="24" xfId="61" applyNumberFormat="1" applyFont="1" applyFill="1" applyBorder="1" applyAlignment="1" applyProtection="1">
      <alignment horizontal="center" vertical="center"/>
      <protection locked="0"/>
    </xf>
    <xf numFmtId="0" fontId="43" fillId="0" borderId="75" xfId="1" applyFont="1" applyBorder="1" applyAlignment="1" applyProtection="1">
      <alignment vertical="center"/>
    </xf>
    <xf numFmtId="0" fontId="43" fillId="0" borderId="76" xfId="1" applyFont="1" applyBorder="1" applyAlignment="1" applyProtection="1">
      <alignment vertical="center"/>
    </xf>
    <xf numFmtId="0" fontId="4" fillId="0" borderId="0" xfId="1" applyBorder="1" applyAlignment="1" applyProtection="1">
      <alignment vertical="top"/>
    </xf>
    <xf numFmtId="0" fontId="6" fillId="0" borderId="2" xfId="105" applyFont="1" applyFill="1" applyBorder="1" applyAlignment="1" applyProtection="1">
      <alignment vertical="center"/>
      <protection locked="0"/>
    </xf>
    <xf numFmtId="0" fontId="14" fillId="0" borderId="155" xfId="1" applyFont="1" applyBorder="1" applyAlignment="1" applyProtection="1">
      <alignment vertical="center"/>
    </xf>
    <xf numFmtId="3" fontId="16" fillId="0" borderId="44" xfId="1" applyNumberFormat="1" applyFont="1" applyBorder="1" applyAlignment="1" applyProtection="1">
      <alignment vertical="center"/>
    </xf>
    <xf numFmtId="3" fontId="16" fillId="0" borderId="2" xfId="1" applyNumberFormat="1" applyFont="1" applyBorder="1" applyAlignment="1" applyProtection="1">
      <alignment vertical="center"/>
    </xf>
    <xf numFmtId="3" fontId="16" fillId="0" borderId="39" xfId="1" applyNumberFormat="1" applyFont="1" applyBorder="1" applyAlignment="1" applyProtection="1">
      <alignment vertical="center"/>
    </xf>
    <xf numFmtId="0" fontId="44" fillId="0" borderId="172" xfId="1" applyFont="1" applyBorder="1" applyAlignment="1" applyProtection="1">
      <alignment horizontal="left" vertical="center"/>
    </xf>
    <xf numFmtId="0" fontId="13" fillId="31" borderId="0" xfId="1" applyFont="1" applyFill="1" applyBorder="1" applyAlignment="1" applyProtection="1">
      <alignment horizontal="center" vertical="center"/>
      <protection locked="0"/>
    </xf>
    <xf numFmtId="0" fontId="18" fillId="31" borderId="0" xfId="1" applyFont="1" applyFill="1" applyBorder="1" applyAlignment="1" applyProtection="1">
      <alignment horizontal="right" vertical="top"/>
      <protection locked="0"/>
    </xf>
    <xf numFmtId="0" fontId="4" fillId="0" borderId="0" xfId="1" applyAlignment="1" applyProtection="1">
      <alignment vertical="top"/>
      <protection locked="0"/>
    </xf>
    <xf numFmtId="176" fontId="6" fillId="30" borderId="61" xfId="105" applyNumberFormat="1" applyFont="1" applyFill="1" applyBorder="1" applyAlignment="1" applyProtection="1">
      <alignment vertical="center"/>
      <protection locked="0"/>
    </xf>
    <xf numFmtId="176" fontId="6" fillId="30" borderId="65" xfId="105" applyNumberFormat="1" applyFont="1" applyFill="1" applyBorder="1" applyAlignment="1" applyProtection="1">
      <alignment vertical="center"/>
      <protection locked="0"/>
    </xf>
    <xf numFmtId="0" fontId="156" fillId="30" borderId="122" xfId="105" applyFont="1" applyFill="1" applyBorder="1" applyAlignment="1" applyProtection="1">
      <alignment horizontal="center" vertical="center"/>
    </xf>
    <xf numFmtId="0" fontId="9" fillId="30" borderId="65" xfId="1" applyFont="1" applyFill="1" applyBorder="1" applyAlignment="1" applyProtection="1">
      <alignment horizontal="center" vertical="center"/>
    </xf>
    <xf numFmtId="0" fontId="35" fillId="0" borderId="0" xfId="105"/>
    <xf numFmtId="0" fontId="4" fillId="31" borderId="0" xfId="1" applyFill="1"/>
    <xf numFmtId="0" fontId="13" fillId="31" borderId="0" xfId="1" applyFont="1" applyFill="1" applyAlignment="1" applyProtection="1">
      <alignment vertical="center"/>
      <protection locked="0"/>
    </xf>
    <xf numFmtId="0" fontId="6" fillId="4" borderId="9" xfId="61" applyNumberFormat="1" applyFont="1" applyFill="1" applyBorder="1" applyAlignment="1" applyProtection="1">
      <alignment horizontal="center" vertical="center"/>
    </xf>
    <xf numFmtId="0" fontId="6" fillId="0" borderId="23" xfId="105" applyFont="1" applyFill="1" applyBorder="1" applyAlignment="1" applyProtection="1">
      <alignment horizontal="right" vertical="center"/>
    </xf>
    <xf numFmtId="0" fontId="4" fillId="0" borderId="34" xfId="1" applyBorder="1" applyAlignment="1" applyProtection="1">
      <alignment vertical="center"/>
    </xf>
    <xf numFmtId="0" fontId="4" fillId="0" borderId="25" xfId="1" applyBorder="1" applyAlignment="1" applyProtection="1">
      <alignment vertical="center"/>
    </xf>
    <xf numFmtId="0" fontId="4" fillId="0" borderId="36" xfId="1" applyBorder="1" applyAlignment="1" applyProtection="1">
      <alignment vertical="center"/>
    </xf>
    <xf numFmtId="0" fontId="97" fillId="0" borderId="0" xfId="1" applyFont="1" applyAlignment="1" applyProtection="1">
      <alignment vertical="center"/>
    </xf>
    <xf numFmtId="0" fontId="97" fillId="0" borderId="0" xfId="1" applyFont="1" applyBorder="1" applyAlignment="1" applyProtection="1">
      <alignment vertical="center"/>
    </xf>
    <xf numFmtId="188" fontId="6" fillId="31" borderId="40" xfId="61" applyNumberFormat="1" applyFont="1" applyFill="1" applyBorder="1" applyAlignment="1" applyProtection="1">
      <alignment vertical="center"/>
    </xf>
    <xf numFmtId="0" fontId="5" fillId="0" borderId="0" xfId="1" applyFont="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0" borderId="0" xfId="1" applyAlignment="1" applyProtection="1">
      <alignment vertical="center"/>
    </xf>
    <xf numFmtId="0" fontId="4" fillId="0" borderId="0" xfId="1" applyBorder="1" applyAlignment="1" applyProtection="1">
      <alignment vertical="center"/>
    </xf>
    <xf numFmtId="0" fontId="15" fillId="0" borderId="0" xfId="1" applyFont="1"/>
    <xf numFmtId="0" fontId="164" fillId="0" borderId="0" xfId="1" applyFont="1" applyAlignment="1">
      <alignment horizontal="left" vertical="center"/>
    </xf>
    <xf numFmtId="0" fontId="9" fillId="0" borderId="0" xfId="1" applyFont="1" applyAlignment="1">
      <alignment vertical="top" wrapText="1"/>
    </xf>
    <xf numFmtId="2" fontId="9" fillId="0" borderId="0" xfId="1" applyNumberFormat="1" applyFont="1" applyAlignment="1">
      <alignment vertical="top" wrapText="1"/>
    </xf>
    <xf numFmtId="0" fontId="9" fillId="0" borderId="0" xfId="1" applyFont="1" applyAlignment="1">
      <alignment horizontal="center" vertical="top" wrapText="1"/>
    </xf>
    <xf numFmtId="0" fontId="5" fillId="0" borderId="0" xfId="1" applyFont="1" applyAlignment="1">
      <alignment horizontal="left" vertical="top" wrapText="1"/>
    </xf>
    <xf numFmtId="0" fontId="5" fillId="0" borderId="0" xfId="1" applyFont="1" applyAlignment="1">
      <alignment horizontal="center" vertical="top" wrapText="1"/>
    </xf>
    <xf numFmtId="4" fontId="9" fillId="0" borderId="3" xfId="53" applyAlignment="1">
      <alignment horizontal="center" vertical="center" shrinkToFit="1"/>
    </xf>
    <xf numFmtId="4" fontId="9" fillId="0" borderId="3" xfId="53">
      <alignment vertical="center" shrinkToFit="1"/>
    </xf>
    <xf numFmtId="4" fontId="9" fillId="0" borderId="3" xfId="53" applyFont="1">
      <alignment vertical="center" shrinkToFit="1"/>
    </xf>
    <xf numFmtId="4" fontId="165" fillId="0" borderId="3" xfId="53" applyFont="1">
      <alignment vertical="center" shrinkToFit="1"/>
    </xf>
    <xf numFmtId="4" fontId="5" fillId="0" borderId="3" xfId="53" applyFont="1" applyAlignment="1">
      <alignment horizontal="center" vertical="center" shrinkToFit="1"/>
    </xf>
    <xf numFmtId="3" fontId="5" fillId="0" borderId="3" xfId="53" applyNumberFormat="1" applyFont="1" applyAlignment="1">
      <alignment horizontal="center" vertical="center" shrinkToFit="1"/>
    </xf>
    <xf numFmtId="3" fontId="5" fillId="0" borderId="3" xfId="53" applyNumberFormat="1" applyFont="1">
      <alignment vertical="center" shrinkToFit="1"/>
    </xf>
    <xf numFmtId="4" fontId="165" fillId="0" borderId="3" xfId="53" applyFont="1" applyAlignment="1">
      <alignment horizontal="center" vertical="center" shrinkToFit="1"/>
    </xf>
    <xf numFmtId="3" fontId="165" fillId="0" borderId="3" xfId="53" applyNumberFormat="1" applyFont="1" applyAlignment="1">
      <alignment horizontal="center" vertical="center" shrinkToFit="1"/>
    </xf>
    <xf numFmtId="3" fontId="165" fillId="0" borderId="3" xfId="53" applyNumberFormat="1" applyFont="1">
      <alignment vertical="center" shrinkToFit="1"/>
    </xf>
    <xf numFmtId="4" fontId="12" fillId="0" borderId="3" xfId="53" applyFont="1" applyAlignment="1">
      <alignment vertical="center"/>
    </xf>
    <xf numFmtId="0" fontId="14" fillId="0" borderId="0" xfId="1" applyFont="1"/>
    <xf numFmtId="0" fontId="15" fillId="0" borderId="214" xfId="1" applyFont="1" applyBorder="1"/>
    <xf numFmtId="0" fontId="15" fillId="0" borderId="215" xfId="1" applyFont="1" applyBorder="1"/>
    <xf numFmtId="2" fontId="52" fillId="36" borderId="1" xfId="122" applyNumberFormat="1" applyFont="1"/>
    <xf numFmtId="2" fontId="80" fillId="36" borderId="1" xfId="122" applyNumberFormat="1" applyFont="1"/>
    <xf numFmtId="2" fontId="80" fillId="36" borderId="1" xfId="122" applyNumberFormat="1" applyFont="1" applyAlignment="1">
      <alignment horizontal="left"/>
    </xf>
    <xf numFmtId="0" fontId="80" fillId="36" borderId="1" xfId="122" applyFont="1" applyAlignment="1">
      <alignment horizontal="right" vertical="center"/>
    </xf>
    <xf numFmtId="2" fontId="80" fillId="36" borderId="1" xfId="122" applyNumberFormat="1" applyFont="1" applyAlignment="1">
      <alignment vertical="center"/>
    </xf>
    <xf numFmtId="0" fontId="9" fillId="0" borderId="19" xfId="1" applyFont="1" applyFill="1" applyBorder="1" applyAlignment="1">
      <alignment horizontal="right" vertical="center"/>
    </xf>
    <xf numFmtId="0" fontId="9" fillId="0" borderId="216" xfId="1" applyFont="1" applyFill="1" applyBorder="1" applyAlignment="1">
      <alignment wrapText="1"/>
    </xf>
    <xf numFmtId="2" fontId="52" fillId="36" borderId="217" xfId="122" applyNumberFormat="1" applyFont="1" applyBorder="1"/>
    <xf numFmtId="0" fontId="9" fillId="0" borderId="218" xfId="1" applyFont="1" applyFill="1" applyBorder="1" applyAlignment="1">
      <alignment wrapText="1"/>
    </xf>
    <xf numFmtId="2" fontId="52" fillId="36" borderId="219" xfId="122" applyNumberFormat="1" applyFont="1" applyBorder="1"/>
    <xf numFmtId="2" fontId="80" fillId="36" borderId="219" xfId="122" applyNumberFormat="1" applyFont="1" applyBorder="1"/>
    <xf numFmtId="2" fontId="80" fillId="36" borderId="219" xfId="122" applyNumberFormat="1" applyFont="1" applyBorder="1" applyAlignment="1">
      <alignment horizontal="left"/>
    </xf>
    <xf numFmtId="2" fontId="80" fillId="36" borderId="220" xfId="122" applyNumberFormat="1" applyFont="1" applyBorder="1" applyAlignment="1">
      <alignment horizontal="right"/>
    </xf>
    <xf numFmtId="2" fontId="166" fillId="36" borderId="220" xfId="122" applyNumberFormat="1" applyFont="1" applyBorder="1" applyAlignment="1">
      <alignment horizontal="right"/>
    </xf>
    <xf numFmtId="0" fontId="80" fillId="36" borderId="221" xfId="122" applyFont="1" applyBorder="1" applyAlignment="1">
      <alignment horizontal="right" vertical="center"/>
    </xf>
    <xf numFmtId="2" fontId="52" fillId="36" borderId="222" xfId="122" applyNumberFormat="1" applyFont="1" applyBorder="1"/>
    <xf numFmtId="0" fontId="9" fillId="0" borderId="223" xfId="1" applyFont="1" applyFill="1" applyBorder="1" applyAlignment="1">
      <alignment horizontal="right" vertical="center"/>
    </xf>
    <xf numFmtId="0" fontId="9" fillId="0" borderId="224" xfId="1" applyFont="1" applyFill="1" applyBorder="1" applyAlignment="1">
      <alignment wrapText="1"/>
    </xf>
    <xf numFmtId="0" fontId="15" fillId="0" borderId="19" xfId="1" applyFont="1" applyBorder="1"/>
    <xf numFmtId="2" fontId="80" fillId="36" borderId="3" xfId="122" applyNumberFormat="1" applyFont="1" applyBorder="1"/>
    <xf numFmtId="0" fontId="80" fillId="36" borderId="58" xfId="122" applyFont="1" applyBorder="1" applyAlignment="1">
      <alignment horizontal="right" vertical="center"/>
    </xf>
    <xf numFmtId="2" fontId="80" fillId="36" borderId="225" xfId="122" applyNumberFormat="1" applyFont="1" applyBorder="1"/>
    <xf numFmtId="2" fontId="166" fillId="36" borderId="225" xfId="122" applyNumberFormat="1" applyFont="1" applyBorder="1"/>
    <xf numFmtId="0" fontId="80" fillId="36" borderId="226" xfId="122" applyFont="1" applyBorder="1" applyAlignment="1">
      <alignment horizontal="right" vertical="center"/>
    </xf>
    <xf numFmtId="0" fontId="80" fillId="36" borderId="227" xfId="122" applyFont="1" applyBorder="1" applyAlignment="1">
      <alignment horizontal="right" vertical="center"/>
    </xf>
    <xf numFmtId="4" fontId="80" fillId="36" borderId="1" xfId="122" applyNumberFormat="1" applyFont="1"/>
    <xf numFmtId="3" fontId="80" fillId="36" borderId="1" xfId="122" applyNumberFormat="1" applyFont="1"/>
    <xf numFmtId="2" fontId="166" fillId="33" borderId="1" xfId="122" applyNumberFormat="1" applyFont="1" applyFill="1"/>
    <xf numFmtId="0" fontId="80" fillId="33" borderId="227" xfId="122" applyFont="1" applyFill="1" applyBorder="1" applyAlignment="1">
      <alignment horizontal="right" vertical="center"/>
    </xf>
    <xf numFmtId="2" fontId="80" fillId="33" borderId="1" xfId="122" applyNumberFormat="1" applyFont="1" applyFill="1"/>
    <xf numFmtId="0" fontId="9" fillId="33" borderId="19" xfId="1" applyFont="1" applyFill="1" applyBorder="1" applyAlignment="1">
      <alignment horizontal="right" vertical="center"/>
    </xf>
    <xf numFmtId="0" fontId="9" fillId="43" borderId="218" xfId="1" applyFont="1" applyFill="1" applyBorder="1" applyAlignment="1">
      <alignment wrapText="1"/>
    </xf>
    <xf numFmtId="220" fontId="80" fillId="36" borderId="1" xfId="122" applyNumberFormat="1" applyFont="1"/>
    <xf numFmtId="2" fontId="55" fillId="33" borderId="1" xfId="122" applyNumberFormat="1" applyFont="1" applyFill="1"/>
    <xf numFmtId="2" fontId="166" fillId="36" borderId="1" xfId="122" applyNumberFormat="1" applyFont="1"/>
    <xf numFmtId="2" fontId="166" fillId="33" borderId="227" xfId="122" applyNumberFormat="1" applyFont="1" applyFill="1" applyBorder="1"/>
    <xf numFmtId="2" fontId="166" fillId="33" borderId="3" xfId="1" applyNumberFormat="1" applyFont="1" applyFill="1" applyBorder="1" applyAlignment="1">
      <alignment vertical="top" wrapText="1"/>
    </xf>
    <xf numFmtId="0" fontId="80" fillId="33" borderId="228" xfId="122" applyFont="1" applyFill="1" applyBorder="1" applyAlignment="1">
      <alignment horizontal="right" vertical="center"/>
    </xf>
    <xf numFmtId="2" fontId="80" fillId="36" borderId="229" xfId="122" applyNumberFormat="1" applyFont="1" applyBorder="1"/>
    <xf numFmtId="0" fontId="80" fillId="36" borderId="217" xfId="122" applyFont="1" applyBorder="1" applyAlignment="1">
      <alignment horizontal="right" vertical="center"/>
    </xf>
    <xf numFmtId="0" fontId="15" fillId="0" borderId="0" xfId="1" applyFont="1" applyBorder="1"/>
    <xf numFmtId="0" fontId="55" fillId="36" borderId="224" xfId="129" applyFont="1" applyFill="1" applyBorder="1" applyAlignment="1">
      <alignment horizontal="right"/>
    </xf>
    <xf numFmtId="0" fontId="15" fillId="36" borderId="223" xfId="129" applyFont="1" applyFill="1" applyBorder="1"/>
    <xf numFmtId="0" fontId="15" fillId="36" borderId="231" xfId="129" applyFont="1" applyFill="1" applyBorder="1"/>
    <xf numFmtId="0" fontId="55" fillId="36" borderId="231" xfId="129" applyFont="1" applyFill="1" applyBorder="1" applyAlignment="1">
      <alignment horizontal="center" vertical="center"/>
    </xf>
    <xf numFmtId="0" fontId="63" fillId="36" borderId="232" xfId="130" applyFont="1" applyBorder="1" applyAlignment="1">
      <alignment horizontal="right" vertical="center"/>
    </xf>
    <xf numFmtId="0" fontId="63" fillId="32" borderId="233" xfId="130" applyFont="1" applyFill="1" applyBorder="1" applyAlignment="1">
      <alignment horizontal="center" vertical="center"/>
    </xf>
    <xf numFmtId="0" fontId="63" fillId="32" borderId="234" xfId="130" applyFont="1" applyFill="1" applyBorder="1" applyAlignment="1">
      <alignment horizontal="center" vertical="center"/>
    </xf>
    <xf numFmtId="0" fontId="55" fillId="36" borderId="235" xfId="129" applyFont="1" applyFill="1" applyBorder="1" applyAlignment="1">
      <alignment horizontal="center" vertical="center"/>
    </xf>
    <xf numFmtId="0" fontId="15" fillId="0" borderId="236" xfId="1" applyFont="1" applyBorder="1"/>
    <xf numFmtId="0" fontId="15" fillId="36" borderId="237" xfId="129" applyFont="1" applyFill="1" applyBorder="1" applyAlignment="1">
      <alignment horizontal="center"/>
    </xf>
    <xf numFmtId="0" fontId="15" fillId="36" borderId="238" xfId="129" applyFont="1" applyFill="1" applyBorder="1" applyAlignment="1">
      <alignment horizontal="center" vertical="center"/>
    </xf>
    <xf numFmtId="0" fontId="15" fillId="36" borderId="230" xfId="129" applyFont="1" applyFill="1" applyBorder="1" applyAlignment="1">
      <alignment horizontal="center" vertical="center"/>
    </xf>
    <xf numFmtId="0" fontId="15" fillId="36" borderId="238" xfId="129" applyFont="1" applyFill="1" applyBorder="1" applyAlignment="1">
      <alignment vertical="center"/>
    </xf>
    <xf numFmtId="0" fontId="15" fillId="36" borderId="239" xfId="129" applyFont="1" applyFill="1" applyBorder="1" applyAlignment="1">
      <alignment horizontal="center" vertical="center"/>
    </xf>
    <xf numFmtId="0" fontId="15" fillId="36" borderId="240" xfId="129" applyFont="1" applyFill="1" applyBorder="1" applyAlignment="1">
      <alignment horizontal="center" vertical="center"/>
    </xf>
    <xf numFmtId="0" fontId="15" fillId="36" borderId="240" xfId="129" applyFont="1" applyFill="1" applyBorder="1" applyAlignment="1">
      <alignment vertical="center"/>
    </xf>
    <xf numFmtId="0" fontId="167" fillId="42" borderId="230" xfId="129" applyFont="1" applyFill="1" applyAlignment="1">
      <alignment vertical="center"/>
    </xf>
    <xf numFmtId="0" fontId="15" fillId="0" borderId="241" xfId="1" applyFont="1" applyBorder="1"/>
    <xf numFmtId="0" fontId="15" fillId="36" borderId="242" xfId="129" applyFont="1" applyFill="1" applyBorder="1"/>
    <xf numFmtId="0" fontId="15" fillId="36" borderId="243" xfId="129" applyFont="1" applyFill="1" applyBorder="1"/>
    <xf numFmtId="0" fontId="55" fillId="36" borderId="243" xfId="129" applyFont="1" applyFill="1" applyBorder="1"/>
    <xf numFmtId="0" fontId="15" fillId="36" borderId="244" xfId="129" applyFont="1" applyFill="1" applyBorder="1" applyAlignment="1">
      <alignment horizontal="left"/>
    </xf>
    <xf numFmtId="0" fontId="15" fillId="36" borderId="243" xfId="129" applyFont="1" applyFill="1" applyBorder="1" applyAlignment="1">
      <alignment vertical="center"/>
    </xf>
    <xf numFmtId="0" fontId="55" fillId="36" borderId="245" xfId="129" applyFont="1" applyFill="1" applyBorder="1" applyAlignment="1">
      <alignment vertical="center"/>
    </xf>
    <xf numFmtId="0" fontId="15" fillId="0" borderId="246" xfId="1" applyFont="1" applyBorder="1"/>
    <xf numFmtId="0" fontId="149" fillId="36" borderId="0" xfId="129" applyFont="1" applyFill="1" applyBorder="1"/>
    <xf numFmtId="0" fontId="149" fillId="36" borderId="231" xfId="129" applyFont="1" applyFill="1" applyBorder="1"/>
    <xf numFmtId="0" fontId="52" fillId="36" borderId="231" xfId="129" applyFont="1" applyFill="1" applyBorder="1"/>
    <xf numFmtId="0" fontId="149" fillId="36" borderId="231" xfId="129" applyFont="1" applyFill="1" applyBorder="1" applyAlignment="1">
      <alignment vertical="center"/>
    </xf>
    <xf numFmtId="0" fontId="149" fillId="36" borderId="231" xfId="129" applyFont="1" applyFill="1" applyBorder="1" applyAlignment="1">
      <alignment horizontal="right" vertical="center"/>
    </xf>
    <xf numFmtId="0" fontId="55" fillId="36" borderId="231" xfId="129" applyFont="1" applyFill="1" applyBorder="1" applyAlignment="1">
      <alignment vertical="center"/>
    </xf>
    <xf numFmtId="0" fontId="15" fillId="0" borderId="231" xfId="1" applyFont="1" applyBorder="1"/>
    <xf numFmtId="0" fontId="80" fillId="36" borderId="219" xfId="122" applyFont="1" applyBorder="1" applyAlignment="1">
      <alignment horizontal="right" vertical="center"/>
    </xf>
    <xf numFmtId="0" fontId="15" fillId="36" borderId="247" xfId="129" applyFont="1" applyFill="1" applyBorder="1"/>
    <xf numFmtId="2" fontId="15" fillId="0" borderId="0" xfId="1" applyNumberFormat="1" applyFont="1"/>
    <xf numFmtId="2" fontId="52" fillId="36" borderId="220" xfId="122" applyNumberFormat="1" applyFont="1" applyBorder="1" applyAlignment="1">
      <alignment horizontal="right"/>
    </xf>
    <xf numFmtId="2" fontId="52" fillId="36" borderId="248" xfId="122" applyNumberFormat="1" applyFont="1" applyBorder="1" applyAlignment="1">
      <alignment horizontal="right"/>
    </xf>
    <xf numFmtId="2" fontId="52" fillId="36" borderId="3" xfId="122" applyNumberFormat="1" applyFont="1" applyBorder="1"/>
    <xf numFmtId="2" fontId="52" fillId="36" borderId="249" xfId="122" applyNumberFormat="1" applyFont="1" applyBorder="1"/>
    <xf numFmtId="2" fontId="52" fillId="36" borderId="225" xfId="122" applyNumberFormat="1" applyFont="1" applyBorder="1"/>
    <xf numFmtId="2" fontId="52" fillId="36" borderId="250" xfId="122" applyNumberFormat="1" applyFont="1" applyBorder="1"/>
    <xf numFmtId="2" fontId="52" fillId="36" borderId="251" xfId="122" applyNumberFormat="1" applyFont="1" applyBorder="1"/>
    <xf numFmtId="4" fontId="52" fillId="36" borderId="1" xfId="122" applyNumberFormat="1" applyFont="1"/>
    <xf numFmtId="2" fontId="52" fillId="33" borderId="1" xfId="122" applyNumberFormat="1" applyFont="1" applyFill="1"/>
    <xf numFmtId="2" fontId="52" fillId="33" borderId="251" xfId="122" applyNumberFormat="1" applyFont="1" applyFill="1" applyBorder="1"/>
    <xf numFmtId="3" fontId="52" fillId="36" borderId="1" xfId="122" applyNumberFormat="1" applyFont="1"/>
    <xf numFmtId="0" fontId="55" fillId="0" borderId="0" xfId="1" applyFont="1" applyBorder="1" applyAlignment="1">
      <alignment horizontal="center" wrapText="1"/>
    </xf>
    <xf numFmtId="0" fontId="15" fillId="36" borderId="244" xfId="129" applyFont="1" applyFill="1" applyBorder="1"/>
    <xf numFmtId="0" fontId="16" fillId="0" borderId="0" xfId="1" applyFont="1" applyProtection="1"/>
    <xf numFmtId="0" fontId="168" fillId="0" borderId="0" xfId="1" applyFont="1" applyProtection="1"/>
    <xf numFmtId="0" fontId="4" fillId="2" borderId="0" xfId="1" applyFill="1" applyProtection="1"/>
    <xf numFmtId="0" fontId="4" fillId="2" borderId="0" xfId="1" applyFill="1" applyProtection="1">
      <protection locked="0"/>
    </xf>
    <xf numFmtId="0" fontId="16" fillId="2" borderId="59" xfId="1" applyFont="1" applyFill="1" applyBorder="1" applyProtection="1"/>
    <xf numFmtId="0" fontId="16" fillId="2" borderId="41" xfId="1" applyFont="1" applyFill="1" applyBorder="1" applyProtection="1"/>
    <xf numFmtId="221" fontId="16" fillId="2" borderId="41" xfId="1" applyNumberFormat="1" applyFont="1" applyFill="1" applyBorder="1" applyAlignment="1" applyProtection="1">
      <alignment horizontal="center"/>
    </xf>
    <xf numFmtId="0" fontId="16" fillId="2" borderId="60" xfId="1" applyFont="1" applyFill="1" applyBorder="1" applyProtection="1"/>
    <xf numFmtId="0" fontId="16" fillId="2" borderId="64" xfId="1" applyFont="1" applyFill="1" applyBorder="1" applyProtection="1"/>
    <xf numFmtId="222" fontId="14" fillId="0" borderId="252" xfId="1" applyNumberFormat="1" applyFont="1" applyFill="1" applyBorder="1" applyProtection="1"/>
    <xf numFmtId="0" fontId="5" fillId="0" borderId="0" xfId="1" applyFont="1" applyBorder="1" applyAlignment="1" applyProtection="1">
      <alignment horizontal="center"/>
    </xf>
    <xf numFmtId="221" fontId="14" fillId="0" borderId="0" xfId="1" applyNumberFormat="1" applyFont="1" applyBorder="1" applyAlignment="1" applyProtection="1">
      <alignment horizontal="right"/>
    </xf>
    <xf numFmtId="221" fontId="14" fillId="0" borderId="253" xfId="1" applyNumberFormat="1" applyFont="1" applyBorder="1" applyAlignment="1" applyProtection="1">
      <alignment horizontal="right"/>
    </xf>
    <xf numFmtId="9" fontId="16" fillId="0" borderId="0" xfId="1" applyNumberFormat="1" applyFont="1" applyBorder="1" applyAlignment="1" applyProtection="1">
      <alignment horizontal="center"/>
    </xf>
    <xf numFmtId="0" fontId="14" fillId="0" borderId="0" xfId="1" applyFont="1" applyBorder="1" applyProtection="1"/>
    <xf numFmtId="0" fontId="14" fillId="0" borderId="0" xfId="1" applyFont="1" applyFill="1" applyBorder="1" applyAlignment="1" applyProtection="1">
      <alignment horizontal="left"/>
    </xf>
    <xf numFmtId="1" fontId="14" fillId="0" borderId="0" xfId="1" applyNumberFormat="1" applyFont="1" applyBorder="1" applyProtection="1"/>
    <xf numFmtId="0" fontId="168" fillId="0" borderId="0" xfId="1" applyFont="1" applyBorder="1" applyProtection="1"/>
    <xf numFmtId="0" fontId="14" fillId="0" borderId="0" xfId="1" applyFont="1" applyFill="1" applyBorder="1" applyAlignment="1" applyProtection="1">
      <alignment horizontal="right"/>
    </xf>
    <xf numFmtId="0" fontId="16" fillId="2" borderId="32" xfId="1" applyFont="1" applyFill="1" applyBorder="1" applyProtection="1"/>
    <xf numFmtId="221" fontId="16" fillId="0" borderId="2" xfId="1" applyNumberFormat="1" applyFont="1" applyBorder="1" applyAlignment="1" applyProtection="1">
      <alignment horizontal="right"/>
    </xf>
    <xf numFmtId="221" fontId="16" fillId="0" borderId="254" xfId="1" applyNumberFormat="1" applyFont="1" applyBorder="1" applyAlignment="1" applyProtection="1">
      <alignment horizontal="right"/>
    </xf>
    <xf numFmtId="9" fontId="16" fillId="0" borderId="254" xfId="1" applyNumberFormat="1" applyFont="1" applyBorder="1" applyAlignment="1" applyProtection="1">
      <alignment horizontal="center"/>
    </xf>
    <xf numFmtId="0" fontId="16" fillId="0" borderId="254" xfId="1" applyFont="1" applyBorder="1" applyProtection="1"/>
    <xf numFmtId="0" fontId="14" fillId="0" borderId="254" xfId="1" applyFont="1" applyBorder="1" applyProtection="1"/>
    <xf numFmtId="0" fontId="14" fillId="0" borderId="254" xfId="1" applyFont="1" applyFill="1" applyBorder="1" applyAlignment="1" applyProtection="1">
      <alignment horizontal="left"/>
    </xf>
    <xf numFmtId="1" fontId="14" fillId="0" borderId="254" xfId="1" applyNumberFormat="1" applyFont="1" applyBorder="1" applyProtection="1"/>
    <xf numFmtId="0" fontId="168" fillId="0" borderId="254" xfId="1" applyFont="1" applyBorder="1" applyProtection="1"/>
    <xf numFmtId="0" fontId="14" fillId="0" borderId="254" xfId="1" applyFont="1" applyFill="1" applyBorder="1" applyAlignment="1" applyProtection="1">
      <alignment horizontal="right"/>
    </xf>
    <xf numFmtId="221" fontId="16" fillId="0" borderId="0" xfId="1" applyNumberFormat="1" applyFont="1" applyBorder="1" applyAlignment="1" applyProtection="1">
      <alignment horizontal="right"/>
    </xf>
    <xf numFmtId="221" fontId="16" fillId="0" borderId="139" xfId="1" applyNumberFormat="1" applyFont="1" applyBorder="1" applyAlignment="1" applyProtection="1">
      <alignment horizontal="right"/>
    </xf>
    <xf numFmtId="9" fontId="16" fillId="0" borderId="139" xfId="1" applyNumberFormat="1" applyFont="1" applyBorder="1" applyAlignment="1" applyProtection="1">
      <alignment horizontal="center"/>
    </xf>
    <xf numFmtId="0" fontId="16" fillId="0" borderId="139" xfId="1" applyFont="1" applyBorder="1" applyProtection="1"/>
    <xf numFmtId="0" fontId="14" fillId="0" borderId="139" xfId="1" applyFont="1" applyBorder="1" applyProtection="1"/>
    <xf numFmtId="0" fontId="14" fillId="0" borderId="139" xfId="1" applyFont="1" applyFill="1" applyBorder="1" applyAlignment="1" applyProtection="1">
      <alignment horizontal="left"/>
    </xf>
    <xf numFmtId="1" fontId="14" fillId="0" borderId="139" xfId="1" applyNumberFormat="1" applyFont="1" applyBorder="1" applyProtection="1"/>
    <xf numFmtId="0" fontId="168" fillId="0" borderId="139" xfId="1" applyFont="1" applyBorder="1" applyProtection="1"/>
    <xf numFmtId="0" fontId="14" fillId="0" borderId="139" xfId="1" applyFont="1" applyFill="1" applyBorder="1" applyAlignment="1" applyProtection="1">
      <alignment horizontal="right"/>
    </xf>
    <xf numFmtId="9" fontId="16" fillId="32" borderId="139" xfId="1" applyNumberFormat="1" applyFont="1" applyFill="1" applyBorder="1" applyAlignment="1" applyProtection="1">
      <alignment horizontal="center"/>
      <protection locked="0"/>
    </xf>
    <xf numFmtId="2" fontId="14" fillId="0" borderId="139" xfId="1" applyNumberFormat="1" applyFont="1" applyFill="1" applyBorder="1" applyAlignment="1" applyProtection="1">
      <alignment horizontal="right"/>
    </xf>
    <xf numFmtId="0" fontId="14" fillId="0" borderId="0" xfId="1" applyFont="1" applyBorder="1" applyAlignment="1" applyProtection="1">
      <alignment horizontal="center"/>
    </xf>
    <xf numFmtId="0" fontId="16" fillId="0" borderId="0" xfId="1" applyFont="1" applyBorder="1" applyAlignment="1" applyProtection="1">
      <alignment horizontal="right"/>
    </xf>
    <xf numFmtId="0" fontId="14" fillId="0" borderId="0" xfId="1" applyFont="1" applyBorder="1" applyAlignment="1" applyProtection="1">
      <alignment horizontal="right"/>
    </xf>
    <xf numFmtId="0" fontId="16" fillId="0" borderId="0" xfId="1" applyFont="1" applyBorder="1" applyAlignment="1" applyProtection="1">
      <alignment horizontal="center"/>
    </xf>
    <xf numFmtId="223" fontId="14" fillId="0" borderId="0" xfId="1" applyNumberFormat="1" applyFont="1" applyBorder="1" applyProtection="1"/>
    <xf numFmtId="0" fontId="16" fillId="2" borderId="0" xfId="1" applyFont="1" applyFill="1" applyBorder="1" applyProtection="1"/>
    <xf numFmtId="224" fontId="16" fillId="0" borderId="31" xfId="1" applyNumberFormat="1" applyFont="1" applyFill="1" applyBorder="1" applyProtection="1"/>
    <xf numFmtId="0" fontId="16" fillId="0" borderId="31" xfId="1" applyFont="1" applyBorder="1" applyAlignment="1" applyProtection="1">
      <alignment horizontal="right"/>
    </xf>
    <xf numFmtId="0" fontId="16" fillId="0" borderId="31" xfId="1" applyFont="1" applyBorder="1" applyProtection="1"/>
    <xf numFmtId="0" fontId="16" fillId="2" borderId="0" xfId="1" applyFont="1" applyFill="1" applyBorder="1" applyAlignment="1" applyProtection="1">
      <alignment horizontal="right"/>
    </xf>
    <xf numFmtId="225" fontId="14" fillId="2" borderId="0" xfId="1" applyNumberFormat="1" applyFont="1" applyFill="1" applyBorder="1" applyAlignment="1" applyProtection="1">
      <alignment horizontal="center"/>
    </xf>
    <xf numFmtId="226" fontId="5" fillId="0" borderId="3"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23" fontId="14" fillId="0" borderId="0" xfId="1" applyNumberFormat="1" applyFont="1" applyBorder="1" applyAlignment="1" applyProtection="1">
      <alignment horizontal="center"/>
    </xf>
    <xf numFmtId="0" fontId="14" fillId="0" borderId="0" xfId="1" applyFont="1" applyBorder="1" applyAlignment="1" applyProtection="1">
      <alignment horizontal="left"/>
    </xf>
    <xf numFmtId="0" fontId="168" fillId="2" borderId="0" xfId="1" applyFont="1" applyFill="1" applyBorder="1" applyProtection="1"/>
    <xf numFmtId="0" fontId="14" fillId="0" borderId="107" xfId="1" applyFont="1" applyBorder="1" applyAlignment="1" applyProtection="1">
      <alignment horizontal="center"/>
    </xf>
    <xf numFmtId="0" fontId="16" fillId="0" borderId="95" xfId="1" applyFont="1" applyBorder="1" applyAlignment="1" applyProtection="1">
      <alignment horizontal="right"/>
    </xf>
    <xf numFmtId="0" fontId="16" fillId="0" borderId="95" xfId="1" applyFont="1" applyBorder="1" applyProtection="1"/>
    <xf numFmtId="0" fontId="16" fillId="0" borderId="108" xfId="1" applyFont="1" applyBorder="1" applyProtection="1"/>
    <xf numFmtId="0" fontId="168" fillId="0" borderId="0" xfId="1" applyFont="1" applyFill="1" applyBorder="1" applyProtection="1"/>
    <xf numFmtId="0" fontId="43" fillId="0" borderId="0" xfId="1" applyFont="1" applyFill="1" applyBorder="1" applyProtection="1"/>
    <xf numFmtId="0" fontId="16" fillId="2" borderId="78" xfId="1" applyFont="1" applyFill="1" applyBorder="1" applyProtection="1"/>
    <xf numFmtId="0" fontId="16" fillId="2" borderId="24" xfId="1" applyFont="1" applyFill="1" applyBorder="1" applyProtection="1"/>
    <xf numFmtId="0" fontId="168" fillId="2" borderId="24" xfId="1" applyFont="1" applyFill="1" applyBorder="1" applyProtection="1"/>
    <xf numFmtId="0" fontId="20" fillId="2" borderId="24" xfId="1" applyFont="1" applyFill="1" applyBorder="1" applyProtection="1"/>
    <xf numFmtId="0" fontId="16" fillId="2" borderId="79" xfId="1" applyFont="1" applyFill="1" applyBorder="1" applyProtection="1"/>
    <xf numFmtId="0" fontId="16" fillId="0" borderId="0" xfId="1" applyFont="1" applyProtection="1">
      <protection locked="0"/>
    </xf>
    <xf numFmtId="227" fontId="168" fillId="0" borderId="0" xfId="1" applyNumberFormat="1" applyFont="1" applyBorder="1" applyProtection="1"/>
    <xf numFmtId="0" fontId="20" fillId="0" borderId="0" xfId="1" applyFont="1" applyFill="1" applyBorder="1" applyProtection="1"/>
    <xf numFmtId="0" fontId="16" fillId="2" borderId="0" xfId="1" applyFont="1" applyFill="1" applyProtection="1"/>
    <xf numFmtId="227" fontId="168" fillId="2" borderId="0" xfId="1" applyNumberFormat="1" applyFont="1" applyFill="1" applyBorder="1" applyProtection="1"/>
    <xf numFmtId="0" fontId="9" fillId="2" borderId="0" xfId="1" applyFont="1" applyFill="1" applyBorder="1" applyProtection="1"/>
    <xf numFmtId="222" fontId="43" fillId="30" borderId="20" xfId="1" applyNumberFormat="1" applyFont="1" applyFill="1" applyBorder="1" applyProtection="1"/>
    <xf numFmtId="222" fontId="43" fillId="2" borderId="41" xfId="1" applyNumberFormat="1" applyFont="1" applyFill="1" applyBorder="1" applyProtection="1"/>
    <xf numFmtId="0" fontId="4" fillId="2" borderId="41" xfId="1" applyFill="1" applyBorder="1" applyProtection="1"/>
    <xf numFmtId="222" fontId="118" fillId="0" borderId="20" xfId="1" applyNumberFormat="1" applyFont="1" applyFill="1" applyBorder="1" applyAlignment="1" applyProtection="1">
      <alignment shrinkToFit="1"/>
    </xf>
    <xf numFmtId="222" fontId="16" fillId="44" borderId="46" xfId="1" applyNumberFormat="1" applyFont="1" applyFill="1" applyBorder="1" applyProtection="1"/>
    <xf numFmtId="227" fontId="14" fillId="0" borderId="41" xfId="1" applyNumberFormat="1" applyFont="1" applyFill="1" applyBorder="1" applyProtection="1"/>
    <xf numFmtId="0" fontId="14" fillId="0" borderId="255" xfId="1" applyNumberFormat="1" applyFont="1" applyFill="1" applyBorder="1" applyAlignment="1" applyProtection="1">
      <alignment horizontal="center"/>
    </xf>
    <xf numFmtId="222" fontId="43" fillId="30" borderId="256" xfId="1" applyNumberFormat="1" applyFont="1" applyFill="1" applyBorder="1" applyProtection="1"/>
    <xf numFmtId="222" fontId="43" fillId="2" borderId="136" xfId="1" applyNumberFormat="1" applyFont="1" applyFill="1" applyBorder="1" applyProtection="1"/>
    <xf numFmtId="0" fontId="4" fillId="2" borderId="136" xfId="1" applyFill="1" applyBorder="1" applyProtection="1"/>
    <xf numFmtId="204" fontId="169" fillId="0" borderId="21" xfId="1" applyNumberFormat="1" applyFont="1" applyFill="1" applyBorder="1" applyProtection="1"/>
    <xf numFmtId="221" fontId="43" fillId="44" borderId="135" xfId="1" applyNumberFormat="1" applyFont="1" applyFill="1" applyBorder="1" applyProtection="1"/>
    <xf numFmtId="227" fontId="14" fillId="0" borderId="0" xfId="1" applyNumberFormat="1" applyFont="1" applyFill="1" applyBorder="1" applyProtection="1"/>
    <xf numFmtId="0" fontId="14" fillId="0" borderId="257" xfId="1" applyNumberFormat="1" applyFont="1" applyFill="1" applyBorder="1" applyAlignment="1" applyProtection="1">
      <alignment horizontal="center"/>
    </xf>
    <xf numFmtId="222" fontId="6" fillId="30" borderId="258" xfId="1" applyNumberFormat="1" applyFont="1" applyFill="1" applyBorder="1" applyProtection="1"/>
    <xf numFmtId="222" fontId="43" fillId="2" borderId="127" xfId="1" applyNumberFormat="1" applyFont="1" applyFill="1" applyBorder="1" applyProtection="1"/>
    <xf numFmtId="0" fontId="4" fillId="2" borderId="127" xfId="1" applyFill="1" applyBorder="1" applyProtection="1"/>
    <xf numFmtId="222" fontId="118" fillId="0" borderId="258" xfId="1" applyNumberFormat="1" applyFont="1" applyFill="1" applyBorder="1" applyAlignment="1" applyProtection="1">
      <alignment shrinkToFit="1"/>
    </xf>
    <xf numFmtId="222" fontId="16" fillId="44" borderId="40" xfId="1" applyNumberFormat="1" applyFont="1" applyFill="1" applyBorder="1" applyProtection="1"/>
    <xf numFmtId="0" fontId="16" fillId="44" borderId="126" xfId="1" applyFont="1" applyFill="1" applyBorder="1" applyAlignment="1" applyProtection="1">
      <alignment horizontal="right"/>
    </xf>
    <xf numFmtId="0" fontId="43" fillId="44" borderId="127" xfId="1" applyFont="1" applyFill="1" applyBorder="1" applyProtection="1"/>
    <xf numFmtId="0" fontId="43" fillId="44" borderId="149" xfId="1" applyFont="1" applyFill="1" applyBorder="1" applyProtection="1"/>
    <xf numFmtId="2" fontId="14" fillId="30" borderId="259" xfId="1" applyNumberFormat="1" applyFont="1" applyFill="1" applyBorder="1" applyAlignment="1" applyProtection="1">
      <alignment horizontal="center"/>
    </xf>
    <xf numFmtId="221" fontId="43" fillId="30" borderId="181" xfId="1" applyNumberFormat="1" applyFont="1" applyFill="1" applyBorder="1" applyProtection="1"/>
    <xf numFmtId="221" fontId="43" fillId="2" borderId="23" xfId="1" applyNumberFormat="1" applyFont="1" applyFill="1" applyBorder="1" applyProtection="1"/>
    <xf numFmtId="0" fontId="4" fillId="2" borderId="23" xfId="1" applyFill="1" applyBorder="1" applyProtection="1"/>
    <xf numFmtId="204" fontId="169" fillId="0" borderId="181" xfId="1" applyNumberFormat="1" applyFont="1" applyFill="1" applyBorder="1" applyProtection="1"/>
    <xf numFmtId="221" fontId="43" fillId="44" borderId="43" xfId="1" applyNumberFormat="1" applyFont="1" applyFill="1" applyBorder="1" applyProtection="1"/>
    <xf numFmtId="0" fontId="43" fillId="44" borderId="42" xfId="1" applyFont="1" applyFill="1" applyBorder="1" applyProtection="1"/>
    <xf numFmtId="0" fontId="43" fillId="44" borderId="23" xfId="1" applyFont="1" applyFill="1" applyBorder="1" applyProtection="1"/>
    <xf numFmtId="0" fontId="43" fillId="44" borderId="158" xfId="1" applyFont="1" applyFill="1" applyBorder="1" applyProtection="1"/>
    <xf numFmtId="227" fontId="14" fillId="0" borderId="23" xfId="1" applyNumberFormat="1" applyFont="1" applyFill="1" applyBorder="1" applyProtection="1"/>
    <xf numFmtId="0" fontId="16" fillId="0" borderId="0" xfId="1" applyFont="1" applyAlignment="1" applyProtection="1"/>
    <xf numFmtId="0" fontId="16" fillId="2" borderId="0" xfId="1" applyFont="1" applyFill="1" applyAlignment="1" applyProtection="1"/>
    <xf numFmtId="6" fontId="44" fillId="0" borderId="21" xfId="1" applyNumberFormat="1" applyFont="1" applyBorder="1" applyAlignment="1" applyProtection="1"/>
    <xf numFmtId="6" fontId="44" fillId="2" borderId="0" xfId="1" applyNumberFormat="1" applyFont="1" applyFill="1" applyBorder="1" applyAlignment="1" applyProtection="1"/>
    <xf numFmtId="0" fontId="4" fillId="2" borderId="0" xfId="1" applyFill="1" applyBorder="1" applyProtection="1"/>
    <xf numFmtId="228" fontId="118" fillId="0" borderId="21" xfId="1" applyNumberFormat="1" applyFont="1" applyFill="1" applyBorder="1" applyAlignment="1" applyProtection="1"/>
    <xf numFmtId="6" fontId="44" fillId="0" borderId="40" xfId="1" applyNumberFormat="1" applyFont="1" applyFill="1" applyBorder="1" applyAlignment="1" applyProtection="1"/>
    <xf numFmtId="0" fontId="16" fillId="0" borderId="19" xfId="1" applyFont="1" applyBorder="1" applyAlignment="1" applyProtection="1"/>
    <xf numFmtId="0" fontId="16" fillId="0" borderId="0" xfId="1" applyFont="1" applyBorder="1" applyAlignment="1" applyProtection="1"/>
    <xf numFmtId="0" fontId="16" fillId="0" borderId="32" xfId="1" applyFont="1" applyBorder="1" applyAlignment="1" applyProtection="1"/>
    <xf numFmtId="227" fontId="16" fillId="0" borderId="0" xfId="1" applyNumberFormat="1" applyFont="1" applyFill="1" applyBorder="1" applyAlignment="1" applyProtection="1">
      <alignment vertical="center"/>
    </xf>
    <xf numFmtId="6" fontId="44" fillId="0" borderId="258" xfId="1" applyNumberFormat="1" applyFont="1" applyBorder="1" applyProtection="1"/>
    <xf numFmtId="6" fontId="44" fillId="2" borderId="0" xfId="1" applyNumberFormat="1" applyFont="1" applyFill="1" applyBorder="1" applyProtection="1"/>
    <xf numFmtId="228" fontId="118" fillId="0" borderId="258" xfId="1" applyNumberFormat="1" applyFont="1" applyFill="1" applyBorder="1" applyProtection="1"/>
    <xf numFmtId="6" fontId="44" fillId="0" borderId="125" xfId="1" applyNumberFormat="1" applyFont="1" applyFill="1" applyBorder="1" applyProtection="1"/>
    <xf numFmtId="229" fontId="65" fillId="0" borderId="126" xfId="1" applyNumberFormat="1" applyFont="1" applyBorder="1" applyProtection="1"/>
    <xf numFmtId="0" fontId="16" fillId="0" borderId="127" xfId="1" applyFont="1" applyBorder="1" applyProtection="1"/>
    <xf numFmtId="177" fontId="157" fillId="0" borderId="149" xfId="1" applyNumberFormat="1" applyFont="1" applyFill="1" applyBorder="1" applyProtection="1"/>
    <xf numFmtId="2" fontId="16" fillId="31" borderId="0" xfId="1" applyNumberFormat="1" applyFont="1" applyFill="1" applyBorder="1" applyAlignment="1" applyProtection="1">
      <alignment horizontal="center"/>
      <protection locked="0"/>
    </xf>
    <xf numFmtId="230" fontId="14" fillId="0" borderId="257" xfId="1" applyNumberFormat="1" applyFont="1" applyFill="1" applyBorder="1" applyAlignment="1" applyProtection="1">
      <alignment horizontal="center"/>
    </xf>
    <xf numFmtId="6" fontId="44" fillId="0" borderId="21" xfId="1" applyNumberFormat="1" applyFont="1" applyBorder="1" applyProtection="1"/>
    <xf numFmtId="228" fontId="118" fillId="0" borderId="21" xfId="1" applyNumberFormat="1" applyFont="1" applyFill="1" applyBorder="1" applyProtection="1"/>
    <xf numFmtId="6" fontId="44" fillId="0" borderId="40" xfId="1" applyNumberFormat="1" applyFont="1" applyFill="1" applyBorder="1" applyProtection="1"/>
    <xf numFmtId="229" fontId="65" fillId="0" borderId="19" xfId="1" applyNumberFormat="1" applyFont="1" applyBorder="1" applyProtection="1"/>
    <xf numFmtId="231" fontId="157" fillId="31" borderId="0" xfId="1" applyNumberFormat="1" applyFont="1" applyFill="1" applyBorder="1" applyAlignment="1" applyProtection="1">
      <alignment shrinkToFit="1"/>
      <protection locked="0"/>
    </xf>
    <xf numFmtId="0" fontId="16" fillId="0" borderId="0" xfId="1" applyFont="1" applyFill="1" applyBorder="1" applyProtection="1"/>
    <xf numFmtId="0" fontId="157" fillId="0" borderId="0" xfId="1" applyFont="1" applyFill="1" applyBorder="1" applyProtection="1"/>
    <xf numFmtId="0" fontId="157" fillId="0" borderId="0" xfId="1" applyFont="1" applyBorder="1" applyAlignment="1" applyProtection="1">
      <alignment horizontal="center"/>
    </xf>
    <xf numFmtId="177" fontId="157" fillId="0" borderId="32" xfId="1" applyNumberFormat="1" applyFont="1" applyFill="1" applyBorder="1" applyProtection="1"/>
    <xf numFmtId="233" fontId="157" fillId="31" borderId="0" xfId="1" applyNumberFormat="1" applyFont="1" applyFill="1" applyBorder="1" applyProtection="1">
      <protection locked="0"/>
    </xf>
    <xf numFmtId="235" fontId="157" fillId="0" borderId="0" xfId="1" applyNumberFormat="1" applyFont="1" applyFill="1" applyBorder="1" applyAlignment="1" applyProtection="1">
      <alignment horizontal="center"/>
    </xf>
    <xf numFmtId="228" fontId="118" fillId="0" borderId="21" xfId="1" applyNumberFormat="1" applyFont="1" applyFill="1" applyBorder="1" applyAlignment="1" applyProtection="1">
      <alignment vertical="top"/>
    </xf>
    <xf numFmtId="6" fontId="44" fillId="0" borderId="40" xfId="1" applyNumberFormat="1" applyFont="1" applyFill="1" applyBorder="1" applyAlignment="1" applyProtection="1">
      <alignment vertical="top"/>
    </xf>
    <xf numFmtId="0" fontId="5" fillId="0" borderId="19" xfId="1" applyFont="1" applyFill="1" applyBorder="1" applyAlignment="1" applyProtection="1">
      <alignment horizontal="center" vertical="top" wrapText="1"/>
    </xf>
    <xf numFmtId="0" fontId="9" fillId="0" borderId="0" xfId="1" applyFont="1" applyFill="1" applyBorder="1" applyAlignment="1" applyProtection="1">
      <alignment horizontal="center" vertical="top" wrapText="1"/>
    </xf>
    <xf numFmtId="0" fontId="44" fillId="0" borderId="32" xfId="1" applyFont="1" applyBorder="1" applyAlignment="1" applyProtection="1">
      <alignment vertical="top"/>
    </xf>
    <xf numFmtId="0" fontId="97" fillId="0" borderId="0" xfId="1" applyFont="1" applyBorder="1" applyAlignment="1" applyProtection="1">
      <alignment vertical="top"/>
    </xf>
    <xf numFmtId="0" fontId="16" fillId="0" borderId="257" xfId="1" applyFont="1" applyFill="1" applyBorder="1" applyAlignment="1" applyProtection="1">
      <alignment horizontal="center" vertical="top"/>
    </xf>
    <xf numFmtId="222" fontId="43" fillId="30" borderId="180" xfId="1" applyNumberFormat="1" applyFont="1" applyFill="1" applyBorder="1" applyProtection="1"/>
    <xf numFmtId="222" fontId="43" fillId="2" borderId="2" xfId="1" applyNumberFormat="1" applyFont="1" applyFill="1" applyBorder="1" applyProtection="1"/>
    <xf numFmtId="0" fontId="4" fillId="2" borderId="2" xfId="1" applyFill="1" applyBorder="1" applyProtection="1"/>
    <xf numFmtId="222" fontId="118" fillId="0" borderId="180" xfId="1" applyNumberFormat="1" applyFont="1" applyFill="1" applyBorder="1" applyAlignment="1" applyProtection="1">
      <alignment shrinkToFit="1"/>
    </xf>
    <xf numFmtId="222" fontId="16" fillId="44" borderId="39" xfId="1" applyNumberFormat="1" applyFont="1" applyFill="1" applyBorder="1" applyProtection="1"/>
    <xf numFmtId="6" fontId="44" fillId="0" borderId="40" xfId="1" applyNumberFormat="1" applyFont="1" applyBorder="1" applyProtection="1"/>
    <xf numFmtId="0" fontId="157" fillId="0" borderId="19" xfId="1" applyFont="1" applyBorder="1" applyProtection="1"/>
    <xf numFmtId="0" fontId="157" fillId="0" borderId="0" xfId="1" applyFont="1" applyBorder="1" applyProtection="1"/>
    <xf numFmtId="233" fontId="157" fillId="31" borderId="0" xfId="1" applyNumberFormat="1" applyFont="1" applyFill="1" applyBorder="1" applyProtection="1"/>
    <xf numFmtId="233" fontId="157" fillId="31" borderId="127" xfId="1" applyNumberFormat="1" applyFont="1" applyFill="1" applyBorder="1" applyProtection="1">
      <protection locked="0"/>
    </xf>
    <xf numFmtId="0" fontId="44" fillId="0" borderId="32" xfId="1" applyFont="1" applyBorder="1" applyProtection="1"/>
    <xf numFmtId="227" fontId="16" fillId="0" borderId="0" xfId="1" applyNumberFormat="1" applyFont="1" applyFill="1" applyBorder="1" applyProtection="1"/>
    <xf numFmtId="227" fontId="16" fillId="0" borderId="257" xfId="1" applyNumberFormat="1" applyFont="1" applyFill="1" applyBorder="1" applyAlignment="1" applyProtection="1">
      <alignment horizontal="center"/>
    </xf>
    <xf numFmtId="6" fontId="44" fillId="0" borderId="262" xfId="1" applyNumberFormat="1" applyFont="1" applyBorder="1" applyAlignment="1" applyProtection="1"/>
    <xf numFmtId="6" fontId="44" fillId="2" borderId="254" xfId="1" applyNumberFormat="1" applyFont="1" applyFill="1" applyBorder="1" applyAlignment="1" applyProtection="1"/>
    <xf numFmtId="0" fontId="4" fillId="2" borderId="254" xfId="1" applyFill="1" applyBorder="1" applyProtection="1"/>
    <xf numFmtId="228" fontId="118" fillId="0" borderId="262" xfId="1" applyNumberFormat="1" applyFont="1" applyFill="1" applyBorder="1" applyAlignment="1" applyProtection="1"/>
    <xf numFmtId="6" fontId="44" fillId="0" borderId="263" xfId="1" applyNumberFormat="1" applyFont="1" applyFill="1" applyBorder="1" applyAlignment="1" applyProtection="1"/>
    <xf numFmtId="0" fontId="16" fillId="0" borderId="264" xfId="1" applyFont="1" applyBorder="1" applyAlignment="1" applyProtection="1"/>
    <xf numFmtId="0" fontId="16" fillId="0" borderId="254" xfId="1" applyFont="1" applyBorder="1" applyAlignment="1" applyProtection="1"/>
    <xf numFmtId="0" fontId="16" fillId="0" borderId="265" xfId="1" applyFont="1" applyBorder="1" applyAlignment="1" applyProtection="1"/>
    <xf numFmtId="221" fontId="157" fillId="0" borderId="0" xfId="1" applyNumberFormat="1" applyFont="1" applyFill="1" applyBorder="1" applyProtection="1"/>
    <xf numFmtId="177" fontId="157" fillId="31" borderId="32" xfId="1" applyNumberFormat="1" applyFont="1" applyFill="1" applyBorder="1" applyProtection="1">
      <protection locked="0"/>
    </xf>
    <xf numFmtId="2" fontId="16" fillId="0" borderId="0" xfId="1" applyNumberFormat="1" applyFont="1" applyFill="1" applyBorder="1" applyAlignment="1" applyProtection="1">
      <alignment horizontal="center"/>
    </xf>
    <xf numFmtId="0" fontId="16" fillId="0" borderId="19" xfId="1" applyFont="1" applyBorder="1" applyProtection="1"/>
    <xf numFmtId="0" fontId="97" fillId="0" borderId="0" xfId="1" applyFont="1" applyBorder="1" applyProtection="1"/>
    <xf numFmtId="4" fontId="16" fillId="0" borderId="257" xfId="1" applyNumberFormat="1" applyFont="1" applyFill="1" applyBorder="1" applyAlignment="1" applyProtection="1">
      <alignment horizontal="center"/>
    </xf>
    <xf numFmtId="221" fontId="157" fillId="0" borderId="127" xfId="1" applyNumberFormat="1" applyFont="1" applyFill="1" applyBorder="1" applyProtection="1"/>
    <xf numFmtId="0" fontId="16" fillId="0" borderId="127" xfId="1" applyFont="1" applyFill="1" applyBorder="1" applyProtection="1"/>
    <xf numFmtId="0" fontId="157" fillId="0" borderId="127" xfId="1" applyFont="1" applyFill="1" applyBorder="1" applyProtection="1"/>
    <xf numFmtId="0" fontId="157" fillId="0" borderId="127" xfId="1" applyFont="1" applyBorder="1" applyAlignment="1" applyProtection="1">
      <alignment horizontal="center"/>
    </xf>
    <xf numFmtId="177" fontId="157" fillId="31" borderId="149" xfId="1" applyNumberFormat="1" applyFont="1" applyFill="1" applyBorder="1" applyProtection="1">
      <protection locked="0"/>
    </xf>
    <xf numFmtId="222" fontId="43" fillId="0" borderId="21" xfId="1" applyNumberFormat="1" applyFont="1" applyFill="1" applyBorder="1" applyProtection="1"/>
    <xf numFmtId="222" fontId="43" fillId="2" borderId="0" xfId="1" applyNumberFormat="1" applyFont="1" applyFill="1" applyBorder="1" applyProtection="1"/>
    <xf numFmtId="228" fontId="169" fillId="0" borderId="21" xfId="1" applyNumberFormat="1" applyFont="1" applyFill="1" applyBorder="1" applyProtection="1"/>
    <xf numFmtId="221" fontId="43" fillId="0" borderId="40" xfId="1" applyNumberFormat="1" applyFont="1" applyFill="1" applyBorder="1" applyProtection="1"/>
    <xf numFmtId="0" fontId="16" fillId="0" borderId="19" xfId="1" applyFont="1" applyFill="1" applyBorder="1" applyAlignment="1" applyProtection="1">
      <alignment horizontal="right" vertical="center"/>
    </xf>
    <xf numFmtId="0" fontId="16" fillId="0" borderId="0" xfId="1" applyFont="1" applyFill="1" applyBorder="1" applyAlignment="1" applyProtection="1">
      <alignment horizontal="right" vertical="center"/>
    </xf>
    <xf numFmtId="0" fontId="43" fillId="0" borderId="32" xfId="1" applyFont="1" applyFill="1" applyBorder="1" applyProtection="1"/>
    <xf numFmtId="0" fontId="16" fillId="0" borderId="0" xfId="1" applyFont="1" applyAlignment="1" applyProtection="1">
      <alignment vertical="center"/>
    </xf>
    <xf numFmtId="0" fontId="4" fillId="2" borderId="0" xfId="1" applyFill="1" applyAlignment="1" applyProtection="1">
      <alignment vertical="center"/>
    </xf>
    <xf numFmtId="0" fontId="16" fillId="2" borderId="0" xfId="1" applyFont="1" applyFill="1" applyAlignment="1" applyProtection="1">
      <alignment vertical="center"/>
    </xf>
    <xf numFmtId="221" fontId="43" fillId="30" borderId="182" xfId="1" applyNumberFormat="1" applyFont="1" applyFill="1" applyBorder="1" applyAlignment="1" applyProtection="1">
      <alignment vertical="center"/>
    </xf>
    <xf numFmtId="222" fontId="43" fillId="2" borderId="75" xfId="1" applyNumberFormat="1" applyFont="1" applyFill="1" applyBorder="1" applyAlignment="1" applyProtection="1">
      <alignment vertical="center"/>
    </xf>
    <xf numFmtId="0" fontId="4" fillId="2" borderId="75" xfId="1" applyFill="1" applyBorder="1" applyAlignment="1" applyProtection="1">
      <alignment vertical="center"/>
    </xf>
    <xf numFmtId="204" fontId="169" fillId="0" borderId="182" xfId="1" applyNumberFormat="1" applyFont="1" applyFill="1" applyBorder="1" applyAlignment="1" applyProtection="1">
      <alignment vertical="center"/>
    </xf>
    <xf numFmtId="221" fontId="43" fillId="44" borderId="74" xfId="1" applyNumberFormat="1" applyFont="1" applyFill="1" applyBorder="1" applyAlignment="1" applyProtection="1">
      <alignment vertical="center"/>
    </xf>
    <xf numFmtId="0" fontId="16" fillId="44" borderId="172" xfId="1" applyFont="1" applyFill="1" applyBorder="1" applyAlignment="1" applyProtection="1">
      <alignment horizontal="right" vertical="center"/>
    </xf>
    <xf numFmtId="0" fontId="16" fillId="44" borderId="75" xfId="1" applyFont="1" applyFill="1" applyBorder="1" applyAlignment="1" applyProtection="1">
      <alignment horizontal="right" vertical="center"/>
    </xf>
    <xf numFmtId="0" fontId="43" fillId="44" borderId="76" xfId="1" applyFont="1" applyFill="1" applyBorder="1" applyAlignment="1" applyProtection="1">
      <alignment vertical="center"/>
    </xf>
    <xf numFmtId="227" fontId="14" fillId="0" borderId="75" xfId="1" applyNumberFormat="1" applyFont="1" applyFill="1" applyBorder="1" applyAlignment="1" applyProtection="1">
      <alignment vertical="center"/>
    </xf>
    <xf numFmtId="0" fontId="14" fillId="0" borderId="266" xfId="1" applyNumberFormat="1" applyFont="1" applyFill="1" applyBorder="1" applyAlignment="1" applyProtection="1">
      <alignment horizontal="center" vertical="center"/>
    </xf>
    <xf numFmtId="0" fontId="4" fillId="2" borderId="78" xfId="1" applyFill="1" applyBorder="1" applyProtection="1"/>
    <xf numFmtId="0" fontId="4" fillId="2" borderId="24" xfId="1" applyFill="1" applyBorder="1" applyProtection="1"/>
    <xf numFmtId="228" fontId="118" fillId="2" borderId="24" xfId="1" applyNumberFormat="1" applyFont="1" applyFill="1" applyBorder="1" applyProtection="1"/>
    <xf numFmtId="0" fontId="4" fillId="2" borderId="108" xfId="1" applyFill="1" applyBorder="1" applyProtection="1"/>
    <xf numFmtId="236" fontId="43" fillId="0" borderId="267" xfId="1" applyNumberFormat="1" applyFont="1" applyFill="1" applyBorder="1" applyAlignment="1" applyProtection="1">
      <alignment horizontal="right"/>
    </xf>
    <xf numFmtId="9" fontId="14" fillId="2" borderId="0" xfId="1" applyNumberFormat="1" applyFont="1" applyFill="1" applyBorder="1" applyAlignment="1" applyProtection="1">
      <alignment horizontal="center"/>
    </xf>
    <xf numFmtId="228" fontId="169" fillId="0" borderId="21" xfId="1" applyNumberFormat="1" applyFont="1" applyFill="1" applyBorder="1" applyAlignment="1" applyProtection="1">
      <alignment horizontal="center"/>
    </xf>
    <xf numFmtId="0" fontId="14" fillId="1" borderId="77" xfId="1" applyFont="1" applyFill="1" applyBorder="1" applyAlignment="1" applyProtection="1">
      <alignment horizontal="center"/>
    </xf>
    <xf numFmtId="227" fontId="97" fillId="0" borderId="0" xfId="1" applyNumberFormat="1" applyFont="1" applyFill="1" applyBorder="1" applyProtection="1"/>
    <xf numFmtId="227" fontId="97" fillId="0" borderId="257" xfId="1" applyNumberFormat="1" applyFont="1" applyFill="1" applyBorder="1" applyAlignment="1" applyProtection="1">
      <alignment horizontal="center"/>
    </xf>
    <xf numFmtId="6" fontId="43" fillId="0" borderId="256" xfId="1" applyNumberFormat="1" applyFont="1" applyBorder="1" applyProtection="1"/>
    <xf numFmtId="6" fontId="16" fillId="2" borderId="0" xfId="1" applyNumberFormat="1" applyFont="1" applyFill="1" applyBorder="1" applyProtection="1"/>
    <xf numFmtId="228" fontId="169" fillId="0" borderId="262" xfId="1" applyNumberFormat="1" applyFont="1" applyFill="1" applyBorder="1" applyProtection="1"/>
    <xf numFmtId="6" fontId="43" fillId="0" borderId="263" xfId="1" applyNumberFormat="1" applyFont="1" applyBorder="1" applyProtection="1"/>
    <xf numFmtId="0" fontId="14" fillId="0" borderId="264" xfId="1" applyFont="1" applyBorder="1" applyProtection="1"/>
    <xf numFmtId="0" fontId="43" fillId="0" borderId="265" xfId="1" applyFont="1" applyBorder="1" applyProtection="1"/>
    <xf numFmtId="6" fontId="44" fillId="0" borderId="268" xfId="1" applyNumberFormat="1" applyFont="1" applyBorder="1" applyProtection="1"/>
    <xf numFmtId="228" fontId="118" fillId="0" borderId="268" xfId="1" applyNumberFormat="1" applyFont="1" applyFill="1" applyBorder="1" applyProtection="1"/>
    <xf numFmtId="6" fontId="44" fillId="31" borderId="138" xfId="1" applyNumberFormat="1" applyFont="1" applyFill="1" applyBorder="1" applyProtection="1">
      <protection locked="0"/>
    </xf>
    <xf numFmtId="0" fontId="16" fillId="0" borderId="137" xfId="1" applyFont="1" applyBorder="1" applyProtection="1"/>
    <xf numFmtId="0" fontId="44" fillId="0" borderId="269" xfId="1" applyFont="1" applyBorder="1" applyProtection="1"/>
    <xf numFmtId="0" fontId="97" fillId="0" borderId="0" xfId="1" applyFont="1" applyFill="1" applyBorder="1" applyProtection="1"/>
    <xf numFmtId="0" fontId="97" fillId="0" borderId="257" xfId="1" applyFont="1" applyFill="1" applyBorder="1" applyAlignment="1" applyProtection="1">
      <alignment horizontal="center"/>
    </xf>
    <xf numFmtId="6" fontId="44" fillId="0" borderId="270" xfId="1" applyNumberFormat="1" applyFont="1" applyBorder="1" applyProtection="1"/>
    <xf numFmtId="228" fontId="118" fillId="0" borderId="270" xfId="1" applyNumberFormat="1" applyFont="1" applyFill="1" applyBorder="1" applyProtection="1"/>
    <xf numFmtId="6" fontId="44" fillId="31" borderId="145" xfId="1" applyNumberFormat="1" applyFont="1" applyFill="1" applyBorder="1" applyProtection="1">
      <protection locked="0"/>
    </xf>
    <xf numFmtId="0" fontId="16" fillId="0" borderId="271" xfId="1" applyFont="1" applyBorder="1" applyProtection="1"/>
    <xf numFmtId="0" fontId="16" fillId="0" borderId="144" xfId="1" applyFont="1" applyBorder="1" applyProtection="1"/>
    <xf numFmtId="0" fontId="44" fillId="0" borderId="272" xfId="1" applyFont="1" applyBorder="1" applyProtection="1"/>
    <xf numFmtId="0" fontId="16" fillId="44" borderId="44" xfId="1" applyFont="1" applyFill="1" applyBorder="1" applyAlignment="1" applyProtection="1">
      <alignment horizontal="right"/>
    </xf>
    <xf numFmtId="0" fontId="43" fillId="44" borderId="2" xfId="1" applyFont="1" applyFill="1" applyBorder="1" applyProtection="1"/>
    <xf numFmtId="0" fontId="43" fillId="44" borderId="159" xfId="1" applyFont="1" applyFill="1" applyBorder="1" applyProtection="1"/>
    <xf numFmtId="0" fontId="97" fillId="0" borderId="257" xfId="1" applyFont="1" applyBorder="1" applyAlignment="1" applyProtection="1">
      <alignment horizontal="center"/>
    </xf>
    <xf numFmtId="0" fontId="16" fillId="44" borderId="23" xfId="1" applyFont="1" applyFill="1" applyBorder="1" applyAlignment="1" applyProtection="1">
      <alignment horizontal="right"/>
    </xf>
    <xf numFmtId="0" fontId="14" fillId="44" borderId="158" xfId="1" applyFont="1" applyFill="1" applyBorder="1" applyProtection="1"/>
    <xf numFmtId="6" fontId="44" fillId="31" borderId="40" xfId="1" applyNumberFormat="1" applyFont="1" applyFill="1" applyBorder="1" applyProtection="1">
      <protection locked="0"/>
    </xf>
    <xf numFmtId="221" fontId="43" fillId="30" borderId="267" xfId="1" applyNumberFormat="1" applyFont="1" applyFill="1" applyBorder="1" applyProtection="1"/>
    <xf numFmtId="221" fontId="43" fillId="2" borderId="57" xfId="1" applyNumberFormat="1" applyFont="1" applyFill="1" applyBorder="1" applyProtection="1"/>
    <xf numFmtId="0" fontId="4" fillId="2" borderId="57" xfId="1" applyFill="1" applyBorder="1" applyProtection="1"/>
    <xf numFmtId="221" fontId="43" fillId="44" borderId="77" xfId="1" applyNumberFormat="1" applyFont="1" applyFill="1" applyBorder="1" applyProtection="1"/>
    <xf numFmtId="0" fontId="43" fillId="44" borderId="58" xfId="1" applyFont="1" applyFill="1" applyBorder="1" applyProtection="1"/>
    <xf numFmtId="0" fontId="43" fillId="44" borderId="57" xfId="1" applyFont="1" applyFill="1" applyBorder="1" applyProtection="1"/>
    <xf numFmtId="0" fontId="43" fillId="44" borderId="155" xfId="1" applyFont="1" applyFill="1" applyBorder="1" applyProtection="1"/>
    <xf numFmtId="237" fontId="157" fillId="31" borderId="127" xfId="1" applyNumberFormat="1" applyFont="1" applyFill="1" applyBorder="1" applyAlignment="1" applyProtection="1">
      <alignment horizontal="right"/>
      <protection locked="0"/>
    </xf>
    <xf numFmtId="238" fontId="16" fillId="0" borderId="127" xfId="1" applyNumberFormat="1" applyFont="1" applyFill="1" applyBorder="1" applyAlignment="1" applyProtection="1">
      <alignment shrinkToFit="1"/>
    </xf>
    <xf numFmtId="0" fontId="16" fillId="31" borderId="0" xfId="1" applyFont="1" applyFill="1" applyBorder="1" applyProtection="1"/>
    <xf numFmtId="0" fontId="157" fillId="31" borderId="0" xfId="1" applyFont="1" applyFill="1" applyBorder="1" applyProtection="1"/>
    <xf numFmtId="228" fontId="118" fillId="0" borderId="256" xfId="1" applyNumberFormat="1" applyFont="1" applyFill="1" applyBorder="1" applyProtection="1"/>
    <xf numFmtId="228" fontId="170" fillId="0" borderId="258" xfId="1" applyNumberFormat="1" applyFont="1" applyFill="1" applyBorder="1" applyProtection="1"/>
    <xf numFmtId="6" fontId="108" fillId="0" borderId="125" xfId="1" applyNumberFormat="1" applyFont="1" applyFill="1" applyBorder="1" applyProtection="1"/>
    <xf numFmtId="0" fontId="16" fillId="0" borderId="0" xfId="1" applyFont="1" applyAlignment="1" applyProtection="1">
      <alignment vertical="top"/>
    </xf>
    <xf numFmtId="0" fontId="16" fillId="2" borderId="0" xfId="1" applyFont="1" applyFill="1" applyAlignment="1" applyProtection="1">
      <alignment vertical="top"/>
    </xf>
    <xf numFmtId="6" fontId="44" fillId="0" borderId="21" xfId="1" applyNumberFormat="1" applyFont="1" applyBorder="1" applyAlignment="1" applyProtection="1">
      <alignment vertical="top"/>
    </xf>
    <xf numFmtId="6" fontId="16" fillId="2" borderId="0" xfId="1" applyNumberFormat="1" applyFont="1" applyFill="1" applyBorder="1" applyAlignment="1" applyProtection="1">
      <alignment vertical="top"/>
    </xf>
    <xf numFmtId="9" fontId="16" fillId="31" borderId="274" xfId="1" applyNumberFormat="1" applyFont="1" applyFill="1" applyBorder="1" applyAlignment="1" applyProtection="1">
      <alignment horizontal="center"/>
      <protection locked="0"/>
    </xf>
    <xf numFmtId="0" fontId="4" fillId="2" borderId="58" xfId="1" applyFill="1" applyBorder="1" applyProtection="1"/>
    <xf numFmtId="9" fontId="4" fillId="0" borderId="3" xfId="1" applyNumberFormat="1" applyFill="1" applyBorder="1" applyProtection="1"/>
    <xf numFmtId="0" fontId="16" fillId="2" borderId="0" xfId="1" applyFont="1" applyFill="1" applyProtection="1">
      <protection locked="0"/>
    </xf>
    <xf numFmtId="9" fontId="4" fillId="0" borderId="0" xfId="1" applyNumberFormat="1" applyProtection="1"/>
    <xf numFmtId="0" fontId="4" fillId="0" borderId="58" xfId="1" applyBorder="1" applyProtection="1"/>
    <xf numFmtId="0" fontId="4" fillId="0" borderId="57" xfId="1" applyBorder="1" applyProtection="1"/>
    <xf numFmtId="0" fontId="4" fillId="32" borderId="77" xfId="1" applyFill="1" applyBorder="1" applyProtection="1">
      <protection locked="0"/>
    </xf>
    <xf numFmtId="0" fontId="16" fillId="0" borderId="126" xfId="1" applyFont="1" applyBorder="1" applyProtection="1"/>
    <xf numFmtId="0" fontId="13" fillId="0" borderId="127" xfId="1" applyFont="1" applyBorder="1" applyAlignment="1" applyProtection="1">
      <alignment vertical="center"/>
    </xf>
    <xf numFmtId="0" fontId="14" fillId="31" borderId="3" xfId="1" applyFont="1" applyFill="1" applyBorder="1" applyAlignment="1" applyProtection="1">
      <alignment horizontal="center" vertical="center"/>
    </xf>
    <xf numFmtId="9" fontId="16" fillId="31" borderId="127" xfId="1" applyNumberFormat="1" applyFont="1" applyFill="1" applyBorder="1" applyAlignment="1" applyProtection="1">
      <alignment shrinkToFit="1"/>
      <protection locked="0"/>
    </xf>
    <xf numFmtId="0" fontId="44" fillId="0" borderId="149" xfId="1" quotePrefix="1" applyFont="1" applyBorder="1" applyProtection="1"/>
    <xf numFmtId="0" fontId="15" fillId="0" borderId="127" xfId="1" applyFont="1" applyBorder="1" applyAlignment="1" applyProtection="1">
      <alignment horizontal="right"/>
    </xf>
    <xf numFmtId="0" fontId="44" fillId="0" borderId="149" xfId="1" applyFont="1" applyBorder="1" applyProtection="1"/>
    <xf numFmtId="6" fontId="44" fillId="0" borderId="276" xfId="1" applyNumberFormat="1" applyFont="1" applyBorder="1" applyProtection="1"/>
    <xf numFmtId="6" fontId="14" fillId="30" borderId="20" xfId="1" applyNumberFormat="1" applyFont="1" applyFill="1" applyBorder="1" applyAlignment="1" applyProtection="1">
      <alignment horizontal="center"/>
    </xf>
    <xf numFmtId="0" fontId="118" fillId="0" borderId="182" xfId="1" applyFont="1" applyFill="1" applyBorder="1" applyAlignment="1" applyProtection="1">
      <alignment horizontal="center"/>
    </xf>
    <xf numFmtId="0" fontId="14" fillId="44" borderId="40" xfId="1" applyFont="1" applyFill="1" applyBorder="1" applyAlignment="1" applyProtection="1">
      <alignment horizontal="center"/>
    </xf>
    <xf numFmtId="0" fontId="16" fillId="30" borderId="0" xfId="1" applyFont="1" applyFill="1" applyBorder="1" applyProtection="1"/>
    <xf numFmtId="0" fontId="16" fillId="30" borderId="32" xfId="1" applyFont="1" applyFill="1" applyBorder="1" applyProtection="1"/>
    <xf numFmtId="0" fontId="9" fillId="30" borderId="0" xfId="1" applyFont="1" applyFill="1" applyBorder="1" applyAlignment="1" applyProtection="1">
      <alignment horizontal="center" vertical="top" wrapText="1"/>
    </xf>
    <xf numFmtId="0" fontId="5" fillId="30" borderId="257" xfId="1" applyFont="1" applyFill="1" applyBorder="1" applyAlignment="1" applyProtection="1">
      <alignment horizontal="center" vertical="top" wrapText="1"/>
    </xf>
    <xf numFmtId="6" fontId="14" fillId="30" borderId="21" xfId="1" applyNumberFormat="1" applyFont="1" applyFill="1" applyBorder="1" applyAlignment="1" applyProtection="1">
      <alignment horizontal="center"/>
    </xf>
    <xf numFmtId="0" fontId="14" fillId="30" borderId="21" xfId="1" applyFont="1" applyFill="1" applyBorder="1" applyAlignment="1" applyProtection="1">
      <alignment horizontal="center"/>
    </xf>
    <xf numFmtId="1" fontId="14" fillId="2" borderId="0" xfId="1" applyNumberFormat="1" applyFont="1" applyFill="1" applyBorder="1" applyAlignment="1" applyProtection="1">
      <alignment horizontal="center"/>
    </xf>
    <xf numFmtId="0" fontId="14" fillId="30" borderId="276" xfId="1" applyFont="1" applyFill="1" applyBorder="1" applyAlignment="1" applyProtection="1">
      <alignment horizontal="center"/>
    </xf>
    <xf numFmtId="1" fontId="14" fillId="2" borderId="24" xfId="1" quotePrefix="1" applyNumberFormat="1" applyFont="1" applyFill="1" applyBorder="1" applyAlignment="1" applyProtection="1">
      <alignment horizontal="center"/>
    </xf>
    <xf numFmtId="0" fontId="16" fillId="30" borderId="131" xfId="1" applyFont="1" applyFill="1" applyBorder="1" applyProtection="1"/>
    <xf numFmtId="0" fontId="16" fillId="30" borderId="24" xfId="1" applyFont="1" applyFill="1" applyBorder="1" applyProtection="1"/>
    <xf numFmtId="0" fontId="16" fillId="30" borderId="79" xfId="1" applyFont="1" applyFill="1" applyBorder="1" applyProtection="1"/>
    <xf numFmtId="0" fontId="14" fillId="2" borderId="0" xfId="1" applyFont="1" applyFill="1" applyBorder="1" applyAlignment="1" applyProtection="1">
      <alignment horizontal="right"/>
    </xf>
    <xf numFmtId="0" fontId="14" fillId="2" borderId="0" xfId="1" applyFont="1" applyFill="1" applyBorder="1" applyProtection="1"/>
    <xf numFmtId="0" fontId="14" fillId="2" borderId="0" xfId="1" applyFont="1" applyFill="1" applyBorder="1" applyAlignment="1" applyProtection="1">
      <alignment horizontal="center"/>
    </xf>
    <xf numFmtId="0" fontId="16" fillId="0" borderId="0" xfId="1" applyFont="1" applyFill="1" applyProtection="1"/>
    <xf numFmtId="0" fontId="16" fillId="0" borderId="0" xfId="1" applyFont="1" applyFill="1" applyAlignment="1" applyProtection="1">
      <alignment vertical="center"/>
    </xf>
    <xf numFmtId="0" fontId="16" fillId="0" borderId="0" xfId="1" applyFont="1" applyFill="1" applyBorder="1" applyAlignment="1" applyProtection="1">
      <alignment vertical="center"/>
    </xf>
    <xf numFmtId="0" fontId="13" fillId="0" borderId="0" xfId="1" applyFont="1" applyFill="1" applyBorder="1" applyAlignment="1" applyProtection="1">
      <alignment vertical="center"/>
    </xf>
    <xf numFmtId="2" fontId="13" fillId="0" borderId="0" xfId="1" applyNumberFormat="1" applyFont="1" applyFill="1" applyBorder="1" applyAlignment="1" applyProtection="1">
      <alignment vertical="center"/>
    </xf>
    <xf numFmtId="0" fontId="13" fillId="0" borderId="0" xfId="1" applyFont="1" applyFill="1" applyBorder="1" applyAlignment="1" applyProtection="1">
      <alignment horizontal="right" vertical="center"/>
    </xf>
    <xf numFmtId="239" fontId="14" fillId="0" borderId="0" xfId="1" applyNumberFormat="1" applyFont="1" applyFill="1" applyBorder="1" applyAlignment="1" applyProtection="1">
      <alignment horizontal="left" vertical="center"/>
    </xf>
    <xf numFmtId="0" fontId="14" fillId="0" borderId="0" xfId="1" applyFont="1" applyFill="1" applyBorder="1" applyAlignment="1" applyProtection="1">
      <alignment horizontal="center" vertical="center"/>
    </xf>
    <xf numFmtId="2" fontId="13" fillId="31" borderId="189" xfId="1" applyNumberFormat="1" applyFont="1" applyFill="1" applyBorder="1" applyAlignment="1" applyProtection="1">
      <alignment horizontal="center" vertical="center"/>
      <protection locked="0"/>
    </xf>
    <xf numFmtId="0" fontId="168" fillId="0" borderId="95" xfId="1" applyFont="1" applyBorder="1" applyProtection="1"/>
    <xf numFmtId="0" fontId="13" fillId="0" borderId="108" xfId="1" applyFont="1" applyBorder="1" applyAlignment="1" applyProtection="1">
      <alignment vertical="center"/>
    </xf>
    <xf numFmtId="0" fontId="14" fillId="0" borderId="95" xfId="1" applyFont="1" applyFill="1" applyBorder="1" applyAlignment="1" applyProtection="1">
      <alignment horizontal="center" vertical="center"/>
    </xf>
    <xf numFmtId="0" fontId="16" fillId="0" borderId="108" xfId="1" applyFont="1" applyFill="1" applyBorder="1" applyAlignment="1" applyProtection="1">
      <alignment vertical="center"/>
    </xf>
    <xf numFmtId="0" fontId="16" fillId="0" borderId="59" xfId="1" applyFont="1" applyBorder="1" applyAlignment="1" applyProtection="1">
      <alignment vertical="center"/>
    </xf>
    <xf numFmtId="0" fontId="13" fillId="0" borderId="41" xfId="1" applyFont="1" applyBorder="1" applyAlignment="1" applyProtection="1">
      <alignment vertical="center"/>
    </xf>
    <xf numFmtId="2" fontId="13" fillId="0" borderId="279" xfId="1" applyNumberFormat="1" applyFont="1" applyFill="1" applyBorder="1" applyAlignment="1" applyProtection="1">
      <alignment vertical="center"/>
    </xf>
    <xf numFmtId="0" fontId="13" fillId="0" borderId="41" xfId="1" applyFont="1" applyBorder="1" applyAlignment="1" applyProtection="1">
      <alignment horizontal="right" vertical="center"/>
    </xf>
    <xf numFmtId="0" fontId="6" fillId="0" borderId="41" xfId="1" applyFont="1" applyBorder="1" applyAlignment="1" applyProtection="1">
      <alignment vertical="center"/>
    </xf>
    <xf numFmtId="0" fontId="16" fillId="0" borderId="60" xfId="1" applyFont="1" applyBorder="1" applyAlignment="1" applyProtection="1">
      <alignment vertical="center"/>
    </xf>
    <xf numFmtId="0" fontId="168" fillId="2" borderId="0" xfId="1" applyFont="1" applyFill="1" applyAlignment="1" applyProtection="1">
      <alignment vertical="center"/>
    </xf>
    <xf numFmtId="0" fontId="16" fillId="0" borderId="64" xfId="1" applyFont="1" applyBorder="1" applyAlignment="1" applyProtection="1">
      <alignment vertical="center"/>
    </xf>
    <xf numFmtId="2" fontId="13" fillId="0" borderId="9" xfId="1" applyNumberFormat="1" applyFont="1" applyFill="1" applyBorder="1" applyAlignment="1" applyProtection="1">
      <alignment vertical="center"/>
    </xf>
    <xf numFmtId="0" fontId="16" fillId="0" borderId="32" xfId="1" applyFont="1" applyBorder="1" applyAlignment="1" applyProtection="1">
      <alignment vertical="center"/>
    </xf>
    <xf numFmtId="0" fontId="168" fillId="0" borderId="41" xfId="1" applyFont="1" applyFill="1" applyBorder="1" applyAlignment="1" applyProtection="1">
      <alignment vertical="center"/>
    </xf>
    <xf numFmtId="0" fontId="168" fillId="0" borderId="32" xfId="1" applyFont="1" applyBorder="1" applyAlignment="1" applyProtection="1">
      <alignment vertical="center"/>
    </xf>
    <xf numFmtId="1" fontId="14" fillId="0" borderId="24" xfId="1" applyNumberFormat="1" applyFont="1" applyFill="1" applyBorder="1" applyAlignment="1" applyProtection="1">
      <alignment horizontal="center" vertical="center"/>
    </xf>
    <xf numFmtId="0" fontId="13" fillId="0" borderId="79" xfId="1" applyFont="1" applyFill="1" applyBorder="1" applyAlignment="1" applyProtection="1">
      <alignment horizontal="left" vertical="center"/>
    </xf>
    <xf numFmtId="236" fontId="43" fillId="0" borderId="180" xfId="1" applyNumberFormat="1" applyFont="1" applyFill="1" applyBorder="1" applyAlignment="1" applyProtection="1">
      <alignment horizontal="right" vertical="center"/>
    </xf>
    <xf numFmtId="0" fontId="14" fillId="2" borderId="0" xfId="1" applyFont="1" applyFill="1" applyBorder="1" applyAlignment="1" applyProtection="1">
      <alignment horizontal="right" vertical="center"/>
    </xf>
    <xf numFmtId="0" fontId="14" fillId="2" borderId="0" xfId="1" applyFont="1" applyFill="1" applyBorder="1" applyAlignment="1" applyProtection="1">
      <alignment horizontal="center" vertical="center"/>
    </xf>
    <xf numFmtId="1" fontId="14" fillId="0" borderId="41" xfId="1" applyNumberFormat="1" applyFont="1" applyFill="1" applyBorder="1" applyAlignment="1" applyProtection="1">
      <alignment horizontal="center" vertical="center"/>
    </xf>
    <xf numFmtId="0" fontId="13" fillId="0" borderId="60" xfId="1" applyFont="1" applyFill="1" applyBorder="1" applyAlignment="1" applyProtection="1">
      <alignment horizontal="left" vertical="center"/>
    </xf>
    <xf numFmtId="6" fontId="14" fillId="31" borderId="107" xfId="1" applyNumberFormat="1" applyFont="1" applyFill="1" applyBorder="1" applyAlignment="1" applyProtection="1">
      <alignment horizontal="right" vertical="center"/>
      <protection locked="0"/>
    </xf>
    <xf numFmtId="0" fontId="16" fillId="31" borderId="41" xfId="1" applyFont="1" applyFill="1" applyBorder="1" applyAlignment="1" applyProtection="1">
      <alignment vertical="center"/>
    </xf>
    <xf numFmtId="0" fontId="168" fillId="0" borderId="78" xfId="1" applyFont="1" applyBorder="1" applyAlignment="1" applyProtection="1">
      <alignment vertical="center"/>
    </xf>
    <xf numFmtId="0" fontId="168" fillId="0" borderId="24" xfId="1" applyFont="1" applyBorder="1" applyAlignment="1" applyProtection="1">
      <alignment vertical="center"/>
    </xf>
    <xf numFmtId="0" fontId="13" fillId="0" borderId="79" xfId="1" applyFont="1" applyBorder="1" applyAlignment="1" applyProtection="1">
      <alignment vertical="center"/>
    </xf>
    <xf numFmtId="223" fontId="14" fillId="0" borderId="187" xfId="1" applyNumberFormat="1" applyFont="1" applyFill="1" applyBorder="1" applyAlignment="1" applyProtection="1">
      <alignment horizontal="left" vertical="center"/>
    </xf>
    <xf numFmtId="223" fontId="14" fillId="0" borderId="31" xfId="1" applyNumberFormat="1" applyFont="1" applyFill="1" applyBorder="1" applyAlignment="1" applyProtection="1">
      <alignment horizontal="left" vertical="center"/>
    </xf>
    <xf numFmtId="0" fontId="13" fillId="0" borderId="0" xfId="1" applyFont="1" applyFill="1" applyBorder="1" applyAlignment="1" applyProtection="1">
      <alignment horizontal="center" vertical="center"/>
    </xf>
    <xf numFmtId="0" fontId="13" fillId="0" borderId="32" xfId="1" applyFont="1" applyFill="1" applyBorder="1" applyAlignment="1" applyProtection="1">
      <alignment horizontal="right" vertical="center"/>
    </xf>
    <xf numFmtId="225" fontId="4" fillId="2" borderId="3" xfId="1" applyNumberFormat="1" applyFill="1" applyBorder="1" applyProtection="1"/>
    <xf numFmtId="9" fontId="4" fillId="2" borderId="3" xfId="1" applyNumberFormat="1" applyFill="1" applyBorder="1" applyProtection="1"/>
    <xf numFmtId="6" fontId="14" fillId="31" borderId="282" xfId="1" applyNumberFormat="1" applyFont="1" applyFill="1" applyBorder="1" applyAlignment="1" applyProtection="1">
      <alignment horizontal="right" vertical="center"/>
      <protection locked="0"/>
    </xf>
    <xf numFmtId="0" fontId="16" fillId="31" borderId="31" xfId="1" applyFont="1" applyFill="1" applyBorder="1" applyAlignment="1" applyProtection="1">
      <alignment vertical="center"/>
    </xf>
    <xf numFmtId="0" fontId="13" fillId="0" borderId="59" xfId="1" applyFont="1" applyBorder="1" applyAlignment="1" applyProtection="1">
      <alignment vertical="center"/>
    </xf>
    <xf numFmtId="2" fontId="13" fillId="31" borderId="279" xfId="1" applyNumberFormat="1" applyFont="1" applyFill="1" applyBorder="1" applyAlignment="1" applyProtection="1">
      <alignment vertical="center"/>
      <protection locked="0"/>
    </xf>
    <xf numFmtId="0" fontId="4" fillId="2" borderId="3" xfId="1" applyFill="1" applyBorder="1" applyProtection="1"/>
    <xf numFmtId="0" fontId="101" fillId="0" borderId="64" xfId="1" applyFont="1" applyBorder="1" applyAlignment="1" applyProtection="1">
      <alignment vertical="center"/>
    </xf>
    <xf numFmtId="2" fontId="13" fillId="31" borderId="9" xfId="1" applyNumberFormat="1" applyFont="1" applyFill="1" applyBorder="1" applyAlignment="1" applyProtection="1">
      <alignment vertical="center"/>
      <protection locked="0"/>
    </xf>
    <xf numFmtId="0" fontId="116" fillId="0" borderId="0" xfId="1" applyFont="1" applyBorder="1" applyAlignment="1" applyProtection="1">
      <alignment vertical="center"/>
    </xf>
    <xf numFmtId="0" fontId="43" fillId="0" borderId="24" xfId="1" applyFont="1" applyFill="1" applyBorder="1" applyAlignment="1" applyProtection="1">
      <alignment horizontal="center" vertical="center"/>
    </xf>
    <xf numFmtId="0" fontId="172" fillId="0" borderId="79" xfId="1" applyFont="1" applyFill="1" applyBorder="1" applyAlignment="1" applyProtection="1">
      <alignment horizontal="left" vertical="center"/>
    </xf>
    <xf numFmtId="223" fontId="4" fillId="2" borderId="3" xfId="1" applyNumberFormat="1" applyFill="1" applyBorder="1" applyProtection="1"/>
    <xf numFmtId="0" fontId="43" fillId="2" borderId="0" xfId="1" applyFont="1" applyFill="1" applyBorder="1" applyAlignment="1" applyProtection="1">
      <alignment horizontal="center" vertical="center"/>
    </xf>
    <xf numFmtId="0" fontId="16" fillId="31" borderId="91" xfId="1" applyFont="1" applyFill="1" applyBorder="1" applyAlignment="1" applyProtection="1">
      <alignment vertical="center"/>
    </xf>
    <xf numFmtId="241" fontId="6" fillId="31" borderId="9" xfId="1" applyNumberFormat="1" applyFont="1" applyFill="1" applyBorder="1" applyAlignment="1" applyProtection="1">
      <alignment vertical="center"/>
      <protection locked="0"/>
    </xf>
    <xf numFmtId="0" fontId="16" fillId="31" borderId="283" xfId="1" applyFont="1" applyFill="1" applyBorder="1" applyAlignment="1" applyProtection="1">
      <alignment vertical="center"/>
    </xf>
    <xf numFmtId="0" fontId="4" fillId="2" borderId="77" xfId="1" applyFill="1" applyBorder="1" applyProtection="1"/>
    <xf numFmtId="0" fontId="6" fillId="2" borderId="0" xfId="1" applyFont="1" applyFill="1" applyAlignment="1" applyProtection="1">
      <alignment vertical="center"/>
    </xf>
    <xf numFmtId="0" fontId="16" fillId="0" borderId="78" xfId="1" applyFont="1" applyBorder="1" applyAlignment="1" applyProtection="1">
      <alignment vertical="center"/>
    </xf>
    <xf numFmtId="0" fontId="13" fillId="0" borderId="24" xfId="1" applyFont="1" applyBorder="1" applyAlignment="1" applyProtection="1">
      <alignment horizontal="right" vertical="center"/>
    </xf>
    <xf numFmtId="0" fontId="16" fillId="0" borderId="24" xfId="1" applyFont="1" applyBorder="1" applyAlignment="1" applyProtection="1">
      <alignment vertical="center"/>
    </xf>
    <xf numFmtId="0" fontId="168" fillId="2" borderId="0" xfId="1" applyFont="1" applyFill="1" applyProtection="1"/>
    <xf numFmtId="0" fontId="4" fillId="45" borderId="0" xfId="1" applyFill="1"/>
    <xf numFmtId="177" fontId="4" fillId="45" borderId="0" xfId="1" applyNumberFormat="1" applyFill="1"/>
    <xf numFmtId="0" fontId="9" fillId="45" borderId="0" xfId="1" applyFont="1" applyFill="1"/>
    <xf numFmtId="177" fontId="5" fillId="0" borderId="0" xfId="1" applyNumberFormat="1" applyFont="1"/>
    <xf numFmtId="1" fontId="4" fillId="0" borderId="0" xfId="1" applyNumberFormat="1"/>
    <xf numFmtId="3" fontId="4" fillId="37" borderId="0" xfId="1" applyNumberFormat="1" applyFill="1"/>
    <xf numFmtId="3" fontId="4" fillId="46" borderId="0" xfId="1" applyNumberFormat="1" applyFill="1"/>
    <xf numFmtId="0" fontId="4" fillId="46" borderId="0" xfId="1" applyFill="1"/>
    <xf numFmtId="0" fontId="9" fillId="0" borderId="0" xfId="1" applyFont="1" applyAlignment="1">
      <alignment wrapText="1"/>
    </xf>
    <xf numFmtId="10" fontId="4" fillId="46" borderId="0" xfId="1" applyNumberFormat="1" applyFill="1"/>
    <xf numFmtId="0" fontId="17" fillId="0" borderId="0" xfId="1" applyFont="1" applyAlignment="1">
      <alignment horizontal="left" vertical="top"/>
    </xf>
    <xf numFmtId="189" fontId="14" fillId="31" borderId="128" xfId="61" applyNumberFormat="1" applyFont="1" applyFill="1" applyBorder="1" applyAlignment="1" applyProtection="1">
      <alignment vertical="center"/>
      <protection locked="0"/>
    </xf>
    <xf numFmtId="0" fontId="6" fillId="0" borderId="2" xfId="1" applyFont="1" applyBorder="1" applyAlignment="1" applyProtection="1">
      <alignment vertical="center"/>
      <protection locked="0"/>
    </xf>
    <xf numFmtId="0" fontId="6" fillId="0" borderId="39" xfId="1" applyFont="1" applyBorder="1" applyAlignment="1" applyProtection="1">
      <alignment vertical="center"/>
      <protection locked="0"/>
    </xf>
    <xf numFmtId="170" fontId="6" fillId="4" borderId="129" xfId="61" applyNumberFormat="1" applyFont="1" applyFill="1" applyBorder="1" applyAlignment="1" applyProtection="1">
      <alignment vertical="center"/>
    </xf>
    <xf numFmtId="0" fontId="127" fillId="0" borderId="172" xfId="1" applyFont="1" applyBorder="1" applyAlignment="1" applyProtection="1">
      <alignment horizontal="left" vertical="center"/>
    </xf>
    <xf numFmtId="0" fontId="126" fillId="0" borderId="75" xfId="1" applyFont="1" applyBorder="1" applyAlignment="1" applyProtection="1">
      <alignment vertical="center"/>
    </xf>
    <xf numFmtId="0" fontId="126" fillId="0" borderId="76" xfId="1" applyFont="1" applyBorder="1" applyAlignment="1" applyProtection="1">
      <alignment vertical="center"/>
    </xf>
    <xf numFmtId="3" fontId="6" fillId="0" borderId="66" xfId="0" applyNumberFormat="1" applyFont="1" applyFill="1" applyBorder="1" applyAlignment="1" applyProtection="1">
      <alignment vertical="center"/>
    </xf>
    <xf numFmtId="0" fontId="4" fillId="0" borderId="0" xfId="1" applyBorder="1" applyAlignment="1" applyProtection="1">
      <alignment vertical="center"/>
    </xf>
    <xf numFmtId="0" fontId="9" fillId="0" borderId="0" xfId="1" applyFont="1" applyBorder="1" applyAlignment="1">
      <alignment horizontal="left" vertical="center"/>
    </xf>
    <xf numFmtId="3" fontId="31" fillId="0" borderId="0" xfId="1" applyNumberFormat="1" applyFont="1" applyAlignment="1">
      <alignment vertical="center" shrinkToFit="1"/>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1" fillId="30" borderId="8" xfId="1" applyNumberFormat="1" applyFont="1" applyFill="1" applyBorder="1" applyAlignment="1">
      <alignment horizontal="center"/>
    </xf>
    <xf numFmtId="3" fontId="111" fillId="30" borderId="58" xfId="1" applyNumberFormat="1" applyFont="1" applyFill="1" applyBorder="1" applyAlignment="1">
      <alignment horizontal="center"/>
    </xf>
    <xf numFmtId="0" fontId="110" fillId="0" borderId="44" xfId="1" applyFont="1" applyBorder="1" applyAlignment="1">
      <alignment horizontal="center"/>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188" fontId="6" fillId="0" borderId="19"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13" fillId="0" borderId="58" xfId="1" applyNumberFormat="1" applyFont="1" applyBorder="1" applyAlignment="1">
      <alignment horizontal="right" vertical="center"/>
    </xf>
    <xf numFmtId="190" fontId="111" fillId="30" borderId="8" xfId="1" applyNumberFormat="1" applyFont="1" applyFill="1" applyBorder="1" applyAlignment="1"/>
    <xf numFmtId="0" fontId="117" fillId="49" borderId="0" xfId="1" applyFont="1" applyFill="1" applyBorder="1" applyAlignment="1">
      <alignment horizontal="center" vertical="center"/>
    </xf>
    <xf numFmtId="0" fontId="115" fillId="49" borderId="0" xfId="1" applyFont="1" applyFill="1" applyBorder="1" applyAlignment="1">
      <alignment vertical="center"/>
    </xf>
    <xf numFmtId="172" fontId="16" fillId="49" borderId="0" xfId="1" applyNumberFormat="1" applyFont="1" applyFill="1" applyBorder="1" applyAlignment="1">
      <alignment horizontal="right" vertical="center"/>
    </xf>
    <xf numFmtId="0" fontId="4" fillId="49" borderId="0" xfId="1" applyFill="1" applyBorder="1" applyAlignment="1">
      <alignment vertical="center"/>
    </xf>
    <xf numFmtId="0" fontId="4" fillId="49" borderId="2" xfId="1" applyFill="1" applyBorder="1" applyAlignment="1">
      <alignment vertical="center"/>
    </xf>
    <xf numFmtId="0" fontId="4" fillId="49" borderId="0" xfId="1" applyFill="1" applyBorder="1" applyAlignment="1" applyProtection="1">
      <alignment vertical="center"/>
    </xf>
    <xf numFmtId="0" fontId="4" fillId="49" borderId="0" xfId="1" applyFill="1" applyAlignment="1">
      <alignment vertical="center"/>
    </xf>
    <xf numFmtId="0" fontId="9" fillId="49" borderId="23" xfId="1" applyFont="1" applyFill="1" applyBorder="1" applyAlignment="1">
      <alignment vertical="center"/>
    </xf>
    <xf numFmtId="203" fontId="6" fillId="49" borderId="0" xfId="1" applyNumberFormat="1" applyFont="1" applyFill="1" applyBorder="1" applyAlignment="1">
      <alignment horizontal="right" vertical="center"/>
    </xf>
    <xf numFmtId="188" fontId="6" fillId="49" borderId="0" xfId="61" applyNumberFormat="1" applyFont="1" applyFill="1" applyBorder="1" applyAlignment="1">
      <alignment horizontal="right" vertical="center"/>
    </xf>
    <xf numFmtId="188" fontId="6" fillId="49" borderId="0" xfId="1" applyNumberFormat="1" applyFont="1" applyFill="1" applyBorder="1" applyAlignment="1">
      <alignment horizontal="right" vertical="center"/>
    </xf>
    <xf numFmtId="172" fontId="6" fillId="49" borderId="0" xfId="1" applyNumberFormat="1" applyFont="1" applyFill="1" applyBorder="1" applyAlignment="1">
      <alignment horizontal="right" vertical="center"/>
    </xf>
    <xf numFmtId="0" fontId="20" fillId="49" borderId="0" xfId="1" applyFont="1" applyFill="1" applyAlignment="1">
      <alignment horizontal="center" vertical="center"/>
    </xf>
    <xf numFmtId="0" fontId="20" fillId="49" borderId="0" xfId="1" applyFont="1" applyFill="1" applyBorder="1" applyAlignment="1">
      <alignment vertical="center"/>
    </xf>
    <xf numFmtId="0" fontId="9" fillId="49" borderId="0" xfId="1" applyFont="1" applyFill="1" applyBorder="1" applyAlignment="1">
      <alignment horizontal="right" vertical="center"/>
    </xf>
    <xf numFmtId="0" fontId="9" fillId="49" borderId="0" xfId="1" applyFont="1" applyFill="1" applyBorder="1" applyAlignment="1">
      <alignment horizontal="left" vertical="center"/>
    </xf>
    <xf numFmtId="0" fontId="111" fillId="49" borderId="23" xfId="1" applyFont="1" applyFill="1" applyBorder="1" applyAlignment="1">
      <alignment horizontal="center" wrapText="1"/>
    </xf>
    <xf numFmtId="0" fontId="111" fillId="49" borderId="23" xfId="1" applyFont="1" applyFill="1" applyBorder="1"/>
    <xf numFmtId="0" fontId="112" fillId="49" borderId="0" xfId="1" applyFont="1" applyFill="1" applyAlignment="1">
      <alignment wrapText="1"/>
    </xf>
    <xf numFmtId="0" fontId="4" fillId="49" borderId="0" xfId="1" applyFill="1"/>
    <xf numFmtId="0" fontId="4" fillId="33" borderId="23" xfId="1" applyFill="1" applyBorder="1" applyAlignment="1" applyProtection="1">
      <alignment vertical="center"/>
    </xf>
    <xf numFmtId="0" fontId="4" fillId="33" borderId="23" xfId="1" applyFill="1" applyBorder="1" applyAlignment="1">
      <alignment vertical="center"/>
    </xf>
    <xf numFmtId="0" fontId="4" fillId="33" borderId="42" xfId="1" applyFill="1" applyBorder="1" applyAlignment="1">
      <alignment vertical="center"/>
    </xf>
    <xf numFmtId="0" fontId="9" fillId="0" borderId="65" xfId="1" applyFont="1" applyBorder="1" applyAlignment="1">
      <alignment vertical="center"/>
    </xf>
    <xf numFmtId="172" fontId="111" fillId="0" borderId="8" xfId="1" applyNumberFormat="1" applyFont="1" applyBorder="1" applyAlignment="1"/>
    <xf numFmtId="0" fontId="9" fillId="0" borderId="42" xfId="1" applyFont="1" applyBorder="1" applyAlignment="1">
      <alignment vertical="center"/>
    </xf>
    <xf numFmtId="0" fontId="9" fillId="49" borderId="39" xfId="1" applyFont="1" applyFill="1" applyBorder="1" applyAlignment="1">
      <alignment horizontal="left" vertical="center"/>
    </xf>
    <xf numFmtId="0" fontId="16" fillId="33" borderId="2" xfId="1" applyFont="1" applyFill="1" applyBorder="1" applyAlignment="1">
      <alignment vertical="center"/>
    </xf>
    <xf numFmtId="0" fontId="0" fillId="49" borderId="0" xfId="0" applyFill="1" applyAlignment="1">
      <alignment vertical="center"/>
    </xf>
    <xf numFmtId="0" fontId="4" fillId="49" borderId="0" xfId="0" applyFont="1" applyFill="1" applyAlignment="1">
      <alignment vertical="center"/>
    </xf>
    <xf numFmtId="171" fontId="0" fillId="49" borderId="0" xfId="0" applyNumberFormat="1" applyFill="1" applyAlignment="1">
      <alignment vertical="center"/>
    </xf>
    <xf numFmtId="172" fontId="0" fillId="49" borderId="0" xfId="0" applyNumberFormat="1" applyFill="1" applyAlignment="1">
      <alignment vertical="center"/>
    </xf>
    <xf numFmtId="185" fontId="0" fillId="49" borderId="0" xfId="0" applyNumberFormat="1" applyFill="1" applyAlignment="1">
      <alignment vertical="center"/>
    </xf>
    <xf numFmtId="200" fontId="0" fillId="49" borderId="0" xfId="0" applyNumberFormat="1" applyFill="1" applyAlignment="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9" fillId="33" borderId="40" xfId="1" applyFont="1" applyFill="1" applyBorder="1" applyAlignment="1" applyProtection="1">
      <alignment horizontal="left" vertical="center"/>
    </xf>
    <xf numFmtId="0" fontId="9" fillId="33" borderId="0" xfId="1" applyFont="1" applyFill="1" applyBorder="1" applyAlignment="1" applyProtection="1">
      <alignment horizontal="left" vertical="center"/>
    </xf>
    <xf numFmtId="0" fontId="9" fillId="33" borderId="19"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39" xfId="1" applyFont="1" applyFill="1" applyBorder="1" applyAlignment="1" applyProtection="1">
      <alignment horizontal="left" vertical="center" wrapText="1"/>
    </xf>
    <xf numFmtId="0" fontId="9" fillId="33" borderId="2" xfId="1" applyFont="1" applyFill="1" applyBorder="1" applyAlignment="1" applyProtection="1">
      <alignment horizontal="left" vertical="center" wrapText="1"/>
    </xf>
    <xf numFmtId="0" fontId="9" fillId="33" borderId="44" xfId="1" applyFont="1" applyFill="1" applyBorder="1" applyAlignment="1" applyProtection="1">
      <alignment horizontal="left" vertical="center" wrapText="1"/>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6" fillId="0" borderId="23" xfId="1" applyFont="1" applyBorder="1" applyAlignment="1" applyProtection="1">
      <alignment horizontal="left" vertical="center"/>
    </xf>
    <xf numFmtId="188" fontId="14" fillId="0" borderId="23" xfId="61" applyNumberFormat="1" applyFont="1" applyBorder="1" applyAlignment="1" applyProtection="1">
      <alignment vertical="center"/>
    </xf>
    <xf numFmtId="188" fontId="14" fillId="27" borderId="23" xfId="61" applyNumberFormat="1" applyFont="1" applyFill="1" applyBorder="1" applyAlignment="1" applyProtection="1">
      <alignment vertical="center"/>
    </xf>
    <xf numFmtId="0" fontId="9" fillId="33" borderId="40" xfId="0" applyFont="1" applyFill="1" applyBorder="1" applyAlignment="1" applyProtection="1">
      <alignment vertical="center"/>
    </xf>
    <xf numFmtId="0" fontId="0" fillId="0" borderId="0" xfId="0" applyAlignment="1" applyProtection="1">
      <alignment vertical="center"/>
    </xf>
    <xf numFmtId="0" fontId="0" fillId="0" borderId="19" xfId="0" applyBorder="1" applyAlignment="1" applyProtection="1">
      <alignment vertical="center"/>
    </xf>
    <xf numFmtId="0" fontId="9" fillId="33" borderId="40" xfId="1" applyFont="1" applyFill="1" applyBorder="1" applyAlignment="1" applyProtection="1">
      <alignment vertical="center"/>
    </xf>
    <xf numFmtId="0" fontId="9" fillId="33" borderId="0" xfId="1" applyFont="1" applyFill="1" applyBorder="1" applyAlignment="1" applyProtection="1">
      <alignment vertical="center"/>
    </xf>
    <xf numFmtId="0" fontId="9" fillId="33" borderId="19" xfId="1" applyFont="1" applyFill="1" applyBorder="1" applyAlignment="1" applyProtection="1">
      <alignment vertical="center"/>
    </xf>
    <xf numFmtId="0" fontId="13" fillId="27" borderId="0" xfId="1" applyFont="1" applyFill="1" applyBorder="1" applyAlignment="1" applyProtection="1">
      <alignment vertical="center"/>
    </xf>
    <xf numFmtId="0" fontId="9" fillId="33" borderId="39" xfId="1" applyFont="1" applyFill="1" applyBorder="1" applyAlignment="1" applyProtection="1">
      <alignment vertical="center" wrapText="1"/>
    </xf>
    <xf numFmtId="0" fontId="9" fillId="33" borderId="2" xfId="1" applyFont="1" applyFill="1" applyBorder="1" applyAlignment="1" applyProtection="1">
      <alignment vertical="center" wrapText="1"/>
    </xf>
    <xf numFmtId="0" fontId="9" fillId="33" borderId="44" xfId="1" applyFont="1" applyFill="1" applyBorder="1" applyAlignment="1" applyProtection="1">
      <alignment vertical="center" wrapText="1"/>
    </xf>
    <xf numFmtId="20" fontId="9" fillId="33" borderId="43" xfId="0" applyNumberFormat="1" applyFont="1" applyFill="1" applyBorder="1" applyAlignment="1" applyProtection="1">
      <alignment vertical="center"/>
    </xf>
    <xf numFmtId="20" fontId="0" fillId="0" borderId="23" xfId="0" applyNumberFormat="1" applyBorder="1" applyAlignment="1" applyProtection="1">
      <alignment vertical="center"/>
    </xf>
    <xf numFmtId="20" fontId="0" fillId="0" borderId="42" xfId="0" applyNumberFormat="1" applyBorder="1" applyAlignment="1" applyProtection="1">
      <alignment vertical="center"/>
    </xf>
    <xf numFmtId="0" fontId="9" fillId="33" borderId="39" xfId="1" applyFont="1" applyFill="1" applyBorder="1" applyAlignment="1" applyProtection="1">
      <alignment horizontal="left" vertical="center"/>
    </xf>
    <xf numFmtId="0" fontId="44" fillId="0" borderId="57" xfId="1" applyFont="1" applyBorder="1" applyAlignment="1" applyProtection="1">
      <alignment vertical="center"/>
    </xf>
    <xf numFmtId="188" fontId="6" fillId="0" borderId="43" xfId="61" applyNumberFormat="1" applyFont="1" applyBorder="1" applyAlignment="1" applyProtection="1">
      <alignment vertical="center"/>
    </xf>
    <xf numFmtId="188" fontId="6" fillId="27" borderId="43" xfId="61" applyNumberFormat="1" applyFont="1" applyFill="1" applyBorder="1" applyAlignment="1" applyProtection="1">
      <alignment vertical="center"/>
    </xf>
    <xf numFmtId="0" fontId="9" fillId="33" borderId="43" xfId="0" applyFont="1" applyFill="1" applyBorder="1" applyAlignment="1" applyProtection="1">
      <alignment vertical="center"/>
    </xf>
    <xf numFmtId="0" fontId="0" fillId="0" borderId="23" xfId="0" applyBorder="1" applyAlignment="1" applyProtection="1">
      <alignment vertical="center"/>
    </xf>
    <xf numFmtId="0" fontId="0" fillId="0" borderId="42" xfId="0" applyBorder="1" applyAlignment="1" applyProtection="1">
      <alignment vertical="center"/>
    </xf>
    <xf numFmtId="210" fontId="6" fillId="0" borderId="43" xfId="1" applyNumberFormat="1" applyFont="1" applyBorder="1" applyAlignment="1" applyProtection="1">
      <alignment horizontal="right" vertical="center"/>
    </xf>
    <xf numFmtId="210" fontId="14" fillId="0" borderId="23" xfId="1" applyNumberFormat="1" applyFont="1" applyBorder="1" applyAlignment="1" applyProtection="1">
      <alignment horizontal="right" vertical="center"/>
    </xf>
    <xf numFmtId="210" fontId="6" fillId="27" borderId="43" xfId="1" applyNumberFormat="1" applyFont="1" applyFill="1" applyBorder="1" applyAlignment="1" applyProtection="1">
      <alignment horizontal="right" vertical="center"/>
    </xf>
    <xf numFmtId="210" fontId="14" fillId="27" borderId="23" xfId="1" applyNumberFormat="1" applyFont="1" applyFill="1" applyBorder="1" applyAlignment="1" applyProtection="1">
      <alignment horizontal="right" vertical="center"/>
    </xf>
    <xf numFmtId="0" fontId="5" fillId="0" borderId="0" xfId="1" applyFont="1" applyAlignment="1" applyProtection="1">
      <alignment vertical="center"/>
    </xf>
    <xf numFmtId="0" fontId="5" fillId="0" borderId="77"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4" fillId="50" borderId="79" xfId="1" applyFill="1" applyBorder="1" applyAlignment="1">
      <alignment vertical="center"/>
    </xf>
    <xf numFmtId="185" fontId="132" fillId="50" borderId="32" xfId="1" applyNumberFormat="1" applyFont="1" applyFill="1" applyBorder="1" applyAlignment="1" applyProtection="1">
      <alignment horizontal="left" vertical="center"/>
    </xf>
    <xf numFmtId="185" fontId="132" fillId="50" borderId="0" xfId="1" applyNumberFormat="1" applyFont="1" applyFill="1" applyBorder="1" applyAlignment="1" applyProtection="1">
      <alignment horizontal="left" vertical="center"/>
    </xf>
    <xf numFmtId="0" fontId="9" fillId="50" borderId="64" xfId="1" applyFont="1" applyFill="1" applyBorder="1" applyAlignment="1" applyProtection="1">
      <alignment vertical="center"/>
    </xf>
    <xf numFmtId="0" fontId="20" fillId="50" borderId="32" xfId="1" applyFont="1" applyFill="1" applyBorder="1" applyAlignment="1" applyProtection="1">
      <alignment vertical="center"/>
    </xf>
    <xf numFmtId="0" fontId="20" fillId="50" borderId="0" xfId="1" applyFont="1" applyFill="1" applyBorder="1" applyAlignment="1" applyProtection="1">
      <alignment vertical="center"/>
    </xf>
    <xf numFmtId="0" fontId="20" fillId="50" borderId="59" xfId="1" applyFont="1" applyFill="1" applyBorder="1" applyAlignment="1" applyProtection="1">
      <alignment horizontal="right" vertical="center"/>
    </xf>
    <xf numFmtId="0" fontId="9" fillId="50" borderId="288" xfId="1" applyFont="1" applyFill="1" applyBorder="1" applyAlignment="1" applyProtection="1">
      <alignment vertical="center"/>
    </xf>
    <xf numFmtId="0" fontId="4" fillId="50" borderId="24" xfId="1" applyFill="1" applyBorder="1" applyAlignment="1">
      <alignment vertical="center"/>
    </xf>
    <xf numFmtId="0" fontId="4" fillId="50" borderId="78" xfId="1" applyFill="1" applyBorder="1" applyAlignment="1">
      <alignment horizontal="left" vertical="center"/>
    </xf>
    <xf numFmtId="0" fontId="4" fillId="0" borderId="0" xfId="1" applyFont="1" applyBorder="1" applyAlignment="1" applyProtection="1">
      <alignment vertical="top"/>
    </xf>
    <xf numFmtId="0" fontId="4" fillId="0" borderId="0" xfId="1" applyFont="1" applyProtection="1"/>
    <xf numFmtId="0" fontId="4" fillId="0" borderId="0" xfId="1" applyFont="1" applyBorder="1" applyAlignment="1" applyProtection="1">
      <alignment horizontal="left" vertical="top"/>
    </xf>
    <xf numFmtId="0" fontId="4" fillId="0" borderId="0" xfId="1" applyFont="1" applyAlignment="1" applyProtection="1">
      <alignment vertical="top"/>
    </xf>
    <xf numFmtId="0" fontId="4" fillId="33" borderId="0" xfId="1" applyFont="1" applyFill="1" applyBorder="1" applyAlignment="1" applyProtection="1">
      <alignment vertical="top"/>
    </xf>
    <xf numFmtId="0" fontId="4" fillId="0" borderId="0" xfId="1" applyFont="1" applyAlignment="1" applyProtection="1">
      <alignment vertical="center"/>
    </xf>
    <xf numFmtId="0" fontId="4" fillId="31" borderId="0" xfId="1" applyFont="1" applyFill="1"/>
    <xf numFmtId="0" fontId="4" fillId="0" borderId="0" xfId="1" applyFont="1" applyBorder="1" applyAlignment="1" applyProtection="1">
      <alignment vertical="center"/>
    </xf>
    <xf numFmtId="0" fontId="4" fillId="0" borderId="0" xfId="1" applyFont="1" applyBorder="1" applyAlignment="1" applyProtection="1">
      <alignment horizontal="left" vertical="center"/>
    </xf>
    <xf numFmtId="1" fontId="43" fillId="31" borderId="23" xfId="131" applyNumberFormat="1" applyFont="1" applyFill="1" applyBorder="1" applyAlignment="1" applyProtection="1">
      <alignment horizontal="center" vertical="center"/>
      <protection locked="0"/>
    </xf>
    <xf numFmtId="1" fontId="43" fillId="31" borderId="42" xfId="131" applyNumberFormat="1" applyFont="1" applyFill="1" applyBorder="1" applyAlignment="1" applyProtection="1">
      <alignment horizontal="center" vertical="center"/>
      <protection locked="0"/>
    </xf>
    <xf numFmtId="189" fontId="14" fillId="0" borderId="42" xfId="131" applyNumberFormat="1" applyFont="1" applyBorder="1" applyAlignment="1" applyProtection="1">
      <alignment vertical="center"/>
    </xf>
    <xf numFmtId="189" fontId="14" fillId="27" borderId="42" xfId="131" applyNumberFormat="1" applyFont="1" applyFill="1" applyBorder="1" applyAlignment="1" applyProtection="1">
      <alignment vertical="center"/>
    </xf>
    <xf numFmtId="0" fontId="4" fillId="0" borderId="161" xfId="105" applyFont="1" applyBorder="1" applyAlignment="1" applyProtection="1">
      <alignment horizontal="center" vertical="center"/>
    </xf>
    <xf numFmtId="188" fontId="4" fillId="0" borderId="166" xfId="1" applyNumberFormat="1" applyFont="1" applyBorder="1" applyAlignment="1" applyProtection="1">
      <alignment horizontal="center" vertical="center"/>
    </xf>
    <xf numFmtId="188" fontId="4" fillId="0" borderId="161" xfId="1" applyNumberFormat="1" applyFont="1" applyBorder="1" applyAlignment="1" applyProtection="1">
      <alignment horizontal="center" vertical="center"/>
    </xf>
    <xf numFmtId="189" fontId="14" fillId="0" borderId="19" xfId="131" applyNumberFormat="1" applyFont="1" applyBorder="1" applyAlignment="1" applyProtection="1">
      <alignment vertical="center"/>
    </xf>
    <xf numFmtId="188" fontId="4" fillId="27" borderId="166" xfId="1" applyNumberFormat="1" applyFont="1" applyFill="1" applyBorder="1" applyAlignment="1" applyProtection="1">
      <alignment horizontal="center" vertical="center"/>
    </xf>
    <xf numFmtId="188" fontId="4" fillId="27" borderId="161" xfId="1" applyNumberFormat="1" applyFont="1" applyFill="1" applyBorder="1" applyAlignment="1" applyProtection="1">
      <alignment horizontal="center" vertical="center"/>
    </xf>
    <xf numFmtId="189" fontId="14" fillId="27" borderId="19" xfId="131" applyNumberFormat="1" applyFont="1" applyFill="1" applyBorder="1" applyAlignment="1" applyProtection="1">
      <alignment vertical="center"/>
    </xf>
    <xf numFmtId="180" fontId="6" fillId="31" borderId="65" xfId="105" applyNumberFormat="1" applyFont="1" applyFill="1" applyBorder="1" applyAlignment="1" applyProtection="1">
      <alignment horizontal="right" vertical="center"/>
      <protection locked="0"/>
    </xf>
    <xf numFmtId="189" fontId="6" fillId="0" borderId="163" xfId="131" applyNumberFormat="1" applyFont="1" applyBorder="1" applyAlignment="1" applyProtection="1">
      <alignment vertical="center"/>
    </xf>
    <xf numFmtId="189" fontId="6" fillId="27" borderId="163" xfId="131" applyNumberFormat="1" applyFont="1" applyFill="1" applyBorder="1" applyAlignment="1" applyProtection="1">
      <alignment vertical="center"/>
    </xf>
    <xf numFmtId="215" fontId="6" fillId="31" borderId="2" xfId="131" applyNumberFormat="1" applyFont="1" applyFill="1" applyBorder="1" applyAlignment="1" applyProtection="1">
      <alignment horizontal="right" vertical="center"/>
      <protection locked="0"/>
    </xf>
    <xf numFmtId="189" fontId="6" fillId="0" borderId="62" xfId="131" applyNumberFormat="1" applyFont="1" applyBorder="1" applyAlignment="1" applyProtection="1">
      <alignment vertical="center"/>
    </xf>
    <xf numFmtId="215" fontId="6" fillId="31" borderId="39" xfId="131" applyNumberFormat="1" applyFont="1" applyFill="1" applyBorder="1" applyAlignment="1" applyProtection="1">
      <alignment horizontal="right" vertical="center"/>
      <protection locked="0"/>
    </xf>
    <xf numFmtId="189" fontId="6" fillId="27" borderId="62" xfId="131" applyNumberFormat="1" applyFont="1" applyFill="1" applyBorder="1" applyAlignment="1" applyProtection="1">
      <alignment vertical="center"/>
    </xf>
    <xf numFmtId="189" fontId="6" fillId="0" borderId="70" xfId="131" applyNumberFormat="1" applyFont="1" applyBorder="1" applyAlignment="1" applyProtection="1">
      <alignment horizontal="center" vertical="center"/>
    </xf>
    <xf numFmtId="189" fontId="6" fillId="0" borderId="0" xfId="131" applyNumberFormat="1" applyFont="1" applyBorder="1" applyAlignment="1" applyProtection="1">
      <alignment vertical="center"/>
    </xf>
    <xf numFmtId="189" fontId="6" fillId="0" borderId="72" xfId="131" applyNumberFormat="1" applyFont="1" applyBorder="1" applyAlignment="1" applyProtection="1">
      <alignment horizontal="center" vertical="center"/>
    </xf>
    <xf numFmtId="189" fontId="6" fillId="27" borderId="0" xfId="131" applyNumberFormat="1" applyFont="1" applyFill="1" applyBorder="1" applyAlignment="1" applyProtection="1">
      <alignment vertical="center"/>
    </xf>
    <xf numFmtId="189" fontId="6" fillId="0" borderId="66" xfId="131" applyNumberFormat="1" applyFont="1" applyBorder="1" applyAlignment="1" applyProtection="1">
      <alignment horizontal="center" vertical="center"/>
    </xf>
    <xf numFmtId="189" fontId="6" fillId="0" borderId="39" xfId="131" applyNumberFormat="1" applyFont="1" applyBorder="1" applyAlignment="1" applyProtection="1">
      <alignment horizontal="center" vertical="center"/>
    </xf>
    <xf numFmtId="3" fontId="6" fillId="0" borderId="61" xfId="131" applyNumberFormat="1" applyFont="1" applyFill="1" applyBorder="1" applyAlignment="1" applyProtection="1">
      <alignment horizontal="right" vertical="center"/>
    </xf>
    <xf numFmtId="189" fontId="6" fillId="0" borderId="2" xfId="131" applyNumberFormat="1" applyFont="1" applyBorder="1" applyAlignment="1" applyProtection="1">
      <alignment horizontal="center" vertical="center"/>
    </xf>
    <xf numFmtId="3" fontId="6" fillId="31" borderId="61" xfId="131" applyNumberFormat="1" applyFont="1" applyFill="1" applyBorder="1" applyAlignment="1" applyProtection="1">
      <alignment horizontal="center" vertical="center"/>
      <protection locked="0"/>
    </xf>
    <xf numFmtId="188" fontId="14" fillId="0" borderId="43" xfId="131" applyNumberFormat="1" applyFont="1" applyBorder="1" applyAlignment="1" applyProtection="1">
      <alignment vertical="center"/>
    </xf>
    <xf numFmtId="188" fontId="14" fillId="0" borderId="0" xfId="131" applyNumberFormat="1" applyFont="1" applyBorder="1" applyAlignment="1" applyProtection="1">
      <alignment vertical="center"/>
    </xf>
    <xf numFmtId="188" fontId="14" fillId="27" borderId="43" xfId="131" applyNumberFormat="1" applyFont="1" applyFill="1" applyBorder="1" applyAlignment="1" applyProtection="1">
      <alignment vertical="center"/>
    </xf>
    <xf numFmtId="188" fontId="14" fillId="27" borderId="0" xfId="131" applyNumberFormat="1" applyFont="1" applyFill="1" applyBorder="1" applyAlignment="1" applyProtection="1">
      <alignment vertical="center"/>
    </xf>
    <xf numFmtId="188" fontId="6" fillId="31" borderId="40" xfId="131" applyNumberFormat="1" applyFont="1" applyFill="1" applyBorder="1" applyAlignment="1" applyProtection="1">
      <alignment vertical="center"/>
      <protection locked="0"/>
    </xf>
    <xf numFmtId="188" fontId="14" fillId="0" borderId="40" xfId="131" applyNumberFormat="1" applyFont="1" applyBorder="1" applyAlignment="1" applyProtection="1">
      <alignment vertical="center"/>
    </xf>
    <xf numFmtId="188" fontId="14" fillId="27" borderId="40" xfId="131" applyNumberFormat="1" applyFont="1" applyFill="1" applyBorder="1" applyAlignment="1" applyProtection="1">
      <alignment vertical="center"/>
    </xf>
    <xf numFmtId="188" fontId="6" fillId="0" borderId="40" xfId="131" applyNumberFormat="1" applyFont="1" applyBorder="1" applyAlignment="1" applyProtection="1">
      <alignment vertical="center"/>
    </xf>
    <xf numFmtId="188" fontId="6" fillId="27" borderId="40" xfId="131" applyNumberFormat="1" applyFont="1" applyFill="1" applyBorder="1" applyAlignment="1" applyProtection="1">
      <alignment vertical="center"/>
    </xf>
    <xf numFmtId="188" fontId="6" fillId="4" borderId="77" xfId="131" applyNumberFormat="1" applyFont="1" applyFill="1" applyBorder="1" applyAlignment="1" applyProtection="1">
      <alignment vertical="center"/>
    </xf>
    <xf numFmtId="170" fontId="6" fillId="4" borderId="57" xfId="131" applyNumberFormat="1" applyFont="1" applyFill="1" applyBorder="1" applyAlignment="1" applyProtection="1">
      <alignment vertical="center"/>
    </xf>
    <xf numFmtId="189" fontId="14" fillId="31" borderId="58" xfId="131" applyNumberFormat="1" applyFont="1" applyFill="1" applyBorder="1" applyAlignment="1" applyProtection="1">
      <alignment vertical="center"/>
      <protection locked="0"/>
    </xf>
    <xf numFmtId="188" fontId="6" fillId="27" borderId="77" xfId="131" applyNumberFormat="1" applyFont="1" applyFill="1" applyBorder="1" applyAlignment="1" applyProtection="1">
      <alignment vertical="center"/>
    </xf>
    <xf numFmtId="170" fontId="6" fillId="27" borderId="57" xfId="131" applyNumberFormat="1" applyFont="1" applyFill="1" applyBorder="1" applyAlignment="1" applyProtection="1">
      <alignment vertical="center"/>
    </xf>
    <xf numFmtId="0" fontId="4" fillId="0" borderId="164" xfId="105" applyFont="1" applyBorder="1" applyAlignment="1" applyProtection="1">
      <alignment horizontal="center" vertical="center"/>
    </xf>
    <xf numFmtId="0" fontId="4" fillId="27" borderId="0" xfId="1" applyFont="1" applyFill="1" applyBorder="1" applyAlignment="1" applyProtection="1">
      <alignment vertical="center"/>
    </xf>
    <xf numFmtId="242" fontId="6" fillId="31" borderId="67" xfId="1" applyNumberFormat="1" applyFont="1" applyFill="1" applyBorder="1" applyAlignment="1" applyProtection="1">
      <alignment horizontal="right" vertical="center"/>
      <protection locked="0"/>
    </xf>
    <xf numFmtId="0" fontId="4" fillId="0" borderId="65" xfId="1" applyFont="1" applyBorder="1" applyAlignment="1" applyProtection="1">
      <alignment horizontal="center" vertical="center"/>
    </xf>
    <xf numFmtId="0" fontId="4" fillId="0" borderId="82" xfId="1" applyFont="1" applyBorder="1" applyAlignment="1" applyProtection="1">
      <alignment horizontal="center" vertical="center"/>
    </xf>
    <xf numFmtId="189" fontId="14" fillId="0" borderId="0" xfId="131" applyNumberFormat="1" applyFont="1" applyBorder="1" applyAlignment="1" applyProtection="1">
      <alignment vertical="center"/>
    </xf>
    <xf numFmtId="189" fontId="14" fillId="27" borderId="0" xfId="131" applyNumberFormat="1" applyFont="1" applyFill="1" applyBorder="1" applyAlignment="1" applyProtection="1">
      <alignment vertical="center"/>
    </xf>
    <xf numFmtId="0" fontId="4" fillId="0" borderId="0" xfId="105" applyFont="1" applyBorder="1" applyAlignment="1" applyProtection="1">
      <alignment vertical="center"/>
    </xf>
    <xf numFmtId="0" fontId="4" fillId="0" borderId="122" xfId="105" applyFont="1" applyBorder="1" applyAlignment="1" applyProtection="1">
      <alignment horizontal="center" vertical="center"/>
    </xf>
    <xf numFmtId="0" fontId="4" fillId="0" borderId="91" xfId="1" applyFont="1" applyBorder="1" applyProtection="1"/>
    <xf numFmtId="0" fontId="4" fillId="0" borderId="166" xfId="105" applyFont="1" applyBorder="1" applyAlignment="1" applyProtection="1">
      <alignment horizontal="center" vertical="center"/>
    </xf>
    <xf numFmtId="0" fontId="4" fillId="27" borderId="166" xfId="105" applyFont="1" applyFill="1" applyBorder="1" applyAlignment="1" applyProtection="1">
      <alignment horizontal="center" vertical="center"/>
    </xf>
    <xf numFmtId="2" fontId="6" fillId="31" borderId="67" xfId="105" applyNumberFormat="1" applyFont="1" applyFill="1" applyBorder="1" applyAlignment="1" applyProtection="1">
      <alignment vertical="center"/>
      <protection locked="0"/>
    </xf>
    <xf numFmtId="2" fontId="6" fillId="31" borderId="63" xfId="105" applyNumberFormat="1" applyFont="1" applyFill="1" applyBorder="1" applyAlignment="1" applyProtection="1">
      <alignment vertical="center"/>
      <protection locked="0"/>
    </xf>
    <xf numFmtId="170" fontId="13" fillId="0" borderId="19" xfId="131" applyNumberFormat="1" applyFont="1" applyBorder="1" applyAlignment="1" applyProtection="1">
      <alignment vertical="center"/>
    </xf>
    <xf numFmtId="170" fontId="13" fillId="27" borderId="19" xfId="131" applyNumberFormat="1" applyFont="1" applyFill="1" applyBorder="1" applyAlignment="1" applyProtection="1">
      <alignment vertical="center"/>
    </xf>
    <xf numFmtId="0" fontId="4" fillId="0" borderId="92" xfId="1" applyFont="1" applyBorder="1" applyAlignment="1" applyProtection="1">
      <alignment vertical="center"/>
    </xf>
    <xf numFmtId="0" fontId="4" fillId="0" borderId="91" xfId="1" applyFont="1" applyBorder="1" applyAlignment="1" applyProtection="1">
      <alignment vertical="center"/>
    </xf>
    <xf numFmtId="188" fontId="4" fillId="0" borderId="90" xfId="1" applyNumberFormat="1" applyFont="1" applyBorder="1" applyAlignment="1" applyProtection="1">
      <alignment horizontal="center" vertical="center"/>
    </xf>
    <xf numFmtId="0" fontId="4" fillId="27" borderId="161" xfId="105" applyFont="1" applyFill="1" applyBorder="1" applyAlignment="1" applyProtection="1">
      <alignment horizontal="center" vertical="center"/>
    </xf>
    <xf numFmtId="188" fontId="4" fillId="27" borderId="90" xfId="1" applyNumberFormat="1" applyFont="1" applyFill="1" applyBorder="1" applyAlignment="1" applyProtection="1">
      <alignment horizontal="center" vertical="center"/>
    </xf>
    <xf numFmtId="170" fontId="6" fillId="0" borderId="44" xfId="131" applyNumberFormat="1" applyFont="1" applyBorder="1" applyAlignment="1" applyProtection="1">
      <alignment vertical="center"/>
    </xf>
    <xf numFmtId="170" fontId="6" fillId="27" borderId="44" xfId="131" applyNumberFormat="1" applyFont="1" applyFill="1" applyBorder="1" applyAlignment="1" applyProtection="1">
      <alignment vertical="center"/>
    </xf>
    <xf numFmtId="212" fontId="16" fillId="0" borderId="0" xfId="131" applyNumberFormat="1" applyFont="1" applyBorder="1" applyAlignment="1" applyProtection="1">
      <alignment vertical="center"/>
    </xf>
    <xf numFmtId="170" fontId="4" fillId="0" borderId="0" xfId="1" applyNumberFormat="1" applyFont="1" applyBorder="1" applyAlignment="1" applyProtection="1">
      <alignment vertical="center"/>
    </xf>
    <xf numFmtId="212" fontId="16" fillId="27" borderId="0" xfId="131" applyNumberFormat="1" applyFont="1" applyFill="1" applyBorder="1" applyAlignment="1" applyProtection="1">
      <alignment vertical="center"/>
    </xf>
    <xf numFmtId="170" fontId="16" fillId="27" borderId="19" xfId="131" applyNumberFormat="1" applyFont="1" applyFill="1" applyBorder="1" applyAlignment="1" applyProtection="1">
      <alignment vertical="center"/>
    </xf>
    <xf numFmtId="170" fontId="16" fillId="0" borderId="19" xfId="131" applyNumberFormat="1" applyFont="1" applyBorder="1" applyAlignment="1" applyProtection="1">
      <alignment vertical="center"/>
    </xf>
    <xf numFmtId="0" fontId="4" fillId="0" borderId="2" xfId="1" applyFont="1" applyBorder="1" applyAlignment="1" applyProtection="1">
      <alignment vertical="center"/>
    </xf>
    <xf numFmtId="0" fontId="4" fillId="0" borderId="44" xfId="1" applyFont="1" applyBorder="1" applyProtection="1"/>
    <xf numFmtId="212" fontId="14" fillId="0" borderId="2" xfId="131" applyNumberFormat="1" applyFont="1" applyBorder="1" applyAlignment="1" applyProtection="1">
      <alignment vertical="center"/>
    </xf>
    <xf numFmtId="212" fontId="14" fillId="27" borderId="2" xfId="131" applyNumberFormat="1" applyFont="1" applyFill="1" applyBorder="1" applyAlignment="1" applyProtection="1">
      <alignment vertical="center"/>
    </xf>
    <xf numFmtId="189" fontId="14" fillId="0" borderId="42" xfId="131" applyNumberFormat="1" applyFont="1" applyFill="1" applyBorder="1" applyAlignment="1" applyProtection="1">
      <alignment vertical="center"/>
    </xf>
    <xf numFmtId="189" fontId="14" fillId="0" borderId="0" xfId="131" applyNumberFormat="1" applyFont="1" applyFill="1" applyBorder="1" applyAlignment="1" applyProtection="1">
      <alignment vertical="center"/>
    </xf>
    <xf numFmtId="189" fontId="14" fillId="0" borderId="19" xfId="131" applyNumberFormat="1" applyFont="1" applyFill="1" applyBorder="1" applyAlignment="1" applyProtection="1">
      <alignment vertical="center"/>
    </xf>
    <xf numFmtId="0" fontId="4" fillId="0" borderId="92" xfId="105" applyFont="1" applyBorder="1" applyAlignment="1" applyProtection="1">
      <alignment horizontal="center" vertical="center"/>
    </xf>
    <xf numFmtId="189" fontId="14" fillId="31" borderId="42" xfId="131" applyNumberFormat="1" applyFont="1" applyFill="1" applyBorder="1" applyAlignment="1" applyProtection="1">
      <alignment vertical="center"/>
      <protection locked="0"/>
    </xf>
    <xf numFmtId="0" fontId="4" fillId="27" borderId="92" xfId="105" applyFont="1" applyFill="1" applyBorder="1" applyAlignment="1" applyProtection="1">
      <alignment horizontal="center" vertical="center"/>
    </xf>
    <xf numFmtId="0" fontId="4" fillId="0" borderId="39" xfId="1" applyFont="1" applyBorder="1" applyProtection="1"/>
    <xf numFmtId="182" fontId="6" fillId="0" borderId="162" xfId="131" applyNumberFormat="1" applyFont="1" applyBorder="1" applyAlignment="1" applyProtection="1">
      <alignment vertical="center"/>
    </xf>
    <xf numFmtId="182" fontId="6" fillId="4" borderId="162" xfId="131" applyNumberFormat="1" applyFont="1" applyFill="1" applyBorder="1" applyAlignment="1" applyProtection="1">
      <alignment vertical="center"/>
    </xf>
    <xf numFmtId="189" fontId="14" fillId="0" borderId="44" xfId="131" applyNumberFormat="1" applyFont="1" applyBorder="1" applyAlignment="1" applyProtection="1">
      <alignment vertical="center"/>
    </xf>
    <xf numFmtId="189" fontId="14" fillId="27" borderId="44" xfId="131" applyNumberFormat="1" applyFont="1" applyFill="1" applyBorder="1" applyAlignment="1" applyProtection="1">
      <alignment vertical="center"/>
    </xf>
    <xf numFmtId="189" fontId="14" fillId="0" borderId="0" xfId="131" applyNumberFormat="1" applyFont="1" applyBorder="1" applyAlignment="1" applyProtection="1">
      <alignment horizontal="center" vertical="center"/>
    </xf>
    <xf numFmtId="188" fontId="4" fillId="27" borderId="92" xfId="1" applyNumberFormat="1" applyFont="1" applyFill="1" applyBorder="1" applyAlignment="1" applyProtection="1">
      <alignment horizontal="center" vertical="center"/>
    </xf>
    <xf numFmtId="189" fontId="14" fillId="27" borderId="0" xfId="131" applyNumberFormat="1" applyFont="1" applyFill="1" applyBorder="1" applyAlignment="1" applyProtection="1">
      <alignment horizontal="center" vertical="center"/>
    </xf>
    <xf numFmtId="188" fontId="4" fillId="0" borderId="92" xfId="1" applyNumberFormat="1" applyFont="1" applyBorder="1" applyAlignment="1" applyProtection="1">
      <alignment horizontal="center" vertical="center"/>
    </xf>
    <xf numFmtId="184" fontId="15" fillId="4" borderId="58" xfId="131" applyNumberFormat="1" applyFont="1" applyFill="1" applyBorder="1" applyAlignment="1" applyProtection="1">
      <alignment horizontal="center" vertical="center"/>
    </xf>
    <xf numFmtId="189" fontId="14" fillId="0" borderId="58" xfId="131" applyNumberFormat="1" applyFont="1" applyBorder="1" applyAlignment="1" applyProtection="1">
      <alignment vertical="center"/>
    </xf>
    <xf numFmtId="0" fontId="4" fillId="0" borderId="57" xfId="1" applyFont="1" applyBorder="1" applyAlignment="1" applyProtection="1">
      <alignment vertical="center"/>
    </xf>
    <xf numFmtId="0" fontId="4" fillId="0" borderId="0" xfId="1" applyFont="1"/>
    <xf numFmtId="0" fontId="4" fillId="0" borderId="36" xfId="1" applyFont="1" applyBorder="1" applyAlignment="1" applyProtection="1">
      <alignment vertical="center"/>
    </xf>
    <xf numFmtId="0" fontId="4" fillId="0" borderId="25" xfId="1" applyFont="1" applyBorder="1" applyAlignment="1" applyProtection="1">
      <alignment vertical="center"/>
    </xf>
    <xf numFmtId="0" fontId="4" fillId="0" borderId="34" xfId="1" applyFont="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3" fillId="0" borderId="289" xfId="1" applyFont="1" applyBorder="1" applyAlignment="1" applyProtection="1">
      <alignment vertical="center"/>
    </xf>
    <xf numFmtId="0" fontId="63" fillId="0" borderId="0" xfId="67" applyFont="1"/>
    <xf numFmtId="0" fontId="4" fillId="0" borderId="0" xfId="67" applyFont="1" applyAlignment="1" applyProtection="1">
      <alignment horizontal="left" vertical="center"/>
    </xf>
    <xf numFmtId="0" fontId="20" fillId="31" borderId="36" xfId="1" applyFont="1" applyFill="1" applyBorder="1" applyAlignment="1" applyProtection="1">
      <alignment horizontal="left" vertical="center"/>
      <protection locked="0"/>
    </xf>
    <xf numFmtId="0" fontId="9" fillId="0" borderId="0" xfId="1" applyFont="1" applyBorder="1" applyAlignment="1" applyProtection="1">
      <alignment horizontal="right" vertical="center"/>
    </xf>
    <xf numFmtId="0" fontId="4" fillId="0" borderId="0" xfId="1" applyBorder="1" applyAlignment="1" applyProtection="1">
      <alignment vertical="center"/>
    </xf>
    <xf numFmtId="172" fontId="9" fillId="33" borderId="0" xfId="1" applyNumberFormat="1" applyFont="1" applyFill="1" applyBorder="1" applyAlignment="1">
      <alignment horizontal="center" vertical="center" wrapText="1"/>
    </xf>
    <xf numFmtId="0" fontId="46" fillId="0" borderId="0" xfId="1" applyFont="1" applyBorder="1" applyAlignment="1">
      <alignment vertical="center"/>
    </xf>
    <xf numFmtId="0" fontId="20" fillId="0" borderId="0" xfId="1" applyFont="1" applyBorder="1" applyAlignment="1" applyProtection="1">
      <alignment horizontal="center"/>
    </xf>
    <xf numFmtId="3" fontId="77" fillId="4" borderId="40" xfId="1" applyNumberFormat="1" applyFont="1" applyFill="1" applyBorder="1" applyAlignment="1">
      <alignment horizontal="left" vertical="center"/>
    </xf>
    <xf numFmtId="207" fontId="120" fillId="4" borderId="40" xfId="1" applyNumberFormat="1" applyFont="1" applyFill="1" applyBorder="1" applyAlignment="1">
      <alignment horizontal="left" vertical="center"/>
    </xf>
    <xf numFmtId="3" fontId="77" fillId="4" borderId="74" xfId="1" applyNumberFormat="1" applyFont="1" applyFill="1" applyBorder="1" applyAlignment="1">
      <alignment horizontal="left" vertical="center" wrapText="1"/>
    </xf>
    <xf numFmtId="0" fontId="64" fillId="51" borderId="0" xfId="1" applyFont="1" applyFill="1" applyBorder="1" applyAlignment="1" applyProtection="1">
      <alignment horizontal="center" vertical="top" wrapText="1"/>
    </xf>
    <xf numFmtId="174" fontId="6" fillId="51" borderId="0" xfId="1" applyNumberFormat="1" applyFont="1" applyFill="1" applyBorder="1" applyAlignment="1" applyProtection="1">
      <alignment vertical="center"/>
    </xf>
    <xf numFmtId="174" fontId="14" fillId="51" borderId="0" xfId="1" applyNumberFormat="1" applyFont="1" applyFill="1" applyBorder="1" applyAlignment="1" applyProtection="1">
      <alignment vertical="center"/>
    </xf>
    <xf numFmtId="0" fontId="4" fillId="51" borderId="0" xfId="1" applyFont="1" applyFill="1" applyBorder="1" applyProtection="1"/>
    <xf numFmtId="0" fontId="4" fillId="51" borderId="0" xfId="1" applyFont="1" applyFill="1" applyBorder="1"/>
    <xf numFmtId="0" fontId="5" fillId="51" borderId="0" xfId="1" applyFont="1" applyFill="1" applyBorder="1" applyProtection="1"/>
    <xf numFmtId="0" fontId="5" fillId="51" borderId="0" xfId="1" applyFont="1" applyFill="1" applyBorder="1"/>
    <xf numFmtId="0" fontId="43" fillId="51" borderId="57" xfId="1" applyFont="1" applyFill="1" applyBorder="1" applyAlignment="1" applyProtection="1">
      <alignment horizontal="center" vertical="top" wrapText="1"/>
    </xf>
    <xf numFmtId="174" fontId="13" fillId="51" borderId="57" xfId="1" applyNumberFormat="1" applyFont="1" applyFill="1" applyBorder="1" applyAlignment="1" applyProtection="1">
      <alignment vertical="center"/>
    </xf>
    <xf numFmtId="174" fontId="6" fillId="51" borderId="2" xfId="1" applyNumberFormat="1" applyFont="1" applyFill="1" applyBorder="1" applyAlignment="1" applyProtection="1">
      <alignment vertical="center"/>
    </xf>
    <xf numFmtId="0" fontId="55" fillId="52" borderId="3" xfId="1" applyFont="1" applyFill="1" applyBorder="1" applyAlignment="1" applyProtection="1">
      <alignment vertical="center" wrapText="1"/>
    </xf>
    <xf numFmtId="0" fontId="55" fillId="53" borderId="3" xfId="1" applyFont="1" applyFill="1" applyBorder="1" applyAlignment="1" applyProtection="1">
      <alignment vertical="center" wrapText="1"/>
    </xf>
    <xf numFmtId="0" fontId="55" fillId="53" borderId="34" xfId="1" applyFont="1" applyFill="1" applyBorder="1" applyAlignment="1" applyProtection="1">
      <alignment vertical="center" wrapText="1"/>
    </xf>
    <xf numFmtId="0" fontId="18" fillId="0" borderId="0" xfId="1" applyFont="1" applyAlignment="1" applyProtection="1">
      <alignment horizontal="right" vertical="center"/>
    </xf>
    <xf numFmtId="0" fontId="55" fillId="52" borderId="49" xfId="1" applyFont="1" applyFill="1" applyBorder="1" applyAlignment="1" applyProtection="1">
      <alignment vertical="center" wrapText="1"/>
    </xf>
    <xf numFmtId="0" fontId="55" fillId="53" borderId="49" xfId="1" applyFont="1" applyFill="1" applyBorder="1" applyAlignment="1" applyProtection="1">
      <alignment vertical="center" wrapText="1"/>
    </xf>
    <xf numFmtId="0" fontId="20" fillId="0" borderId="0" xfId="1" applyFont="1" applyProtection="1"/>
    <xf numFmtId="0" fontId="9" fillId="0" borderId="0" xfId="1" applyFont="1" applyBorder="1" applyAlignment="1" applyProtection="1">
      <alignment vertical="center"/>
      <protection locked="0"/>
    </xf>
    <xf numFmtId="0" fontId="43" fillId="33" borderId="0" xfId="1" applyFont="1" applyFill="1" applyBorder="1" applyAlignment="1">
      <alignment vertical="center"/>
    </xf>
    <xf numFmtId="0" fontId="6" fillId="33" borderId="0" xfId="1" applyFont="1" applyFill="1" applyBorder="1" applyAlignment="1">
      <alignment vertical="center"/>
    </xf>
    <xf numFmtId="0" fontId="13" fillId="33" borderId="0" xfId="1" applyFont="1" applyFill="1" applyBorder="1" applyAlignment="1">
      <alignment horizontal="right" vertical="center"/>
    </xf>
    <xf numFmtId="178" fontId="6" fillId="33" borderId="0" xfId="1" applyNumberFormat="1" applyFont="1" applyFill="1" applyBorder="1" applyAlignment="1" applyProtection="1">
      <alignment vertical="center"/>
    </xf>
    <xf numFmtId="0" fontId="4" fillId="33" borderId="0" xfId="1" applyFill="1" applyBorder="1"/>
    <xf numFmtId="0" fontId="13" fillId="33" borderId="0" xfId="1" applyFont="1" applyFill="1" applyBorder="1" applyAlignment="1">
      <alignment vertical="center"/>
    </xf>
    <xf numFmtId="0" fontId="6" fillId="33" borderId="0" xfId="1" applyFont="1" applyFill="1" applyBorder="1" applyAlignment="1">
      <alignment horizontal="right" vertical="center"/>
    </xf>
    <xf numFmtId="0" fontId="13" fillId="33" borderId="2" xfId="1" applyFont="1" applyFill="1" applyBorder="1" applyAlignment="1">
      <alignment vertical="center"/>
    </xf>
    <xf numFmtId="0" fontId="14" fillId="33" borderId="0" xfId="1" applyFont="1" applyFill="1" applyBorder="1" applyAlignment="1">
      <alignment vertical="center"/>
    </xf>
    <xf numFmtId="0" fontId="73" fillId="0" borderId="2" xfId="1" applyFont="1" applyFill="1" applyBorder="1" applyAlignment="1">
      <alignment vertical="top"/>
    </xf>
    <xf numFmtId="0" fontId="4" fillId="0" borderId="2" xfId="1" applyFill="1" applyBorder="1" applyAlignment="1">
      <alignment vertical="center"/>
    </xf>
    <xf numFmtId="0" fontId="4" fillId="0" borderId="2" xfId="1" applyFill="1" applyBorder="1" applyAlignment="1">
      <alignment horizontal="right" vertical="center"/>
    </xf>
    <xf numFmtId="0" fontId="13" fillId="0" borderId="2" xfId="1" applyFont="1" applyFill="1" applyBorder="1" applyAlignment="1">
      <alignment horizontal="center" vertical="center"/>
    </xf>
    <xf numFmtId="0" fontId="75" fillId="0" borderId="39" xfId="1"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protection locked="0"/>
    </xf>
    <xf numFmtId="0" fontId="13" fillId="0" borderId="66" xfId="1" applyFont="1" applyBorder="1" applyAlignment="1" applyProtection="1">
      <alignment horizontal="center" vertical="center"/>
    </xf>
    <xf numFmtId="0" fontId="13" fillId="0" borderId="66" xfId="1" applyFont="1" applyFill="1" applyBorder="1" applyAlignment="1" applyProtection="1">
      <alignment horizontal="center" vertical="center"/>
    </xf>
    <xf numFmtId="0" fontId="73" fillId="33" borderId="0" xfId="1" applyFont="1" applyFill="1" applyBorder="1" applyAlignment="1">
      <alignment vertical="top"/>
    </xf>
    <xf numFmtId="0" fontId="4" fillId="33" borderId="0" xfId="1" applyFill="1" applyBorder="1" applyAlignment="1">
      <alignment vertical="center"/>
    </xf>
    <xf numFmtId="0" fontId="75" fillId="4" borderId="39" xfId="1" applyFont="1" applyFill="1" applyBorder="1" applyAlignment="1" applyProtection="1">
      <alignment horizontal="center" vertical="center"/>
    </xf>
    <xf numFmtId="9" fontId="6" fillId="4" borderId="39" xfId="61" applyNumberFormat="1" applyFont="1" applyFill="1" applyBorder="1" applyAlignment="1" applyProtection="1">
      <alignment horizontal="center" vertical="center"/>
    </xf>
    <xf numFmtId="0" fontId="14" fillId="0" borderId="289" xfId="1" applyFont="1" applyBorder="1" applyAlignment="1">
      <alignment vertical="center"/>
    </xf>
    <xf numFmtId="0" fontId="6" fillId="0" borderId="289" xfId="1" applyFont="1" applyBorder="1" applyAlignment="1">
      <alignment vertical="center"/>
    </xf>
    <xf numFmtId="0" fontId="13" fillId="0" borderId="289" xfId="1" applyFont="1" applyBorder="1" applyAlignment="1">
      <alignment horizontal="right" vertical="center"/>
    </xf>
    <xf numFmtId="176" fontId="6" fillId="0" borderId="40" xfId="1" applyNumberFormat="1" applyFont="1" applyBorder="1" applyAlignment="1">
      <alignment vertical="center"/>
    </xf>
    <xf numFmtId="177" fontId="6" fillId="33" borderId="0" xfId="1" applyNumberFormat="1" applyFont="1" applyFill="1" applyBorder="1" applyAlignment="1" applyProtection="1">
      <alignment horizontal="right" vertical="center"/>
    </xf>
    <xf numFmtId="184" fontId="6" fillId="4" borderId="39" xfId="61" applyNumberFormat="1" applyFont="1" applyFill="1" applyBorder="1" applyAlignment="1" applyProtection="1">
      <alignment horizontal="center" vertical="center"/>
    </xf>
    <xf numFmtId="0" fontId="9" fillId="0" borderId="289" xfId="1" applyFont="1" applyBorder="1" applyAlignment="1">
      <alignment horizontal="right" vertical="center"/>
    </xf>
    <xf numFmtId="0" fontId="4" fillId="33" borderId="0" xfId="1" applyFill="1" applyBorder="1" applyAlignment="1">
      <alignment horizontal="right" vertical="center"/>
    </xf>
    <xf numFmtId="0" fontId="4" fillId="33" borderId="0" xfId="1" applyFill="1" applyBorder="1" applyAlignment="1">
      <alignment horizontal="centerContinuous" vertical="center"/>
    </xf>
    <xf numFmtId="0" fontId="13" fillId="0" borderId="40" xfId="1" applyFont="1" applyBorder="1" applyAlignment="1" applyProtection="1">
      <alignment horizontal="center" vertical="center"/>
    </xf>
    <xf numFmtId="0" fontId="73" fillId="0" borderId="2" xfId="1" applyFont="1" applyBorder="1" applyAlignment="1" applyProtection="1">
      <alignment vertical="top"/>
    </xf>
    <xf numFmtId="178" fontId="6" fillId="0" borderId="43" xfId="1" applyNumberFormat="1" applyFont="1" applyBorder="1" applyAlignment="1" applyProtection="1">
      <alignment vertical="center"/>
    </xf>
    <xf numFmtId="178" fontId="6" fillId="0" borderId="40" xfId="1" applyNumberFormat="1" applyFont="1" applyBorder="1" applyAlignment="1" applyProtection="1">
      <alignment vertical="center"/>
    </xf>
    <xf numFmtId="0" fontId="73" fillId="0" borderId="0" xfId="1" applyFont="1" applyBorder="1" applyAlignment="1" applyProtection="1">
      <alignment vertical="top"/>
    </xf>
    <xf numFmtId="177" fontId="6" fillId="4" borderId="0" xfId="1" applyNumberFormat="1" applyFont="1" applyFill="1" applyBorder="1" applyAlignment="1" applyProtection="1">
      <alignment horizontal="right" vertical="center"/>
    </xf>
    <xf numFmtId="177" fontId="6" fillId="4" borderId="0" xfId="1" applyNumberFormat="1" applyFont="1" applyFill="1" applyBorder="1" applyAlignment="1" applyProtection="1">
      <alignment horizontal="centerContinuous" vertical="center"/>
    </xf>
    <xf numFmtId="0" fontId="6" fillId="0" borderId="0" xfId="1" applyFont="1" applyBorder="1" applyAlignment="1" applyProtection="1">
      <alignment horizontal="centerContinuous" vertical="center"/>
    </xf>
    <xf numFmtId="0" fontId="6" fillId="0" borderId="0" xfId="1" applyFont="1" applyFill="1" applyBorder="1" applyAlignment="1" applyProtection="1">
      <alignment horizontal="centerContinuous"/>
    </xf>
    <xf numFmtId="0" fontId="13" fillId="4" borderId="2" xfId="1" applyFont="1" applyFill="1" applyBorder="1" applyAlignment="1" applyProtection="1">
      <alignment horizontal="center" vertical="center"/>
    </xf>
    <xf numFmtId="0" fontId="14" fillId="0" borderId="289" xfId="1" applyFont="1" applyBorder="1" applyAlignment="1" applyProtection="1">
      <alignment vertical="center"/>
    </xf>
    <xf numFmtId="0" fontId="6" fillId="0" borderId="289" xfId="1" applyFont="1" applyBorder="1" applyAlignment="1" applyProtection="1">
      <alignment vertical="center"/>
    </xf>
    <xf numFmtId="0" fontId="9" fillId="0" borderId="289" xfId="1" applyFont="1" applyBorder="1" applyAlignment="1" applyProtection="1">
      <alignment horizontal="right" vertical="center"/>
    </xf>
    <xf numFmtId="176" fontId="6" fillId="0" borderId="43" xfId="1" applyNumberFormat="1" applyFont="1" applyBorder="1" applyAlignment="1" applyProtection="1">
      <alignment vertical="center"/>
    </xf>
    <xf numFmtId="176" fontId="6" fillId="0" borderId="40" xfId="1" applyNumberFormat="1" applyFont="1" applyBorder="1" applyAlignment="1" applyProtection="1">
      <alignment vertical="center"/>
    </xf>
    <xf numFmtId="176" fontId="6" fillId="0" borderId="40" xfId="61" applyNumberFormat="1" applyFont="1" applyBorder="1" applyAlignment="1" applyProtection="1">
      <alignment vertical="center"/>
    </xf>
    <xf numFmtId="0" fontId="9" fillId="0" borderId="19" xfId="1" applyFont="1" applyFill="1" applyBorder="1" applyAlignment="1" applyProtection="1">
      <alignment horizontal="centerContinuous" vertical="center"/>
    </xf>
    <xf numFmtId="0" fontId="75" fillId="4" borderId="40" xfId="1" applyFont="1" applyFill="1" applyBorder="1" applyAlignment="1" applyProtection="1">
      <alignment horizontal="center" vertical="center"/>
    </xf>
    <xf numFmtId="0" fontId="13" fillId="4" borderId="39" xfId="1" applyFont="1" applyFill="1" applyBorder="1" applyAlignment="1" applyProtection="1">
      <alignment horizontal="center" vertical="center"/>
    </xf>
    <xf numFmtId="0" fontId="13" fillId="0" borderId="289" xfId="1" applyFont="1" applyBorder="1" applyAlignment="1" applyProtection="1">
      <alignment horizontal="right" vertical="center"/>
    </xf>
    <xf numFmtId="176" fontId="6" fillId="0" borderId="289" xfId="1" applyNumberFormat="1" applyFont="1" applyFill="1" applyBorder="1" applyAlignment="1" applyProtection="1">
      <alignment vertical="center"/>
    </xf>
    <xf numFmtId="0" fontId="4" fillId="0" borderId="0" xfId="1" applyFill="1" applyBorder="1" applyAlignment="1" applyProtection="1">
      <alignment horizontal="centerContinuous" vertical="center"/>
    </xf>
    <xf numFmtId="0" fontId="6" fillId="0" borderId="0" xfId="1" applyFont="1" applyFill="1" applyBorder="1" applyAlignment="1" applyProtection="1">
      <alignment horizontal="right" vertical="center"/>
    </xf>
    <xf numFmtId="170" fontId="6" fillId="0" borderId="66" xfId="1" applyNumberFormat="1" applyFont="1" applyFill="1" applyBorder="1" applyAlignment="1" applyProtection="1">
      <alignment vertical="center"/>
    </xf>
    <xf numFmtId="170" fontId="6" fillId="0" borderId="65" xfId="1" applyNumberFormat="1" applyFont="1" applyFill="1" applyBorder="1" applyAlignment="1" applyProtection="1">
      <alignment vertical="center"/>
    </xf>
    <xf numFmtId="3" fontId="120" fillId="0" borderId="0" xfId="1" applyNumberFormat="1" applyFont="1" applyFill="1" applyBorder="1" applyAlignment="1">
      <alignment horizontal="left" vertical="center"/>
    </xf>
    <xf numFmtId="3" fontId="120" fillId="0" borderId="0" xfId="1" applyNumberFormat="1" applyFont="1" applyFill="1" applyBorder="1" applyAlignment="1">
      <alignment horizontal="right" vertical="center"/>
    </xf>
    <xf numFmtId="3" fontId="77" fillId="0" borderId="48" xfId="1" quotePrefix="1" applyNumberFormat="1" applyFont="1" applyFill="1" applyBorder="1" applyAlignment="1">
      <alignment horizontal="right" vertical="center"/>
    </xf>
    <xf numFmtId="3" fontId="77" fillId="0" borderId="48" xfId="1" applyNumberFormat="1" applyFont="1" applyFill="1" applyBorder="1" applyAlignment="1">
      <alignment horizontal="right" vertical="center"/>
    </xf>
    <xf numFmtId="3" fontId="77" fillId="0" borderId="47" xfId="1" quotePrefix="1" applyNumberFormat="1" applyFont="1" applyFill="1" applyBorder="1" applyAlignment="1">
      <alignment horizontal="right" vertical="center"/>
    </xf>
    <xf numFmtId="3" fontId="120" fillId="0" borderId="0" xfId="1" applyNumberFormat="1" applyFont="1" applyFill="1" applyAlignment="1">
      <alignment horizontal="right" vertical="center"/>
    </xf>
    <xf numFmtId="3" fontId="120" fillId="0" borderId="108" xfId="1" applyNumberFormat="1" applyFont="1" applyFill="1" applyBorder="1" applyAlignment="1">
      <alignment horizontal="right" vertical="center"/>
    </xf>
    <xf numFmtId="3" fontId="120" fillId="0" borderId="95" xfId="1" applyNumberFormat="1" applyFont="1" applyFill="1" applyBorder="1" applyAlignment="1">
      <alignment horizontal="right" vertical="center"/>
    </xf>
    <xf numFmtId="3" fontId="77" fillId="0" borderId="102" xfId="1" quotePrefix="1" applyNumberFormat="1" applyFont="1" applyFill="1" applyBorder="1" applyAlignment="1">
      <alignment horizontal="right" vertical="center"/>
    </xf>
    <xf numFmtId="3" fontId="77" fillId="0" borderId="101" xfId="1" quotePrefix="1" applyNumberFormat="1" applyFont="1" applyFill="1" applyBorder="1" applyAlignment="1">
      <alignment horizontal="right" vertical="center"/>
    </xf>
    <xf numFmtId="3" fontId="77" fillId="0" borderId="101" xfId="1" applyNumberFormat="1" applyFont="1" applyFill="1" applyBorder="1" applyAlignment="1">
      <alignment horizontal="right" vertical="center"/>
    </xf>
    <xf numFmtId="3" fontId="77" fillId="0" borderId="93" xfId="1" applyNumberFormat="1" applyFont="1" applyFill="1" applyBorder="1" applyAlignment="1">
      <alignment horizontal="right" vertical="center"/>
    </xf>
    <xf numFmtId="3" fontId="77" fillId="0" borderId="108" xfId="1" applyNumberFormat="1" applyFont="1" applyFill="1" applyBorder="1" applyAlignment="1">
      <alignment horizontal="right" vertical="center"/>
    </xf>
    <xf numFmtId="3" fontId="77" fillId="0" borderId="95" xfId="1" applyNumberFormat="1" applyFont="1" applyFill="1" applyBorder="1" applyAlignment="1">
      <alignment horizontal="right" vertical="center"/>
    </xf>
    <xf numFmtId="3" fontId="77" fillId="0" borderId="102" xfId="1" applyNumberFormat="1" applyFont="1" applyFill="1" applyBorder="1" applyAlignment="1">
      <alignment horizontal="right" vertical="center"/>
    </xf>
    <xf numFmtId="0" fontId="46" fillId="0" borderId="0" xfId="1" applyFont="1" applyAlignment="1">
      <alignment horizontal="left" vertical="center" wrapText="1"/>
    </xf>
    <xf numFmtId="4" fontId="20" fillId="0" borderId="40" xfId="1" applyNumberFormat="1" applyFont="1" applyFill="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0" fillId="0" borderId="19" xfId="0" applyBorder="1" applyAlignment="1" applyProtection="1">
      <alignment horizontal="left" vertical="center"/>
    </xf>
    <xf numFmtId="178" fontId="6" fillId="31" borderId="0" xfId="1" applyNumberFormat="1" applyFont="1" applyFill="1" applyBorder="1" applyAlignment="1" applyProtection="1">
      <alignment vertical="center"/>
      <protection locked="0"/>
    </xf>
    <xf numFmtId="0" fontId="13" fillId="37" borderId="0" xfId="1" applyFont="1" applyFill="1" applyBorder="1" applyAlignment="1" applyProtection="1">
      <alignment horizontal="center" vertical="center"/>
    </xf>
    <xf numFmtId="0" fontId="4" fillId="0" borderId="0" xfId="1" applyFont="1" applyBorder="1" applyAlignment="1"/>
    <xf numFmtId="0" fontId="4" fillId="0" borderId="0" xfId="1" applyFont="1" applyBorder="1" applyAlignment="1">
      <alignment wrapText="1"/>
    </xf>
    <xf numFmtId="0" fontId="16" fillId="0" borderId="289" xfId="1" applyFont="1" applyBorder="1" applyAlignment="1" applyProtection="1">
      <alignment horizontal="left" vertical="center"/>
    </xf>
    <xf numFmtId="170" fontId="6" fillId="4" borderId="289" xfId="1" applyNumberFormat="1" applyFont="1" applyFill="1" applyBorder="1" applyAlignment="1" applyProtection="1">
      <alignment horizontal="right" vertical="center"/>
    </xf>
    <xf numFmtId="170" fontId="6" fillId="27" borderId="289" xfId="1" applyNumberFormat="1" applyFont="1" applyFill="1" applyBorder="1" applyAlignment="1" applyProtection="1">
      <alignment horizontal="right" vertical="center"/>
    </xf>
    <xf numFmtId="0" fontId="4" fillId="33" borderId="24" xfId="1" applyFill="1" applyBorder="1" applyAlignment="1">
      <alignment vertical="center"/>
    </xf>
    <xf numFmtId="0" fontId="5" fillId="33" borderId="24" xfId="1" applyFont="1" applyFill="1" applyBorder="1" applyAlignment="1">
      <alignment horizontal="left" vertical="center"/>
    </xf>
    <xf numFmtId="0" fontId="9" fillId="33" borderId="0" xfId="1" applyFont="1" applyFill="1" applyBorder="1" applyAlignment="1">
      <alignment vertical="center"/>
    </xf>
    <xf numFmtId="0" fontId="4" fillId="0" borderId="0" xfId="1" applyFont="1" applyBorder="1" applyAlignment="1">
      <alignment vertical="center"/>
    </xf>
    <xf numFmtId="171" fontId="9" fillId="33"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15" fillId="0" borderId="0" xfId="67" applyFont="1" applyAlignment="1">
      <alignment horizontal="left" wrapText="1"/>
    </xf>
    <xf numFmtId="0" fontId="4" fillId="0" borderId="0" xfId="1" applyAlignment="1" applyProtection="1">
      <alignment vertical="center"/>
    </xf>
    <xf numFmtId="0" fontId="5" fillId="0" borderId="0" xfId="1" applyFont="1" applyBorder="1" applyAlignment="1" applyProtection="1">
      <alignment vertical="center"/>
    </xf>
    <xf numFmtId="0" fontId="9" fillId="0" borderId="0" xfId="67"/>
    <xf numFmtId="171" fontId="16" fillId="54" borderId="25" xfId="1" applyNumberFormat="1" applyFont="1" applyFill="1" applyBorder="1" applyAlignment="1">
      <alignment horizontal="right" vertical="center"/>
    </xf>
    <xf numFmtId="171" fontId="45" fillId="30" borderId="40" xfId="1" applyNumberFormat="1" applyFont="1" applyFill="1" applyBorder="1" applyAlignment="1">
      <alignment horizontal="right" vertical="center"/>
    </xf>
    <xf numFmtId="171" fontId="45" fillId="30" borderId="19" xfId="1" applyNumberFormat="1" applyFont="1" applyFill="1" applyBorder="1" applyAlignment="1">
      <alignment horizontal="right" vertical="center"/>
    </xf>
    <xf numFmtId="0" fontId="5" fillId="0" borderId="19" xfId="1" applyFont="1" applyBorder="1" applyAlignment="1">
      <alignment horizontal="center" vertical="center"/>
    </xf>
    <xf numFmtId="0" fontId="43" fillId="0" borderId="40" xfId="1" applyFont="1" applyBorder="1" applyAlignment="1">
      <alignment vertical="center"/>
    </xf>
    <xf numFmtId="0" fontId="54" fillId="0" borderId="0" xfId="1" applyFont="1" applyBorder="1" applyAlignment="1">
      <alignment horizontal="centerContinuous" vertical="center"/>
    </xf>
    <xf numFmtId="172" fontId="51" fillId="30" borderId="40" xfId="1" applyNumberFormat="1" applyFont="1" applyFill="1" applyBorder="1" applyAlignment="1">
      <alignment horizontal="center" vertical="center" wrapText="1"/>
    </xf>
    <xf numFmtId="173" fontId="52" fillId="0" borderId="19" xfId="1" applyNumberFormat="1" applyFont="1" applyBorder="1" applyAlignment="1">
      <alignment horizontal="center" vertical="center" wrapText="1"/>
    </xf>
    <xf numFmtId="172" fontId="48" fillId="30" borderId="40" xfId="1" applyNumberFormat="1" applyFont="1" applyFill="1" applyBorder="1" applyAlignment="1">
      <alignment horizontal="center" vertical="center" wrapText="1"/>
    </xf>
    <xf numFmtId="0" fontId="9" fillId="0" borderId="44" xfId="1" applyFont="1" applyBorder="1" applyAlignment="1">
      <alignment horizontal="center" vertical="center"/>
    </xf>
    <xf numFmtId="172" fontId="9" fillId="30" borderId="39" xfId="1" applyNumberFormat="1" applyFont="1" applyFill="1" applyBorder="1" applyAlignment="1">
      <alignment horizontal="center" vertical="center" wrapText="1"/>
    </xf>
    <xf numFmtId="172" fontId="51" fillId="0" borderId="19" xfId="1" applyNumberFormat="1" applyFont="1" applyFill="1" applyBorder="1" applyAlignment="1">
      <alignment horizontal="center" vertical="center" wrapText="1"/>
    </xf>
    <xf numFmtId="172" fontId="51" fillId="0" borderId="40" xfId="1" applyNumberFormat="1" applyFont="1" applyFill="1" applyBorder="1" applyAlignment="1">
      <alignment horizontal="center" vertical="center" wrapText="1"/>
    </xf>
    <xf numFmtId="172" fontId="48" fillId="0" borderId="40" xfId="1" applyNumberFormat="1" applyFont="1" applyFill="1" applyBorder="1" applyAlignment="1">
      <alignment horizontal="center" vertical="center" wrapText="1"/>
    </xf>
    <xf numFmtId="172" fontId="9" fillId="0" borderId="44" xfId="1" applyNumberFormat="1" applyFont="1" applyFill="1" applyBorder="1" applyAlignment="1">
      <alignment horizontal="center" vertical="center" wrapText="1"/>
    </xf>
    <xf numFmtId="172" fontId="9" fillId="0" borderId="39" xfId="1" applyNumberFormat="1" applyFont="1" applyFill="1" applyBorder="1" applyAlignment="1">
      <alignment horizontal="center" vertical="center" wrapText="1"/>
    </xf>
    <xf numFmtId="0" fontId="18" fillId="0" borderId="0" xfId="1" applyFont="1" applyBorder="1" applyAlignment="1">
      <alignment horizontal="centerContinuous" vertical="center"/>
    </xf>
    <xf numFmtId="172" fontId="51" fillId="30" borderId="0" xfId="1" applyNumberFormat="1" applyFont="1" applyFill="1" applyBorder="1" applyAlignment="1">
      <alignment horizontal="center" vertical="center"/>
    </xf>
    <xf numFmtId="172" fontId="51" fillId="30" borderId="19" xfId="1" applyNumberFormat="1" applyFont="1" applyFill="1" applyBorder="1" applyAlignment="1">
      <alignment horizontal="center" vertical="center" wrapText="1"/>
    </xf>
    <xf numFmtId="172" fontId="50" fillId="30" borderId="19" xfId="1" applyNumberFormat="1" applyFont="1" applyFill="1" applyBorder="1" applyAlignment="1">
      <alignment horizontal="center" vertical="center" wrapText="1"/>
    </xf>
    <xf numFmtId="172" fontId="9" fillId="30" borderId="44" xfId="1" applyNumberFormat="1" applyFont="1" applyFill="1" applyBorder="1" applyAlignment="1">
      <alignment horizontal="center" vertical="center" wrapText="1"/>
    </xf>
    <xf numFmtId="0" fontId="43" fillId="0" borderId="0" xfId="1" applyFont="1" applyBorder="1" applyAlignment="1">
      <alignment horizontal="centerContinuous" vertical="center"/>
    </xf>
    <xf numFmtId="0" fontId="4" fillId="4" borderId="21" xfId="2" applyFont="1" applyFill="1" applyBorder="1" applyAlignment="1" applyProtection="1">
      <alignment horizontal="center" vertical="center"/>
    </xf>
    <xf numFmtId="0" fontId="4" fillId="4" borderId="20" xfId="2" applyFont="1" applyFill="1" applyBorder="1" applyAlignment="1" applyProtection="1">
      <alignment horizontal="center" vertical="center"/>
    </xf>
    <xf numFmtId="0" fontId="20" fillId="4" borderId="21" xfId="2" applyFont="1" applyFill="1" applyBorder="1" applyAlignment="1" applyProtection="1">
      <alignment horizontal="center" vertical="center"/>
    </xf>
    <xf numFmtId="0" fontId="20" fillId="4" borderId="20" xfId="2" applyFont="1" applyFill="1" applyBorder="1" applyAlignment="1" applyProtection="1">
      <alignment horizontal="center" vertical="center"/>
    </xf>
    <xf numFmtId="0" fontId="20" fillId="4" borderId="21" xfId="1" applyFont="1" applyFill="1" applyBorder="1" applyAlignment="1" applyProtection="1">
      <alignment horizontal="center" vertical="center"/>
    </xf>
    <xf numFmtId="0" fontId="20" fillId="4" borderId="20" xfId="1" applyFont="1" applyFill="1" applyBorder="1" applyAlignment="1" applyProtection="1">
      <alignment horizontal="center" vertical="center"/>
    </xf>
    <xf numFmtId="0" fontId="4" fillId="4" borderId="22" xfId="1" applyFont="1" applyFill="1" applyBorder="1" applyAlignment="1" applyProtection="1">
      <alignment horizontal="center" vertical="center"/>
    </xf>
    <xf numFmtId="0" fontId="4" fillId="4" borderId="21" xfId="1" applyFont="1" applyFill="1" applyBorder="1" applyAlignment="1" applyProtection="1">
      <alignment horizontal="center" vertical="center"/>
    </xf>
    <xf numFmtId="0" fontId="4" fillId="4" borderId="20" xfId="1" applyFont="1" applyFill="1" applyBorder="1" applyAlignment="1" applyProtection="1">
      <alignment horizontal="center" vertical="center"/>
    </xf>
    <xf numFmtId="0" fontId="9" fillId="0" borderId="22" xfId="1" applyFont="1" applyFill="1" applyBorder="1" applyAlignment="1" applyProtection="1">
      <alignment horizontal="center" vertical="center"/>
    </xf>
    <xf numFmtId="0" fontId="9" fillId="0" borderId="21" xfId="1" applyFont="1" applyFill="1" applyBorder="1" applyAlignment="1" applyProtection="1">
      <alignment horizontal="center" vertical="center"/>
    </xf>
    <xf numFmtId="0" fontId="9" fillId="0" borderId="20" xfId="1" applyFont="1" applyFill="1" applyBorder="1" applyAlignment="1" applyProtection="1">
      <alignment horizontal="center" vertical="center"/>
    </xf>
    <xf numFmtId="0" fontId="4" fillId="4" borderId="22" xfId="2" applyFont="1" applyFill="1" applyBorder="1" applyAlignment="1" applyProtection="1">
      <alignment horizontal="center" vertical="center"/>
    </xf>
    <xf numFmtId="0" fontId="97" fillId="37" borderId="34" xfId="1" applyFont="1" applyFill="1" applyBorder="1" applyAlignment="1" applyProtection="1">
      <alignment horizontal="left" vertical="center"/>
      <protection locked="0"/>
    </xf>
    <xf numFmtId="0" fontId="64" fillId="37" borderId="58" xfId="1" applyFont="1" applyFill="1" applyBorder="1" applyAlignment="1" applyProtection="1">
      <alignment horizontal="center" vertical="top" wrapText="1"/>
      <protection locked="0"/>
    </xf>
    <xf numFmtId="0" fontId="64" fillId="37" borderId="57" xfId="1" applyFont="1" applyFill="1" applyBorder="1" applyAlignment="1" applyProtection="1">
      <alignment horizontal="center" vertical="top" wrapText="1"/>
      <protection locked="0"/>
    </xf>
    <xf numFmtId="0" fontId="14" fillId="37" borderId="44" xfId="1" applyFont="1" applyFill="1" applyBorder="1" applyAlignment="1" applyProtection="1">
      <alignment horizontal="center" vertical="center" wrapText="1"/>
      <protection locked="0"/>
    </xf>
    <xf numFmtId="0" fontId="14" fillId="37" borderId="2" xfId="1" applyFont="1" applyFill="1" applyBorder="1" applyAlignment="1" applyProtection="1">
      <alignment horizontal="center" vertical="center" wrapText="1"/>
      <protection locked="0"/>
    </xf>
    <xf numFmtId="0" fontId="14" fillId="37" borderId="52" xfId="1" applyFont="1" applyFill="1" applyBorder="1" applyAlignment="1" applyProtection="1">
      <alignment horizontal="center" vertical="center" wrapText="1"/>
      <protection locked="0"/>
    </xf>
    <xf numFmtId="0" fontId="64" fillId="37" borderId="172" xfId="1" applyFont="1" applyFill="1" applyBorder="1" applyAlignment="1" applyProtection="1">
      <alignment horizontal="center" vertical="top" wrapText="1"/>
      <protection locked="0"/>
    </xf>
    <xf numFmtId="177" fontId="14" fillId="37" borderId="44" xfId="1" applyNumberFormat="1" applyFont="1" applyFill="1" applyBorder="1" applyAlignment="1" applyProtection="1">
      <alignment horizontal="center" vertical="center" wrapText="1"/>
      <protection locked="0"/>
    </xf>
    <xf numFmtId="0" fontId="79" fillId="37" borderId="0" xfId="1" applyFont="1" applyFill="1" applyAlignment="1" applyProtection="1">
      <alignment horizontal="center" vertical="center"/>
      <protection locked="0"/>
    </xf>
    <xf numFmtId="0" fontId="5" fillId="33" borderId="79" xfId="1" applyFont="1" applyFill="1" applyBorder="1" applyAlignment="1" applyProtection="1">
      <alignment horizontal="left" vertical="center"/>
    </xf>
    <xf numFmtId="0" fontId="5" fillId="33" borderId="24" xfId="1" applyFont="1" applyFill="1" applyBorder="1" applyAlignment="1" applyProtection="1">
      <alignment horizontal="left" vertical="center"/>
    </xf>
    <xf numFmtId="0" fontId="9" fillId="33" borderId="24" xfId="1" applyFont="1" applyFill="1" applyBorder="1" applyAlignment="1" applyProtection="1">
      <alignment vertical="center"/>
    </xf>
    <xf numFmtId="0" fontId="5" fillId="33" borderId="130" xfId="1" applyFont="1" applyFill="1" applyBorder="1" applyAlignment="1" applyProtection="1">
      <alignment horizontal="center" vertical="center"/>
    </xf>
    <xf numFmtId="0" fontId="4" fillId="33" borderId="0" xfId="1" applyFill="1" applyAlignment="1" applyProtection="1">
      <alignment vertical="center"/>
    </xf>
    <xf numFmtId="0" fontId="55" fillId="33" borderId="24" xfId="1" applyFont="1" applyFill="1" applyBorder="1" applyAlignment="1" applyProtection="1">
      <alignment horizontal="left" vertical="center"/>
    </xf>
    <xf numFmtId="0" fontId="15" fillId="33" borderId="24" xfId="1" applyFont="1" applyFill="1" applyBorder="1" applyAlignment="1" applyProtection="1">
      <alignment vertical="center"/>
    </xf>
    <xf numFmtId="0" fontId="55" fillId="33" borderId="147" xfId="1" applyFont="1" applyFill="1" applyBorder="1" applyAlignment="1" applyProtection="1">
      <alignment horizontal="center" vertical="center"/>
    </xf>
    <xf numFmtId="0" fontId="55" fillId="33" borderId="24" xfId="1" applyFont="1" applyFill="1" applyBorder="1" applyAlignment="1" applyProtection="1">
      <alignment horizontal="center" vertical="center"/>
    </xf>
    <xf numFmtId="0" fontId="55" fillId="33" borderId="148" xfId="1" applyFont="1" applyFill="1" applyBorder="1" applyAlignment="1" applyProtection="1">
      <alignment horizontal="left" vertical="center"/>
    </xf>
    <xf numFmtId="0" fontId="9" fillId="33" borderId="32" xfId="1" applyFont="1" applyFill="1" applyBorder="1" applyAlignment="1" applyProtection="1"/>
    <xf numFmtId="0" fontId="9" fillId="33" borderId="0" xfId="1" applyFont="1" applyFill="1" applyBorder="1" applyAlignment="1" applyProtection="1"/>
    <xf numFmtId="0" fontId="9" fillId="33" borderId="40" xfId="1" applyFont="1" applyFill="1" applyBorder="1" applyAlignment="1" applyProtection="1">
      <alignment horizontal="center" vertical="center" wrapText="1"/>
    </xf>
    <xf numFmtId="0" fontId="9" fillId="33" borderId="0" xfId="1" applyFont="1" applyFill="1" applyAlignment="1" applyProtection="1">
      <alignment vertical="center"/>
    </xf>
    <xf numFmtId="0" fontId="5" fillId="33" borderId="60" xfId="1" applyFont="1" applyFill="1" applyBorder="1" applyAlignment="1" applyProtection="1">
      <alignment vertical="center"/>
    </xf>
    <xf numFmtId="0" fontId="9" fillId="33" borderId="41" xfId="1" applyFont="1" applyFill="1" applyBorder="1" applyAlignment="1" applyProtection="1">
      <alignment vertical="center"/>
    </xf>
    <xf numFmtId="0" fontId="9" fillId="33" borderId="48" xfId="1" applyFont="1" applyFill="1" applyBorder="1" applyAlignment="1" applyProtection="1">
      <alignment horizontal="center" vertical="center"/>
    </xf>
    <xf numFmtId="0" fontId="9" fillId="33" borderId="41" xfId="1" applyFont="1" applyFill="1" applyBorder="1" applyAlignment="1" applyProtection="1">
      <alignment horizontal="center" vertical="center"/>
    </xf>
    <xf numFmtId="0" fontId="9" fillId="33" borderId="146" xfId="1" applyFont="1" applyFill="1" applyBorder="1" applyAlignment="1" applyProtection="1">
      <alignment vertical="center"/>
    </xf>
    <xf numFmtId="0" fontId="174" fillId="0" borderId="25" xfId="1" applyFont="1" applyBorder="1" applyAlignment="1">
      <alignment vertical="center"/>
    </xf>
    <xf numFmtId="176" fontId="6" fillId="37" borderId="66" xfId="1" applyNumberFormat="1" applyFont="1" applyFill="1" applyBorder="1" applyAlignment="1" applyProtection="1">
      <alignment vertical="center"/>
    </xf>
    <xf numFmtId="0" fontId="15" fillId="0" borderId="40" xfId="67" applyFont="1" applyFill="1" applyBorder="1" applyAlignment="1" applyProtection="1">
      <alignment horizontal="left" vertical="center"/>
    </xf>
    <xf numFmtId="0" fontId="85" fillId="0" borderId="0" xfId="67" applyFont="1" applyFill="1" applyBorder="1" applyAlignment="1" applyProtection="1">
      <alignment horizontal="center" vertical="center"/>
    </xf>
    <xf numFmtId="2" fontId="15" fillId="0" borderId="40" xfId="67" applyNumberFormat="1" applyFont="1" applyFill="1" applyBorder="1" applyAlignment="1" applyProtection="1">
      <alignment horizontal="right" vertical="center"/>
    </xf>
    <xf numFmtId="2" fontId="15" fillId="0" borderId="72" xfId="67" applyNumberFormat="1" applyFont="1" applyFill="1" applyBorder="1" applyAlignment="1" applyProtection="1">
      <alignment horizontal="left" vertical="center"/>
    </xf>
    <xf numFmtId="0" fontId="15" fillId="0" borderId="39" xfId="67" applyFont="1" applyFill="1" applyBorder="1" applyAlignment="1" applyProtection="1">
      <alignment vertical="center"/>
    </xf>
    <xf numFmtId="0" fontId="15" fillId="0" borderId="61" xfId="67" applyFont="1" applyFill="1" applyBorder="1" applyAlignment="1" applyProtection="1">
      <alignment vertical="center"/>
    </xf>
    <xf numFmtId="0" fontId="15" fillId="0" borderId="2" xfId="67" applyFont="1" applyFill="1" applyBorder="1" applyAlignment="1" applyProtection="1">
      <alignment vertical="center"/>
    </xf>
    <xf numFmtId="0" fontId="15" fillId="0" borderId="40" xfId="67" applyFont="1" applyFill="1" applyBorder="1" applyAlignment="1" applyProtection="1">
      <alignment horizontal="center" vertical="center"/>
    </xf>
    <xf numFmtId="0" fontId="15" fillId="0" borderId="0"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9" fontId="20" fillId="0" borderId="62" xfId="67" applyNumberFormat="1" applyFont="1" applyFill="1" applyBorder="1" applyAlignment="1" applyProtection="1">
      <alignment horizontal="center" vertical="center"/>
    </xf>
    <xf numFmtId="9" fontId="15" fillId="0" borderId="61" xfId="67" applyNumberFormat="1" applyFont="1" applyFill="1" applyBorder="1" applyAlignment="1" applyProtection="1">
      <alignment horizontal="center" vertical="center"/>
    </xf>
    <xf numFmtId="0" fontId="15" fillId="0" borderId="72" xfId="1" applyFont="1" applyFill="1" applyBorder="1" applyAlignment="1" applyProtection="1">
      <alignment horizontal="center" vertical="center"/>
    </xf>
    <xf numFmtId="0" fontId="15" fillId="0" borderId="66" xfId="1" applyFont="1" applyFill="1" applyBorder="1" applyAlignment="1" applyProtection="1">
      <alignment horizontal="center" vertical="center"/>
    </xf>
    <xf numFmtId="0" fontId="15" fillId="0" borderId="65" xfId="1" applyFont="1" applyFill="1" applyBorder="1" applyAlignment="1" applyProtection="1">
      <alignment horizontal="center" vertical="center"/>
    </xf>
    <xf numFmtId="0" fontId="20" fillId="0" borderId="0" xfId="1" applyFont="1" applyFill="1" applyAlignment="1" applyProtection="1">
      <alignment vertical="center"/>
    </xf>
    <xf numFmtId="14" fontId="9" fillId="0" borderId="0" xfId="1" applyNumberFormat="1" applyFont="1" applyBorder="1" applyAlignment="1" applyProtection="1">
      <alignment horizontal="right" vertical="center"/>
    </xf>
    <xf numFmtId="0" fontId="5" fillId="0" borderId="0" xfId="1" applyFont="1" applyBorder="1" applyAlignment="1" applyProtection="1">
      <alignment horizontal="centerContinuous" vertical="center"/>
    </xf>
    <xf numFmtId="0" fontId="14" fillId="0" borderId="66" xfId="1" applyFont="1" applyBorder="1" applyAlignment="1" applyProtection="1">
      <alignment horizontal="center" vertical="center"/>
    </xf>
    <xf numFmtId="0" fontId="43" fillId="0" borderId="19" xfId="1" applyFont="1" applyBorder="1" applyAlignment="1" applyProtection="1">
      <alignment vertical="center"/>
    </xf>
    <xf numFmtId="0" fontId="14" fillId="4" borderId="57" xfId="1" applyFont="1" applyFill="1" applyBorder="1" applyAlignment="1" applyProtection="1">
      <alignment horizontal="center" vertical="center"/>
    </xf>
    <xf numFmtId="179" fontId="6" fillId="0" borderId="0" xfId="1" applyNumberFormat="1" applyFont="1" applyBorder="1" applyAlignment="1" applyProtection="1">
      <alignment vertical="center"/>
    </xf>
    <xf numFmtId="0" fontId="4" fillId="0" borderId="289" xfId="1" applyBorder="1" applyAlignment="1" applyProtection="1">
      <alignment vertical="center"/>
    </xf>
    <xf numFmtId="3" fontId="6" fillId="0" borderId="40" xfId="1" applyNumberFormat="1" applyFont="1" applyBorder="1" applyAlignment="1" applyProtection="1">
      <alignment vertical="center"/>
    </xf>
    <xf numFmtId="179" fontId="6" fillId="0" borderId="0" xfId="0" applyNumberFormat="1" applyFont="1" applyBorder="1" applyAlignment="1" applyProtection="1">
      <alignment vertical="center"/>
    </xf>
    <xf numFmtId="0" fontId="0" fillId="0" borderId="0" xfId="0" applyBorder="1" applyAlignment="1" applyProtection="1">
      <alignment vertical="center"/>
    </xf>
    <xf numFmtId="0" fontId="0" fillId="0" borderId="0" xfId="0" applyBorder="1" applyAlignment="1" applyProtection="1">
      <alignment horizontal="left" vertical="center"/>
    </xf>
    <xf numFmtId="2" fontId="15" fillId="31" borderId="66" xfId="1" applyNumberFormat="1" applyFont="1" applyFill="1" applyBorder="1" applyAlignment="1" applyProtection="1">
      <alignment horizontal="center" vertical="center" wrapText="1"/>
      <protection locked="0"/>
    </xf>
    <xf numFmtId="184" fontId="15" fillId="4" borderId="66" xfId="1" applyNumberFormat="1" applyFont="1" applyFill="1" applyBorder="1" applyAlignment="1" applyProtection="1">
      <alignment horizontal="center" vertical="center"/>
    </xf>
    <xf numFmtId="2" fontId="15" fillId="31" borderId="66" xfId="1" applyNumberFormat="1" applyFont="1" applyFill="1" applyBorder="1" applyAlignment="1" applyProtection="1">
      <alignment horizontal="center" vertical="center"/>
      <protection locked="0"/>
    </xf>
    <xf numFmtId="2" fontId="15" fillId="0" borderId="66" xfId="1" applyNumberFormat="1" applyFont="1" applyBorder="1" applyAlignment="1" applyProtection="1">
      <alignment vertical="center"/>
    </xf>
    <xf numFmtId="0" fontId="5" fillId="0" borderId="0" xfId="1" applyFont="1" applyBorder="1" applyAlignment="1" applyProtection="1">
      <alignment horizontal="left" vertical="center"/>
    </xf>
    <xf numFmtId="0" fontId="63" fillId="0" borderId="0" xfId="1" applyFont="1" applyBorder="1" applyAlignment="1" applyProtection="1">
      <alignment horizontal="left" vertical="center"/>
    </xf>
    <xf numFmtId="181" fontId="20" fillId="0" borderId="0" xfId="1" applyNumberFormat="1" applyFont="1" applyBorder="1" applyAlignment="1" applyProtection="1">
      <alignment vertical="center"/>
    </xf>
    <xf numFmtId="181" fontId="20" fillId="0" borderId="19" xfId="1" applyNumberFormat="1" applyFont="1" applyBorder="1" applyAlignment="1" applyProtection="1">
      <alignment vertical="center"/>
    </xf>
    <xf numFmtId="0" fontId="5" fillId="0" borderId="40" xfId="1" applyFont="1" applyBorder="1" applyAlignment="1" applyProtection="1">
      <alignment horizontal="left" vertical="center"/>
    </xf>
    <xf numFmtId="0" fontId="5" fillId="0" borderId="0" xfId="67" applyFont="1" applyFill="1" applyBorder="1" applyAlignment="1" applyProtection="1">
      <alignment horizontal="left" vertical="center"/>
    </xf>
    <xf numFmtId="0" fontId="63" fillId="0" borderId="0" xfId="67" applyFont="1" applyFill="1" applyBorder="1" applyAlignment="1" applyProtection="1">
      <alignment horizontal="left" vertical="center"/>
    </xf>
    <xf numFmtId="0" fontId="63" fillId="0" borderId="0" xfId="67" applyFont="1" applyFill="1" applyBorder="1" applyAlignment="1" applyProtection="1">
      <alignment horizontal="center" vertical="center"/>
    </xf>
    <xf numFmtId="0" fontId="20" fillId="0" borderId="0" xfId="67" applyFont="1" applyFill="1" applyBorder="1" applyAlignment="1" applyProtection="1">
      <alignment vertical="center"/>
    </xf>
    <xf numFmtId="0" fontId="20" fillId="0" borderId="0" xfId="67" applyFont="1" applyFill="1" applyBorder="1" applyAlignment="1" applyProtection="1">
      <alignment horizontal="center" vertical="center"/>
    </xf>
    <xf numFmtId="0" fontId="15" fillId="0" borderId="0" xfId="67" applyFont="1" applyFill="1" applyBorder="1" applyAlignment="1" applyProtection="1">
      <alignment vertical="center"/>
    </xf>
    <xf numFmtId="0" fontId="14" fillId="0" borderId="0" xfId="1" applyFont="1" applyFill="1" applyBorder="1" applyAlignment="1" applyProtection="1">
      <alignment vertical="center"/>
    </xf>
    <xf numFmtId="0" fontId="9" fillId="0" borderId="40" xfId="1" applyFont="1" applyFill="1" applyBorder="1" applyAlignment="1" applyProtection="1">
      <alignment horizontal="center" vertical="center"/>
    </xf>
    <xf numFmtId="0" fontId="16" fillId="0" borderId="66" xfId="1" applyFont="1" applyFill="1" applyBorder="1" applyAlignment="1">
      <alignment horizontal="center" vertical="center"/>
    </xf>
    <xf numFmtId="0" fontId="16" fillId="0" borderId="65" xfId="1" applyFont="1" applyFill="1" applyBorder="1" applyAlignment="1">
      <alignment horizontal="center" vertical="center"/>
    </xf>
    <xf numFmtId="0" fontId="9" fillId="0" borderId="46" xfId="1" applyFont="1" applyFill="1" applyBorder="1" applyAlignment="1" applyProtection="1">
      <alignment vertical="center"/>
    </xf>
    <xf numFmtId="0" fontId="9" fillId="0" borderId="47" xfId="1" applyFont="1" applyFill="1" applyBorder="1" applyAlignment="1" applyProtection="1">
      <alignment vertical="center"/>
    </xf>
    <xf numFmtId="0" fontId="9" fillId="0" borderId="41" xfId="1" applyFont="1" applyFill="1" applyBorder="1" applyAlignment="1" applyProtection="1">
      <alignment horizontal="center" vertical="center"/>
    </xf>
    <xf numFmtId="170" fontId="9" fillId="0" borderId="85" xfId="1" applyNumberFormat="1" applyFont="1" applyFill="1" applyBorder="1" applyAlignment="1" applyProtection="1">
      <alignment horizontal="right" vertical="center"/>
    </xf>
    <xf numFmtId="190" fontId="9" fillId="0" borderId="85" xfId="1" applyNumberFormat="1" applyFont="1" applyFill="1" applyBorder="1" applyAlignment="1" applyProtection="1">
      <alignment horizontal="right" vertical="center"/>
    </xf>
    <xf numFmtId="189" fontId="9" fillId="0" borderId="85" xfId="1" applyNumberFormat="1" applyFont="1" applyFill="1" applyBorder="1" applyAlignment="1" applyProtection="1">
      <alignment horizontal="right" vertical="center"/>
    </xf>
    <xf numFmtId="188" fontId="9" fillId="0" borderId="87" xfId="1" applyNumberFormat="1" applyFont="1" applyFill="1" applyBorder="1" applyAlignment="1" applyProtection="1">
      <alignment horizontal="right" vertical="center"/>
    </xf>
    <xf numFmtId="0" fontId="5" fillId="0" borderId="0" xfId="67" applyFont="1" applyFill="1" applyBorder="1" applyAlignment="1" applyProtection="1">
      <alignment horizontal="center" vertical="center"/>
    </xf>
    <xf numFmtId="14" fontId="6" fillId="31" borderId="0" xfId="1" applyNumberFormat="1" applyFont="1" applyFill="1" applyBorder="1" applyAlignment="1" applyProtection="1">
      <alignment horizontal="left" vertical="top"/>
    </xf>
    <xf numFmtId="0" fontId="43" fillId="0" borderId="2" xfId="1" applyFont="1" applyFill="1" applyBorder="1" applyAlignment="1">
      <alignment vertical="center"/>
    </xf>
    <xf numFmtId="176" fontId="6" fillId="0" borderId="39" xfId="1" applyNumberFormat="1" applyFont="1" applyFill="1" applyBorder="1" applyAlignment="1">
      <alignment vertical="center"/>
    </xf>
    <xf numFmtId="0" fontId="9" fillId="0" borderId="0" xfId="67" applyFont="1" applyFill="1" applyBorder="1" applyAlignment="1" applyProtection="1">
      <alignment horizontal="left" vertical="center"/>
    </xf>
    <xf numFmtId="0" fontId="4" fillId="0" borderId="39" xfId="1" applyFont="1" applyFill="1" applyBorder="1" applyAlignment="1" applyProtection="1">
      <alignment vertical="center"/>
    </xf>
    <xf numFmtId="9" fontId="15" fillId="0" borderId="71" xfId="1" applyNumberFormat="1" applyFont="1" applyFill="1" applyBorder="1" applyAlignment="1" applyProtection="1">
      <alignment horizontal="center" vertical="center"/>
    </xf>
    <xf numFmtId="9" fontId="15" fillId="0" borderId="62" xfId="1" applyNumberFormat="1" applyFont="1" applyFill="1" applyBorder="1" applyAlignment="1" applyProtection="1">
      <alignment horizontal="center" vertical="center"/>
    </xf>
    <xf numFmtId="9" fontId="15" fillId="0" borderId="61" xfId="1" applyNumberFormat="1" applyFont="1" applyFill="1" applyBorder="1" applyAlignment="1" applyProtection="1">
      <alignment horizontal="center" vertical="center"/>
    </xf>
    <xf numFmtId="0" fontId="43" fillId="0" borderId="0" xfId="1" applyFont="1" applyFill="1" applyBorder="1" applyAlignment="1" applyProtection="1">
      <alignment horizontal="right" vertical="center"/>
      <protection locked="0"/>
    </xf>
    <xf numFmtId="0" fontId="43" fillId="0" borderId="0" xfId="1" applyFont="1" applyFill="1" applyBorder="1" applyAlignment="1" applyProtection="1">
      <alignment horizontal="right" vertical="center"/>
    </xf>
    <xf numFmtId="184" fontId="15" fillId="4" borderId="66" xfId="67" applyNumberFormat="1" applyFont="1" applyFill="1" applyBorder="1" applyAlignment="1" applyProtection="1">
      <alignment horizontal="center" vertical="center"/>
    </xf>
    <xf numFmtId="9" fontId="15" fillId="0" borderId="0" xfId="1" applyNumberFormat="1" applyFont="1" applyBorder="1" applyAlignment="1" applyProtection="1">
      <alignment horizontal="center" vertical="center"/>
    </xf>
    <xf numFmtId="182" fontId="20" fillId="4" borderId="68" xfId="1" applyNumberFormat="1" applyFont="1" applyFill="1" applyBorder="1" applyAlignment="1" applyProtection="1">
      <alignment vertical="center"/>
    </xf>
    <xf numFmtId="0" fontId="85" fillId="0" borderId="65" xfId="67" applyFont="1" applyFill="1" applyBorder="1" applyAlignment="1" applyProtection="1">
      <alignment vertical="center"/>
    </xf>
    <xf numFmtId="0" fontId="85" fillId="0" borderId="0" xfId="67" applyFont="1" applyFill="1" applyBorder="1" applyAlignment="1" applyProtection="1">
      <alignment vertical="center"/>
    </xf>
    <xf numFmtId="0" fontId="9" fillId="0" borderId="0" xfId="67" applyAlignment="1"/>
    <xf numFmtId="0" fontId="87" fillId="0" borderId="0" xfId="1" applyFont="1" applyFill="1" applyBorder="1" applyAlignment="1" applyProtection="1">
      <alignment vertical="center"/>
    </xf>
    <xf numFmtId="0" fontId="87" fillId="0" borderId="0" xfId="67" applyFont="1" applyFill="1" applyAlignment="1" applyProtection="1">
      <alignment vertical="center"/>
    </xf>
    <xf numFmtId="0" fontId="88" fillId="0" borderId="0" xfId="67" applyFont="1" applyFill="1"/>
    <xf numFmtId="0" fontId="48" fillId="0" borderId="39" xfId="1" applyFont="1" applyBorder="1" applyAlignment="1" applyProtection="1">
      <alignment horizontal="center" vertical="center"/>
    </xf>
    <xf numFmtId="0" fontId="48" fillId="0" borderId="82" xfId="0" applyFont="1" applyBorder="1" applyAlignment="1" applyProtection="1">
      <alignment horizontal="center" vertical="center"/>
    </xf>
    <xf numFmtId="0" fontId="20" fillId="0" borderId="67" xfId="1" applyFont="1" applyFill="1" applyBorder="1" applyAlignment="1" applyProtection="1">
      <alignment horizontal="center" vertical="center"/>
    </xf>
    <xf numFmtId="0" fontId="48" fillId="0" borderId="82" xfId="1" applyFont="1" applyBorder="1" applyAlignment="1" applyProtection="1">
      <alignment horizontal="center" vertical="center"/>
    </xf>
    <xf numFmtId="0" fontId="48" fillId="0" borderId="80" xfId="0" applyFont="1" applyBorder="1" applyAlignment="1" applyProtection="1">
      <alignment horizontal="center" vertical="center"/>
    </xf>
    <xf numFmtId="0" fontId="48" fillId="0" borderId="80" xfId="1" applyFont="1" applyBorder="1" applyAlignment="1" applyProtection="1">
      <alignment horizontal="center" vertical="center"/>
    </xf>
    <xf numFmtId="0" fontId="157" fillId="0" borderId="65" xfId="1" applyFont="1" applyBorder="1" applyAlignment="1" applyProtection="1">
      <alignment horizontal="center" vertical="center"/>
    </xf>
    <xf numFmtId="0" fontId="105" fillId="0" borderId="61" xfId="1" applyFont="1" applyBorder="1" applyAlignment="1" applyProtection="1">
      <alignment horizontal="center" vertical="center"/>
    </xf>
    <xf numFmtId="4" fontId="20" fillId="4" borderId="68" xfId="67" applyNumberFormat="1" applyFont="1" applyFill="1" applyBorder="1" applyAlignment="1" applyProtection="1">
      <alignment horizontal="center" vertical="center"/>
    </xf>
    <xf numFmtId="4" fontId="20" fillId="4" borderId="65" xfId="67" applyNumberFormat="1" applyFont="1" applyFill="1" applyBorder="1" applyAlignment="1" applyProtection="1">
      <alignment horizontal="center" vertical="center"/>
    </xf>
    <xf numFmtId="0" fontId="48" fillId="0" borderId="63" xfId="1" applyFont="1" applyFill="1" applyBorder="1" applyAlignment="1" applyProtection="1">
      <alignment horizontal="center"/>
    </xf>
    <xf numFmtId="0" fontId="48" fillId="0" borderId="65" xfId="1" applyFont="1" applyBorder="1" applyAlignment="1" applyProtection="1">
      <alignment horizontal="center" vertical="center"/>
    </xf>
    <xf numFmtId="0" fontId="48" fillId="0" borderId="61" xfId="1" applyFont="1" applyBorder="1" applyAlignment="1" applyProtection="1">
      <alignment horizontal="center" vertical="center"/>
    </xf>
    <xf numFmtId="0" fontId="5" fillId="0" borderId="40" xfId="1" applyFont="1" applyFill="1" applyBorder="1" applyAlignment="1" applyProtection="1">
      <alignment vertical="top"/>
    </xf>
    <xf numFmtId="0" fontId="5" fillId="0" borderId="0" xfId="1" applyFont="1" applyFill="1" applyBorder="1" applyAlignment="1" applyProtection="1">
      <alignment vertical="top"/>
    </xf>
    <xf numFmtId="188" fontId="9" fillId="0" borderId="80" xfId="1" applyNumberFormat="1" applyFont="1" applyBorder="1" applyAlignment="1" applyProtection="1">
      <alignment horizontal="right" vertical="center"/>
    </xf>
    <xf numFmtId="0" fontId="6" fillId="0" borderId="0" xfId="67" applyFont="1" applyAlignment="1">
      <alignment vertical="top" wrapText="1"/>
    </xf>
    <xf numFmtId="0" fontId="5" fillId="0" borderId="65" xfId="1" applyFont="1" applyFill="1" applyBorder="1" applyAlignment="1" applyProtection="1">
      <alignment horizontal="centerContinuous" vertical="center"/>
    </xf>
    <xf numFmtId="186" fontId="5" fillId="0" borderId="40" xfId="1" applyNumberFormat="1" applyFont="1" applyFill="1" applyBorder="1" applyAlignment="1" applyProtection="1">
      <alignment horizontal="center" vertical="center"/>
    </xf>
    <xf numFmtId="0" fontId="43" fillId="0" borderId="2" xfId="1" applyFont="1" applyBorder="1" applyAlignment="1" applyProtection="1">
      <alignment vertical="top"/>
    </xf>
    <xf numFmtId="186" fontId="9" fillId="0" borderId="39" xfId="1" applyNumberFormat="1" applyFont="1" applyFill="1" applyBorder="1" applyAlignment="1" applyProtection="1">
      <alignment horizontal="center" vertical="center"/>
    </xf>
    <xf numFmtId="171" fontId="14" fillId="4" borderId="40" xfId="61" applyNumberFormat="1" applyFont="1" applyFill="1" applyBorder="1" applyAlignment="1" applyProtection="1">
      <alignment horizontal="right" vertical="center"/>
    </xf>
    <xf numFmtId="0" fontId="0" fillId="0" borderId="0" xfId="0" applyBorder="1"/>
    <xf numFmtId="171" fontId="9" fillId="0" borderId="40" xfId="1" applyNumberFormat="1" applyFont="1" applyBorder="1" applyAlignment="1" applyProtection="1">
      <alignment horizontal="right" vertical="center"/>
    </xf>
    <xf numFmtId="171" fontId="9" fillId="0" borderId="40" xfId="61" applyNumberFormat="1" applyFont="1" applyBorder="1" applyAlignment="1" applyProtection="1">
      <alignment horizontal="right" vertical="center"/>
    </xf>
    <xf numFmtId="171" fontId="9" fillId="0" borderId="39" xfId="61" applyNumberFormat="1" applyFont="1" applyBorder="1" applyAlignment="1" applyProtection="1">
      <alignment horizontal="right" vertical="center"/>
    </xf>
    <xf numFmtId="0" fontId="6" fillId="0" borderId="91" xfId="1" applyFont="1" applyBorder="1" applyAlignment="1" applyProtection="1">
      <alignment vertical="center"/>
    </xf>
    <xf numFmtId="171" fontId="6" fillId="0" borderId="40" xfId="61" applyNumberFormat="1" applyFont="1" applyBorder="1" applyAlignment="1" applyProtection="1">
      <alignment horizontal="right" vertical="center"/>
    </xf>
    <xf numFmtId="0" fontId="43" fillId="0" borderId="0" xfId="1" applyFont="1" applyFill="1" applyBorder="1" applyAlignment="1" applyProtection="1">
      <alignment vertical="top"/>
    </xf>
    <xf numFmtId="0" fontId="5" fillId="0" borderId="0" xfId="1" applyFont="1" applyFill="1" applyBorder="1" applyAlignment="1" applyProtection="1">
      <alignment horizontal="centerContinuous" vertical="center"/>
    </xf>
    <xf numFmtId="177" fontId="5" fillId="0" borderId="40" xfId="1" applyNumberFormat="1" applyFont="1" applyFill="1" applyBorder="1" applyAlignment="1" applyProtection="1">
      <alignment horizontal="center" vertical="center"/>
    </xf>
    <xf numFmtId="186" fontId="9" fillId="0" borderId="40" xfId="1" applyNumberFormat="1" applyFont="1" applyFill="1" applyBorder="1" applyAlignment="1" applyProtection="1">
      <alignment horizontal="center" vertical="center"/>
    </xf>
    <xf numFmtId="0" fontId="9" fillId="0" borderId="67" xfId="1" applyFont="1" applyFill="1" applyBorder="1" applyAlignment="1" applyProtection="1">
      <alignment horizontal="center" vertical="center"/>
    </xf>
    <xf numFmtId="0" fontId="9" fillId="0" borderId="66" xfId="1" applyFont="1" applyFill="1" applyBorder="1" applyAlignment="1" applyProtection="1">
      <alignment horizontal="center" vertical="center"/>
    </xf>
    <xf numFmtId="0" fontId="9" fillId="0" borderId="82" xfId="1" applyFont="1" applyFill="1" applyBorder="1" applyAlignment="1" applyProtection="1">
      <alignment horizontal="center" vertical="center"/>
    </xf>
    <xf numFmtId="0" fontId="14" fillId="0" borderId="42" xfId="1" applyFont="1" applyBorder="1" applyAlignment="1" applyProtection="1">
      <alignment vertical="center"/>
    </xf>
    <xf numFmtId="0" fontId="14" fillId="0" borderId="289" xfId="1" applyFont="1" applyFill="1" applyBorder="1" applyAlignment="1" applyProtection="1">
      <alignment horizontal="left" vertical="center"/>
    </xf>
    <xf numFmtId="0" fontId="70" fillId="0" borderId="289" xfId="1" applyFont="1" applyBorder="1" applyAlignment="1" applyProtection="1">
      <alignment vertical="center"/>
    </xf>
    <xf numFmtId="171" fontId="14" fillId="4" borderId="43" xfId="61" applyNumberFormat="1" applyFont="1" applyFill="1" applyBorder="1" applyAlignment="1" applyProtection="1">
      <alignment horizontal="right" vertical="center"/>
    </xf>
    <xf numFmtId="0" fontId="4" fillId="0" borderId="289" xfId="1" applyBorder="1" applyProtection="1"/>
    <xf numFmtId="186" fontId="16" fillId="0" borderId="289" xfId="1" applyNumberFormat="1" applyFont="1" applyFill="1" applyBorder="1" applyAlignment="1" applyProtection="1">
      <alignment horizontal="right" vertical="center"/>
    </xf>
    <xf numFmtId="189" fontId="5" fillId="4" borderId="0" xfId="1" applyNumberFormat="1" applyFont="1" applyFill="1" applyBorder="1" applyAlignment="1" applyProtection="1">
      <alignment horizontal="center" vertical="center"/>
    </xf>
    <xf numFmtId="0" fontId="14" fillId="0" borderId="40" xfId="1" applyFont="1" applyBorder="1" applyAlignment="1">
      <alignment horizontal="center" vertical="center"/>
    </xf>
    <xf numFmtId="171" fontId="9" fillId="4" borderId="40" xfId="61" applyNumberFormat="1" applyFont="1" applyFill="1" applyBorder="1" applyAlignment="1" applyProtection="1">
      <alignment horizontal="right" vertical="center"/>
    </xf>
    <xf numFmtId="189" fontId="5" fillId="0" borderId="0" xfId="1" applyNumberFormat="1" applyFont="1" applyFill="1" applyBorder="1" applyAlignment="1" applyProtection="1">
      <alignment horizontal="center" vertical="center"/>
    </xf>
    <xf numFmtId="170" fontId="9" fillId="0" borderId="0" xfId="1" applyNumberFormat="1" applyFont="1" applyFill="1" applyBorder="1" applyAlignment="1" applyProtection="1">
      <alignment horizontal="right" vertical="center"/>
    </xf>
    <xf numFmtId="190" fontId="9" fillId="0" borderId="0" xfId="1" applyNumberFormat="1" applyFont="1" applyFill="1" applyBorder="1" applyAlignment="1" applyProtection="1">
      <alignment horizontal="right" vertical="center"/>
    </xf>
    <xf numFmtId="189" fontId="9" fillId="0" borderId="0" xfId="1" applyNumberFormat="1" applyFont="1" applyFill="1" applyBorder="1" applyAlignment="1" applyProtection="1">
      <alignment horizontal="right" vertical="center"/>
    </xf>
    <xf numFmtId="188" fontId="9" fillId="0" borderId="0" xfId="1" applyNumberFormat="1" applyFont="1" applyFill="1" applyBorder="1" applyAlignment="1" applyProtection="1">
      <alignment horizontal="right" vertical="center"/>
    </xf>
    <xf numFmtId="0" fontId="14" fillId="0" borderId="40" xfId="1" applyFont="1" applyFill="1" applyBorder="1" applyAlignment="1">
      <alignment horizontal="center" vertical="center"/>
    </xf>
    <xf numFmtId="0" fontId="6" fillId="0" borderId="41" xfId="1" applyFont="1" applyFill="1" applyBorder="1" applyAlignment="1" applyProtection="1">
      <alignment vertical="center"/>
    </xf>
    <xf numFmtId="0" fontId="6" fillId="0" borderId="46" xfId="1" applyFont="1" applyFill="1" applyBorder="1" applyAlignment="1" applyProtection="1">
      <alignment vertical="center"/>
    </xf>
    <xf numFmtId="0" fontId="13" fillId="0" borderId="0" xfId="1" applyFont="1" applyBorder="1"/>
    <xf numFmtId="171" fontId="9" fillId="0" borderId="40" xfId="61" applyNumberFormat="1" applyFont="1" applyFill="1" applyBorder="1" applyAlignment="1" applyProtection="1">
      <alignment horizontal="right" vertical="center"/>
    </xf>
    <xf numFmtId="0" fontId="13" fillId="0" borderId="24" xfId="1" applyFont="1" applyBorder="1" applyAlignment="1" applyProtection="1">
      <alignment vertical="center"/>
    </xf>
    <xf numFmtId="0" fontId="13" fillId="0" borderId="131" xfId="1" applyFont="1" applyBorder="1" applyAlignment="1" applyProtection="1">
      <alignment vertical="center"/>
    </xf>
    <xf numFmtId="0" fontId="6" fillId="0" borderId="67" xfId="1" applyFont="1" applyBorder="1" applyAlignment="1" applyProtection="1">
      <alignment vertical="center"/>
    </xf>
    <xf numFmtId="188" fontId="9" fillId="0" borderId="0" xfId="1" applyNumberFormat="1" applyFont="1" applyBorder="1" applyAlignment="1" applyProtection="1">
      <alignment horizontal="right" vertical="center"/>
    </xf>
    <xf numFmtId="0" fontId="9" fillId="0" borderId="24" xfId="1" applyFont="1" applyFill="1" applyBorder="1" applyAlignment="1" applyProtection="1">
      <alignment horizontal="center" vertical="center"/>
    </xf>
    <xf numFmtId="171" fontId="9" fillId="0" borderId="185" xfId="61" applyNumberFormat="1" applyFont="1" applyFill="1" applyBorder="1" applyAlignment="1" applyProtection="1">
      <alignment horizontal="right" vertical="center"/>
      <protection locked="0"/>
    </xf>
    <xf numFmtId="171" fontId="9" fillId="0" borderId="204" xfId="61" applyNumberFormat="1" applyFont="1" applyFill="1" applyBorder="1" applyAlignment="1" applyProtection="1">
      <alignment horizontal="right" vertical="center"/>
      <protection locked="0"/>
    </xf>
    <xf numFmtId="171" fontId="9" fillId="0" borderId="204" xfId="61" applyNumberFormat="1" applyFont="1" applyFill="1" applyBorder="1" applyAlignment="1" applyProtection="1">
      <alignment vertical="center"/>
      <protection locked="0"/>
    </xf>
    <xf numFmtId="171" fontId="9" fillId="0" borderId="24" xfId="61" applyNumberFormat="1" applyFont="1" applyFill="1" applyBorder="1" applyAlignment="1" applyProtection="1">
      <alignment horizontal="right" vertical="center"/>
      <protection locked="0"/>
    </xf>
    <xf numFmtId="171" fontId="9" fillId="0" borderId="62" xfId="61" applyNumberFormat="1" applyFont="1" applyFill="1" applyBorder="1" applyAlignment="1" applyProtection="1">
      <alignment horizontal="right" vertical="center"/>
    </xf>
    <xf numFmtId="171" fontId="9" fillId="0" borderId="62" xfId="61" applyNumberFormat="1" applyFont="1" applyFill="1" applyBorder="1" applyAlignment="1" applyProtection="1">
      <alignment horizontal="right" vertical="center"/>
      <protection locked="0"/>
    </xf>
    <xf numFmtId="0" fontId="9" fillId="0" borderId="19" xfId="1" applyFont="1" applyBorder="1" applyAlignment="1" applyProtection="1">
      <alignment horizontal="left" vertical="center"/>
    </xf>
    <xf numFmtId="0" fontId="9" fillId="0" borderId="44" xfId="1" applyFont="1" applyBorder="1" applyAlignment="1" applyProtection="1">
      <alignment horizontal="left" vertical="center"/>
    </xf>
    <xf numFmtId="171" fontId="9" fillId="0" borderId="63" xfId="61" applyNumberFormat="1" applyFont="1" applyFill="1" applyBorder="1" applyAlignment="1" applyProtection="1">
      <alignment vertical="center"/>
      <protection locked="0"/>
    </xf>
    <xf numFmtId="0" fontId="14" fillId="0" borderId="41" xfId="1" applyFont="1" applyFill="1" applyBorder="1" applyAlignment="1" applyProtection="1">
      <alignment vertical="center"/>
    </xf>
    <xf numFmtId="0" fontId="157" fillId="0" borderId="0" xfId="1" applyFont="1" applyBorder="1" applyAlignment="1" applyProtection="1">
      <alignment horizontal="center" vertical="center"/>
    </xf>
    <xf numFmtId="203" fontId="13" fillId="4" borderId="58" xfId="1" applyNumberFormat="1" applyFont="1" applyFill="1" applyBorder="1" applyAlignment="1">
      <alignment vertical="center"/>
    </xf>
    <xf numFmtId="188" fontId="6" fillId="0" borderId="19" xfId="61" applyNumberFormat="1" applyFont="1" applyBorder="1" applyAlignment="1">
      <alignment vertical="center"/>
    </xf>
    <xf numFmtId="188" fontId="6" fillId="0" borderId="19" xfId="1" applyNumberFormat="1" applyFont="1" applyBorder="1" applyAlignment="1">
      <alignment vertical="center"/>
    </xf>
    <xf numFmtId="188" fontId="6" fillId="0" borderId="42" xfId="61" applyNumberFormat="1" applyFont="1" applyBorder="1" applyAlignment="1">
      <alignment vertical="center"/>
    </xf>
    <xf numFmtId="188" fontId="6" fillId="0" borderId="0" xfId="1" applyNumberFormat="1" applyFont="1" applyBorder="1" applyAlignment="1">
      <alignment vertical="center"/>
    </xf>
    <xf numFmtId="0" fontId="115" fillId="0" borderId="77" xfId="1" applyFont="1" applyBorder="1" applyAlignment="1">
      <alignment vertical="center"/>
    </xf>
    <xf numFmtId="203" fontId="13" fillId="41" borderId="57" xfId="1" applyNumberFormat="1" applyFont="1" applyFill="1" applyBorder="1" applyAlignment="1">
      <alignment vertical="center"/>
    </xf>
    <xf numFmtId="0" fontId="115" fillId="55" borderId="77" xfId="1" applyFont="1" applyFill="1" applyBorder="1" applyAlignment="1">
      <alignment vertical="center"/>
    </xf>
    <xf numFmtId="0" fontId="4" fillId="55" borderId="43" xfId="1" applyFill="1" applyBorder="1" applyAlignment="1">
      <alignment vertical="center"/>
    </xf>
    <xf numFmtId="188" fontId="6" fillId="55" borderId="42" xfId="61" applyNumberFormat="1" applyFont="1" applyFill="1" applyBorder="1" applyAlignment="1">
      <alignment vertical="center"/>
    </xf>
    <xf numFmtId="0" fontId="4" fillId="55" borderId="40" xfId="1" applyFill="1" applyBorder="1" applyAlignment="1">
      <alignment vertical="center"/>
    </xf>
    <xf numFmtId="188" fontId="6" fillId="55" borderId="19" xfId="61" applyNumberFormat="1" applyFont="1" applyFill="1" applyBorder="1" applyAlignment="1">
      <alignment vertical="center"/>
    </xf>
    <xf numFmtId="188" fontId="6" fillId="55" borderId="19" xfId="1" applyNumberFormat="1" applyFont="1" applyFill="1" applyBorder="1" applyAlignment="1">
      <alignment vertical="center"/>
    </xf>
    <xf numFmtId="0" fontId="20" fillId="0" borderId="67" xfId="67" applyFont="1" applyFill="1" applyBorder="1" applyAlignment="1" applyProtection="1">
      <alignment vertical="center"/>
    </xf>
    <xf numFmtId="180" fontId="20" fillId="31" borderId="65" xfId="67" applyNumberFormat="1" applyFont="1" applyFill="1" applyBorder="1" applyAlignment="1" applyProtection="1">
      <alignment vertical="center"/>
    </xf>
    <xf numFmtId="4" fontId="20" fillId="31" borderId="67" xfId="1" applyNumberFormat="1" applyFont="1" applyFill="1" applyBorder="1" applyAlignment="1" applyProtection="1">
      <alignment horizontal="center" vertical="center"/>
    </xf>
    <xf numFmtId="4" fontId="20" fillId="31" borderId="67" xfId="67" applyNumberFormat="1" applyFont="1" applyFill="1" applyBorder="1" applyAlignment="1" applyProtection="1">
      <alignment horizontal="center" vertical="center"/>
    </xf>
    <xf numFmtId="4" fontId="20" fillId="31" borderId="40" xfId="1" applyNumberFormat="1" applyFont="1" applyFill="1" applyBorder="1" applyAlignment="1" applyProtection="1">
      <alignment horizontal="center" vertical="center"/>
    </xf>
    <xf numFmtId="0" fontId="20" fillId="0" borderId="40" xfId="67" applyFont="1" applyFill="1" applyBorder="1" applyAlignment="1" applyProtection="1">
      <alignment horizontal="left" vertical="center"/>
    </xf>
    <xf numFmtId="0" fontId="9" fillId="0" borderId="39" xfId="67" applyFont="1" applyFill="1" applyBorder="1" applyAlignment="1" applyProtection="1"/>
    <xf numFmtId="0" fontId="20" fillId="0" borderId="2" xfId="67" applyFont="1" applyFill="1" applyBorder="1" applyAlignment="1" applyProtection="1">
      <alignment vertical="center"/>
    </xf>
    <xf numFmtId="181" fontId="20" fillId="0" borderId="289" xfId="67" applyNumberFormat="1" applyFont="1" applyBorder="1" applyAlignment="1" applyProtection="1">
      <alignment vertical="center"/>
    </xf>
    <xf numFmtId="180" fontId="175" fillId="31" borderId="65" xfId="67" applyNumberFormat="1" applyFont="1" applyFill="1" applyBorder="1" applyAlignment="1" applyProtection="1">
      <alignment vertical="center"/>
      <protection locked="0"/>
    </xf>
    <xf numFmtId="180" fontId="175" fillId="31" borderId="65" xfId="67" applyNumberFormat="1" applyFont="1" applyFill="1" applyBorder="1" applyAlignment="1" applyProtection="1">
      <alignment vertical="center"/>
    </xf>
    <xf numFmtId="181" fontId="20" fillId="0" borderId="19" xfId="67" applyNumberFormat="1" applyFont="1" applyBorder="1" applyAlignment="1" applyProtection="1">
      <alignment vertical="center"/>
    </xf>
    <xf numFmtId="0" fontId="20" fillId="0" borderId="0" xfId="1" applyFont="1" applyBorder="1" applyAlignment="1" applyProtection="1">
      <alignment horizontal="center" vertical="center"/>
    </xf>
    <xf numFmtId="181" fontId="20" fillId="0" borderId="289" xfId="1" applyNumberFormat="1" applyFont="1" applyBorder="1" applyAlignment="1" applyProtection="1">
      <alignment vertical="center"/>
    </xf>
    <xf numFmtId="0" fontId="9" fillId="0" borderId="0" xfId="67" applyFont="1" applyFill="1" applyBorder="1" applyAlignment="1" applyProtection="1">
      <alignment vertical="center"/>
    </xf>
    <xf numFmtId="180" fontId="131" fillId="31" borderId="65" xfId="67" applyNumberFormat="1" applyFont="1" applyFill="1" applyBorder="1" applyAlignment="1" applyProtection="1">
      <alignment vertical="center"/>
      <protection locked="0"/>
    </xf>
    <xf numFmtId="180" fontId="31" fillId="31" borderId="288" xfId="67" applyNumberFormat="1" applyFont="1" applyFill="1" applyBorder="1" applyAlignment="1" applyProtection="1">
      <alignment vertical="center"/>
      <protection locked="0"/>
    </xf>
    <xf numFmtId="180" fontId="20" fillId="31" borderId="0" xfId="67" applyNumberFormat="1" applyFont="1" applyFill="1" applyBorder="1" applyAlignment="1" applyProtection="1">
      <alignment vertical="center"/>
      <protection locked="0"/>
    </xf>
    <xf numFmtId="0" fontId="55" fillId="0" borderId="43" xfId="67" applyFont="1" applyFill="1" applyBorder="1" applyAlignment="1" applyProtection="1">
      <alignment horizontal="left" vertical="center"/>
      <protection locked="0"/>
    </xf>
    <xf numFmtId="180" fontId="31" fillId="0" borderId="291" xfId="67" applyNumberFormat="1" applyFont="1" applyFill="1" applyBorder="1" applyAlignment="1" applyProtection="1">
      <alignment vertical="center"/>
    </xf>
    <xf numFmtId="181" fontId="20" fillId="0" borderId="291" xfId="67" applyNumberFormat="1" applyFont="1" applyFill="1" applyBorder="1" applyAlignment="1" applyProtection="1">
      <alignment vertical="center"/>
    </xf>
    <xf numFmtId="181" fontId="20" fillId="0" borderId="68" xfId="67" applyNumberFormat="1" applyFont="1" applyFill="1" applyBorder="1" applyAlignment="1" applyProtection="1">
      <alignment vertical="center"/>
    </xf>
    <xf numFmtId="181" fontId="20" fillId="0" borderId="289" xfId="67" applyNumberFormat="1" applyFont="1" applyFill="1" applyBorder="1" applyAlignment="1" applyProtection="1">
      <alignment vertical="center"/>
    </xf>
    <xf numFmtId="213" fontId="6" fillId="4" borderId="113" xfId="105" applyNumberFormat="1" applyFont="1" applyFill="1" applyBorder="1" applyAlignment="1" applyProtection="1">
      <alignment horizontal="center" vertical="center"/>
    </xf>
    <xf numFmtId="213" fontId="6" fillId="4" borderId="113" xfId="105" applyNumberFormat="1" applyFont="1" applyFill="1" applyBorder="1" applyAlignment="1" applyProtection="1">
      <alignment vertical="center"/>
    </xf>
    <xf numFmtId="176" fontId="6" fillId="4" borderId="292" xfId="105" applyNumberFormat="1" applyFont="1" applyFill="1" applyBorder="1" applyAlignment="1" applyProtection="1">
      <alignment vertical="center"/>
    </xf>
    <xf numFmtId="0" fontId="5" fillId="0" borderId="0" xfId="1" applyFont="1" applyBorder="1" applyAlignment="1" applyProtection="1">
      <alignment horizontal="center" vertical="center"/>
    </xf>
    <xf numFmtId="0" fontId="5" fillId="0" borderId="0" xfId="1" applyFont="1" applyAlignment="1" applyProtection="1">
      <alignment vertical="center"/>
    </xf>
    <xf numFmtId="0" fontId="4" fillId="0" borderId="0" xfId="1" applyBorder="1" applyAlignment="1" applyProtection="1">
      <alignment vertical="center"/>
    </xf>
    <xf numFmtId="0" fontId="5" fillId="0" borderId="77" xfId="1" applyFont="1" applyBorder="1" applyAlignment="1" applyProtection="1">
      <alignment vertical="center"/>
    </xf>
    <xf numFmtId="0" fontId="4" fillId="0" borderId="0" xfId="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8" fillId="31" borderId="0" xfId="1" applyFont="1" applyFill="1" applyBorder="1" applyAlignment="1" applyProtection="1">
      <alignment horizontal="right" vertical="top"/>
      <protection locked="0"/>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146" fillId="0" borderId="0" xfId="1" applyFont="1" applyFill="1" applyBorder="1" applyAlignment="1">
      <alignment horizontal="left" vertical="center" wrapText="1"/>
    </xf>
    <xf numFmtId="0" fontId="4" fillId="0" borderId="0" xfId="1" applyAlignment="1" applyProtection="1">
      <alignment vertical="center"/>
    </xf>
    <xf numFmtId="0" fontId="4" fillId="0" borderId="0" xfId="1" applyBorder="1" applyAlignment="1" applyProtection="1">
      <alignment vertical="center"/>
    </xf>
    <xf numFmtId="0" fontId="4" fillId="0" borderId="0" xfId="1" applyBorder="1" applyAlignment="1" applyProtection="1">
      <alignment vertical="center"/>
    </xf>
    <xf numFmtId="0" fontId="4" fillId="0" borderId="0" xfId="1" applyAlignment="1" applyProtection="1">
      <alignment vertical="center"/>
    </xf>
    <xf numFmtId="2" fontId="145" fillId="0" borderId="0" xfId="1" applyNumberFormat="1" applyFont="1" applyFill="1" applyBorder="1" applyAlignment="1">
      <alignment horizontal="left"/>
    </xf>
    <xf numFmtId="2" fontId="145" fillId="0" borderId="40" xfId="1" applyNumberFormat="1" applyFont="1" applyFill="1" applyBorder="1" applyAlignment="1">
      <alignment horizontal="left"/>
    </xf>
    <xf numFmtId="211" fontId="6" fillId="4" borderId="287" xfId="1" applyNumberFormat="1" applyFont="1" applyFill="1" applyBorder="1" applyAlignment="1" applyProtection="1">
      <alignment horizontal="right" vertical="center"/>
    </xf>
    <xf numFmtId="0" fontId="4" fillId="0" borderId="0" xfId="1" applyBorder="1" applyAlignment="1" applyProtection="1">
      <alignment vertical="center"/>
    </xf>
    <xf numFmtId="176" fontId="6" fillId="0" borderId="62" xfId="105" applyNumberFormat="1" applyFont="1" applyFill="1" applyBorder="1" applyAlignment="1" applyProtection="1">
      <alignment vertical="center"/>
    </xf>
    <xf numFmtId="0" fontId="85" fillId="0" borderId="65"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2" fontId="9" fillId="0" borderId="40" xfId="67" applyNumberFormat="1" applyFont="1" applyBorder="1" applyAlignment="1" applyProtection="1">
      <alignment horizontal="center" vertical="center"/>
    </xf>
    <xf numFmtId="0" fontId="9" fillId="0" borderId="0" xfId="1" applyFont="1" applyBorder="1" applyAlignment="1">
      <alignment horizontal="left" vertical="center"/>
    </xf>
    <xf numFmtId="0" fontId="4" fillId="0" borderId="32" xfId="1" applyFont="1" applyFill="1" applyBorder="1" applyAlignment="1" applyProtection="1">
      <alignment vertical="center"/>
    </xf>
    <xf numFmtId="0" fontId="20" fillId="0" borderId="289" xfId="1" applyFont="1" applyBorder="1" applyProtection="1"/>
    <xf numFmtId="174" fontId="6" fillId="0" borderId="169" xfId="1" applyNumberFormat="1" applyFont="1" applyBorder="1" applyAlignment="1" applyProtection="1">
      <alignment vertical="center"/>
    </xf>
    <xf numFmtId="174" fontId="6" fillId="0" borderId="170" xfId="1" applyNumberFormat="1" applyFont="1" applyBorder="1" applyAlignment="1" applyProtection="1">
      <alignment vertical="center"/>
    </xf>
    <xf numFmtId="174" fontId="14" fillId="30" borderId="167" xfId="1" applyNumberFormat="1" applyFont="1" applyFill="1" applyBorder="1" applyAlignment="1" applyProtection="1">
      <alignment vertical="center"/>
    </xf>
    <xf numFmtId="0" fontId="4" fillId="56" borderId="40" xfId="1" applyFill="1" applyBorder="1" applyProtection="1">
      <protection locked="0"/>
    </xf>
    <xf numFmtId="3" fontId="120" fillId="43" borderId="40" xfId="1" applyNumberFormat="1" applyFont="1" applyFill="1" applyBorder="1" applyAlignment="1">
      <alignment horizontal="left" vertical="center"/>
    </xf>
    <xf numFmtId="3" fontId="120" fillId="43" borderId="0" xfId="1" applyNumberFormat="1" applyFont="1" applyFill="1" applyBorder="1" applyAlignment="1">
      <alignment horizontal="right" vertical="center"/>
    </xf>
    <xf numFmtId="3" fontId="120" fillId="43" borderId="0" xfId="1" applyNumberFormat="1" applyFont="1" applyFill="1" applyBorder="1" applyAlignment="1">
      <alignment horizontal="center" vertical="center"/>
    </xf>
    <xf numFmtId="3" fontId="120" fillId="57" borderId="0" xfId="1" applyNumberFormat="1" applyFont="1" applyFill="1" applyAlignment="1">
      <alignment horizontal="right" vertical="center"/>
    </xf>
    <xf numFmtId="3" fontId="77" fillId="58" borderId="48" xfId="1" applyNumberFormat="1" applyFont="1" applyFill="1" applyBorder="1" applyAlignment="1">
      <alignment horizontal="right" vertical="center"/>
    </xf>
    <xf numFmtId="3" fontId="120" fillId="58" borderId="25" xfId="1" applyNumberFormat="1" applyFont="1" applyFill="1" applyBorder="1" applyAlignment="1">
      <alignment horizontal="right" vertical="center"/>
    </xf>
    <xf numFmtId="3" fontId="120" fillId="58" borderId="36" xfId="1" applyNumberFormat="1" applyFont="1" applyFill="1" applyBorder="1" applyAlignment="1">
      <alignment horizontal="right" vertical="center"/>
    </xf>
    <xf numFmtId="165" fontId="77" fillId="58" borderId="25" xfId="1" applyNumberFormat="1" applyFont="1" applyFill="1" applyBorder="1" applyAlignment="1">
      <alignment horizontal="right" vertical="center"/>
    </xf>
    <xf numFmtId="3" fontId="120" fillId="58" borderId="25" xfId="61" applyNumberFormat="1" applyFont="1" applyFill="1" applyBorder="1" applyAlignment="1">
      <alignment horizontal="right" vertical="center"/>
    </xf>
    <xf numFmtId="4" fontId="77" fillId="58" borderId="34" xfId="1" applyNumberFormat="1" applyFont="1" applyFill="1" applyBorder="1" applyAlignment="1">
      <alignment horizontal="right" vertical="center"/>
    </xf>
    <xf numFmtId="3" fontId="120" fillId="58" borderId="34" xfId="1" applyNumberFormat="1" applyFont="1" applyFill="1" applyBorder="1" applyAlignment="1">
      <alignment horizontal="right" vertical="center"/>
    </xf>
    <xf numFmtId="3" fontId="77" fillId="58" borderId="36" xfId="1" applyNumberFormat="1" applyFont="1" applyFill="1" applyBorder="1" applyAlignment="1">
      <alignment horizontal="right" vertical="center"/>
    </xf>
    <xf numFmtId="3" fontId="120" fillId="59" borderId="25" xfId="1" applyNumberFormat="1" applyFont="1" applyFill="1" applyBorder="1" applyAlignment="1">
      <alignment horizontal="right" vertical="center"/>
    </xf>
    <xf numFmtId="3" fontId="120" fillId="59" borderId="36" xfId="1" applyNumberFormat="1" applyFont="1" applyFill="1" applyBorder="1" applyAlignment="1">
      <alignment horizontal="right" vertical="center"/>
    </xf>
    <xf numFmtId="3" fontId="121" fillId="32" borderId="0" xfId="1" applyNumberFormat="1" applyFont="1" applyFill="1" applyAlignment="1">
      <alignment vertical="center"/>
    </xf>
    <xf numFmtId="3" fontId="120" fillId="4" borderId="32" xfId="1" applyNumberFormat="1" applyFont="1" applyFill="1" applyBorder="1" applyAlignment="1">
      <alignment vertical="center"/>
    </xf>
    <xf numFmtId="3" fontId="120" fillId="4" borderId="19" xfId="1" applyNumberFormat="1" applyFont="1" applyFill="1" applyBorder="1" applyAlignment="1">
      <alignment vertical="center"/>
    </xf>
    <xf numFmtId="3" fontId="120" fillId="58" borderId="25" xfId="1" applyNumberFormat="1" applyFont="1" applyFill="1" applyBorder="1" applyAlignment="1">
      <alignment vertical="center"/>
    </xf>
    <xf numFmtId="3" fontId="120" fillId="4" borderId="25" xfId="1" applyNumberFormat="1" applyFont="1" applyFill="1" applyBorder="1" applyAlignment="1">
      <alignment vertical="center"/>
    </xf>
    <xf numFmtId="3" fontId="120" fillId="4" borderId="29" xfId="1" applyNumberFormat="1" applyFont="1" applyFill="1" applyBorder="1" applyAlignment="1">
      <alignment vertical="center"/>
    </xf>
    <xf numFmtId="3" fontId="120" fillId="4" borderId="0" xfId="1" applyNumberFormat="1" applyFont="1" applyFill="1" applyBorder="1" applyAlignment="1">
      <alignment vertical="center"/>
    </xf>
    <xf numFmtId="0" fontId="4" fillId="0" borderId="0" xfId="1" applyBorder="1" applyAlignment="1" applyProtection="1">
      <alignment vertical="center"/>
    </xf>
    <xf numFmtId="213" fontId="6" fillId="31" borderId="293" xfId="105" applyNumberFormat="1" applyFont="1" applyFill="1" applyBorder="1" applyAlignment="1" applyProtection="1">
      <alignment horizontal="right" vertical="center"/>
      <protection locked="0"/>
    </xf>
    <xf numFmtId="206" fontId="6" fillId="0" borderId="162" xfId="105" applyNumberFormat="1" applyFont="1" applyBorder="1" applyAlignment="1" applyProtection="1">
      <alignment horizontal="right" vertical="center"/>
    </xf>
    <xf numFmtId="170" fontId="6" fillId="0" borderId="112" xfId="1" applyNumberFormat="1" applyFont="1" applyBorder="1" applyAlignment="1" applyProtection="1">
      <alignment horizontal="right" vertical="center"/>
    </xf>
    <xf numFmtId="206" fontId="6" fillId="27" borderId="162" xfId="105" applyNumberFormat="1" applyFont="1" applyFill="1" applyBorder="1" applyAlignment="1" applyProtection="1">
      <alignment horizontal="right" vertical="center"/>
    </xf>
    <xf numFmtId="170" fontId="6" fillId="27" borderId="112" xfId="1" applyNumberFormat="1" applyFont="1" applyFill="1" applyBorder="1" applyAlignment="1" applyProtection="1">
      <alignment horizontal="right" vertical="center"/>
    </xf>
    <xf numFmtId="188" fontId="6" fillId="31" borderId="39" xfId="61" applyNumberFormat="1" applyFont="1" applyFill="1" applyBorder="1" applyAlignment="1" applyProtection="1">
      <alignment vertical="center"/>
      <protection locked="0"/>
    </xf>
    <xf numFmtId="0" fontId="31" fillId="27" borderId="44" xfId="0" applyFont="1" applyFill="1" applyBorder="1" applyAlignment="1" applyProtection="1">
      <alignment vertical="center"/>
    </xf>
    <xf numFmtId="213" fontId="6" fillId="0" borderId="39" xfId="105" applyNumberFormat="1" applyFont="1" applyFill="1" applyBorder="1" applyAlignment="1" applyProtection="1">
      <alignment vertical="center"/>
      <protection locked="0"/>
    </xf>
    <xf numFmtId="213" fontId="6" fillId="35" borderId="39" xfId="105" applyNumberFormat="1" applyFont="1" applyFill="1" applyBorder="1" applyAlignment="1" applyProtection="1">
      <alignment vertical="center"/>
      <protection locked="0"/>
    </xf>
    <xf numFmtId="0" fontId="48" fillId="0" borderId="39" xfId="1" applyFont="1" applyBorder="1" applyAlignment="1" applyProtection="1">
      <alignment horizontal="center" vertical="center"/>
    </xf>
    <xf numFmtId="0" fontId="48" fillId="0" borderId="40" xfId="1" applyFont="1" applyBorder="1" applyAlignment="1" applyProtection="1">
      <alignment horizontal="center" vertical="center"/>
    </xf>
    <xf numFmtId="0" fontId="85" fillId="0" borderId="0" xfId="1" applyFont="1" applyBorder="1" applyAlignment="1" applyProtection="1">
      <alignment horizontal="center" vertical="center"/>
    </xf>
    <xf numFmtId="0" fontId="15" fillId="0" borderId="0" xfId="1" applyFont="1" applyBorder="1" applyAlignment="1" applyProtection="1">
      <alignment horizontal="center" vertical="center"/>
    </xf>
    <xf numFmtId="0" fontId="9" fillId="0" borderId="0" xfId="67"/>
    <xf numFmtId="0" fontId="4" fillId="0" borderId="0" xfId="1" quotePrefix="1" applyFont="1" applyBorder="1" applyAlignment="1" applyProtection="1">
      <alignment vertical="center"/>
    </xf>
    <xf numFmtId="0" fontId="20" fillId="0" borderId="0" xfId="1" applyFont="1" applyAlignment="1" applyProtection="1">
      <alignment horizontal="center" vertical="center"/>
    </xf>
    <xf numFmtId="0" fontId="63" fillId="0" borderId="0" xfId="1" applyFont="1" applyBorder="1" applyAlignment="1" applyProtection="1">
      <alignment horizontal="center" vertical="center"/>
    </xf>
    <xf numFmtId="0" fontId="85" fillId="0" borderId="72" xfId="1" applyFont="1" applyBorder="1" applyAlignment="1" applyProtection="1">
      <alignment horizontal="center" vertical="center"/>
    </xf>
    <xf numFmtId="0" fontId="20" fillId="0" borderId="0" xfId="67" applyFont="1" applyBorder="1" applyAlignment="1" applyProtection="1">
      <alignment horizontal="center" vertical="center"/>
    </xf>
    <xf numFmtId="0" fontId="4" fillId="0" borderId="102" xfId="124" applyFont="1" applyBorder="1" applyAlignment="1" applyProtection="1">
      <alignment horizontal="center" vertical="center"/>
    </xf>
    <xf numFmtId="0" fontId="14" fillId="0" borderId="101" xfId="124" applyFont="1" applyBorder="1" applyAlignment="1" applyProtection="1">
      <alignment vertical="center"/>
    </xf>
    <xf numFmtId="185" fontId="14" fillId="0" borderId="94" xfId="124" applyNumberFormat="1" applyFont="1" applyBorder="1" applyAlignment="1" applyProtection="1">
      <alignment vertical="center"/>
    </xf>
    <xf numFmtId="0" fontId="65" fillId="0" borderId="95" xfId="124" applyFont="1" applyBorder="1" applyAlignment="1" applyProtection="1">
      <alignment horizontal="left" vertical="center"/>
    </xf>
    <xf numFmtId="0" fontId="65" fillId="0" borderId="94" xfId="124" applyFont="1" applyBorder="1" applyAlignment="1" applyProtection="1">
      <alignment horizontal="left" vertical="center"/>
    </xf>
    <xf numFmtId="0" fontId="65" fillId="0" borderId="93" xfId="124" applyFont="1" applyBorder="1" applyAlignment="1" applyProtection="1">
      <alignment horizontal="left" vertical="center"/>
    </xf>
    <xf numFmtId="0" fontId="16" fillId="60" borderId="0" xfId="124" applyFont="1" applyFill="1" applyAlignment="1" applyProtection="1">
      <alignment vertical="center"/>
    </xf>
    <xf numFmtId="0" fontId="16" fillId="60" borderId="0" xfId="124" applyFont="1" applyFill="1" applyAlignment="1" applyProtection="1">
      <alignment horizontal="center" vertical="center"/>
    </xf>
    <xf numFmtId="0" fontId="16" fillId="0" borderId="27" xfId="124" applyFont="1" applyFill="1" applyBorder="1" applyAlignment="1" applyProtection="1">
      <alignment vertical="center"/>
    </xf>
    <xf numFmtId="185" fontId="16" fillId="31" borderId="92" xfId="124" applyNumberFormat="1" applyFont="1" applyFill="1" applyBorder="1" applyAlignment="1" applyProtection="1">
      <alignment vertical="center"/>
      <protection locked="0"/>
    </xf>
    <xf numFmtId="0" fontId="16" fillId="0" borderId="26" xfId="0" applyFont="1" applyBorder="1" applyAlignment="1">
      <alignment horizontal="center" vertical="center"/>
    </xf>
    <xf numFmtId="185" fontId="16" fillId="0" borderId="0" xfId="124" applyNumberFormat="1" applyFont="1" applyAlignment="1" applyProtection="1">
      <alignment horizontal="left" vertical="center"/>
    </xf>
    <xf numFmtId="0" fontId="14" fillId="0" borderId="43" xfId="124" applyFont="1" applyBorder="1" applyAlignment="1" applyProtection="1">
      <alignment horizontal="center" vertical="center"/>
    </xf>
    <xf numFmtId="185" fontId="14" fillId="0" borderId="289" xfId="124" applyNumberFormat="1" applyFont="1" applyBorder="1" applyAlignment="1" applyProtection="1">
      <alignment horizontal="left" vertical="center"/>
    </xf>
    <xf numFmtId="0" fontId="16" fillId="0" borderId="289" xfId="124" applyFont="1" applyBorder="1" applyAlignment="1" applyProtection="1">
      <alignment vertical="center"/>
    </xf>
    <xf numFmtId="0" fontId="16" fillId="0" borderId="42" xfId="124" applyFont="1" applyBorder="1" applyAlignment="1" applyProtection="1">
      <alignment vertical="center"/>
    </xf>
    <xf numFmtId="0" fontId="14" fillId="0" borderId="0" xfId="124" applyFont="1" applyAlignment="1" applyProtection="1">
      <alignment vertical="center"/>
    </xf>
    <xf numFmtId="0" fontId="14" fillId="0" borderId="40" xfId="124" applyFont="1" applyBorder="1" applyAlignment="1" applyProtection="1">
      <alignment horizontal="center" vertical="center"/>
    </xf>
    <xf numFmtId="185" fontId="14" fillId="0" borderId="0" xfId="124" applyNumberFormat="1" applyFont="1" applyBorder="1" applyAlignment="1" applyProtection="1">
      <alignment horizontal="left" vertical="center"/>
    </xf>
    <xf numFmtId="0" fontId="16" fillId="60" borderId="0" xfId="124" applyFont="1" applyFill="1" applyBorder="1" applyAlignment="1" applyProtection="1">
      <alignment vertical="center"/>
    </xf>
    <xf numFmtId="0" fontId="14" fillId="0" borderId="39" xfId="124" applyFont="1" applyBorder="1" applyAlignment="1" applyProtection="1">
      <alignment horizontal="center" vertical="center"/>
    </xf>
    <xf numFmtId="0" fontId="14" fillId="0" borderId="2" xfId="124" applyFont="1" applyBorder="1" applyAlignment="1" applyProtection="1">
      <alignment vertical="center"/>
    </xf>
    <xf numFmtId="0" fontId="16" fillId="0" borderId="44" xfId="124" applyFont="1" applyBorder="1" applyAlignment="1" applyProtection="1">
      <alignment vertical="center"/>
    </xf>
    <xf numFmtId="0" fontId="16" fillId="0" borderId="0" xfId="124" applyFont="1" applyFill="1" applyAlignment="1" applyProtection="1">
      <alignment vertical="center"/>
    </xf>
    <xf numFmtId="0" fontId="16" fillId="0" borderId="32" xfId="124" applyFont="1" applyFill="1" applyBorder="1" applyAlignment="1" applyProtection="1">
      <alignment horizontal="center" vertical="center"/>
    </xf>
    <xf numFmtId="185" fontId="16" fillId="37" borderId="92" xfId="124" applyNumberFormat="1" applyFont="1" applyFill="1" applyBorder="1" applyAlignment="1" applyProtection="1">
      <alignment vertical="center"/>
      <protection locked="0"/>
    </xf>
    <xf numFmtId="0" fontId="16" fillId="0" borderId="26" xfId="0" applyFont="1" applyFill="1" applyBorder="1" applyAlignment="1">
      <alignment horizontal="center" vertical="center"/>
    </xf>
    <xf numFmtId="0" fontId="43" fillId="37" borderId="91" xfId="106" applyFont="1" applyFill="1" applyBorder="1" applyAlignment="1" applyProtection="1">
      <alignment horizontal="center" vertical="center"/>
      <protection locked="0"/>
    </xf>
    <xf numFmtId="0" fontId="43" fillId="37" borderId="92" xfId="106" applyFont="1" applyFill="1" applyBorder="1" applyAlignment="1" applyProtection="1">
      <alignment horizontal="center" vertical="center"/>
      <protection locked="0"/>
    </xf>
    <xf numFmtId="0" fontId="43" fillId="37" borderId="26" xfId="106" applyFont="1" applyFill="1" applyBorder="1" applyAlignment="1" applyProtection="1">
      <alignment horizontal="center" vertical="center"/>
      <protection locked="0"/>
    </xf>
    <xf numFmtId="0" fontId="16" fillId="0" borderId="0" xfId="124" applyFont="1" applyFill="1" applyAlignment="1" applyProtection="1">
      <alignment horizontal="center" vertical="center"/>
    </xf>
    <xf numFmtId="0" fontId="96" fillId="0" borderId="0" xfId="124" applyFont="1" applyAlignment="1" applyProtection="1">
      <alignment vertical="center"/>
    </xf>
    <xf numFmtId="0" fontId="16" fillId="0" borderId="43" xfId="124" applyFont="1" applyBorder="1" applyAlignment="1" applyProtection="1">
      <alignment horizontal="center" vertical="center"/>
    </xf>
    <xf numFmtId="185" fontId="16" fillId="0" borderId="289" xfId="124" applyNumberFormat="1" applyFont="1" applyBorder="1" applyAlignment="1" applyProtection="1">
      <alignment vertical="center"/>
    </xf>
    <xf numFmtId="0" fontId="16" fillId="0" borderId="83" xfId="124" applyFont="1" applyBorder="1" applyAlignment="1" applyProtection="1">
      <alignment vertical="center"/>
    </xf>
    <xf numFmtId="0" fontId="16" fillId="0" borderId="40" xfId="124" applyFont="1" applyBorder="1" applyAlignment="1" applyProtection="1">
      <alignment horizontal="center" vertical="center"/>
    </xf>
    <xf numFmtId="185" fontId="16" fillId="0" borderId="0" xfId="124" applyNumberFormat="1" applyFont="1" applyBorder="1" applyAlignment="1" applyProtection="1">
      <alignment vertical="center"/>
    </xf>
    <xf numFmtId="0" fontId="16" fillId="0" borderId="82" xfId="124" applyFont="1" applyBorder="1" applyAlignment="1" applyProtection="1">
      <alignment vertical="center"/>
    </xf>
    <xf numFmtId="0" fontId="16" fillId="60" borderId="40" xfId="124" applyFont="1" applyFill="1" applyBorder="1" applyAlignment="1" applyProtection="1">
      <alignment horizontal="center" vertical="center"/>
    </xf>
    <xf numFmtId="185" fontId="16" fillId="60" borderId="0" xfId="124" applyNumberFormat="1" applyFont="1" applyFill="1" applyBorder="1" applyAlignment="1" applyProtection="1">
      <alignment vertical="center"/>
    </xf>
    <xf numFmtId="0" fontId="16" fillId="60" borderId="82" xfId="124" applyFont="1" applyFill="1" applyBorder="1" applyAlignment="1" applyProtection="1">
      <alignment vertical="center"/>
    </xf>
    <xf numFmtId="0" fontId="0" fillId="60" borderId="0" xfId="0" applyFill="1"/>
    <xf numFmtId="0" fontId="16" fillId="0" borderId="40" xfId="124" applyFont="1" applyFill="1" applyBorder="1" applyAlignment="1" applyProtection="1">
      <alignment horizontal="center" vertical="center"/>
    </xf>
    <xf numFmtId="0" fontId="16" fillId="0" borderId="0" xfId="124" applyFont="1" applyFill="1" applyBorder="1" applyAlignment="1" applyProtection="1">
      <alignment vertical="center"/>
    </xf>
    <xf numFmtId="185" fontId="16" fillId="0" borderId="0" xfId="124" applyNumberFormat="1" applyFont="1" applyFill="1" applyBorder="1" applyAlignment="1" applyProtection="1">
      <alignment vertical="center"/>
    </xf>
    <xf numFmtId="0" fontId="16" fillId="0" borderId="82" xfId="124" applyFont="1" applyFill="1" applyBorder="1" applyAlignment="1" applyProtection="1">
      <alignment vertical="center"/>
    </xf>
    <xf numFmtId="0" fontId="0" fillId="0" borderId="0" xfId="0" applyFill="1"/>
    <xf numFmtId="182" fontId="16" fillId="0" borderId="72" xfId="124" applyNumberFormat="1" applyFont="1" applyBorder="1" applyAlignment="1" applyProtection="1">
      <alignment vertical="center"/>
    </xf>
    <xf numFmtId="0" fontId="16" fillId="0" borderId="39" xfId="124" applyFont="1" applyBorder="1" applyAlignment="1" applyProtection="1">
      <alignment horizontal="center" vertical="center"/>
    </xf>
    <xf numFmtId="185" fontId="16" fillId="0" borderId="2" xfId="124" applyNumberFormat="1" applyFont="1" applyBorder="1" applyAlignment="1" applyProtection="1">
      <alignment vertical="center"/>
    </xf>
    <xf numFmtId="0" fontId="16" fillId="0" borderId="80" xfId="124" applyFont="1" applyBorder="1" applyAlignment="1" applyProtection="1">
      <alignment vertical="center"/>
    </xf>
    <xf numFmtId="0" fontId="16" fillId="0" borderId="49" xfId="124" applyFont="1" applyBorder="1" applyAlignment="1" applyProtection="1">
      <alignment horizontal="center" vertical="center"/>
    </xf>
    <xf numFmtId="0" fontId="16" fillId="31" borderId="98" xfId="124" applyFont="1" applyFill="1" applyBorder="1" applyAlignment="1" applyProtection="1">
      <alignment vertical="center"/>
      <protection locked="0"/>
    </xf>
    <xf numFmtId="185" fontId="16" fillId="31" borderId="98" xfId="124" applyNumberFormat="1" applyFont="1" applyFill="1" applyBorder="1" applyAlignment="1" applyProtection="1">
      <alignment vertical="center"/>
      <protection locked="0"/>
    </xf>
    <xf numFmtId="0" fontId="16" fillId="31" borderId="96" xfId="124" applyFont="1" applyFill="1" applyBorder="1" applyAlignment="1" applyProtection="1">
      <alignment horizontal="center" vertical="center"/>
      <protection locked="0"/>
    </xf>
    <xf numFmtId="0" fontId="4" fillId="0" borderId="0" xfId="0" applyFont="1"/>
    <xf numFmtId="0" fontId="16" fillId="0" borderId="0" xfId="124" applyFont="1" applyAlignment="1" applyProtection="1">
      <alignment horizontal="center" vertical="center"/>
      <protection locked="0"/>
    </xf>
    <xf numFmtId="14" fontId="16" fillId="0" borderId="0" xfId="124" applyNumberFormat="1" applyFont="1" applyAlignment="1" applyProtection="1">
      <alignment vertical="center"/>
    </xf>
    <xf numFmtId="0" fontId="16" fillId="0" borderId="27" xfId="124" applyFont="1" applyBorder="1" applyAlignment="1" applyProtection="1">
      <alignment vertical="center"/>
    </xf>
    <xf numFmtId="0" fontId="16" fillId="0" borderId="26" xfId="124" applyFont="1" applyBorder="1" applyAlignment="1" applyProtection="1">
      <alignment horizontal="center" vertical="center"/>
    </xf>
    <xf numFmtId="0" fontId="43" fillId="31" borderId="91" xfId="124" applyFont="1" applyFill="1" applyBorder="1" applyAlignment="1" applyProtection="1">
      <alignment horizontal="center" vertical="center"/>
      <protection locked="0"/>
    </xf>
    <xf numFmtId="0" fontId="43" fillId="31" borderId="92" xfId="124" applyFont="1" applyFill="1" applyBorder="1" applyAlignment="1" applyProtection="1">
      <alignment horizontal="center" vertical="center"/>
      <protection locked="0"/>
    </xf>
    <xf numFmtId="0" fontId="43" fillId="31" borderId="26" xfId="124" applyFont="1" applyFill="1" applyBorder="1" applyAlignment="1" applyProtection="1">
      <alignment horizontal="center" vertical="center"/>
      <protection locked="0"/>
    </xf>
    <xf numFmtId="0" fontId="16" fillId="0" borderId="26" xfId="124" applyFont="1" applyFill="1" applyBorder="1" applyAlignment="1" applyProtection="1">
      <alignment horizontal="center" vertical="center"/>
    </xf>
    <xf numFmtId="0" fontId="16" fillId="4" borderId="26" xfId="124" applyFont="1" applyFill="1" applyBorder="1" applyAlignment="1" applyProtection="1">
      <alignment horizontal="center" vertical="center"/>
    </xf>
    <xf numFmtId="0" fontId="16" fillId="4" borderId="27" xfId="124" applyFont="1" applyFill="1" applyBorder="1" applyAlignment="1" applyProtection="1">
      <alignment vertical="center"/>
    </xf>
    <xf numFmtId="0" fontId="16" fillId="4" borderId="28" xfId="124" applyFont="1" applyFill="1" applyBorder="1" applyAlignment="1" applyProtection="1">
      <alignment vertical="center"/>
    </xf>
    <xf numFmtId="185" fontId="16" fillId="31" borderId="99" xfId="124" applyNumberFormat="1" applyFont="1" applyFill="1" applyBorder="1" applyAlignment="1" applyProtection="1">
      <alignment vertical="center"/>
      <protection locked="0"/>
    </xf>
    <xf numFmtId="0" fontId="16" fillId="4" borderId="33" xfId="124" applyFont="1" applyFill="1" applyBorder="1" applyAlignment="1" applyProtection="1">
      <alignment horizontal="center" vertical="center"/>
    </xf>
    <xf numFmtId="0" fontId="43" fillId="31" borderId="99" xfId="124" applyFont="1" applyFill="1" applyBorder="1" applyAlignment="1" applyProtection="1">
      <alignment horizontal="center" vertical="center"/>
      <protection locked="0"/>
    </xf>
    <xf numFmtId="0" fontId="43" fillId="31" borderId="33" xfId="124" applyFont="1" applyFill="1" applyBorder="1" applyAlignment="1" applyProtection="1">
      <alignment horizontal="center" vertical="center"/>
      <protection locked="0"/>
    </xf>
    <xf numFmtId="0" fontId="16" fillId="31" borderId="33" xfId="124" applyFont="1" applyFill="1" applyBorder="1" applyAlignment="1" applyProtection="1">
      <alignment horizontal="center" vertical="center"/>
      <protection locked="0"/>
    </xf>
    <xf numFmtId="185" fontId="16" fillId="31" borderId="100" xfId="124" applyNumberFormat="1" applyFont="1" applyFill="1" applyBorder="1" applyAlignment="1" applyProtection="1">
      <alignment vertical="center"/>
      <protection locked="0"/>
    </xf>
    <xf numFmtId="0" fontId="16" fillId="31" borderId="37" xfId="124" applyFont="1" applyFill="1" applyBorder="1" applyAlignment="1" applyProtection="1">
      <alignment horizontal="center" vertical="center"/>
      <protection locked="0"/>
    </xf>
    <xf numFmtId="0" fontId="16" fillId="4" borderId="98" xfId="124" applyFont="1" applyFill="1" applyBorder="1" applyAlignment="1" applyProtection="1">
      <alignment vertical="center"/>
    </xf>
    <xf numFmtId="185" fontId="16" fillId="31" borderId="97" xfId="124" applyNumberFormat="1" applyFont="1" applyFill="1" applyBorder="1" applyAlignment="1" applyProtection="1">
      <alignment vertical="center"/>
      <protection locked="0"/>
    </xf>
    <xf numFmtId="0" fontId="43" fillId="31" borderId="41" xfId="124" applyFont="1" applyFill="1" applyBorder="1" applyAlignment="1" applyProtection="1">
      <alignment horizontal="center" vertical="center"/>
      <protection locked="0"/>
    </xf>
    <xf numFmtId="0" fontId="43" fillId="31" borderId="46" xfId="124" applyFont="1" applyFill="1" applyBorder="1" applyAlignment="1" applyProtection="1">
      <alignment horizontal="center" vertical="center"/>
      <protection locked="0"/>
    </xf>
    <xf numFmtId="0" fontId="43" fillId="31" borderId="97" xfId="124" applyFont="1" applyFill="1" applyBorder="1" applyAlignment="1" applyProtection="1">
      <alignment horizontal="center" vertical="center"/>
      <protection locked="0"/>
    </xf>
    <xf numFmtId="0" fontId="43" fillId="31" borderId="96" xfId="124" applyFont="1" applyFill="1" applyBorder="1" applyAlignment="1" applyProtection="1">
      <alignment horizontal="center" vertical="center"/>
      <protection locked="0"/>
    </xf>
    <xf numFmtId="0" fontId="16" fillId="31" borderId="97" xfId="124" applyFont="1" applyFill="1" applyBorder="1" applyAlignment="1" applyProtection="1">
      <alignment horizontal="center" vertical="center"/>
      <protection locked="0"/>
    </xf>
    <xf numFmtId="0" fontId="43" fillId="31" borderId="295" xfId="106" applyFont="1" applyFill="1" applyBorder="1" applyAlignment="1" applyProtection="1">
      <alignment horizontal="center" vertical="center"/>
      <protection locked="0"/>
    </xf>
    <xf numFmtId="0" fontId="43" fillId="31" borderId="294" xfId="106" applyFont="1" applyFill="1" applyBorder="1" applyAlignment="1" applyProtection="1">
      <alignment horizontal="center" vertical="center"/>
      <protection locked="0"/>
    </xf>
    <xf numFmtId="0" fontId="43" fillId="0" borderId="26" xfId="106" applyFont="1" applyFill="1" applyBorder="1" applyAlignment="1" applyProtection="1">
      <alignment horizontal="center" vertical="center"/>
      <protection locked="0"/>
    </xf>
    <xf numFmtId="0" fontId="14" fillId="0" borderId="0" xfId="124" applyFont="1" applyFill="1" applyAlignment="1" applyProtection="1">
      <alignment vertical="center"/>
    </xf>
    <xf numFmtId="185" fontId="16" fillId="0" borderId="0" xfId="124" applyNumberFormat="1" applyFont="1" applyFill="1" applyAlignment="1" applyProtection="1">
      <alignment horizontal="left" vertical="center"/>
    </xf>
    <xf numFmtId="0" fontId="14" fillId="0" borderId="40" xfId="124" applyFont="1" applyFill="1" applyBorder="1" applyAlignment="1" applyProtection="1">
      <alignment horizontal="center" vertical="center"/>
    </xf>
    <xf numFmtId="185" fontId="14" fillId="0" borderId="0" xfId="124" applyNumberFormat="1" applyFont="1" applyFill="1" applyBorder="1" applyAlignment="1" applyProtection="1">
      <alignment horizontal="left" vertical="center"/>
    </xf>
    <xf numFmtId="0" fontId="16" fillId="0" borderId="19" xfId="124" applyFont="1" applyFill="1" applyBorder="1" applyAlignment="1" applyProtection="1">
      <alignment vertical="center"/>
    </xf>
    <xf numFmtId="185" fontId="16" fillId="0" borderId="27" xfId="124" applyNumberFormat="1" applyFont="1" applyFill="1" applyBorder="1" applyAlignment="1" applyProtection="1">
      <alignment vertical="center"/>
      <protection locked="0"/>
    </xf>
    <xf numFmtId="185" fontId="16" fillId="0" borderId="26" xfId="124" applyNumberFormat="1" applyFont="1" applyFill="1" applyBorder="1" applyAlignment="1" applyProtection="1">
      <alignment horizontal="center" vertical="center"/>
      <protection locked="0"/>
    </xf>
    <xf numFmtId="0" fontId="16" fillId="37" borderId="32" xfId="124" applyFont="1" applyFill="1" applyBorder="1" applyAlignment="1" applyProtection="1">
      <alignment horizontal="center" vertical="center"/>
    </xf>
    <xf numFmtId="0" fontId="16" fillId="37" borderId="27" xfId="124" applyFont="1" applyFill="1" applyBorder="1" applyAlignment="1" applyProtection="1">
      <alignment vertical="center"/>
    </xf>
    <xf numFmtId="0" fontId="16" fillId="37" borderId="26" xfId="0" applyFont="1" applyFill="1" applyBorder="1" applyAlignment="1">
      <alignment horizontal="center" vertical="center"/>
    </xf>
    <xf numFmtId="0" fontId="43" fillId="37" borderId="31" xfId="106" applyFont="1" applyFill="1" applyBorder="1" applyAlignment="1" applyProtection="1">
      <alignment horizontal="center" vertical="center"/>
      <protection locked="0"/>
    </xf>
    <xf numFmtId="0" fontId="43" fillId="37" borderId="99" xfId="106" applyFont="1" applyFill="1" applyBorder="1" applyAlignment="1" applyProtection="1">
      <alignment horizontal="center" vertical="center"/>
      <protection locked="0"/>
    </xf>
    <xf numFmtId="0" fontId="43" fillId="37" borderId="33" xfId="106" applyFont="1" applyFill="1" applyBorder="1" applyAlignment="1" applyProtection="1">
      <alignment horizontal="center" vertical="center"/>
      <protection locked="0"/>
    </xf>
    <xf numFmtId="0" fontId="16" fillId="37" borderId="0" xfId="124" applyFont="1" applyFill="1" applyAlignment="1" applyProtection="1">
      <alignment horizontal="center" vertical="center"/>
    </xf>
    <xf numFmtId="0" fontId="16" fillId="37" borderId="0" xfId="124" applyFont="1" applyFill="1" applyAlignment="1" applyProtection="1">
      <alignment vertical="center"/>
    </xf>
    <xf numFmtId="0" fontId="16" fillId="37" borderId="28" xfId="124" applyFont="1" applyFill="1" applyBorder="1" applyAlignment="1" applyProtection="1">
      <alignment vertical="center"/>
    </xf>
    <xf numFmtId="0" fontId="16" fillId="37" borderId="38" xfId="124" applyFont="1" applyFill="1" applyBorder="1" applyAlignment="1" applyProtection="1">
      <alignment vertical="center"/>
    </xf>
    <xf numFmtId="0" fontId="16" fillId="37" borderId="29" xfId="0" applyFont="1" applyFill="1" applyBorder="1" applyAlignment="1">
      <alignment horizontal="center" vertical="center"/>
    </xf>
    <xf numFmtId="0" fontId="43" fillId="37" borderId="104" xfId="106" applyFont="1" applyFill="1" applyBorder="1" applyAlignment="1" applyProtection="1">
      <alignment horizontal="center" vertical="center"/>
      <protection locked="0"/>
    </xf>
    <xf numFmtId="0" fontId="43" fillId="37" borderId="100" xfId="106" applyFont="1" applyFill="1" applyBorder="1" applyAlignment="1" applyProtection="1">
      <alignment horizontal="center" vertical="center"/>
      <protection locked="0"/>
    </xf>
    <xf numFmtId="0" fontId="43" fillId="37" borderId="37" xfId="106" applyFont="1" applyFill="1" applyBorder="1" applyAlignment="1" applyProtection="1">
      <alignment horizontal="center" vertical="center"/>
      <protection locked="0"/>
    </xf>
    <xf numFmtId="0" fontId="16" fillId="37" borderId="92" xfId="124" applyFont="1" applyFill="1" applyBorder="1" applyAlignment="1" applyProtection="1">
      <alignment vertical="center"/>
    </xf>
    <xf numFmtId="0" fontId="16" fillId="37" borderId="92" xfId="0" applyFont="1" applyFill="1" applyBorder="1" applyAlignment="1">
      <alignment horizontal="center" vertical="center"/>
    </xf>
    <xf numFmtId="0" fontId="43" fillId="37" borderId="295" xfId="106" applyFont="1" applyFill="1" applyBorder="1" applyAlignment="1" applyProtection="1">
      <alignment horizontal="center" vertical="center"/>
      <protection locked="0"/>
    </xf>
    <xf numFmtId="0" fontId="16" fillId="0" borderId="0" xfId="124" applyFont="1" applyFill="1" applyAlignment="1" applyProtection="1">
      <alignment vertical="center"/>
      <protection locked="0"/>
    </xf>
    <xf numFmtId="188" fontId="6" fillId="0" borderId="19" xfId="1" applyNumberFormat="1" applyFont="1" applyBorder="1" applyAlignment="1">
      <alignment horizontal="right" vertical="center"/>
    </xf>
    <xf numFmtId="188" fontId="13" fillId="0" borderId="58" xfId="1" applyNumberFormat="1" applyFont="1" applyBorder="1" applyAlignment="1">
      <alignment horizontal="right" vertical="center"/>
    </xf>
    <xf numFmtId="188" fontId="6" fillId="0" borderId="42" xfId="1" applyNumberFormat="1" applyFont="1" applyBorder="1" applyAlignment="1">
      <alignment horizontal="right" vertical="center"/>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213" fontId="6" fillId="4" borderId="163" xfId="105" applyNumberFormat="1" applyFont="1" applyFill="1" applyBorder="1" applyAlignment="1" applyProtection="1">
      <alignment horizontal="center" vertical="center"/>
    </xf>
    <xf numFmtId="213" fontId="6" fillId="4" borderId="66" xfId="105" applyNumberFormat="1" applyFont="1" applyFill="1" applyBorder="1" applyAlignment="1" applyProtection="1">
      <alignment horizontal="center" vertical="center"/>
    </xf>
    <xf numFmtId="213" fontId="6" fillId="4" borderId="161" xfId="105" applyNumberFormat="1" applyFont="1" applyFill="1" applyBorder="1" applyAlignment="1" applyProtection="1">
      <alignment horizontal="center" vertical="center"/>
    </xf>
    <xf numFmtId="170" fontId="6" fillId="0" borderId="0" xfId="1" applyNumberFormat="1" applyFont="1" applyBorder="1" applyAlignment="1" applyProtection="1">
      <alignment vertical="center"/>
    </xf>
    <xf numFmtId="0" fontId="137" fillId="3" borderId="0" xfId="1" applyFont="1" applyFill="1" applyBorder="1" applyAlignment="1">
      <alignment vertical="center"/>
    </xf>
    <xf numFmtId="0" fontId="6" fillId="3" borderId="0" xfId="1" applyFont="1" applyFill="1" applyBorder="1" applyAlignment="1">
      <alignment vertical="center"/>
    </xf>
    <xf numFmtId="0" fontId="6" fillId="49" borderId="2" xfId="1" applyFont="1" applyFill="1" applyBorder="1" applyAlignment="1">
      <alignment vertical="center"/>
    </xf>
    <xf numFmtId="0" fontId="6" fillId="33" borderId="2" xfId="1" applyFont="1" applyFill="1" applyBorder="1" applyAlignment="1">
      <alignment vertical="center"/>
    </xf>
    <xf numFmtId="172" fontId="13" fillId="4" borderId="42" xfId="1" applyNumberFormat="1" applyFont="1" applyFill="1" applyBorder="1" applyAlignment="1">
      <alignment horizontal="right" vertical="center"/>
    </xf>
    <xf numFmtId="172" fontId="6" fillId="4" borderId="44" xfId="1" applyNumberFormat="1" applyFont="1" applyFill="1" applyBorder="1" applyAlignment="1">
      <alignment horizontal="right" vertical="center"/>
    </xf>
    <xf numFmtId="0" fontId="128" fillId="0" borderId="77" xfId="1" applyFont="1" applyBorder="1" applyAlignment="1">
      <alignment vertical="center"/>
    </xf>
    <xf numFmtId="0" fontId="6" fillId="0" borderId="40" xfId="1" applyFont="1" applyBorder="1" applyAlignment="1">
      <alignment horizontal="left" vertical="center"/>
    </xf>
    <xf numFmtId="0" fontId="6" fillId="0" borderId="70" xfId="105" applyFont="1" applyBorder="1" applyAlignment="1" applyProtection="1">
      <alignment horizontal="center" vertical="center"/>
    </xf>
    <xf numFmtId="0" fontId="6" fillId="0" borderId="83" xfId="105" applyFont="1" applyBorder="1" applyAlignment="1" applyProtection="1">
      <alignment horizontal="center" vertical="center"/>
    </xf>
    <xf numFmtId="0" fontId="6" fillId="0" borderId="67" xfId="105" applyFont="1" applyBorder="1" applyAlignment="1" applyProtection="1">
      <alignment horizontal="center"/>
    </xf>
    <xf numFmtId="0" fontId="6" fillId="0" borderId="82" xfId="105" applyFont="1" applyBorder="1" applyAlignment="1" applyProtection="1">
      <alignment horizontal="center"/>
    </xf>
    <xf numFmtId="200" fontId="6" fillId="0" borderId="81" xfId="1" applyNumberFormat="1" applyFont="1" applyFill="1" applyBorder="1" applyAlignment="1">
      <alignment vertical="center"/>
    </xf>
    <xf numFmtId="200" fontId="6" fillId="0" borderId="82" xfId="1" applyNumberFormat="1" applyFont="1" applyBorder="1" applyAlignment="1">
      <alignment vertical="center"/>
    </xf>
    <xf numFmtId="0" fontId="173" fillId="49" borderId="0" xfId="67" applyFont="1" applyFill="1" applyBorder="1" applyAlignment="1">
      <alignment horizontal="right" vertical="center"/>
    </xf>
    <xf numFmtId="202" fontId="6" fillId="0" borderId="43" xfId="1" applyNumberFormat="1" applyFont="1" applyBorder="1" applyAlignment="1">
      <alignment horizontal="right" vertical="center"/>
    </xf>
    <xf numFmtId="202" fontId="6" fillId="0" borderId="40" xfId="1" applyNumberFormat="1" applyFont="1" applyBorder="1" applyAlignment="1">
      <alignment horizontal="right" vertical="center"/>
    </xf>
    <xf numFmtId="202" fontId="6" fillId="0" borderId="77" xfId="1" applyNumberFormat="1" applyFont="1" applyBorder="1" applyAlignment="1">
      <alignment horizontal="right" vertical="center"/>
    </xf>
    <xf numFmtId="202" fontId="6" fillId="0" borderId="39" xfId="1" applyNumberFormat="1" applyFont="1" applyBorder="1" applyAlignment="1">
      <alignment horizontal="right" vertical="center"/>
    </xf>
    <xf numFmtId="0" fontId="6" fillId="2" borderId="0" xfId="1" applyFont="1" applyFill="1" applyBorder="1" applyAlignment="1">
      <alignment vertical="center"/>
    </xf>
    <xf numFmtId="0" fontId="6" fillId="0" borderId="130" xfId="1" applyFont="1" applyBorder="1" applyAlignment="1">
      <alignment vertical="center"/>
    </xf>
    <xf numFmtId="0" fontId="6" fillId="0" borderId="78" xfId="1" applyFont="1" applyBorder="1" applyAlignment="1">
      <alignment vertical="center"/>
    </xf>
    <xf numFmtId="0" fontId="6" fillId="0" borderId="64" xfId="1" applyFont="1" applyBorder="1" applyAlignment="1">
      <alignment vertical="center"/>
    </xf>
    <xf numFmtId="0" fontId="6" fillId="0" borderId="43" xfId="1" applyFont="1" applyBorder="1" applyAlignment="1">
      <alignment vertical="center"/>
    </xf>
    <xf numFmtId="0" fontId="6" fillId="0" borderId="128" xfId="1" applyFont="1" applyBorder="1" applyAlignment="1">
      <alignment vertical="center"/>
    </xf>
    <xf numFmtId="0" fontId="6" fillId="0" borderId="46" xfId="1" applyFont="1" applyBorder="1" applyAlignment="1">
      <alignment vertical="center"/>
    </xf>
    <xf numFmtId="0" fontId="6" fillId="0" borderId="59" xfId="1" applyFont="1" applyBorder="1" applyAlignment="1">
      <alignment vertical="center"/>
    </xf>
    <xf numFmtId="0" fontId="6" fillId="49" borderId="0" xfId="1" applyFont="1" applyFill="1" applyBorder="1" applyAlignment="1">
      <alignment vertical="center"/>
    </xf>
    <xf numFmtId="0" fontId="6" fillId="33" borderId="23" xfId="1" applyFont="1" applyFill="1" applyBorder="1" applyAlignment="1" applyProtection="1">
      <alignment vertical="center"/>
    </xf>
    <xf numFmtId="0" fontId="6" fillId="33" borderId="23" xfId="1" applyFont="1" applyFill="1" applyBorder="1" applyAlignment="1">
      <alignment vertical="center"/>
    </xf>
    <xf numFmtId="0" fontId="62" fillId="0" borderId="19" xfId="1" applyFont="1" applyBorder="1" applyAlignment="1">
      <alignment horizontal="center"/>
    </xf>
    <xf numFmtId="0" fontId="6" fillId="49" borderId="23" xfId="1" applyFont="1" applyFill="1" applyBorder="1" applyAlignment="1">
      <alignment vertical="center"/>
    </xf>
    <xf numFmtId="172" fontId="62" fillId="0" borderId="57" xfId="1" applyNumberFormat="1" applyFont="1" applyBorder="1" applyAlignment="1"/>
    <xf numFmtId="172" fontId="62" fillId="0" borderId="58" xfId="1" applyNumberFormat="1" applyFont="1" applyBorder="1" applyAlignment="1"/>
    <xf numFmtId="3" fontId="61" fillId="0" borderId="0"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172" fontId="61" fillId="0" borderId="8" xfId="1" applyNumberFormat="1" applyFont="1" applyBorder="1" applyAlignment="1"/>
    <xf numFmtId="172" fontId="61" fillId="0" borderId="58" xfId="1" applyNumberFormat="1" applyFont="1" applyBorder="1" applyAlignment="1"/>
    <xf numFmtId="3" fontId="62" fillId="30" borderId="57" xfId="1" applyNumberFormat="1" applyFont="1" applyFill="1" applyBorder="1" applyAlignment="1">
      <alignment horizontal="center"/>
    </xf>
    <xf numFmtId="3" fontId="62" fillId="30" borderId="58" xfId="1" applyNumberFormat="1" applyFont="1" applyFill="1" applyBorder="1" applyAlignment="1">
      <alignment horizontal="center"/>
    </xf>
    <xf numFmtId="190" fontId="61" fillId="0" borderId="8" xfId="1" applyNumberFormat="1" applyFont="1" applyBorder="1" applyAlignment="1"/>
    <xf numFmtId="190" fontId="61" fillId="0" borderId="58" xfId="1" applyNumberFormat="1" applyFont="1" applyBorder="1" applyAlignment="1"/>
    <xf numFmtId="190" fontId="62" fillId="30" borderId="57" xfId="1" applyNumberFormat="1" applyFont="1" applyFill="1" applyBorder="1" applyAlignment="1"/>
    <xf numFmtId="190" fontId="62" fillId="30" borderId="58" xfId="1" applyNumberFormat="1" applyFont="1" applyFill="1" applyBorder="1" applyAlignment="1"/>
    <xf numFmtId="190" fontId="61" fillId="0" borderId="116" xfId="1" applyNumberFormat="1" applyFont="1" applyBorder="1" applyAlignment="1"/>
    <xf numFmtId="190" fontId="61" fillId="0" borderId="115" xfId="1" applyNumberFormat="1" applyFont="1" applyBorder="1" applyAlignment="1"/>
    <xf numFmtId="0" fontId="6" fillId="49" borderId="0" xfId="1" applyFont="1" applyFill="1" applyBorder="1" applyAlignment="1" applyProtection="1">
      <alignment vertical="center"/>
    </xf>
    <xf numFmtId="0" fontId="6" fillId="49" borderId="0" xfId="1" applyFont="1" applyFill="1" applyAlignment="1">
      <alignment vertical="center"/>
    </xf>
    <xf numFmtId="0" fontId="2" fillId="49" borderId="0" xfId="0" applyFont="1" applyFill="1" applyAlignment="1">
      <alignment vertical="center"/>
    </xf>
    <xf numFmtId="172" fontId="2" fillId="49" borderId="0" xfId="0" applyNumberFormat="1" applyFont="1" applyFill="1" applyAlignment="1">
      <alignment vertical="center"/>
    </xf>
    <xf numFmtId="0" fontId="6" fillId="49" borderId="0" xfId="0" applyFont="1" applyFill="1" applyAlignment="1">
      <alignment vertical="center"/>
    </xf>
    <xf numFmtId="171" fontId="2" fillId="49" borderId="0" xfId="0" applyNumberFormat="1" applyFont="1" applyFill="1" applyAlignment="1">
      <alignment vertical="center"/>
    </xf>
    <xf numFmtId="185" fontId="2" fillId="49" borderId="0" xfId="0" applyNumberFormat="1" applyFont="1" applyFill="1" applyAlignment="1">
      <alignment vertical="center"/>
    </xf>
    <xf numFmtId="0" fontId="6" fillId="4" borderId="0" xfId="1" applyFont="1" applyFill="1" applyBorder="1" applyAlignment="1">
      <alignment vertical="center"/>
    </xf>
    <xf numFmtId="0" fontId="6" fillId="0" borderId="289" xfId="105" applyFont="1" applyBorder="1" applyAlignment="1" applyProtection="1">
      <alignment vertical="center"/>
    </xf>
    <xf numFmtId="0" fontId="6" fillId="0" borderId="289" xfId="1" applyFont="1" applyBorder="1" applyAlignment="1">
      <alignment horizontal="right" vertical="center"/>
    </xf>
    <xf numFmtId="188" fontId="6" fillId="0" borderId="42" xfId="1" applyNumberFormat="1" applyFont="1" applyBorder="1" applyAlignment="1">
      <alignment vertical="center"/>
    </xf>
    <xf numFmtId="188" fontId="6" fillId="0" borderId="289" xfId="1" applyNumberFormat="1" applyFont="1" applyBorder="1" applyAlignment="1">
      <alignment vertical="center"/>
    </xf>
    <xf numFmtId="188" fontId="13" fillId="0" borderId="39" xfId="61" applyNumberFormat="1" applyFont="1" applyBorder="1" applyAlignment="1">
      <alignment vertical="center"/>
    </xf>
    <xf numFmtId="188" fontId="13" fillId="0" borderId="44" xfId="61" applyNumberFormat="1" applyFont="1" applyBorder="1" applyAlignment="1">
      <alignment vertical="center"/>
    </xf>
    <xf numFmtId="0" fontId="4" fillId="55" borderId="39" xfId="1" applyFill="1" applyBorder="1" applyAlignment="1">
      <alignment vertical="center"/>
    </xf>
    <xf numFmtId="188" fontId="13" fillId="55" borderId="44" xfId="61" applyNumberFormat="1" applyFont="1" applyFill="1" applyBorder="1" applyAlignment="1">
      <alignment vertical="center"/>
    </xf>
    <xf numFmtId="188" fontId="13" fillId="0" borderId="2" xfId="61" applyNumberFormat="1" applyFont="1" applyBorder="1" applyAlignment="1">
      <alignment vertical="center"/>
    </xf>
    <xf numFmtId="0" fontId="6" fillId="0" borderId="39" xfId="1" applyFont="1" applyBorder="1" applyAlignment="1">
      <alignment vertical="center"/>
    </xf>
    <xf numFmtId="0" fontId="14" fillId="0" borderId="91" xfId="1" applyFont="1" applyFill="1" applyBorder="1" applyAlignment="1" applyProtection="1">
      <alignment vertical="center"/>
    </xf>
    <xf numFmtId="0" fontId="16" fillId="41" borderId="2" xfId="1" applyNumberFormat="1" applyFont="1" applyFill="1" applyBorder="1" applyAlignment="1">
      <alignment vertical="center"/>
    </xf>
    <xf numFmtId="0" fontId="16" fillId="33" borderId="2" xfId="1" applyNumberFormat="1" applyFont="1" applyFill="1" applyBorder="1" applyAlignment="1">
      <alignment vertical="center"/>
    </xf>
    <xf numFmtId="0" fontId="9" fillId="0" borderId="0" xfId="1" applyFont="1" applyBorder="1" applyAlignment="1" applyProtection="1">
      <alignment horizontal="right" vertical="center"/>
    </xf>
    <xf numFmtId="2" fontId="70" fillId="0" borderId="32" xfId="1" applyNumberFormat="1" applyFont="1" applyBorder="1" applyAlignment="1" applyProtection="1">
      <alignment vertical="center"/>
    </xf>
    <xf numFmtId="0" fontId="4" fillId="0" borderId="0" xfId="67" applyFont="1"/>
    <xf numFmtId="0" fontId="63" fillId="31" borderId="40" xfId="1" applyFont="1" applyFill="1" applyBorder="1" applyAlignment="1" applyProtection="1">
      <alignment horizontal="left" vertical="center"/>
      <protection locked="0"/>
    </xf>
    <xf numFmtId="14" fontId="72" fillId="0" borderId="0" xfId="1" applyNumberFormat="1" applyFont="1" applyAlignment="1" applyProtection="1">
      <alignment vertical="center"/>
    </xf>
    <xf numFmtId="180" fontId="20" fillId="57" borderId="65" xfId="1" applyNumberFormat="1" applyFont="1" applyFill="1" applyBorder="1" applyAlignment="1" applyProtection="1">
      <alignment vertical="center"/>
      <protection locked="0"/>
    </xf>
    <xf numFmtId="171" fontId="9" fillId="0" borderId="66" xfId="61" applyNumberFormat="1" applyFont="1" applyFill="1" applyBorder="1" applyAlignment="1" applyProtection="1">
      <alignment horizontal="right" vertical="center"/>
      <protection locked="0"/>
    </xf>
    <xf numFmtId="171" fontId="9" fillId="0" borderId="62" xfId="61" applyNumberFormat="1" applyFont="1" applyFill="1" applyBorder="1" applyAlignment="1" applyProtection="1">
      <alignment horizontal="right" vertical="center"/>
      <protection locked="0"/>
    </xf>
    <xf numFmtId="171" fontId="9" fillId="0" borderId="65" xfId="61" applyNumberFormat="1" applyFont="1" applyFill="1" applyBorder="1" applyAlignment="1" applyProtection="1">
      <alignment horizontal="right" vertical="center"/>
      <protection locked="0"/>
    </xf>
    <xf numFmtId="171" fontId="9" fillId="0" borderId="61" xfId="61" applyNumberFormat="1" applyFont="1" applyFill="1" applyBorder="1" applyAlignment="1" applyProtection="1">
      <alignment horizontal="right" vertical="center"/>
      <protection locked="0"/>
    </xf>
    <xf numFmtId="185" fontId="9" fillId="0" borderId="66" xfId="61" applyNumberFormat="1" applyFont="1" applyFill="1" applyBorder="1" applyAlignment="1" applyProtection="1">
      <alignment horizontal="right" vertical="center"/>
      <protection locked="0"/>
    </xf>
    <xf numFmtId="185" fontId="9" fillId="0" borderId="65"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Font="1" applyBorder="1" applyAlignment="1">
      <alignment vertical="center" wrapText="1"/>
    </xf>
    <xf numFmtId="178" fontId="6" fillId="0" borderId="0" xfId="1" applyNumberFormat="1" applyFont="1" applyFill="1" applyBorder="1" applyAlignment="1" applyProtection="1">
      <alignment vertical="center"/>
    </xf>
    <xf numFmtId="176" fontId="6" fillId="37" borderId="0" xfId="1" applyNumberFormat="1" applyFont="1" applyFill="1" applyBorder="1" applyAlignment="1" applyProtection="1">
      <alignment vertical="center"/>
    </xf>
    <xf numFmtId="0" fontId="9" fillId="0" borderId="0" xfId="67"/>
    <xf numFmtId="0" fontId="20" fillId="24" borderId="25" xfId="139" applyFont="1" applyFill="1" applyBorder="1" applyAlignment="1" applyProtection="1">
      <alignment vertical="center"/>
      <protection locked="0"/>
    </xf>
    <xf numFmtId="0" fontId="6" fillId="0" borderId="0" xfId="1" applyFont="1" applyBorder="1" applyAlignment="1" applyProtection="1">
      <alignment vertical="center"/>
    </xf>
    <xf numFmtId="0" fontId="6" fillId="0" borderId="0" xfId="1" applyFont="1" applyFill="1" applyBorder="1" applyAlignment="1" applyProtection="1">
      <alignment vertical="center"/>
    </xf>
    <xf numFmtId="0" fontId="6" fillId="0" borderId="0" xfId="1" applyFont="1" applyBorder="1" applyAlignment="1" applyProtection="1">
      <alignment horizontal="right" vertical="center"/>
    </xf>
    <xf numFmtId="0" fontId="6" fillId="0" borderId="2" xfId="1" applyFont="1" applyBorder="1" applyAlignment="1" applyProtection="1">
      <alignment horizontal="right" vertical="center"/>
    </xf>
    <xf numFmtId="0" fontId="14" fillId="0" borderId="40" xfId="1" applyFont="1" applyBorder="1" applyAlignment="1" applyProtection="1">
      <alignment vertical="center"/>
    </xf>
    <xf numFmtId="0" fontId="16" fillId="0" borderId="0" xfId="1" applyFont="1" applyBorder="1" applyAlignment="1" applyProtection="1">
      <alignment vertical="center"/>
    </xf>
    <xf numFmtId="0" fontId="14" fillId="0" borderId="0" xfId="105" applyFont="1" applyBorder="1" applyAlignment="1" applyProtection="1">
      <alignment vertical="center"/>
    </xf>
    <xf numFmtId="0" fontId="14" fillId="0" borderId="40" xfId="105" applyFont="1" applyBorder="1" applyAlignment="1" applyProtection="1">
      <alignment vertical="center"/>
    </xf>
    <xf numFmtId="0" fontId="6" fillId="0" borderId="2" xfId="105" applyFont="1" applyBorder="1" applyAlignment="1" applyProtection="1">
      <alignment vertical="center"/>
    </xf>
    <xf numFmtId="0" fontId="6" fillId="0" borderId="39" xfId="105" applyFont="1" applyBorder="1" applyAlignment="1" applyProtection="1">
      <alignment vertical="center"/>
    </xf>
    <xf numFmtId="0" fontId="13" fillId="0" borderId="0" xfId="105" applyFont="1" applyBorder="1" applyAlignment="1" applyProtection="1">
      <alignment vertical="center"/>
    </xf>
    <xf numFmtId="0" fontId="14" fillId="0" borderId="2" xfId="105" applyFont="1" applyBorder="1" applyAlignment="1" applyProtection="1">
      <alignment vertical="center"/>
    </xf>
    <xf numFmtId="0" fontId="6" fillId="27" borderId="0" xfId="1" applyFont="1" applyFill="1" applyBorder="1" applyAlignment="1" applyProtection="1">
      <alignment vertical="center"/>
    </xf>
    <xf numFmtId="0" fontId="6" fillId="31" borderId="61" xfId="105" applyFont="1" applyFill="1" applyBorder="1" applyAlignment="1" applyProtection="1">
      <alignment vertical="center"/>
      <protection locked="0"/>
    </xf>
    <xf numFmtId="0" fontId="6" fillId="4" borderId="40" xfId="105" applyFont="1" applyFill="1" applyBorder="1" applyAlignment="1" applyProtection="1">
      <alignment vertical="center"/>
    </xf>
    <xf numFmtId="0" fontId="6" fillId="31" borderId="121" xfId="105" applyFont="1" applyFill="1" applyBorder="1" applyAlignment="1" applyProtection="1">
      <alignment vertical="center"/>
      <protection locked="0"/>
    </xf>
    <xf numFmtId="209" fontId="6" fillId="4" borderId="91" xfId="1" applyNumberFormat="1" applyFont="1" applyFill="1" applyBorder="1" applyAlignment="1" applyProtection="1">
      <alignment horizontal="center" vertical="center"/>
    </xf>
    <xf numFmtId="209" fontId="6" fillId="4" borderId="9" xfId="1" applyNumberFormat="1" applyFont="1" applyFill="1" applyBorder="1" applyAlignment="1" applyProtection="1">
      <alignment horizontal="center" vertical="center"/>
    </xf>
    <xf numFmtId="0" fontId="6" fillId="0" borderId="123" xfId="1" applyFont="1" applyBorder="1" applyAlignment="1" applyProtection="1">
      <alignment horizontal="left" vertical="center"/>
    </xf>
    <xf numFmtId="0" fontId="6" fillId="0" borderId="92" xfId="105" applyFont="1" applyBorder="1" applyAlignment="1" applyProtection="1">
      <alignment vertical="center"/>
    </xf>
    <xf numFmtId="0" fontId="6" fillId="0" borderId="2" xfId="1" applyFont="1" applyBorder="1" applyAlignment="1" applyProtection="1">
      <alignment horizontal="center" vertical="center"/>
    </xf>
    <xf numFmtId="190" fontId="6" fillId="4" borderId="162" xfId="105" applyNumberFormat="1" applyFont="1" applyFill="1" applyBorder="1" applyAlignment="1" applyProtection="1">
      <alignment vertical="center"/>
    </xf>
    <xf numFmtId="0" fontId="6" fillId="31" borderId="62" xfId="1" applyFont="1" applyFill="1" applyBorder="1" applyAlignment="1" applyProtection="1">
      <alignment vertical="center"/>
      <protection locked="0"/>
    </xf>
    <xf numFmtId="209" fontId="6" fillId="4" borderId="0" xfId="1" applyNumberFormat="1" applyFont="1" applyFill="1" applyBorder="1" applyAlignment="1" applyProtection="1">
      <alignment horizontal="center" vertical="center"/>
    </xf>
    <xf numFmtId="180" fontId="6" fillId="31" borderId="162" xfId="105" applyNumberFormat="1" applyFont="1" applyFill="1" applyBorder="1" applyAlignment="1" applyProtection="1">
      <alignment vertical="center"/>
      <protection locked="0"/>
    </xf>
    <xf numFmtId="0" fontId="16" fillId="0" borderId="39" xfId="105" applyFont="1" applyBorder="1" applyAlignment="1" applyProtection="1">
      <alignment vertical="center"/>
    </xf>
    <xf numFmtId="170" fontId="6" fillId="0" borderId="44" xfId="1" applyNumberFormat="1" applyFont="1" applyFill="1" applyBorder="1" applyAlignment="1" applyProtection="1">
      <alignment horizontal="right" vertical="center"/>
    </xf>
    <xf numFmtId="170" fontId="6" fillId="0" borderId="2" xfId="1" applyNumberFormat="1" applyFont="1" applyFill="1" applyBorder="1" applyAlignment="1" applyProtection="1">
      <alignment horizontal="right" vertical="center"/>
    </xf>
    <xf numFmtId="188" fontId="6" fillId="0" borderId="39" xfId="1" applyNumberFormat="1" applyFont="1" applyFill="1" applyBorder="1" applyAlignment="1" applyProtection="1">
      <alignment horizontal="right" vertical="center"/>
    </xf>
    <xf numFmtId="170" fontId="6" fillId="27" borderId="2" xfId="1" applyNumberFormat="1" applyFont="1" applyFill="1" applyBorder="1" applyAlignment="1" applyProtection="1">
      <alignment horizontal="right" vertical="center"/>
    </xf>
    <xf numFmtId="188" fontId="6" fillId="27" borderId="39" xfId="1" applyNumberFormat="1" applyFont="1" applyFill="1" applyBorder="1" applyAlignment="1" applyProtection="1">
      <alignment horizontal="right" vertical="center"/>
    </xf>
    <xf numFmtId="211" fontId="6" fillId="4" borderId="44" xfId="1" applyNumberFormat="1" applyFont="1" applyFill="1" applyBorder="1" applyAlignment="1" applyProtection="1">
      <alignment horizontal="right" vertical="center"/>
    </xf>
    <xf numFmtId="211" fontId="6" fillId="4" borderId="62" xfId="1" applyNumberFormat="1" applyFont="1" applyFill="1" applyBorder="1" applyAlignment="1" applyProtection="1">
      <alignment horizontal="right" vertical="center"/>
    </xf>
    <xf numFmtId="0" fontId="6" fillId="4" borderId="39" xfId="1" applyFont="1" applyFill="1" applyBorder="1" applyAlignment="1" applyProtection="1">
      <alignment vertical="center"/>
    </xf>
    <xf numFmtId="170" fontId="6" fillId="0" borderId="90" xfId="1" applyNumberFormat="1" applyFont="1" applyFill="1" applyBorder="1" applyAlignment="1" applyProtection="1">
      <alignment horizontal="right" vertical="center"/>
    </xf>
    <xf numFmtId="170" fontId="6" fillId="0" borderId="91" xfId="1" applyNumberFormat="1" applyFont="1" applyFill="1" applyBorder="1" applyAlignment="1" applyProtection="1">
      <alignment horizontal="right" vertical="center"/>
    </xf>
    <xf numFmtId="188" fontId="6" fillId="0" borderId="92" xfId="1" applyNumberFormat="1" applyFont="1" applyFill="1" applyBorder="1" applyAlignment="1" applyProtection="1">
      <alignment horizontal="right" vertical="center"/>
    </xf>
    <xf numFmtId="0" fontId="6" fillId="27" borderId="91" xfId="1" applyFont="1" applyFill="1" applyBorder="1" applyAlignment="1" applyProtection="1">
      <alignment vertical="center"/>
    </xf>
    <xf numFmtId="170" fontId="6" fillId="27" borderId="91" xfId="1" applyNumberFormat="1" applyFont="1" applyFill="1" applyBorder="1" applyAlignment="1" applyProtection="1">
      <alignment horizontal="right" vertical="center"/>
    </xf>
    <xf numFmtId="188" fontId="6" fillId="27" borderId="92" xfId="1" applyNumberFormat="1" applyFont="1" applyFill="1" applyBorder="1" applyAlignment="1" applyProtection="1">
      <alignment horizontal="right" vertical="center"/>
    </xf>
    <xf numFmtId="0" fontId="6" fillId="0" borderId="91" xfId="1" applyFont="1" applyFill="1" applyBorder="1" applyAlignment="1" applyProtection="1">
      <alignment vertical="center"/>
    </xf>
    <xf numFmtId="170" fontId="6" fillId="4" borderId="90" xfId="1" applyNumberFormat="1" applyFont="1" applyFill="1" applyBorder="1" applyAlignment="1" applyProtection="1">
      <alignment horizontal="right" vertical="center"/>
    </xf>
    <xf numFmtId="188" fontId="6" fillId="4" borderId="161" xfId="1" applyNumberFormat="1" applyFont="1" applyFill="1" applyBorder="1" applyAlignment="1" applyProtection="1">
      <alignment horizontal="right" vertical="center"/>
    </xf>
    <xf numFmtId="0" fontId="6" fillId="4" borderId="92" xfId="105" applyFont="1" applyFill="1" applyBorder="1" applyAlignment="1" applyProtection="1">
      <alignment vertical="center"/>
    </xf>
    <xf numFmtId="170" fontId="6" fillId="0" borderId="19" xfId="1" applyNumberFormat="1" applyFont="1" applyFill="1" applyBorder="1" applyAlignment="1" applyProtection="1">
      <alignment horizontal="right" vertical="center"/>
    </xf>
    <xf numFmtId="170" fontId="6" fillId="0" borderId="0" xfId="1" applyNumberFormat="1" applyFont="1" applyFill="1" applyBorder="1" applyAlignment="1" applyProtection="1">
      <alignment horizontal="right" vertical="center"/>
    </xf>
    <xf numFmtId="188" fontId="6" fillId="0" borderId="40" xfId="1" applyNumberFormat="1" applyFont="1" applyFill="1" applyBorder="1" applyAlignment="1" applyProtection="1">
      <alignment horizontal="right" vertical="center"/>
    </xf>
    <xf numFmtId="170" fontId="6" fillId="27" borderId="0" xfId="1" applyNumberFormat="1" applyFont="1" applyFill="1" applyBorder="1" applyAlignment="1" applyProtection="1">
      <alignment horizontal="right" vertical="center"/>
    </xf>
    <xf numFmtId="188" fontId="6" fillId="27" borderId="40" xfId="1" applyNumberFormat="1" applyFont="1" applyFill="1" applyBorder="1" applyAlignment="1" applyProtection="1">
      <alignment horizontal="right" vertical="center"/>
    </xf>
    <xf numFmtId="170" fontId="6" fillId="4" borderId="105" xfId="1" applyNumberFormat="1" applyFont="1" applyFill="1" applyBorder="1" applyAlignment="1" applyProtection="1">
      <alignment horizontal="right" vertical="center"/>
    </xf>
    <xf numFmtId="188" fontId="6" fillId="4" borderId="163" xfId="1" applyNumberFormat="1" applyFont="1" applyFill="1" applyBorder="1" applyAlignment="1" applyProtection="1">
      <alignment horizontal="right" vertical="center"/>
    </xf>
    <xf numFmtId="188" fontId="13" fillId="0" borderId="0" xfId="1" applyNumberFormat="1" applyFont="1" applyFill="1" applyBorder="1" applyAlignment="1" applyProtection="1">
      <alignment horizontal="right" vertical="center"/>
    </xf>
    <xf numFmtId="188" fontId="13" fillId="0" borderId="40" xfId="1" applyNumberFormat="1" applyFont="1" applyFill="1" applyBorder="1" applyAlignment="1" applyProtection="1">
      <alignment horizontal="right" vertical="center"/>
    </xf>
    <xf numFmtId="188" fontId="13" fillId="27" borderId="0" xfId="1" applyNumberFormat="1" applyFont="1" applyFill="1" applyBorder="1" applyAlignment="1" applyProtection="1">
      <alignment horizontal="right" vertical="center"/>
    </xf>
    <xf numFmtId="188" fontId="13" fillId="27" borderId="40" xfId="1" applyNumberFormat="1" applyFont="1" applyFill="1" applyBorder="1" applyAlignment="1" applyProtection="1">
      <alignment horizontal="right" vertical="center"/>
    </xf>
    <xf numFmtId="209" fontId="6" fillId="4" borderId="161" xfId="1" applyNumberFormat="1" applyFont="1" applyFill="1" applyBorder="1" applyAlignment="1" applyProtection="1">
      <alignment horizontal="center" vertical="center"/>
    </xf>
    <xf numFmtId="0" fontId="16" fillId="0" borderId="83" xfId="105" applyFont="1" applyBorder="1" applyAlignment="1" applyProtection="1">
      <alignment horizontal="left" vertical="center"/>
    </xf>
    <xf numFmtId="170" fontId="6" fillId="4" borderId="0" xfId="1" applyNumberFormat="1" applyFont="1" applyFill="1" applyBorder="1" applyAlignment="1" applyProtection="1">
      <alignment horizontal="right" vertical="center"/>
    </xf>
    <xf numFmtId="0" fontId="31" fillId="0" borderId="0" xfId="1" applyFont="1" applyAlignment="1">
      <alignment horizontal="centerContinuous" vertical="center"/>
    </xf>
    <xf numFmtId="176" fontId="6" fillId="0" borderId="40" xfId="1" applyNumberFormat="1" applyFont="1" applyBorder="1" applyAlignment="1">
      <alignment vertical="center"/>
    </xf>
    <xf numFmtId="0" fontId="18" fillId="31" borderId="0" xfId="1" applyFont="1" applyFill="1" applyBorder="1" applyAlignment="1" applyProtection="1">
      <alignment vertical="top"/>
      <protection locked="0"/>
    </xf>
    <xf numFmtId="176" fontId="6" fillId="33" borderId="0" xfId="1" applyNumberFormat="1" applyFont="1" applyFill="1" applyBorder="1" applyAlignment="1" applyProtection="1">
      <alignment vertical="center"/>
    </xf>
    <xf numFmtId="0" fontId="70" fillId="0" borderId="288" xfId="1" applyFont="1" applyBorder="1" applyAlignment="1" applyProtection="1">
      <alignment vertical="center"/>
    </xf>
    <xf numFmtId="0" fontId="44" fillId="33" borderId="0" xfId="1" applyFont="1" applyFill="1" applyBorder="1" applyAlignment="1" applyProtection="1">
      <alignment horizontal="right" vertical="center"/>
    </xf>
    <xf numFmtId="0" fontId="44" fillId="33" borderId="40" xfId="1" applyFont="1" applyFill="1" applyBorder="1" applyAlignment="1" applyProtection="1">
      <alignment horizontal="right" vertical="center"/>
    </xf>
    <xf numFmtId="0" fontId="66" fillId="33" borderId="0" xfId="1" applyFont="1" applyFill="1" applyBorder="1" applyAlignment="1" applyProtection="1">
      <alignment vertical="center"/>
    </xf>
    <xf numFmtId="0" fontId="70" fillId="33" borderId="0" xfId="1" applyFont="1" applyFill="1" applyBorder="1" applyAlignment="1" applyProtection="1">
      <alignment vertical="center"/>
    </xf>
    <xf numFmtId="0" fontId="13" fillId="33" borderId="40" xfId="1" applyFont="1" applyFill="1" applyBorder="1" applyAlignment="1" applyProtection="1">
      <alignment vertical="center"/>
    </xf>
    <xf numFmtId="0" fontId="72" fillId="33" borderId="0" xfId="1" applyFont="1" applyFill="1" applyBorder="1" applyAlignment="1" applyProtection="1">
      <alignment vertical="center"/>
    </xf>
    <xf numFmtId="0" fontId="6" fillId="33" borderId="0" xfId="1" applyFont="1" applyFill="1" applyBorder="1" applyAlignment="1" applyProtection="1">
      <alignment vertical="center"/>
    </xf>
    <xf numFmtId="0" fontId="43" fillId="33" borderId="0" xfId="1" applyFont="1" applyFill="1" applyBorder="1" applyAlignment="1" applyProtection="1">
      <alignment horizontal="right" vertical="center"/>
    </xf>
    <xf numFmtId="0" fontId="70" fillId="33" borderId="0" xfId="1" applyFont="1" applyFill="1" applyBorder="1" applyAlignment="1" applyProtection="1">
      <alignment horizontal="left" vertical="center"/>
    </xf>
    <xf numFmtId="0" fontId="13" fillId="33" borderId="40" xfId="1" applyFont="1" applyFill="1" applyBorder="1" applyAlignment="1" applyProtection="1">
      <alignment horizontal="right" vertical="center"/>
    </xf>
    <xf numFmtId="0" fontId="7" fillId="0" borderId="32" xfId="2" applyBorder="1" applyAlignment="1" applyProtection="1">
      <alignment horizontal="right" vertical="center"/>
    </xf>
    <xf numFmtId="176" fontId="6" fillId="0" borderId="62" xfId="1" applyNumberFormat="1" applyFont="1" applyFill="1" applyBorder="1" applyAlignment="1" applyProtection="1">
      <alignment vertical="center"/>
    </xf>
    <xf numFmtId="0" fontId="9" fillId="0" borderId="2" xfId="1" applyFont="1" applyFill="1" applyBorder="1" applyAlignment="1" applyProtection="1">
      <alignment horizontal="right" vertical="center"/>
    </xf>
    <xf numFmtId="176" fontId="6" fillId="0" borderId="71" xfId="1" applyNumberFormat="1" applyFont="1" applyFill="1" applyBorder="1" applyAlignment="1" applyProtection="1">
      <alignment vertical="center"/>
    </xf>
    <xf numFmtId="176" fontId="6" fillId="0" borderId="39" xfId="61" applyNumberFormat="1" applyFont="1" applyBorder="1" applyAlignment="1" applyProtection="1">
      <alignment vertical="center"/>
    </xf>
    <xf numFmtId="0" fontId="15" fillId="33" borderId="0" xfId="1" applyFont="1" applyFill="1" applyBorder="1" applyAlignment="1" applyProtection="1">
      <alignment vertical="center"/>
      <protection locked="0"/>
    </xf>
    <xf numFmtId="0" fontId="4" fillId="33" borderId="19" xfId="1" applyFill="1" applyBorder="1" applyAlignment="1" applyProtection="1">
      <alignment vertical="center"/>
      <protection locked="0"/>
    </xf>
    <xf numFmtId="0" fontId="6" fillId="33" borderId="296" xfId="1" applyFont="1" applyFill="1" applyBorder="1" applyAlignment="1" applyProtection="1">
      <alignment vertical="center"/>
      <protection locked="0"/>
    </xf>
    <xf numFmtId="176" fontId="6" fillId="33" borderId="114" xfId="1" applyNumberFormat="1" applyFont="1" applyFill="1" applyBorder="1" applyAlignment="1" applyProtection="1">
      <alignment vertical="center"/>
    </xf>
    <xf numFmtId="176" fontId="6" fillId="33" borderId="296" xfId="1" applyNumberFormat="1" applyFont="1" applyFill="1" applyBorder="1" applyAlignment="1" applyProtection="1">
      <alignment vertical="center"/>
    </xf>
    <xf numFmtId="176" fontId="6" fillId="33" borderId="117" xfId="1" applyNumberFormat="1" applyFont="1" applyFill="1" applyBorder="1" applyAlignment="1" applyProtection="1">
      <alignment vertical="center"/>
    </xf>
    <xf numFmtId="176" fontId="6" fillId="33" borderId="9" xfId="1" applyNumberFormat="1" applyFont="1" applyFill="1" applyBorder="1" applyAlignment="1" applyProtection="1">
      <alignment vertical="center"/>
      <protection locked="0"/>
    </xf>
    <xf numFmtId="176" fontId="6" fillId="31" borderId="0" xfId="1" applyNumberFormat="1" applyFont="1" applyFill="1" applyBorder="1" applyAlignment="1" applyProtection="1">
      <alignment vertical="center"/>
      <protection locked="0"/>
    </xf>
    <xf numFmtId="176" fontId="6" fillId="0" borderId="66" xfId="1" applyNumberFormat="1" applyFont="1" applyFill="1" applyBorder="1" applyAlignment="1" applyProtection="1">
      <alignment vertical="center"/>
    </xf>
    <xf numFmtId="176" fontId="6" fillId="0" borderId="69" xfId="1" applyNumberFormat="1" applyFont="1" applyFill="1" applyBorder="1" applyAlignment="1" applyProtection="1">
      <alignment vertical="center"/>
    </xf>
    <xf numFmtId="0" fontId="72" fillId="0" borderId="108" xfId="1" applyFont="1" applyBorder="1" applyAlignment="1" applyProtection="1">
      <alignment vertical="center"/>
    </xf>
    <xf numFmtId="0" fontId="72" fillId="0" borderId="95" xfId="1" applyFont="1" applyBorder="1" applyAlignment="1" applyProtection="1">
      <alignment vertical="center"/>
    </xf>
    <xf numFmtId="176" fontId="6" fillId="0" borderId="93" xfId="1" applyNumberFormat="1" applyFont="1" applyBorder="1" applyAlignment="1" applyProtection="1">
      <alignment vertical="center"/>
    </xf>
    <xf numFmtId="0" fontId="15" fillId="0" borderId="108" xfId="1" applyFont="1" applyBorder="1" applyAlignment="1" applyProtection="1">
      <alignment horizontal="left" vertical="center"/>
    </xf>
    <xf numFmtId="0" fontId="72" fillId="0" borderId="107" xfId="1" applyFont="1" applyBorder="1" applyAlignment="1" applyProtection="1">
      <alignment vertical="center"/>
    </xf>
    <xf numFmtId="0" fontId="14" fillId="37" borderId="40" xfId="1" applyFont="1" applyFill="1" applyBorder="1" applyAlignment="1" applyProtection="1">
      <alignment horizontal="center" vertical="center"/>
    </xf>
    <xf numFmtId="0" fontId="5" fillId="0" borderId="189" xfId="1" applyFont="1" applyBorder="1" applyAlignment="1" applyProtection="1">
      <alignment horizontal="left" vertical="center"/>
    </xf>
    <xf numFmtId="0" fontId="5" fillId="0" borderId="0" xfId="1" applyFont="1" applyBorder="1" applyAlignment="1" applyProtection="1">
      <alignment horizontal="center"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0" borderId="24" xfId="67" applyBorder="1"/>
    <xf numFmtId="2" fontId="20" fillId="0" borderId="297" xfId="67" applyNumberFormat="1" applyFont="1" applyBorder="1" applyAlignment="1">
      <alignment horizontal="center"/>
    </xf>
    <xf numFmtId="0" fontId="4" fillId="0" borderId="0" xfId="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9" fillId="33" borderId="40" xfId="0" applyFont="1" applyFill="1" applyBorder="1" applyAlignment="1" applyProtection="1">
      <alignment horizontal="left" vertical="center"/>
    </xf>
    <xf numFmtId="0" fontId="4" fillId="33" borderId="43" xfId="1" applyFont="1" applyFill="1" applyBorder="1" applyAlignment="1" applyProtection="1">
      <alignment vertical="center"/>
    </xf>
    <xf numFmtId="0" fontId="14" fillId="0" borderId="40" xfId="1" applyFont="1" applyBorder="1" applyAlignment="1" applyProtection="1">
      <alignment horizontal="center" vertical="center"/>
    </xf>
    <xf numFmtId="0" fontId="4" fillId="33" borderId="40" xfId="1" applyFont="1" applyFill="1" applyBorder="1" applyAlignment="1" applyProtection="1">
      <alignment vertical="center"/>
    </xf>
    <xf numFmtId="0" fontId="4" fillId="0" borderId="0" xfId="1" applyAlignment="1" applyProtection="1">
      <alignment vertical="center"/>
    </xf>
    <xf numFmtId="0" fontId="4" fillId="33" borderId="40" xfId="0" applyFont="1" applyFill="1" applyBorder="1" applyAlignment="1" applyProtection="1">
      <alignment vertical="center"/>
    </xf>
    <xf numFmtId="0" fontId="14" fillId="0" borderId="289" xfId="1" applyFont="1" applyBorder="1" applyAlignment="1" applyProtection="1">
      <alignment horizontal="center" vertical="center"/>
    </xf>
    <xf numFmtId="4" fontId="15" fillId="0" borderId="40" xfId="95" applyNumberFormat="1" applyFont="1" applyFill="1" applyBorder="1" applyAlignment="1" applyProtection="1">
      <alignment horizontal="right" vertical="center"/>
    </xf>
    <xf numFmtId="4" fontId="15" fillId="0" borderId="40" xfId="1" applyNumberFormat="1" applyFont="1" applyFill="1" applyBorder="1" applyAlignment="1" applyProtection="1">
      <alignment horizontal="right" vertical="center"/>
    </xf>
    <xf numFmtId="4" fontId="185" fillId="0" borderId="40" xfId="95" applyNumberFormat="1" applyFont="1" applyFill="1" applyBorder="1" applyAlignment="1" applyProtection="1">
      <alignment horizontal="right" vertical="center"/>
    </xf>
    <xf numFmtId="17" fontId="0" fillId="0" borderId="0" xfId="0" applyNumberFormat="1"/>
    <xf numFmtId="0" fontId="16" fillId="0" borderId="40" xfId="1" applyFont="1" applyFill="1" applyBorder="1" applyAlignment="1" applyProtection="1">
      <alignment vertical="center"/>
    </xf>
    <xf numFmtId="0" fontId="16" fillId="0" borderId="19" xfId="1" applyFont="1" applyFill="1" applyBorder="1" applyAlignment="1" applyProtection="1">
      <alignment vertical="center"/>
    </xf>
    <xf numFmtId="189" fontId="6" fillId="0" borderId="0" xfId="1" applyNumberFormat="1" applyFont="1" applyBorder="1" applyAlignment="1" applyProtection="1">
      <alignment vertical="center"/>
    </xf>
    <xf numFmtId="0" fontId="4" fillId="0" borderId="0" xfId="1" applyAlignment="1" applyProtection="1">
      <alignment vertical="center"/>
    </xf>
    <xf numFmtId="4" fontId="4" fillId="0" borderId="130" xfId="1" applyNumberFormat="1" applyFont="1" applyFill="1" applyBorder="1" applyAlignment="1" applyProtection="1">
      <alignment horizontal="center" vertical="center"/>
    </xf>
    <xf numFmtId="4" fontId="4" fillId="0" borderId="40" xfId="1" applyNumberFormat="1" applyFont="1" applyFill="1" applyBorder="1" applyAlignment="1" applyProtection="1">
      <alignment horizontal="center" vertical="center"/>
    </xf>
    <xf numFmtId="3" fontId="4" fillId="0" borderId="40" xfId="1" applyNumberFormat="1" applyFont="1" applyFill="1" applyBorder="1" applyAlignment="1" applyProtection="1">
      <alignment horizontal="center" vertical="center"/>
    </xf>
    <xf numFmtId="3" fontId="88" fillId="0" borderId="40" xfId="1" applyNumberFormat="1" applyFont="1" applyFill="1" applyBorder="1" applyAlignment="1" applyProtection="1">
      <alignment horizontal="center" vertical="center"/>
    </xf>
    <xf numFmtId="4" fontId="4" fillId="0" borderId="43" xfId="1" applyNumberFormat="1" applyFont="1" applyFill="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0" fontId="9" fillId="0" borderId="64"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49" fontId="9" fillId="0" borderId="40" xfId="1" applyNumberFormat="1" applyFont="1" applyFill="1" applyBorder="1" applyAlignment="1" applyProtection="1">
      <alignment horizontal="center" vertical="center"/>
    </xf>
    <xf numFmtId="0" fontId="9" fillId="0" borderId="43" xfId="1" applyNumberFormat="1" applyFont="1" applyFill="1" applyBorder="1" applyAlignment="1" applyProtection="1">
      <alignment horizontal="center" vertical="center"/>
    </xf>
    <xf numFmtId="49" fontId="9" fillId="0" borderId="128" xfId="1" applyNumberFormat="1" applyFont="1" applyFill="1" applyBorder="1" applyAlignment="1" applyProtection="1">
      <alignment horizontal="center" vertical="center"/>
    </xf>
    <xf numFmtId="0" fontId="4" fillId="0" borderId="0" xfId="1" applyAlignment="1" applyProtection="1">
      <alignment vertical="center"/>
    </xf>
    <xf numFmtId="0" fontId="4" fillId="0" borderId="0" xfId="1" applyBorder="1" applyAlignment="1" applyProtection="1">
      <alignment vertical="center"/>
    </xf>
    <xf numFmtId="0" fontId="9" fillId="0" borderId="60" xfId="1" applyFont="1" applyFill="1" applyBorder="1" applyProtection="1"/>
    <xf numFmtId="0" fontId="12" fillId="0" borderId="48" xfId="1" applyFont="1" applyFill="1" applyBorder="1" applyProtection="1"/>
    <xf numFmtId="0" fontId="12" fillId="0" borderId="41" xfId="1" applyFont="1" applyFill="1" applyBorder="1" applyProtection="1"/>
    <xf numFmtId="0" fontId="12" fillId="0" borderId="146" xfId="1" applyFont="1" applyFill="1" applyBorder="1" applyProtection="1"/>
    <xf numFmtId="0" fontId="9" fillId="0" borderId="47" xfId="1" applyFont="1" applyFill="1" applyBorder="1" applyAlignment="1" applyProtection="1">
      <alignment horizontal="right" vertical="center"/>
    </xf>
    <xf numFmtId="0" fontId="4" fillId="0" borderId="24" xfId="1" applyBorder="1" applyProtection="1"/>
    <xf numFmtId="0" fontId="4" fillId="0" borderId="298" xfId="1" applyBorder="1" applyAlignment="1" applyProtection="1">
      <alignment vertical="center"/>
    </xf>
    <xf numFmtId="0" fontId="5" fillId="0" borderId="0" xfId="1" applyFont="1" applyFill="1" applyBorder="1" applyAlignment="1" applyProtection="1">
      <alignment horizontal="center" vertical="center"/>
    </xf>
    <xf numFmtId="171" fontId="9" fillId="33" borderId="62" xfId="61" applyNumberFormat="1" applyFont="1" applyFill="1" applyBorder="1" applyAlignment="1" applyProtection="1">
      <alignment horizontal="right" vertical="center"/>
      <protection locked="0"/>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0" fontId="4" fillId="0" borderId="0" xfId="1" applyAlignment="1" applyProtection="1">
      <alignment vertical="center"/>
    </xf>
    <xf numFmtId="0" fontId="4" fillId="0" borderId="0" xfId="1" applyBorder="1" applyAlignment="1" applyProtection="1">
      <alignment vertical="center"/>
    </xf>
    <xf numFmtId="0" fontId="186" fillId="0" borderId="0" xfId="1" applyFont="1" applyBorder="1" applyAlignment="1">
      <alignment vertical="center"/>
    </xf>
    <xf numFmtId="0" fontId="88" fillId="0" borderId="0" xfId="1" applyFont="1" applyProtection="1"/>
    <xf numFmtId="0" fontId="13" fillId="4" borderId="40" xfId="1" applyFont="1" applyFill="1" applyBorder="1" applyAlignment="1" applyProtection="1">
      <alignment horizontal="center" vertical="center"/>
      <protection locked="0"/>
    </xf>
    <xf numFmtId="171" fontId="9" fillId="0" borderId="0" xfId="1" applyNumberFormat="1" applyFont="1" applyBorder="1" applyAlignment="1" applyProtection="1">
      <alignment horizontal="right" vertical="center"/>
    </xf>
    <xf numFmtId="171" fontId="9" fillId="0" borderId="0" xfId="61" applyNumberFormat="1" applyFont="1" applyBorder="1" applyAlignment="1" applyProtection="1">
      <alignment horizontal="right" vertical="center"/>
    </xf>
    <xf numFmtId="171" fontId="6" fillId="0" borderId="0" xfId="61" applyNumberFormat="1" applyFont="1" applyBorder="1" applyAlignment="1" applyProtection="1">
      <alignment horizontal="right" vertical="center"/>
    </xf>
    <xf numFmtId="0" fontId="16" fillId="0" borderId="0" xfId="1" applyFont="1" applyBorder="1" applyAlignment="1">
      <alignment horizontal="center" vertical="center"/>
    </xf>
    <xf numFmtId="0" fontId="186" fillId="0" borderId="0" xfId="1" applyFont="1" applyAlignment="1" applyProtection="1">
      <alignment vertical="center"/>
    </xf>
    <xf numFmtId="188" fontId="9" fillId="0" borderId="2" xfId="1" applyNumberFormat="1" applyFont="1" applyBorder="1" applyAlignment="1" applyProtection="1">
      <alignment horizontal="right" vertical="center"/>
    </xf>
    <xf numFmtId="188" fontId="9" fillId="0" borderId="41" xfId="1" applyNumberFormat="1" applyFont="1" applyBorder="1" applyAlignment="1" applyProtection="1">
      <alignment horizontal="right" vertical="center"/>
    </xf>
    <xf numFmtId="0" fontId="16" fillId="0" borderId="0" xfId="1" applyFont="1" applyFill="1" applyBorder="1" applyAlignment="1">
      <alignment horizontal="center" vertical="center"/>
    </xf>
    <xf numFmtId="188" fontId="9" fillId="0" borderId="41" xfId="1" applyNumberFormat="1" applyFont="1" applyFill="1" applyBorder="1" applyAlignment="1" applyProtection="1">
      <alignment horizontal="right" vertical="center"/>
    </xf>
    <xf numFmtId="171" fontId="9" fillId="0" borderId="0" xfId="61" applyNumberFormat="1" applyFont="1" applyFill="1" applyBorder="1" applyAlignment="1" applyProtection="1">
      <alignment horizontal="right" vertical="center"/>
      <protection locked="0"/>
    </xf>
    <xf numFmtId="0" fontId="187" fillId="0" borderId="0" xfId="1" applyFont="1" applyAlignment="1" applyProtection="1">
      <alignment vertical="center"/>
    </xf>
    <xf numFmtId="0" fontId="188" fillId="0" borderId="0" xfId="1" applyFont="1" applyAlignment="1" applyProtection="1">
      <alignment vertical="center"/>
    </xf>
    <xf numFmtId="171" fontId="9" fillId="33" borderId="66" xfId="61" applyNumberFormat="1" applyFont="1" applyFill="1" applyBorder="1" applyAlignment="1" applyProtection="1">
      <alignment horizontal="right" vertical="center"/>
      <protection locked="0"/>
    </xf>
    <xf numFmtId="188" fontId="9" fillId="0" borderId="47" xfId="1" applyNumberFormat="1" applyFont="1" applyBorder="1" applyAlignment="1" applyProtection="1">
      <alignment horizontal="right" vertical="center"/>
    </xf>
    <xf numFmtId="188" fontId="9" fillId="0" borderId="66" xfId="1" applyNumberFormat="1" applyFont="1" applyBorder="1" applyAlignment="1" applyProtection="1">
      <alignment horizontal="right" vertical="center"/>
    </xf>
    <xf numFmtId="1" fontId="6" fillId="37" borderId="9" xfId="1" applyNumberFormat="1" applyFont="1" applyFill="1" applyBorder="1" applyAlignment="1" applyProtection="1">
      <alignment vertical="center"/>
    </xf>
    <xf numFmtId="1" fontId="6" fillId="37" borderId="163" xfId="1" applyNumberFormat="1" applyFont="1" applyFill="1" applyBorder="1" applyAlignment="1" applyProtection="1">
      <alignment vertical="center"/>
    </xf>
    <xf numFmtId="0" fontId="2" fillId="0" borderId="0" xfId="1" applyFont="1" applyAlignment="1" applyProtection="1">
      <alignment horizontal="left" vertical="center"/>
    </xf>
    <xf numFmtId="0" fontId="4" fillId="0" borderId="0" xfId="1" applyBorder="1" applyAlignment="1" applyProtection="1">
      <alignment vertical="center"/>
    </xf>
    <xf numFmtId="0" fontId="16" fillId="0" borderId="19" xfId="1" applyFont="1" applyBorder="1" applyAlignment="1" applyProtection="1">
      <alignment horizontal="left" vertical="center"/>
    </xf>
    <xf numFmtId="185" fontId="189" fillId="31" borderId="92" xfId="124" applyNumberFormat="1" applyFont="1" applyFill="1" applyBorder="1" applyAlignment="1" applyProtection="1">
      <alignment vertical="center"/>
      <protection locked="0"/>
    </xf>
    <xf numFmtId="0" fontId="189" fillId="0" borderId="27" xfId="124" applyFont="1" applyFill="1" applyBorder="1" applyAlignment="1" applyProtection="1">
      <alignment vertical="center"/>
    </xf>
    <xf numFmtId="0" fontId="189" fillId="37" borderId="27" xfId="124" applyFont="1" applyFill="1" applyBorder="1" applyAlignment="1" applyProtection="1">
      <alignment vertical="center"/>
    </xf>
    <xf numFmtId="185" fontId="189" fillId="37" borderId="92" xfId="124" applyNumberFormat="1" applyFont="1" applyFill="1" applyBorder="1" applyAlignment="1" applyProtection="1">
      <alignment vertical="center"/>
      <protection locked="0"/>
    </xf>
    <xf numFmtId="0" fontId="4" fillId="0" borderId="0" xfId="67" applyFont="1" applyBorder="1" applyAlignment="1">
      <alignment vertical="top" wrapText="1"/>
    </xf>
    <xf numFmtId="0" fontId="4" fillId="38" borderId="0" xfId="67" applyFont="1" applyFill="1" applyBorder="1" applyAlignment="1">
      <alignment vertical="center"/>
    </xf>
    <xf numFmtId="2" fontId="4" fillId="37" borderId="25" xfId="1" applyNumberFormat="1" applyFill="1" applyBorder="1" applyProtection="1">
      <protection locked="0"/>
    </xf>
    <xf numFmtId="2" fontId="4" fillId="40" borderId="19" xfId="1" applyNumberFormat="1" applyFill="1" applyBorder="1" applyProtection="1">
      <protection locked="0"/>
    </xf>
    <xf numFmtId="0" fontId="4" fillId="0" borderId="0" xfId="1" applyBorder="1" applyAlignment="1" applyProtection="1">
      <alignment vertical="center"/>
    </xf>
    <xf numFmtId="0" fontId="13" fillId="0" borderId="0" xfId="1" applyFont="1" applyFill="1" applyBorder="1" applyAlignment="1" applyProtection="1">
      <alignment horizontal="centerContinuous" vertical="center"/>
    </xf>
    <xf numFmtId="171" fontId="9" fillId="33" borderId="62" xfId="61" applyNumberFormat="1" applyFont="1" applyFill="1" applyBorder="1" applyAlignment="1" applyProtection="1">
      <alignment horizontal="right" vertical="center"/>
      <protection locked="0"/>
    </xf>
    <xf numFmtId="0" fontId="4" fillId="0" borderId="0" xfId="1" applyAlignment="1" applyProtection="1">
      <alignment vertical="center"/>
    </xf>
    <xf numFmtId="0" fontId="4" fillId="0" borderId="0" xfId="1" applyBorder="1" applyAlignment="1" applyProtection="1">
      <alignment vertical="center"/>
    </xf>
    <xf numFmtId="180" fontId="87" fillId="31" borderId="65" xfId="1" applyNumberFormat="1" applyFont="1" applyFill="1" applyBorder="1" applyAlignment="1" applyProtection="1">
      <alignment vertical="center"/>
      <protection locked="0"/>
    </xf>
    <xf numFmtId="0" fontId="175" fillId="0" borderId="30" xfId="1" applyFont="1" applyBorder="1" applyAlignment="1" applyProtection="1">
      <alignment vertical="center"/>
    </xf>
    <xf numFmtId="0" fontId="175" fillId="0" borderId="30" xfId="1" applyFont="1" applyBorder="1" applyAlignment="1" applyProtection="1">
      <alignment horizontal="right" vertical="center"/>
    </xf>
    <xf numFmtId="0" fontId="175" fillId="33" borderId="30" xfId="1" applyFont="1" applyFill="1" applyBorder="1" applyAlignment="1" applyProtection="1">
      <alignment vertical="center"/>
    </xf>
    <xf numFmtId="4" fontId="175" fillId="31" borderId="67" xfId="1" applyNumberFormat="1" applyFont="1" applyFill="1" applyBorder="1" applyAlignment="1" applyProtection="1">
      <alignment horizontal="center" vertical="center"/>
      <protection locked="0"/>
    </xf>
    <xf numFmtId="4" fontId="175" fillId="31" borderId="67" xfId="67" applyNumberFormat="1" applyFont="1" applyFill="1" applyBorder="1" applyAlignment="1" applyProtection="1">
      <alignment horizontal="center" vertical="center"/>
      <protection locked="0"/>
    </xf>
    <xf numFmtId="4" fontId="175" fillId="37" borderId="67" xfId="67" applyNumberFormat="1" applyFont="1" applyFill="1" applyBorder="1" applyAlignment="1" applyProtection="1">
      <alignment horizontal="center" vertical="center"/>
      <protection locked="0"/>
    </xf>
    <xf numFmtId="180" fontId="175" fillId="31" borderId="65" xfId="1" applyNumberFormat="1" applyFont="1" applyFill="1" applyBorder="1" applyAlignment="1" applyProtection="1">
      <alignment vertical="center"/>
      <protection locked="0"/>
    </xf>
    <xf numFmtId="180" fontId="175" fillId="37" borderId="65" xfId="67" applyNumberFormat="1" applyFont="1" applyFill="1" applyBorder="1" applyAlignment="1" applyProtection="1">
      <alignment vertical="center"/>
      <protection locked="0"/>
    </xf>
    <xf numFmtId="0" fontId="175" fillId="0" borderId="30" xfId="1" applyFont="1" applyFill="1" applyBorder="1" applyAlignment="1" applyProtection="1">
      <alignment vertical="center"/>
    </xf>
    <xf numFmtId="3" fontId="77" fillId="4" borderId="25" xfId="1" applyNumberFormat="1" applyFont="1" applyFill="1" applyBorder="1" applyAlignment="1">
      <alignment horizontal="center" vertical="center" wrapText="1"/>
    </xf>
    <xf numFmtId="3" fontId="14" fillId="4" borderId="19" xfId="1" applyNumberFormat="1" applyFont="1" applyFill="1" applyBorder="1" applyAlignment="1">
      <alignment horizontal="center" vertical="center"/>
    </xf>
    <xf numFmtId="3" fontId="120" fillId="0" borderId="29" xfId="1" applyNumberFormat="1" applyFont="1" applyFill="1" applyBorder="1" applyAlignment="1">
      <alignment horizontal="right" vertical="center"/>
    </xf>
    <xf numFmtId="3" fontId="77" fillId="0" borderId="29" xfId="1" applyNumberFormat="1" applyFont="1" applyFill="1" applyBorder="1" applyAlignment="1">
      <alignment horizontal="right" vertical="center"/>
    </xf>
    <xf numFmtId="3" fontId="77" fillId="4" borderId="34" xfId="1" applyNumberFormat="1" applyFont="1" applyFill="1" applyBorder="1" applyAlignment="1">
      <alignment horizontal="center" vertical="center" wrapText="1"/>
    </xf>
    <xf numFmtId="0" fontId="4" fillId="0" borderId="0" xfId="1" applyAlignment="1" applyProtection="1">
      <alignment vertical="center"/>
    </xf>
    <xf numFmtId="171" fontId="9" fillId="33" borderId="62" xfId="61" applyNumberFormat="1" applyFont="1" applyFill="1" applyBorder="1" applyAlignment="1" applyProtection="1">
      <alignment horizontal="right" vertical="center"/>
      <protection locked="0"/>
    </xf>
    <xf numFmtId="0" fontId="4" fillId="0" borderId="0" xfId="67" applyFont="1" applyAlignment="1">
      <alignment horizontal="left"/>
    </xf>
    <xf numFmtId="170" fontId="6" fillId="0" borderId="0" xfId="1" applyNumberFormat="1" applyFont="1" applyAlignment="1" applyProtection="1">
      <alignment vertical="center"/>
    </xf>
    <xf numFmtId="0" fontId="4" fillId="31" borderId="0" xfId="1" applyFont="1" applyFill="1" applyBorder="1" applyAlignment="1" applyProtection="1">
      <alignment vertical="center"/>
      <protection locked="0"/>
    </xf>
    <xf numFmtId="0" fontId="190" fillId="0" borderId="0" xfId="0" applyFont="1" applyAlignment="1">
      <alignment horizontal="center" vertical="top" wrapText="1"/>
    </xf>
    <xf numFmtId="2" fontId="15" fillId="0" borderId="77" xfId="1" applyNumberFormat="1" applyFont="1" applyBorder="1" applyAlignment="1" applyProtection="1">
      <alignment horizontal="center" vertical="center"/>
    </xf>
    <xf numFmtId="0" fontId="90" fillId="0" borderId="0" xfId="1" applyFont="1" applyBorder="1" applyAlignment="1" applyProtection="1">
      <alignment horizontal="left" vertical="center"/>
    </xf>
    <xf numFmtId="0" fontId="175" fillId="0" borderId="0" xfId="1" applyFont="1" applyBorder="1" applyAlignment="1" applyProtection="1">
      <alignment vertical="center"/>
    </xf>
    <xf numFmtId="0" fontId="86" fillId="0" borderId="0" xfId="1" applyFont="1" applyBorder="1" applyAlignment="1" applyProtection="1">
      <alignment vertical="center"/>
    </xf>
    <xf numFmtId="180" fontId="175" fillId="31" borderId="65" xfId="1" applyNumberFormat="1" applyFont="1" applyFill="1" applyBorder="1" applyAlignment="1" applyProtection="1">
      <alignment vertical="center"/>
    </xf>
    <xf numFmtId="188" fontId="9" fillId="4" borderId="299" xfId="1" applyNumberFormat="1" applyFont="1" applyFill="1" applyBorder="1" applyAlignment="1" applyProtection="1">
      <alignment horizontal="right" vertical="center"/>
    </xf>
    <xf numFmtId="171" fontId="9" fillId="0" borderId="300" xfId="61" applyNumberFormat="1" applyFont="1" applyBorder="1" applyAlignment="1" applyProtection="1">
      <alignment horizontal="right" vertical="center"/>
    </xf>
    <xf numFmtId="170" fontId="6" fillId="0" borderId="305" xfId="1" applyNumberFormat="1" applyFont="1" applyBorder="1" applyAlignment="1" applyProtection="1">
      <alignment vertical="center"/>
    </xf>
    <xf numFmtId="170" fontId="6" fillId="0" borderId="307" xfId="1" applyNumberFormat="1" applyFont="1" applyBorder="1" applyAlignment="1" applyProtection="1">
      <alignment vertical="center"/>
    </xf>
    <xf numFmtId="0" fontId="43" fillId="4" borderId="305" xfId="1" applyFont="1" applyFill="1" applyBorder="1" applyAlignment="1" applyProtection="1">
      <alignment horizontal="right" vertical="top"/>
    </xf>
    <xf numFmtId="0" fontId="43" fillId="4" borderId="309" xfId="1" applyFont="1" applyFill="1" applyBorder="1" applyAlignment="1" applyProtection="1">
      <alignment horizontal="right" vertical="top"/>
    </xf>
    <xf numFmtId="171" fontId="9" fillId="0" borderId="310" xfId="61" applyNumberFormat="1" applyFont="1" applyBorder="1" applyAlignment="1" applyProtection="1">
      <alignment horizontal="right" vertical="center"/>
    </xf>
    <xf numFmtId="0" fontId="4" fillId="0" borderId="311" xfId="1" applyBorder="1" applyProtection="1"/>
    <xf numFmtId="0" fontId="4" fillId="0" borderId="312" xfId="1" applyBorder="1" applyProtection="1"/>
    <xf numFmtId="188" fontId="9" fillId="4" borderId="308" xfId="1" applyNumberFormat="1" applyFont="1" applyFill="1" applyBorder="1" applyAlignment="1" applyProtection="1">
      <alignment horizontal="right" vertical="center"/>
    </xf>
    <xf numFmtId="0" fontId="6" fillId="0" borderId="308" xfId="1" applyFont="1" applyBorder="1" applyAlignment="1" applyProtection="1">
      <alignment vertical="center"/>
    </xf>
    <xf numFmtId="0" fontId="6" fillId="0" borderId="309" xfId="1" applyFont="1" applyBorder="1" applyAlignment="1" applyProtection="1">
      <alignment vertical="center"/>
    </xf>
    <xf numFmtId="0" fontId="6" fillId="4" borderId="314" xfId="1" applyFont="1" applyFill="1" applyBorder="1" applyAlignment="1" applyProtection="1">
      <alignment horizontal="center" vertical="center"/>
    </xf>
    <xf numFmtId="188" fontId="9" fillId="0" borderId="315" xfId="1" applyNumberFormat="1" applyFont="1" applyBorder="1" applyAlignment="1" applyProtection="1">
      <alignment horizontal="right" vertical="center"/>
    </xf>
    <xf numFmtId="0" fontId="6" fillId="0" borderId="313" xfId="1" applyFont="1" applyBorder="1" applyAlignment="1" applyProtection="1">
      <alignment vertical="center"/>
    </xf>
    <xf numFmtId="188" fontId="9" fillId="4" borderId="311" xfId="1" applyNumberFormat="1" applyFont="1" applyFill="1" applyBorder="1" applyAlignment="1" applyProtection="1">
      <alignment horizontal="right" vertical="center"/>
    </xf>
    <xf numFmtId="171" fontId="9" fillId="0" borderId="25" xfId="61" applyNumberFormat="1" applyFont="1" applyBorder="1" applyAlignment="1" applyProtection="1">
      <alignment horizontal="right" vertical="center"/>
    </xf>
    <xf numFmtId="189" fontId="9" fillId="4" borderId="309" xfId="1" applyNumberFormat="1" applyFont="1" applyFill="1" applyBorder="1" applyAlignment="1" applyProtection="1">
      <alignment horizontal="right" vertical="center"/>
    </xf>
    <xf numFmtId="189" fontId="9" fillId="4" borderId="299" xfId="1" applyNumberFormat="1" applyFont="1" applyFill="1" applyBorder="1" applyAlignment="1" applyProtection="1">
      <alignment horizontal="right" vertical="center"/>
    </xf>
    <xf numFmtId="190" fontId="9" fillId="4" borderId="309" xfId="1" applyNumberFormat="1" applyFont="1" applyFill="1" applyBorder="1" applyAlignment="1" applyProtection="1">
      <alignment horizontal="right" vertical="center"/>
    </xf>
    <xf numFmtId="190" fontId="9" fillId="4" borderId="299" xfId="1" applyNumberFormat="1" applyFont="1" applyFill="1" applyBorder="1" applyAlignment="1" applyProtection="1">
      <alignment horizontal="right" vertical="center"/>
    </xf>
    <xf numFmtId="170" fontId="9" fillId="4" borderId="302" xfId="1" applyNumberFormat="1" applyFont="1" applyFill="1" applyBorder="1" applyAlignment="1" applyProtection="1">
      <alignment horizontal="right" vertical="center"/>
    </xf>
    <xf numFmtId="170" fontId="9" fillId="4" borderId="299" xfId="1" applyNumberFormat="1" applyFont="1" applyFill="1" applyBorder="1" applyAlignment="1" applyProtection="1">
      <alignment horizontal="right" vertical="center"/>
    </xf>
    <xf numFmtId="170" fontId="9" fillId="4" borderId="309" xfId="1" applyNumberFormat="1" applyFont="1" applyFill="1" applyBorder="1" applyAlignment="1" applyProtection="1">
      <alignment horizontal="right" vertical="center"/>
    </xf>
    <xf numFmtId="170" fontId="9" fillId="4" borderId="316" xfId="1" applyNumberFormat="1" applyFont="1" applyFill="1" applyBorder="1" applyAlignment="1" applyProtection="1">
      <alignment horizontal="right" vertical="center"/>
    </xf>
    <xf numFmtId="170" fontId="9" fillId="4" borderId="317" xfId="1" applyNumberFormat="1" applyFont="1" applyFill="1" applyBorder="1" applyAlignment="1" applyProtection="1">
      <alignment horizontal="right" vertical="center"/>
    </xf>
    <xf numFmtId="189" fontId="9" fillId="4" borderId="317" xfId="1" applyNumberFormat="1" applyFont="1" applyFill="1" applyBorder="1" applyAlignment="1" applyProtection="1">
      <alignment horizontal="right" vertical="center"/>
    </xf>
    <xf numFmtId="0" fontId="9" fillId="4" borderId="317" xfId="1" applyFont="1" applyFill="1" applyBorder="1" applyAlignment="1" applyProtection="1">
      <alignment vertical="center"/>
    </xf>
    <xf numFmtId="189" fontId="9" fillId="31" borderId="318" xfId="1" applyNumberFormat="1" applyFont="1" applyFill="1" applyBorder="1" applyAlignment="1" applyProtection="1">
      <alignment horizontal="right" vertical="center"/>
      <protection locked="0"/>
    </xf>
    <xf numFmtId="0" fontId="9" fillId="0" borderId="319" xfId="1" applyFont="1" applyBorder="1" applyAlignment="1" applyProtection="1">
      <alignment vertical="center"/>
    </xf>
    <xf numFmtId="189" fontId="9" fillId="4" borderId="311" xfId="1" applyNumberFormat="1" applyFont="1" applyFill="1" applyBorder="1" applyAlignment="1" applyProtection="1">
      <alignment horizontal="right" vertical="center"/>
    </xf>
    <xf numFmtId="0" fontId="9" fillId="4" borderId="311" xfId="1" applyFont="1" applyFill="1" applyBorder="1" applyAlignment="1" applyProtection="1">
      <alignment vertical="center"/>
    </xf>
    <xf numFmtId="0" fontId="9" fillId="4" borderId="299" xfId="1" applyFont="1" applyFill="1" applyBorder="1" applyAlignment="1" applyProtection="1">
      <alignment vertical="center"/>
    </xf>
    <xf numFmtId="0" fontId="6" fillId="0" borderId="299" xfId="1" applyFont="1" applyBorder="1" applyAlignment="1" applyProtection="1">
      <alignment vertical="center"/>
    </xf>
    <xf numFmtId="0" fontId="9" fillId="4" borderId="306" xfId="1" applyFont="1" applyFill="1" applyBorder="1" applyAlignment="1" applyProtection="1">
      <alignment vertical="center"/>
    </xf>
    <xf numFmtId="0" fontId="6" fillId="0" borderId="303" xfId="1" applyFont="1" applyBorder="1" applyAlignment="1" applyProtection="1">
      <alignment vertical="center"/>
    </xf>
    <xf numFmtId="0" fontId="9" fillId="0" borderId="305" xfId="1" applyFont="1" applyBorder="1" applyAlignment="1" applyProtection="1">
      <alignment vertical="center"/>
    </xf>
    <xf numFmtId="0" fontId="6" fillId="0" borderId="320" xfId="1" applyFont="1" applyBorder="1" applyAlignment="1" applyProtection="1">
      <alignment vertical="center"/>
    </xf>
    <xf numFmtId="0" fontId="9" fillId="0" borderId="321" xfId="1" applyFont="1" applyBorder="1" applyAlignment="1" applyProtection="1">
      <alignment vertical="center"/>
    </xf>
    <xf numFmtId="0" fontId="6" fillId="4" borderId="322" xfId="1" applyFont="1" applyFill="1" applyBorder="1" applyAlignment="1" applyProtection="1">
      <alignment vertical="center"/>
    </xf>
    <xf numFmtId="0" fontId="6" fillId="4" borderId="312" xfId="1" applyFont="1" applyFill="1" applyBorder="1" applyAlignment="1" applyProtection="1">
      <alignment vertical="center"/>
    </xf>
    <xf numFmtId="0" fontId="9" fillId="4" borderId="307" xfId="1" applyFont="1" applyFill="1" applyBorder="1" applyAlignment="1" applyProtection="1">
      <alignment vertical="center"/>
    </xf>
    <xf numFmtId="0" fontId="9" fillId="4" borderId="312" xfId="1" applyFont="1" applyFill="1" applyBorder="1" applyAlignment="1" applyProtection="1">
      <alignment vertical="center"/>
    </xf>
    <xf numFmtId="0" fontId="9" fillId="0" borderId="303" xfId="1" applyFont="1" applyBorder="1" applyAlignment="1" applyProtection="1">
      <alignment vertical="center"/>
    </xf>
    <xf numFmtId="0" fontId="9" fillId="31" borderId="311" xfId="1" applyFont="1" applyFill="1" applyBorder="1" applyAlignment="1" applyProtection="1">
      <alignment vertical="center"/>
      <protection locked="0"/>
    </xf>
    <xf numFmtId="0" fontId="15" fillId="0" borderId="323" xfId="1" applyFont="1" applyBorder="1" applyAlignment="1" applyProtection="1">
      <alignment vertical="center"/>
    </xf>
    <xf numFmtId="0" fontId="9" fillId="31" borderId="324" xfId="1" applyFont="1" applyFill="1" applyBorder="1" applyAlignment="1" applyProtection="1">
      <alignment vertical="center"/>
      <protection locked="0"/>
    </xf>
    <xf numFmtId="171" fontId="9" fillId="0" borderId="300" xfId="1" applyNumberFormat="1" applyFont="1" applyBorder="1" applyAlignment="1" applyProtection="1">
      <alignment horizontal="right" vertical="center"/>
    </xf>
    <xf numFmtId="177" fontId="5" fillId="4" borderId="325" xfId="1" applyNumberFormat="1" applyFont="1" applyFill="1" applyBorder="1" applyAlignment="1" applyProtection="1">
      <alignment horizontal="center" vertical="center"/>
    </xf>
    <xf numFmtId="170" fontId="6" fillId="0" borderId="322" xfId="1" applyNumberFormat="1" applyFont="1" applyBorder="1" applyAlignment="1" applyProtection="1">
      <alignment vertical="center"/>
    </xf>
    <xf numFmtId="0" fontId="6" fillId="0" borderId="300" xfId="1" applyFont="1" applyBorder="1" applyAlignment="1" applyProtection="1">
      <alignment vertical="center"/>
    </xf>
    <xf numFmtId="0" fontId="6" fillId="0" borderId="322" xfId="1" applyFont="1" applyBorder="1" applyAlignment="1" applyProtection="1">
      <alignment vertical="center"/>
    </xf>
    <xf numFmtId="171" fontId="9" fillId="4" borderId="326" xfId="61" applyNumberFormat="1" applyFont="1" applyFill="1" applyBorder="1" applyAlignment="1" applyProtection="1">
      <alignment vertical="center"/>
    </xf>
    <xf numFmtId="171" fontId="9" fillId="4" borderId="301" xfId="61" applyNumberFormat="1" applyFont="1" applyFill="1" applyBorder="1" applyAlignment="1" applyProtection="1">
      <alignment horizontal="right" vertical="center"/>
    </xf>
    <xf numFmtId="171" fontId="9" fillId="4" borderId="327" xfId="61" applyNumberFormat="1" applyFont="1" applyFill="1" applyBorder="1" applyAlignment="1" applyProtection="1">
      <alignment horizontal="right" vertical="center"/>
    </xf>
    <xf numFmtId="0" fontId="20" fillId="0" borderId="322" xfId="1" applyFont="1" applyBorder="1" applyAlignment="1" applyProtection="1">
      <alignment vertical="center"/>
    </xf>
    <xf numFmtId="0" fontId="4" fillId="0" borderId="304" xfId="1" applyBorder="1" applyAlignment="1" applyProtection="1">
      <alignment vertical="center"/>
    </xf>
    <xf numFmtId="0" fontId="191" fillId="0" borderId="0" xfId="1" applyFont="1" applyFill="1" applyBorder="1" applyAlignment="1" applyProtection="1">
      <alignment horizontal="center"/>
    </xf>
    <xf numFmtId="0" fontId="192" fillId="0" borderId="0" xfId="0" applyFont="1"/>
    <xf numFmtId="0" fontId="4" fillId="0" borderId="0" xfId="1" applyFont="1" applyBorder="1" applyAlignment="1">
      <alignment vertical="center" wrapText="1"/>
    </xf>
    <xf numFmtId="2" fontId="72" fillId="37" borderId="95" xfId="1" applyNumberFormat="1" applyFont="1" applyFill="1" applyBorder="1" applyAlignment="1" applyProtection="1">
      <alignment vertical="center"/>
    </xf>
    <xf numFmtId="177" fontId="4" fillId="0" borderId="2" xfId="1" applyNumberFormat="1" applyFont="1" applyBorder="1" applyAlignment="1" applyProtection="1">
      <alignment horizontal="centerContinuous" vertical="center"/>
    </xf>
    <xf numFmtId="177" fontId="4" fillId="0" borderId="44" xfId="1" applyNumberFormat="1" applyFont="1" applyFill="1" applyBorder="1" applyAlignment="1" applyProtection="1">
      <alignment horizontal="centerContinuous" vertical="center"/>
    </xf>
    <xf numFmtId="176" fontId="6" fillId="0" borderId="296" xfId="1" applyNumberFormat="1" applyFont="1" applyFill="1" applyBorder="1" applyAlignment="1" applyProtection="1">
      <alignment vertical="center"/>
    </xf>
    <xf numFmtId="177" fontId="20" fillId="0" borderId="44" xfId="1" applyNumberFormat="1" applyFont="1" applyFill="1" applyBorder="1" applyAlignment="1" applyProtection="1">
      <alignment horizontal="center" vertical="center"/>
    </xf>
    <xf numFmtId="176" fontId="6" fillId="0" borderId="296" xfId="1" applyNumberFormat="1" applyFont="1" applyFill="1" applyBorder="1" applyAlignment="1" applyProtection="1">
      <alignment horizontal="right" vertical="center"/>
    </xf>
    <xf numFmtId="176" fontId="6" fillId="0" borderId="296" xfId="1" applyNumberFormat="1" applyFont="1" applyFill="1" applyBorder="1" applyAlignment="1" applyProtection="1">
      <alignment horizontal="left" vertical="center"/>
    </xf>
    <xf numFmtId="176" fontId="6" fillId="0" borderId="114" xfId="1" applyNumberFormat="1" applyFont="1" applyFill="1" applyBorder="1" applyAlignment="1" applyProtection="1">
      <alignment horizontal="right" vertical="center"/>
    </xf>
    <xf numFmtId="2" fontId="72" fillId="0" borderId="95" xfId="1" applyNumberFormat="1" applyFont="1" applyFill="1" applyBorder="1" applyAlignment="1" applyProtection="1">
      <alignment vertical="center"/>
    </xf>
    <xf numFmtId="0" fontId="20" fillId="50" borderId="60" xfId="1" applyFont="1" applyFill="1" applyBorder="1" applyAlignment="1">
      <alignment horizontal="left" vertical="top"/>
    </xf>
    <xf numFmtId="0" fontId="20" fillId="50" borderId="41" xfId="1" applyFont="1" applyFill="1" applyBorder="1" applyAlignment="1">
      <alignment horizontal="left" vertical="top"/>
    </xf>
    <xf numFmtId="0" fontId="54" fillId="50" borderId="32" xfId="1" applyFont="1" applyFill="1" applyBorder="1" applyAlignment="1">
      <alignment horizontal="center"/>
    </xf>
    <xf numFmtId="0" fontId="54" fillId="50" borderId="0" xfId="1" applyFont="1" applyFill="1" applyBorder="1" applyAlignment="1">
      <alignment horizontal="center"/>
    </xf>
    <xf numFmtId="0" fontId="54" fillId="50" borderId="288" xfId="1" applyFont="1" applyFill="1" applyBorder="1" applyAlignment="1">
      <alignment horizontal="center"/>
    </xf>
    <xf numFmtId="0" fontId="44" fillId="50" borderId="32" xfId="1" applyFont="1" applyFill="1" applyBorder="1" applyAlignment="1">
      <alignment horizontal="center"/>
    </xf>
    <xf numFmtId="0" fontId="44" fillId="50" borderId="0" xfId="1" applyFont="1" applyFill="1" applyBorder="1" applyAlignment="1">
      <alignment horizontal="center"/>
    </xf>
    <xf numFmtId="0" fontId="44" fillId="50" borderId="288" xfId="1" applyFont="1" applyFill="1" applyBorder="1" applyAlignment="1">
      <alignment horizontal="center"/>
    </xf>
    <xf numFmtId="0" fontId="18" fillId="50" borderId="32" xfId="1" applyFont="1" applyFill="1" applyBorder="1" applyAlignment="1">
      <alignment horizontal="center"/>
    </xf>
    <xf numFmtId="0" fontId="18" fillId="50" borderId="0" xfId="1" applyFont="1" applyFill="1" applyBorder="1" applyAlignment="1">
      <alignment horizontal="center"/>
    </xf>
    <xf numFmtId="0" fontId="18" fillId="50" borderId="288" xfId="1" applyFont="1" applyFill="1" applyBorder="1" applyAlignment="1">
      <alignment horizontal="center"/>
    </xf>
    <xf numFmtId="0" fontId="133" fillId="50" borderId="32" xfId="1" applyFont="1" applyFill="1" applyBorder="1" applyAlignment="1">
      <alignment horizontal="center"/>
    </xf>
    <xf numFmtId="0" fontId="133" fillId="50" borderId="0" xfId="1" applyFont="1" applyFill="1" applyBorder="1" applyAlignment="1">
      <alignment horizontal="center"/>
    </xf>
    <xf numFmtId="0" fontId="133" fillId="50" borderId="288" xfId="1" applyFont="1" applyFill="1" applyBorder="1" applyAlignment="1">
      <alignment horizontal="center"/>
    </xf>
    <xf numFmtId="49" fontId="4" fillId="0" borderId="0" xfId="1" applyNumberFormat="1" applyFont="1" applyAlignment="1">
      <alignment horizontal="left"/>
    </xf>
    <xf numFmtId="49" fontId="9" fillId="0" borderId="0" xfId="1" applyNumberFormat="1" applyFont="1" applyAlignment="1">
      <alignment horizontal="left"/>
    </xf>
    <xf numFmtId="0" fontId="6" fillId="0" borderId="0" xfId="1" applyFont="1" applyBorder="1" applyAlignment="1" applyProtection="1">
      <alignment horizontal="left" vertical="top" wrapText="1"/>
    </xf>
    <xf numFmtId="0" fontId="4" fillId="0" borderId="0" xfId="1" applyAlignment="1">
      <alignment horizontal="left" vertical="top" wrapText="1"/>
    </xf>
    <xf numFmtId="0" fontId="9" fillId="0" borderId="0" xfId="1" applyFont="1" applyAlignment="1">
      <alignment horizontal="left" vertical="top" wrapText="1"/>
    </xf>
    <xf numFmtId="0" fontId="4" fillId="0" borderId="0" xfId="1" applyFont="1" applyBorder="1" applyAlignment="1" applyProtection="1">
      <alignment horizontal="left" vertical="top" wrapText="1"/>
    </xf>
    <xf numFmtId="0" fontId="9" fillId="0" borderId="0" xfId="1" applyFont="1" applyBorder="1" applyAlignment="1" applyProtection="1">
      <alignment horizontal="left" vertical="top"/>
    </xf>
    <xf numFmtId="0" fontId="9" fillId="0" borderId="0" xfId="1" applyFont="1" applyBorder="1" applyAlignment="1" applyProtection="1">
      <alignment horizontal="left" vertical="top" wrapText="1"/>
    </xf>
    <xf numFmtId="0" fontId="4" fillId="0" borderId="0" xfId="1" applyFont="1" applyAlignment="1">
      <alignment horizontal="left" vertical="top" wrapText="1"/>
    </xf>
    <xf numFmtId="0" fontId="43" fillId="37" borderId="0" xfId="1" applyFont="1" applyFill="1" applyAlignment="1" applyProtection="1">
      <alignment horizontal="center" vertical="center"/>
      <protection locked="0"/>
    </xf>
    <xf numFmtId="0" fontId="16" fillId="0" borderId="0" xfId="1" applyFont="1" applyAlignment="1">
      <alignment horizontal="center" vertical="top"/>
    </xf>
    <xf numFmtId="0" fontId="14" fillId="0" borderId="0" xfId="1" applyFont="1" applyAlignment="1">
      <alignment horizontal="center" vertical="top" wrapText="1"/>
    </xf>
    <xf numFmtId="0" fontId="13" fillId="37" borderId="0" xfId="1" applyFont="1" applyFill="1" applyAlignment="1" applyProtection="1">
      <alignment horizontal="left" vertical="center"/>
      <protection locked="0"/>
    </xf>
    <xf numFmtId="0" fontId="67" fillId="0" borderId="0" xfId="1" applyFont="1" applyAlignment="1" applyProtection="1">
      <alignment horizontal="left"/>
    </xf>
    <xf numFmtId="0" fontId="13" fillId="37" borderId="0" xfId="1" applyFont="1" applyFill="1" applyAlignment="1" applyProtection="1">
      <alignment horizontal="left" vertical="center"/>
    </xf>
    <xf numFmtId="0" fontId="108" fillId="0" borderId="0" xfId="1" applyFont="1" applyAlignment="1">
      <alignment horizontal="left" wrapText="1"/>
    </xf>
    <xf numFmtId="0" fontId="141" fillId="0" borderId="0" xfId="1" applyFont="1" applyAlignment="1" applyProtection="1">
      <alignment horizontal="left"/>
    </xf>
    <xf numFmtId="0" fontId="20" fillId="0" borderId="24" xfId="1" applyFont="1" applyBorder="1" applyAlignment="1" applyProtection="1">
      <alignment horizontal="left" vertical="top" wrapText="1"/>
    </xf>
    <xf numFmtId="0" fontId="20" fillId="0" borderId="0" xfId="1" applyFont="1" applyBorder="1" applyAlignment="1" applyProtection="1">
      <alignment horizontal="left" vertical="top" wrapText="1"/>
    </xf>
    <xf numFmtId="0" fontId="13" fillId="0" borderId="0" xfId="1" applyFont="1" applyFill="1" applyBorder="1" applyAlignment="1" applyProtection="1">
      <alignment horizontal="center" vertical="center" wrapText="1"/>
    </xf>
    <xf numFmtId="0" fontId="15" fillId="0" borderId="23" xfId="1" applyFont="1" applyBorder="1" applyAlignment="1">
      <alignment horizontal="center"/>
    </xf>
    <xf numFmtId="0" fontId="4" fillId="0" borderId="23" xfId="1" applyBorder="1" applyAlignment="1">
      <alignment horizontal="center"/>
    </xf>
    <xf numFmtId="0" fontId="15" fillId="0" borderId="0" xfId="1" applyFont="1" applyAlignment="1"/>
    <xf numFmtId="0" fontId="4" fillId="0" borderId="0" xfId="1" applyAlignment="1"/>
    <xf numFmtId="0" fontId="15" fillId="0" borderId="0" xfId="1" applyFont="1" applyAlignment="1">
      <alignment horizontal="center"/>
    </xf>
    <xf numFmtId="0" fontId="4" fillId="0" borderId="0" xfId="1" applyAlignment="1">
      <alignment horizontal="center"/>
    </xf>
    <xf numFmtId="0" fontId="5" fillId="0" borderId="0" xfId="1" applyFont="1" applyAlignment="1">
      <alignment horizontal="center" vertical="top" wrapText="1"/>
    </xf>
    <xf numFmtId="0" fontId="5" fillId="0" borderId="0" xfId="1" applyFont="1" applyAlignment="1">
      <alignment horizontal="center" vertical="center" wrapText="1"/>
    </xf>
    <xf numFmtId="0" fontId="5" fillId="0" borderId="136" xfId="1" applyFont="1" applyFill="1" applyBorder="1" applyAlignment="1" applyProtection="1">
      <alignment horizontal="center" vertical="top" wrapText="1"/>
    </xf>
    <xf numFmtId="0" fontId="157" fillId="0" borderId="0" xfId="1" applyFont="1" applyFill="1" applyBorder="1" applyAlignment="1" applyProtection="1">
      <alignment horizontal="left"/>
    </xf>
    <xf numFmtId="229" fontId="65" fillId="0" borderId="0" xfId="1" applyNumberFormat="1" applyFont="1" applyBorder="1" applyAlignment="1" applyProtection="1">
      <alignment horizontal="right"/>
    </xf>
    <xf numFmtId="229" fontId="65" fillId="0" borderId="127" xfId="1" applyNumberFormat="1" applyFont="1" applyBorder="1" applyAlignment="1" applyProtection="1">
      <alignment horizontal="right"/>
    </xf>
    <xf numFmtId="0" fontId="9" fillId="0" borderId="0" xfId="1" applyFont="1" applyFill="1" applyBorder="1" applyAlignment="1" applyProtection="1">
      <alignment horizontal="center" vertical="top" wrapText="1"/>
    </xf>
    <xf numFmtId="0" fontId="16" fillId="0" borderId="0" xfId="1" applyFont="1" applyBorder="1" applyAlignment="1" applyProtection="1">
      <alignment horizontal="center"/>
    </xf>
    <xf numFmtId="229" fontId="65" fillId="31" borderId="127" xfId="1" applyNumberFormat="1" applyFont="1" applyFill="1" applyBorder="1" applyAlignment="1" applyProtection="1">
      <alignment horizontal="right"/>
      <protection locked="0"/>
    </xf>
    <xf numFmtId="0" fontId="16" fillId="44" borderId="150" xfId="1" applyFont="1" applyFill="1" applyBorder="1" applyAlignment="1" applyProtection="1">
      <alignment horizontal="right" vertical="center"/>
    </xf>
    <xf numFmtId="0" fontId="16" fillId="44" borderId="136" xfId="1" applyFont="1" applyFill="1" applyBorder="1" applyAlignment="1" applyProtection="1">
      <alignment horizontal="right" vertical="center"/>
    </xf>
    <xf numFmtId="0" fontId="16" fillId="44" borderId="134" xfId="1" applyFont="1" applyFill="1" applyBorder="1" applyAlignment="1" applyProtection="1">
      <alignment horizontal="right" vertical="center"/>
    </xf>
    <xf numFmtId="0" fontId="16" fillId="44" borderId="60" xfId="1" applyFont="1" applyFill="1" applyBorder="1" applyAlignment="1" applyProtection="1">
      <alignment horizontal="right" vertical="center"/>
    </xf>
    <xf numFmtId="0" fontId="16" fillId="44" borderId="41" xfId="1" applyFont="1" applyFill="1" applyBorder="1" applyAlignment="1" applyProtection="1">
      <alignment horizontal="right" vertical="center"/>
    </xf>
    <xf numFmtId="0" fontId="16" fillId="44" borderId="47" xfId="1" applyFont="1" applyFill="1" applyBorder="1" applyAlignment="1" applyProtection="1">
      <alignment horizontal="right" vertical="center"/>
    </xf>
    <xf numFmtId="234" fontId="157" fillId="0" borderId="127" xfId="1" applyNumberFormat="1" applyFont="1" applyBorder="1" applyAlignment="1" applyProtection="1">
      <alignment horizontal="center"/>
    </xf>
    <xf numFmtId="0" fontId="157" fillId="31" borderId="127" xfId="1" applyFont="1" applyFill="1" applyBorder="1" applyAlignment="1" applyProtection="1">
      <alignment horizontal="left"/>
      <protection locked="0"/>
    </xf>
    <xf numFmtId="223" fontId="14" fillId="0" borderId="0" xfId="1" applyNumberFormat="1" applyFont="1" applyBorder="1" applyAlignment="1" applyProtection="1">
      <alignment horizontal="center"/>
    </xf>
    <xf numFmtId="225" fontId="14" fillId="0" borderId="0" xfId="1" applyNumberFormat="1" applyFont="1" applyFill="1" applyBorder="1" applyAlignment="1" applyProtection="1">
      <alignment horizontal="center"/>
    </xf>
    <xf numFmtId="232" fontId="157" fillId="31" borderId="261" xfId="1" applyNumberFormat="1" applyFont="1" applyFill="1" applyBorder="1" applyAlignment="1" applyProtection="1">
      <alignment horizontal="center"/>
      <protection locked="0"/>
    </xf>
    <xf numFmtId="232" fontId="157" fillId="31" borderId="260" xfId="1" applyNumberFormat="1" applyFont="1" applyFill="1" applyBorder="1" applyAlignment="1" applyProtection="1">
      <alignment horizontal="center"/>
      <protection locked="0"/>
    </xf>
    <xf numFmtId="0" fontId="5" fillId="0" borderId="0" xfId="1" applyFont="1" applyFill="1" applyBorder="1" applyAlignment="1" applyProtection="1">
      <alignment horizontal="center" vertical="top" wrapText="1"/>
    </xf>
    <xf numFmtId="0" fontId="14" fillId="31" borderId="186" xfId="1" applyFont="1" applyFill="1" applyBorder="1" applyAlignment="1" applyProtection="1">
      <alignment horizontal="left" vertical="center"/>
      <protection locked="0"/>
    </xf>
    <xf numFmtId="0" fontId="14" fillId="31" borderId="103" xfId="1" applyFont="1" applyFill="1" applyBorder="1" applyAlignment="1" applyProtection="1">
      <alignment horizontal="left" vertical="center"/>
      <protection locked="0"/>
    </xf>
    <xf numFmtId="0" fontId="14" fillId="0" borderId="79" xfId="1" applyFont="1" applyFill="1" applyBorder="1" applyAlignment="1" applyProtection="1">
      <alignment horizontal="center" vertical="center"/>
    </xf>
    <xf numFmtId="0" fontId="14" fillId="0" borderId="78" xfId="1" applyFont="1" applyFill="1" applyBorder="1" applyAlignment="1" applyProtection="1">
      <alignment horizontal="center" vertical="center"/>
    </xf>
    <xf numFmtId="0" fontId="14" fillId="0" borderId="79" xfId="1" applyFont="1" applyFill="1" applyBorder="1" applyAlignment="1" applyProtection="1">
      <alignment horizontal="center"/>
    </xf>
    <xf numFmtId="0" fontId="14" fillId="0" borderId="24" xfId="1" applyFont="1" applyFill="1" applyBorder="1" applyAlignment="1" applyProtection="1">
      <alignment horizontal="center"/>
    </xf>
    <xf numFmtId="0" fontId="14" fillId="0" borderId="78" xfId="1" applyFont="1" applyFill="1" applyBorder="1" applyAlignment="1" applyProtection="1">
      <alignment horizontal="center"/>
    </xf>
    <xf numFmtId="0" fontId="14" fillId="0" borderId="60" xfId="1" applyFont="1" applyFill="1" applyBorder="1" applyAlignment="1" applyProtection="1">
      <alignment horizontal="center"/>
    </xf>
    <xf numFmtId="0" fontId="14" fillId="0" borderId="41" xfId="1" applyFont="1" applyFill="1" applyBorder="1" applyAlignment="1" applyProtection="1">
      <alignment horizontal="center"/>
    </xf>
    <xf numFmtId="0" fontId="14" fillId="0" borderId="59" xfId="1" applyFont="1" applyFill="1" applyBorder="1" applyAlignment="1" applyProtection="1">
      <alignment horizontal="center"/>
    </xf>
    <xf numFmtId="165" fontId="14" fillId="31" borderId="284" xfId="1" applyNumberFormat="1" applyFont="1" applyFill="1" applyBorder="1" applyAlignment="1" applyProtection="1">
      <alignment horizontal="center" vertical="center" shrinkToFit="1"/>
      <protection locked="0"/>
    </xf>
    <xf numFmtId="165" fontId="14" fillId="31" borderId="31" xfId="1" applyNumberFormat="1" applyFont="1" applyFill="1" applyBorder="1" applyAlignment="1" applyProtection="1">
      <alignment horizontal="center" vertical="center" shrinkToFit="1"/>
      <protection locked="0"/>
    </xf>
    <xf numFmtId="0" fontId="14" fillId="31" borderId="286" xfId="1" applyFont="1" applyFill="1" applyBorder="1" applyAlignment="1" applyProtection="1">
      <alignment horizontal="left" vertical="center"/>
      <protection locked="0"/>
    </xf>
    <xf numFmtId="0" fontId="14" fillId="31" borderId="283" xfId="1" applyFont="1" applyFill="1" applyBorder="1" applyAlignment="1" applyProtection="1">
      <alignment horizontal="left" vertical="center"/>
      <protection locked="0"/>
    </xf>
    <xf numFmtId="0" fontId="14" fillId="31" borderId="285" xfId="1" applyFont="1" applyFill="1" applyBorder="1" applyAlignment="1" applyProtection="1">
      <alignment horizontal="left" vertical="center"/>
      <protection locked="0"/>
    </xf>
    <xf numFmtId="0" fontId="14" fillId="31" borderId="31" xfId="1" applyFont="1" applyFill="1" applyBorder="1" applyAlignment="1" applyProtection="1">
      <alignment horizontal="left" vertical="center"/>
      <protection locked="0"/>
    </xf>
    <xf numFmtId="0" fontId="16" fillId="31" borderId="60" xfId="1" applyFont="1" applyFill="1" applyBorder="1" applyAlignment="1" applyProtection="1">
      <alignment horizontal="center" vertical="center"/>
      <protection locked="0"/>
    </xf>
    <xf numFmtId="0" fontId="16" fillId="31" borderId="41" xfId="1" applyFont="1" applyFill="1" applyBorder="1" applyAlignment="1" applyProtection="1">
      <alignment horizontal="center" vertical="center"/>
      <protection locked="0"/>
    </xf>
    <xf numFmtId="0" fontId="16" fillId="31" borderId="59" xfId="1" applyFont="1" applyFill="1" applyBorder="1" applyAlignment="1" applyProtection="1">
      <alignment horizontal="center" vertical="center"/>
      <protection locked="0"/>
    </xf>
    <xf numFmtId="0" fontId="43" fillId="31" borderId="79" xfId="1" applyFont="1" applyFill="1" applyBorder="1" applyAlignment="1" applyProtection="1">
      <alignment horizontal="center" vertical="center"/>
      <protection locked="0"/>
    </xf>
    <xf numFmtId="0" fontId="43" fillId="31" borderId="24" xfId="1" applyFont="1" applyFill="1" applyBorder="1" applyAlignment="1" applyProtection="1">
      <alignment horizontal="center" vertical="center"/>
      <protection locked="0"/>
    </xf>
    <xf numFmtId="0" fontId="43" fillId="31" borderId="78" xfId="1" applyFont="1" applyFill="1" applyBorder="1" applyAlignment="1" applyProtection="1">
      <alignment horizontal="center" vertical="center"/>
      <protection locked="0"/>
    </xf>
    <xf numFmtId="9" fontId="14" fillId="31" borderId="281" xfId="1" applyNumberFormat="1" applyFont="1" applyFill="1" applyBorder="1" applyAlignment="1" applyProtection="1">
      <alignment horizontal="left" vertical="center"/>
      <protection locked="0"/>
    </xf>
    <xf numFmtId="9" fontId="14" fillId="31" borderId="103" xfId="1" applyNumberFormat="1" applyFont="1" applyFill="1" applyBorder="1" applyAlignment="1" applyProtection="1">
      <alignment horizontal="left" vertical="center"/>
      <protection locked="0"/>
    </xf>
    <xf numFmtId="9" fontId="14" fillId="31" borderId="280" xfId="1" applyNumberFormat="1" applyFont="1" applyFill="1" applyBorder="1" applyAlignment="1" applyProtection="1">
      <alignment horizontal="left" vertical="center"/>
      <protection locked="0"/>
    </xf>
    <xf numFmtId="235" fontId="14" fillId="0" borderId="283" xfId="1" applyNumberFormat="1" applyFont="1" applyFill="1" applyBorder="1" applyAlignment="1" applyProtection="1">
      <alignment horizontal="center" vertical="center"/>
    </xf>
    <xf numFmtId="235" fontId="14" fillId="0" borderId="282" xfId="1" applyNumberFormat="1" applyFont="1" applyFill="1" applyBorder="1" applyAlignment="1" applyProtection="1">
      <alignment horizontal="center" vertical="center"/>
    </xf>
    <xf numFmtId="240" fontId="16" fillId="31" borderId="281" xfId="1" applyNumberFormat="1" applyFont="1" applyFill="1" applyBorder="1" applyAlignment="1" applyProtection="1">
      <alignment horizontal="center" vertical="center"/>
      <protection locked="0"/>
    </xf>
    <xf numFmtId="240" fontId="16" fillId="31" borderId="103" xfId="1" applyNumberFormat="1" applyFont="1" applyFill="1" applyBorder="1" applyAlignment="1" applyProtection="1">
      <alignment horizontal="center" vertical="center"/>
      <protection locked="0"/>
    </xf>
    <xf numFmtId="240" fontId="16" fillId="31" borderId="280" xfId="1" applyNumberFormat="1" applyFont="1" applyFill="1" applyBorder="1" applyAlignment="1" applyProtection="1">
      <alignment horizontal="center" vertical="center"/>
      <protection locked="0"/>
    </xf>
    <xf numFmtId="0" fontId="16" fillId="44" borderId="159" xfId="1" applyFont="1" applyFill="1" applyBorder="1" applyAlignment="1" applyProtection="1">
      <alignment horizontal="right" vertical="center"/>
    </xf>
    <xf numFmtId="0" fontId="16" fillId="44" borderId="2" xfId="1" applyFont="1" applyFill="1" applyBorder="1" applyAlignment="1" applyProtection="1">
      <alignment horizontal="right" vertical="center"/>
    </xf>
    <xf numFmtId="0" fontId="16" fillId="44" borderId="44" xfId="1" applyFont="1" applyFill="1" applyBorder="1" applyAlignment="1" applyProtection="1">
      <alignment horizontal="right" vertical="center"/>
    </xf>
    <xf numFmtId="0" fontId="157" fillId="0" borderId="127" xfId="1" applyFont="1" applyFill="1" applyBorder="1" applyAlignment="1" applyProtection="1">
      <alignment horizontal="left"/>
    </xf>
    <xf numFmtId="0" fontId="9" fillId="30" borderId="275" xfId="1" applyFont="1" applyFill="1" applyBorder="1" applyAlignment="1" applyProtection="1">
      <alignment horizontal="center" vertical="top" wrapText="1"/>
    </xf>
    <xf numFmtId="0" fontId="9" fillId="30" borderId="273" xfId="1" applyFont="1" applyFill="1" applyBorder="1" applyAlignment="1" applyProtection="1">
      <alignment horizontal="center" vertical="top" wrapText="1"/>
    </xf>
    <xf numFmtId="0" fontId="9" fillId="30" borderId="257" xfId="1" applyFont="1" applyFill="1" applyBorder="1" applyAlignment="1" applyProtection="1">
      <alignment horizontal="center" vertical="top" wrapText="1"/>
    </xf>
    <xf numFmtId="0" fontId="9" fillId="30" borderId="274" xfId="1" applyFont="1" applyFill="1" applyBorder="1" applyAlignment="1" applyProtection="1">
      <alignment horizontal="center" vertical="top" wrapText="1"/>
    </xf>
    <xf numFmtId="0" fontId="14" fillId="0" borderId="149" xfId="1" applyFont="1" applyFill="1" applyBorder="1" applyAlignment="1" applyProtection="1">
      <alignment horizontal="center" vertical="center"/>
    </xf>
    <xf numFmtId="0" fontId="14" fillId="0" borderId="124" xfId="1" applyFont="1" applyFill="1" applyBorder="1" applyAlignment="1" applyProtection="1">
      <alignment horizontal="center" vertical="center"/>
    </xf>
    <xf numFmtId="9" fontId="14" fillId="31" borderId="60" xfId="1" applyNumberFormat="1" applyFont="1" applyFill="1" applyBorder="1" applyAlignment="1" applyProtection="1">
      <alignment horizontal="center" vertical="center"/>
      <protection locked="0"/>
    </xf>
    <xf numFmtId="9" fontId="14" fillId="31" borderId="59" xfId="1" applyNumberFormat="1" applyFont="1" applyFill="1" applyBorder="1" applyAlignment="1" applyProtection="1">
      <alignment horizontal="center" vertical="center"/>
      <protection locked="0"/>
    </xf>
    <xf numFmtId="172" fontId="14" fillId="44" borderId="210" xfId="1" applyNumberFormat="1" applyFont="1" applyFill="1" applyBorder="1" applyAlignment="1" applyProtection="1">
      <alignment horizontal="center" vertical="center"/>
    </xf>
    <xf numFmtId="172" fontId="14" fillId="44" borderId="277" xfId="1" applyNumberFormat="1" applyFont="1" applyFill="1" applyBorder="1" applyAlignment="1" applyProtection="1">
      <alignment horizontal="center" vertical="center"/>
    </xf>
    <xf numFmtId="0" fontId="14" fillId="44" borderId="40" xfId="1" applyFont="1" applyFill="1" applyBorder="1" applyAlignment="1" applyProtection="1">
      <alignment horizontal="center"/>
    </xf>
    <xf numFmtId="0" fontId="14" fillId="44" borderId="64" xfId="1" applyFont="1" applyFill="1" applyBorder="1" applyAlignment="1" applyProtection="1">
      <alignment horizontal="center"/>
    </xf>
    <xf numFmtId="9" fontId="14" fillId="30" borderId="32" xfId="1" applyNumberFormat="1" applyFont="1" applyFill="1" applyBorder="1" applyAlignment="1" applyProtection="1">
      <alignment horizontal="center"/>
    </xf>
    <xf numFmtId="9" fontId="14" fillId="30" borderId="0" xfId="1" applyNumberFormat="1" applyFont="1" applyFill="1" applyBorder="1" applyAlignment="1" applyProtection="1">
      <alignment horizontal="center"/>
    </xf>
    <xf numFmtId="0" fontId="14" fillId="30" borderId="79" xfId="1" applyFont="1" applyFill="1" applyBorder="1" applyAlignment="1" applyProtection="1">
      <alignment horizontal="center"/>
    </xf>
    <xf numFmtId="0" fontId="14" fillId="30" borderId="24" xfId="1" applyFont="1" applyFill="1" applyBorder="1" applyAlignment="1" applyProtection="1">
      <alignment horizontal="center"/>
    </xf>
    <xf numFmtId="239" fontId="14" fillId="0" borderId="278" xfId="1" applyNumberFormat="1" applyFont="1" applyFill="1" applyBorder="1" applyAlignment="1" applyProtection="1">
      <alignment horizontal="left" vertical="center"/>
    </xf>
    <xf numFmtId="239" fontId="14" fillId="0" borderId="95" xfId="1" applyNumberFormat="1" applyFont="1" applyFill="1" applyBorder="1" applyAlignment="1" applyProtection="1">
      <alignment horizontal="left" vertical="center"/>
    </xf>
    <xf numFmtId="239" fontId="14" fillId="0" borderId="107" xfId="1" applyNumberFormat="1" applyFont="1" applyFill="1" applyBorder="1" applyAlignment="1" applyProtection="1">
      <alignment horizontal="left" vertical="center"/>
    </xf>
    <xf numFmtId="0" fontId="4" fillId="0" borderId="0" xfId="1" applyFont="1" applyBorder="1" applyAlignment="1">
      <alignment horizontal="left" vertical="center" wrapText="1"/>
    </xf>
    <xf numFmtId="0" fontId="16" fillId="33" borderId="0" xfId="1" applyFont="1" applyFill="1" applyBorder="1" applyAlignment="1">
      <alignment horizontal="left" vertical="center" wrapText="1"/>
    </xf>
    <xf numFmtId="0" fontId="16" fillId="33" borderId="2" xfId="1" applyFont="1" applyFill="1" applyBorder="1" applyAlignment="1">
      <alignment horizontal="left" vertical="center" wrapText="1"/>
    </xf>
    <xf numFmtId="0" fontId="6" fillId="33" borderId="0" xfId="1" applyFont="1" applyFill="1" applyBorder="1" applyAlignment="1">
      <alignment horizontal="center" vertical="center"/>
    </xf>
    <xf numFmtId="0" fontId="6" fillId="33" borderId="19" xfId="1" applyFont="1" applyFill="1" applyBorder="1" applyAlignment="1">
      <alignment horizontal="center" vertical="center"/>
    </xf>
    <xf numFmtId="0" fontId="6" fillId="33" borderId="2" xfId="1" applyFont="1" applyFill="1" applyBorder="1" applyAlignment="1">
      <alignment horizontal="center" vertical="center"/>
    </xf>
    <xf numFmtId="0" fontId="6" fillId="33" borderId="44" xfId="1" applyFont="1" applyFill="1" applyBorder="1" applyAlignment="1">
      <alignment horizontal="center" vertical="center"/>
    </xf>
    <xf numFmtId="0" fontId="13" fillId="27" borderId="60" xfId="1" applyFont="1" applyFill="1" applyBorder="1" applyAlignment="1" applyProtection="1">
      <alignment horizontal="left" vertical="top" wrapText="1"/>
    </xf>
    <xf numFmtId="0" fontId="13" fillId="27" borderId="41" xfId="1" applyFont="1" applyFill="1" applyBorder="1" applyAlignment="1" applyProtection="1">
      <alignment horizontal="left" vertical="top" wrapText="1"/>
    </xf>
    <xf numFmtId="0" fontId="13" fillId="27" borderId="59" xfId="1" applyFont="1" applyFill="1" applyBorder="1" applyAlignment="1" applyProtection="1">
      <alignment horizontal="left" vertical="top" wrapText="1"/>
    </xf>
    <xf numFmtId="0" fontId="9" fillId="31" borderId="40" xfId="1" applyFont="1" applyFill="1" applyBorder="1" applyAlignment="1" applyProtection="1">
      <alignment horizontal="left" vertical="center"/>
      <protection locked="0"/>
    </xf>
    <xf numFmtId="0" fontId="9" fillId="31" borderId="0" xfId="1" applyFont="1" applyFill="1" applyBorder="1" applyAlignment="1" applyProtection="1">
      <alignment horizontal="left" vertical="center"/>
      <protection locked="0"/>
    </xf>
    <xf numFmtId="0" fontId="9" fillId="31" borderId="19" xfId="1" applyFont="1" applyFill="1" applyBorder="1" applyAlignment="1" applyProtection="1">
      <alignment horizontal="left" vertical="center"/>
      <protection locked="0"/>
    </xf>
    <xf numFmtId="0" fontId="4" fillId="0" borderId="0" xfId="1" applyFont="1" applyFill="1" applyBorder="1" applyAlignment="1" applyProtection="1">
      <alignment vertical="center" wrapText="1"/>
    </xf>
    <xf numFmtId="0" fontId="4" fillId="0" borderId="0" xfId="1" applyFill="1" applyBorder="1" applyAlignment="1" applyProtection="1">
      <alignment vertical="center" wrapText="1"/>
    </xf>
    <xf numFmtId="0" fontId="18" fillId="4" borderId="0" xfId="1" applyFont="1" applyFill="1" applyAlignment="1" applyProtection="1">
      <alignment horizontal="right" vertical="center"/>
    </xf>
    <xf numFmtId="4" fontId="20" fillId="0" borderId="40" xfId="1" applyNumberFormat="1" applyFont="1" applyFill="1" applyBorder="1" applyAlignment="1" applyProtection="1">
      <alignment horizontal="center" vertical="center"/>
    </xf>
    <xf numFmtId="4" fontId="20" fillId="0" borderId="19" xfId="1" applyNumberFormat="1" applyFont="1" applyFill="1" applyBorder="1" applyAlignment="1" applyProtection="1">
      <alignment horizontal="center" vertical="center"/>
    </xf>
    <xf numFmtId="4" fontId="87" fillId="33" borderId="40" xfId="1" applyNumberFormat="1" applyFont="1" applyFill="1" applyBorder="1" applyAlignment="1" applyProtection="1">
      <alignment horizontal="center" vertical="center"/>
    </xf>
    <xf numFmtId="4" fontId="87" fillId="33" borderId="19" xfId="1" applyNumberFormat="1" applyFont="1" applyFill="1" applyBorder="1" applyAlignment="1" applyProtection="1">
      <alignment horizontal="center" vertical="center"/>
    </xf>
    <xf numFmtId="183" fontId="20" fillId="31" borderId="68" xfId="1" applyNumberFormat="1" applyFont="1" applyFill="1" applyBorder="1" applyAlignment="1" applyProtection="1">
      <alignment horizontal="center" vertical="center"/>
      <protection locked="0"/>
    </xf>
    <xf numFmtId="183" fontId="20" fillId="31" borderId="290" xfId="1" applyNumberFormat="1" applyFont="1" applyFill="1" applyBorder="1" applyAlignment="1" applyProtection="1">
      <alignment horizontal="center" vertical="center"/>
      <protection locked="0"/>
    </xf>
    <xf numFmtId="182" fontId="20" fillId="31" borderId="68" xfId="1" applyNumberFormat="1" applyFont="1" applyFill="1" applyBorder="1" applyAlignment="1" applyProtection="1">
      <alignment horizontal="center" vertical="center"/>
      <protection locked="0"/>
    </xf>
    <xf numFmtId="182" fontId="20" fillId="31" borderId="42" xfId="1" applyNumberFormat="1" applyFont="1" applyFill="1" applyBorder="1" applyAlignment="1" applyProtection="1">
      <alignment horizontal="center" vertical="center"/>
      <protection locked="0"/>
    </xf>
    <xf numFmtId="182" fontId="20" fillId="0" borderId="43" xfId="1" applyNumberFormat="1" applyFont="1" applyFill="1" applyBorder="1" applyAlignment="1" applyProtection="1">
      <alignment horizontal="center" vertical="center"/>
    </xf>
    <xf numFmtId="182" fontId="20" fillId="0" borderId="42" xfId="1" applyNumberFormat="1" applyFont="1" applyFill="1" applyBorder="1" applyAlignment="1" applyProtection="1">
      <alignment horizontal="center" vertical="center"/>
    </xf>
    <xf numFmtId="182" fontId="175" fillId="31" borderId="43" xfId="1" applyNumberFormat="1" applyFont="1" applyFill="1" applyBorder="1" applyAlignment="1" applyProtection="1">
      <alignment horizontal="center" vertical="center"/>
      <protection locked="0"/>
    </xf>
    <xf numFmtId="182" fontId="175" fillId="31" borderId="289" xfId="1" applyNumberFormat="1" applyFont="1" applyFill="1" applyBorder="1" applyAlignment="1" applyProtection="1">
      <alignment horizontal="center" vertical="center"/>
      <protection locked="0"/>
    </xf>
    <xf numFmtId="182" fontId="175" fillId="31" borderId="40" xfId="1" applyNumberFormat="1" applyFont="1" applyFill="1" applyBorder="1" applyAlignment="1" applyProtection="1">
      <alignment horizontal="center" vertical="center"/>
      <protection locked="0"/>
    </xf>
    <xf numFmtId="182" fontId="175" fillId="31" borderId="0" xfId="1" applyNumberFormat="1" applyFont="1" applyFill="1" applyBorder="1" applyAlignment="1" applyProtection="1">
      <alignment horizontal="center" vertical="center"/>
      <protection locked="0"/>
    </xf>
    <xf numFmtId="183" fontId="20" fillId="31" borderId="65" xfId="1" applyNumberFormat="1" applyFont="1" applyFill="1" applyBorder="1" applyAlignment="1" applyProtection="1">
      <alignment horizontal="center" vertical="center"/>
      <protection locked="0"/>
    </xf>
    <xf numFmtId="183" fontId="20" fillId="31" borderId="72" xfId="1" applyNumberFormat="1" applyFont="1" applyFill="1" applyBorder="1" applyAlignment="1" applyProtection="1">
      <alignment horizontal="center" vertical="center"/>
      <protection locked="0"/>
    </xf>
    <xf numFmtId="0" fontId="85" fillId="0" borderId="65" xfId="1" applyFont="1" applyBorder="1" applyAlignment="1" applyProtection="1">
      <alignment horizontal="center" vertical="center"/>
    </xf>
    <xf numFmtId="0" fontId="85" fillId="0" borderId="72" xfId="1" applyFont="1" applyBorder="1" applyAlignment="1" applyProtection="1">
      <alignment horizontal="center" vertical="center"/>
    </xf>
    <xf numFmtId="0" fontId="15" fillId="0" borderId="65" xfId="1" applyFont="1" applyBorder="1" applyAlignment="1" applyProtection="1">
      <alignment horizontal="center" vertical="center"/>
    </xf>
    <xf numFmtId="0" fontId="15" fillId="0" borderId="72" xfId="1" applyFont="1" applyBorder="1" applyAlignment="1" applyProtection="1">
      <alignment horizontal="center" vertical="center"/>
    </xf>
    <xf numFmtId="0" fontId="85" fillId="0" borderId="19" xfId="1" applyFont="1" applyBorder="1" applyAlignment="1" applyProtection="1">
      <alignment horizontal="center" vertical="center"/>
    </xf>
    <xf numFmtId="0" fontId="15" fillId="0" borderId="19" xfId="1" applyFont="1" applyBorder="1" applyAlignment="1" applyProtection="1">
      <alignment horizontal="center" vertical="center"/>
    </xf>
    <xf numFmtId="182" fontId="20" fillId="31" borderId="65" xfId="1" applyNumberFormat="1" applyFont="1" applyFill="1" applyBorder="1" applyAlignment="1" applyProtection="1">
      <alignment horizontal="center" vertical="center"/>
      <protection locked="0"/>
    </xf>
    <xf numFmtId="182" fontId="20" fillId="31" borderId="19" xfId="1" applyNumberFormat="1" applyFont="1" applyFill="1" applyBorder="1" applyAlignment="1" applyProtection="1">
      <alignment horizontal="center" vertical="center"/>
      <protection locked="0"/>
    </xf>
    <xf numFmtId="0" fontId="85" fillId="0" borderId="0" xfId="1" applyFont="1" applyBorder="1" applyAlignment="1" applyProtection="1">
      <alignment horizontal="center" vertical="center"/>
    </xf>
    <xf numFmtId="0" fontId="157" fillId="0" borderId="61" xfId="1" applyFont="1" applyBorder="1" applyAlignment="1" applyProtection="1">
      <alignment horizontal="center" vertical="center"/>
    </xf>
    <xf numFmtId="0" fontId="157" fillId="0" borderId="71" xfId="1" applyFont="1" applyBorder="1" applyAlignment="1" applyProtection="1">
      <alignment horizontal="center" vertical="center"/>
    </xf>
    <xf numFmtId="182" fontId="20" fillId="0" borderId="40" xfId="1" applyNumberFormat="1" applyFont="1" applyFill="1" applyBorder="1" applyAlignment="1" applyProtection="1">
      <alignment horizontal="center" vertical="center"/>
    </xf>
    <xf numFmtId="182" fontId="20" fillId="0" borderId="19" xfId="1" applyNumberFormat="1" applyFont="1" applyFill="1" applyBorder="1" applyAlignment="1" applyProtection="1">
      <alignment horizontal="center" vertical="center"/>
    </xf>
    <xf numFmtId="0" fontId="55" fillId="0" borderId="40" xfId="1" applyFont="1" applyBorder="1" applyAlignment="1" applyProtection="1">
      <alignment horizontal="center" vertical="center"/>
    </xf>
    <xf numFmtId="0" fontId="55" fillId="0" borderId="19" xfId="1" applyFont="1" applyBorder="1" applyAlignment="1" applyProtection="1">
      <alignment horizontal="center" vertical="center"/>
    </xf>
    <xf numFmtId="0" fontId="48" fillId="0" borderId="40" xfId="1" applyFont="1" applyBorder="1" applyAlignment="1" applyProtection="1">
      <alignment horizontal="center" vertical="center"/>
    </xf>
    <xf numFmtId="0" fontId="48" fillId="0" borderId="0" xfId="1" applyFont="1" applyBorder="1" applyAlignment="1" applyProtection="1">
      <alignment horizontal="center" vertical="center"/>
    </xf>
    <xf numFmtId="182" fontId="87" fillId="31" borderId="40" xfId="1" applyNumberFormat="1" applyFont="1" applyFill="1" applyBorder="1" applyAlignment="1" applyProtection="1">
      <alignment horizontal="center" vertical="center"/>
      <protection locked="0"/>
    </xf>
    <xf numFmtId="182" fontId="87" fillId="31" borderId="0" xfId="1" applyNumberFormat="1" applyFont="1" applyFill="1" applyBorder="1" applyAlignment="1" applyProtection="1">
      <alignment horizontal="center" vertical="center"/>
      <protection locked="0"/>
    </xf>
    <xf numFmtId="0" fontId="48" fillId="0" borderId="39" xfId="1" applyFont="1" applyBorder="1" applyAlignment="1" applyProtection="1">
      <alignment horizontal="center" vertical="center"/>
    </xf>
    <xf numFmtId="0" fontId="48" fillId="0" borderId="44" xfId="1" applyFont="1" applyBorder="1" applyAlignment="1" applyProtection="1">
      <alignment horizontal="center" vertical="center"/>
    </xf>
    <xf numFmtId="4" fontId="20" fillId="0" borderId="43" xfId="1" applyNumberFormat="1" applyFont="1" applyFill="1" applyBorder="1" applyAlignment="1" applyProtection="1">
      <alignment horizontal="center" vertical="center"/>
    </xf>
    <xf numFmtId="4" fontId="20" fillId="0" borderId="42" xfId="1" applyNumberFormat="1" applyFont="1" applyFill="1" applyBorder="1" applyAlignment="1" applyProtection="1">
      <alignment horizontal="center" vertical="center"/>
    </xf>
    <xf numFmtId="0" fontId="5" fillId="0" borderId="40" xfId="1" applyFont="1" applyBorder="1" applyAlignment="1" applyProtection="1">
      <alignment horizontal="center" vertical="center"/>
    </xf>
    <xf numFmtId="0" fontId="5" fillId="0" borderId="0" xfId="1" applyFont="1" applyBorder="1" applyAlignment="1" applyProtection="1">
      <alignment horizontal="center" vertical="center"/>
    </xf>
    <xf numFmtId="0" fontId="85" fillId="0" borderId="65" xfId="1" applyFont="1" applyBorder="1" applyAlignment="1" applyProtection="1">
      <alignment horizontal="left" vertical="center"/>
    </xf>
    <xf numFmtId="0" fontId="85" fillId="0" borderId="0" xfId="1" applyFont="1" applyBorder="1" applyAlignment="1" applyProtection="1">
      <alignment horizontal="left" vertical="center"/>
    </xf>
    <xf numFmtId="0" fontId="48" fillId="0" borderId="19" xfId="1" applyFont="1" applyBorder="1" applyAlignment="1" applyProtection="1">
      <alignment horizontal="center" vertical="center"/>
    </xf>
    <xf numFmtId="0" fontId="5" fillId="0" borderId="19" xfId="1" applyFont="1" applyBorder="1" applyAlignment="1" applyProtection="1">
      <alignment horizontal="center" vertical="center"/>
    </xf>
    <xf numFmtId="0" fontId="157" fillId="0" borderId="2" xfId="1" applyFont="1" applyBorder="1" applyAlignment="1" applyProtection="1">
      <alignment horizontal="center" vertical="center"/>
    </xf>
    <xf numFmtId="4" fontId="20" fillId="0" borderId="40" xfId="67" applyNumberFormat="1" applyFont="1" applyFill="1" applyBorder="1" applyAlignment="1" applyProtection="1">
      <alignment horizontal="center" vertical="center"/>
    </xf>
    <xf numFmtId="4" fontId="20" fillId="0" borderId="19" xfId="67" applyNumberFormat="1" applyFont="1" applyFill="1" applyBorder="1" applyAlignment="1" applyProtection="1">
      <alignment horizontal="center" vertical="center"/>
    </xf>
    <xf numFmtId="0" fontId="48" fillId="0" borderId="2" xfId="1" applyFont="1" applyBorder="1" applyAlignment="1" applyProtection="1">
      <alignment horizontal="center" vertical="center"/>
    </xf>
    <xf numFmtId="182" fontId="20" fillId="31" borderId="40" xfId="1" applyNumberFormat="1" applyFont="1" applyFill="1" applyBorder="1" applyAlignment="1" applyProtection="1">
      <alignment horizontal="center" vertical="center"/>
      <protection locked="0"/>
    </xf>
    <xf numFmtId="182" fontId="20" fillId="31" borderId="0" xfId="1" applyNumberFormat="1" applyFont="1" applyFill="1" applyBorder="1" applyAlignment="1" applyProtection="1">
      <alignment horizontal="center" vertical="center"/>
      <protection locked="0"/>
    </xf>
    <xf numFmtId="183" fontId="20" fillId="31" borderId="0" xfId="1" applyNumberFormat="1" applyFont="1" applyFill="1" applyBorder="1" applyAlignment="1" applyProtection="1">
      <alignment horizontal="center" vertical="center"/>
      <protection locked="0"/>
    </xf>
    <xf numFmtId="182" fontId="20" fillId="31" borderId="289" xfId="1" applyNumberFormat="1" applyFont="1" applyFill="1" applyBorder="1" applyAlignment="1" applyProtection="1">
      <alignment horizontal="center" vertical="center"/>
      <protection locked="0"/>
    </xf>
    <xf numFmtId="0" fontId="147" fillId="0" borderId="88" xfId="67" applyFont="1" applyFill="1" applyBorder="1" applyAlignment="1" applyProtection="1">
      <alignment horizontal="center" wrapText="1"/>
    </xf>
    <xf numFmtId="0" fontId="147" fillId="0" borderId="178" xfId="67" applyFont="1" applyFill="1" applyBorder="1" applyAlignment="1" applyProtection="1">
      <alignment horizontal="center" wrapText="1"/>
    </xf>
    <xf numFmtId="0" fontId="147" fillId="0" borderId="21" xfId="67" applyFont="1" applyFill="1" applyBorder="1" applyAlignment="1" applyProtection="1">
      <alignment horizontal="center" vertical="center" wrapText="1"/>
    </xf>
    <xf numFmtId="0" fontId="147" fillId="0" borderId="180" xfId="67" applyFont="1" applyFill="1" applyBorder="1" applyAlignment="1" applyProtection="1">
      <alignment horizontal="center" vertical="center" wrapText="1"/>
    </xf>
    <xf numFmtId="180" fontId="9" fillId="31" borderId="32" xfId="67" applyNumberFormat="1" applyFont="1" applyFill="1" applyBorder="1" applyAlignment="1" applyProtection="1">
      <alignment horizontal="center" vertical="center" wrapText="1"/>
      <protection locked="0"/>
    </xf>
    <xf numFmtId="180" fontId="131" fillId="31" borderId="32" xfId="67" applyNumberFormat="1" applyFont="1" applyFill="1" applyBorder="1" applyAlignment="1" applyProtection="1">
      <alignment horizontal="center" vertical="center" wrapText="1"/>
      <protection locked="0"/>
    </xf>
    <xf numFmtId="180" fontId="131" fillId="31" borderId="60" xfId="67" applyNumberFormat="1" applyFont="1" applyFill="1" applyBorder="1" applyAlignment="1" applyProtection="1">
      <alignment horizontal="center" vertical="center" wrapText="1"/>
      <protection locked="0"/>
    </xf>
    <xf numFmtId="0" fontId="55" fillId="0" borderId="40" xfId="1" applyFont="1" applyFill="1" applyBorder="1" applyAlignment="1" applyProtection="1">
      <alignment horizontal="center" vertical="center"/>
    </xf>
    <xf numFmtId="0" fontId="55" fillId="0" borderId="0" xfId="1" applyFont="1" applyFill="1" applyBorder="1" applyAlignment="1" applyProtection="1">
      <alignment horizontal="center" vertical="center"/>
    </xf>
    <xf numFmtId="0" fontId="55" fillId="0" borderId="19" xfId="1" applyFont="1" applyFill="1" applyBorder="1" applyAlignment="1" applyProtection="1">
      <alignment horizontal="center" vertical="center"/>
    </xf>
    <xf numFmtId="0" fontId="5" fillId="0" borderId="40" xfId="67" applyFont="1" applyFill="1" applyBorder="1" applyAlignment="1" applyProtection="1">
      <alignment horizontal="center" vertical="center"/>
    </xf>
    <xf numFmtId="0" fontId="5" fillId="0" borderId="0" xfId="67" applyFont="1" applyFill="1" applyBorder="1" applyAlignment="1" applyProtection="1">
      <alignment horizontal="center" vertical="center"/>
    </xf>
    <xf numFmtId="0" fontId="20" fillId="0" borderId="0" xfId="67" applyFont="1" applyBorder="1" applyAlignment="1" applyProtection="1">
      <alignment horizontal="left" vertical="top" wrapText="1"/>
    </xf>
    <xf numFmtId="0" fontId="85" fillId="0" borderId="65" xfId="67" applyFont="1" applyFill="1" applyBorder="1" applyAlignment="1" applyProtection="1">
      <alignment horizontal="center" vertical="center"/>
    </xf>
    <xf numFmtId="0" fontId="85" fillId="0" borderId="72" xfId="67" applyFont="1" applyFill="1" applyBorder="1" applyAlignment="1" applyProtection="1">
      <alignment horizontal="center" vertical="center"/>
    </xf>
    <xf numFmtId="0" fontId="85" fillId="0" borderId="19" xfId="67" applyFont="1" applyFill="1" applyBorder="1" applyAlignment="1" applyProtection="1">
      <alignment horizontal="center" vertical="center"/>
    </xf>
    <xf numFmtId="0" fontId="85" fillId="0" borderId="40" xfId="67" applyFont="1" applyFill="1" applyBorder="1" applyAlignment="1" applyProtection="1">
      <alignment horizontal="center" vertical="center" wrapText="1"/>
    </xf>
    <xf numFmtId="0" fontId="85" fillId="0" borderId="72" xfId="67" applyFont="1" applyFill="1" applyBorder="1" applyAlignment="1" applyProtection="1">
      <alignment horizontal="center" vertical="center" wrapText="1"/>
    </xf>
    <xf numFmtId="0" fontId="85" fillId="0" borderId="0" xfId="67" applyFont="1" applyFill="1" applyBorder="1" applyAlignment="1" applyProtection="1">
      <alignment horizontal="center" vertical="center"/>
    </xf>
    <xf numFmtId="0" fontId="20" fillId="31" borderId="36" xfId="1" applyFont="1" applyFill="1" applyBorder="1" applyAlignment="1" applyProtection="1">
      <alignment horizontal="center" vertical="center" textRotation="90"/>
      <protection locked="0"/>
    </xf>
    <xf numFmtId="0" fontId="20" fillId="31" borderId="25" xfId="1" applyFont="1" applyFill="1" applyBorder="1" applyAlignment="1" applyProtection="1">
      <alignment horizontal="center" vertical="center" textRotation="90"/>
      <protection locked="0"/>
    </xf>
    <xf numFmtId="0" fontId="15" fillId="0" borderId="65" xfId="67" applyFont="1" applyFill="1" applyBorder="1" applyAlignment="1" applyProtection="1">
      <alignment horizontal="center" vertical="center"/>
    </xf>
    <xf numFmtId="0" fontId="15" fillId="0" borderId="72" xfId="67" applyFont="1" applyFill="1" applyBorder="1" applyAlignment="1" applyProtection="1">
      <alignment horizontal="center" vertical="center"/>
    </xf>
    <xf numFmtId="0" fontId="15" fillId="0" borderId="19" xfId="67" applyFont="1" applyFill="1" applyBorder="1" applyAlignment="1" applyProtection="1">
      <alignment horizontal="center" vertical="center"/>
    </xf>
    <xf numFmtId="0" fontId="15" fillId="0" borderId="40" xfId="67" applyFont="1" applyFill="1" applyBorder="1" applyAlignment="1" applyProtection="1">
      <alignment horizontal="center" vertical="center" wrapText="1"/>
    </xf>
    <xf numFmtId="0" fontId="15" fillId="0" borderId="0" xfId="67" applyFont="1" applyFill="1" applyBorder="1" applyAlignment="1" applyProtection="1">
      <alignment horizontal="center" vertical="center" wrapText="1"/>
    </xf>
    <xf numFmtId="0" fontId="15" fillId="0" borderId="39" xfId="67" applyFont="1" applyFill="1" applyBorder="1" applyAlignment="1" applyProtection="1">
      <alignment horizontal="center" vertical="center" wrapText="1"/>
    </xf>
    <xf numFmtId="0" fontId="15" fillId="0" borderId="2" xfId="67" applyFont="1" applyFill="1" applyBorder="1" applyAlignment="1" applyProtection="1">
      <alignment horizontal="center" vertical="center" wrapText="1"/>
    </xf>
    <xf numFmtId="0" fontId="15" fillId="0" borderId="61" xfId="67" applyFont="1" applyFill="1" applyBorder="1" applyAlignment="1" applyProtection="1">
      <alignment horizontal="center" vertical="center"/>
    </xf>
    <xf numFmtId="0" fontId="15" fillId="0" borderId="44" xfId="67" applyFont="1" applyFill="1" applyBorder="1" applyAlignment="1" applyProtection="1">
      <alignment horizontal="center" vertical="center"/>
    </xf>
    <xf numFmtId="0" fontId="15" fillId="0" borderId="2" xfId="67" applyFont="1" applyFill="1" applyBorder="1" applyAlignment="1" applyProtection="1">
      <alignment horizontal="center" vertical="center"/>
    </xf>
    <xf numFmtId="183" fontId="20" fillId="31" borderId="289" xfId="1" applyNumberFormat="1" applyFont="1" applyFill="1" applyBorder="1" applyAlignment="1" applyProtection="1">
      <alignment horizontal="center" vertical="center"/>
      <protection locked="0"/>
    </xf>
    <xf numFmtId="0" fontId="5" fillId="0" borderId="0" xfId="1" applyFont="1" applyFill="1" applyBorder="1" applyAlignment="1" applyProtection="1">
      <alignment horizontal="center" vertical="center"/>
    </xf>
    <xf numFmtId="182" fontId="20" fillId="31" borderId="43" xfId="1" applyNumberFormat="1" applyFont="1" applyFill="1" applyBorder="1" applyAlignment="1" applyProtection="1">
      <alignment horizontal="center" vertical="center"/>
      <protection locked="0"/>
    </xf>
    <xf numFmtId="0" fontId="15" fillId="0" borderId="0" xfId="1" applyFont="1" applyBorder="1" applyAlignment="1" applyProtection="1">
      <alignment vertical="center" wrapText="1"/>
    </xf>
    <xf numFmtId="0" fontId="4" fillId="0" borderId="0" xfId="1" applyFont="1" applyBorder="1" applyAlignment="1">
      <alignment vertical="center" wrapText="1"/>
    </xf>
    <xf numFmtId="187" fontId="9" fillId="0" borderId="289" xfId="61" applyNumberFormat="1" applyFont="1" applyFill="1" applyBorder="1" applyAlignment="1" applyProtection="1">
      <alignment horizontal="right" vertical="center"/>
    </xf>
    <xf numFmtId="187" fontId="9" fillId="0" borderId="2" xfId="61" applyNumberFormat="1" applyFont="1" applyFill="1" applyBorder="1" applyAlignment="1" applyProtection="1">
      <alignment horizontal="right" vertical="center"/>
    </xf>
    <xf numFmtId="171" fontId="9" fillId="0" borderId="69" xfId="61" applyNumberFormat="1" applyFont="1" applyFill="1" applyBorder="1" applyAlignment="1" applyProtection="1">
      <alignment horizontal="right" vertical="center"/>
    </xf>
    <xf numFmtId="0" fontId="4" fillId="0" borderId="62" xfId="1" applyBorder="1" applyAlignment="1">
      <alignment horizontal="right" vertical="center"/>
    </xf>
    <xf numFmtId="0" fontId="9" fillId="0" borderId="40" xfId="1" applyFont="1" applyBorder="1" applyAlignment="1" applyProtection="1">
      <alignment horizontal="center" vertical="center"/>
    </xf>
    <xf numFmtId="0" fontId="9" fillId="0" borderId="19" xfId="1" applyFont="1" applyBorder="1" applyAlignment="1" applyProtection="1">
      <alignment horizontal="center" vertical="center"/>
    </xf>
    <xf numFmtId="186" fontId="157" fillId="0" borderId="24" xfId="1" applyNumberFormat="1" applyFont="1" applyFill="1" applyBorder="1" applyAlignment="1" applyProtection="1">
      <alignment horizontal="center" vertical="center"/>
    </xf>
    <xf numFmtId="186" fontId="157" fillId="0" borderId="131" xfId="1" applyNumberFormat="1" applyFont="1" applyFill="1" applyBorder="1" applyAlignment="1" applyProtection="1">
      <alignment horizontal="center" vertical="center"/>
    </xf>
    <xf numFmtId="186" fontId="157" fillId="0" borderId="0" xfId="1" applyNumberFormat="1" applyFont="1" applyFill="1" applyBorder="1" applyAlignment="1" applyProtection="1">
      <alignment horizontal="center" vertical="center"/>
    </xf>
    <xf numFmtId="186" fontId="157" fillId="0" borderId="19" xfId="1" applyNumberFormat="1" applyFont="1" applyFill="1" applyBorder="1" applyAlignment="1" applyProtection="1">
      <alignment horizontal="center" vertical="center"/>
    </xf>
    <xf numFmtId="186" fontId="157" fillId="0" borderId="2" xfId="1" applyNumberFormat="1" applyFont="1" applyFill="1" applyBorder="1" applyAlignment="1" applyProtection="1">
      <alignment horizontal="center" vertical="center"/>
    </xf>
    <xf numFmtId="186" fontId="157" fillId="0" borderId="44" xfId="1" applyNumberFormat="1" applyFont="1" applyFill="1" applyBorder="1" applyAlignment="1" applyProtection="1">
      <alignment horizontal="center" vertical="center"/>
    </xf>
    <xf numFmtId="0" fontId="5" fillId="4" borderId="40" xfId="1" applyFont="1" applyFill="1" applyBorder="1" applyAlignment="1" applyProtection="1">
      <alignment horizontal="center" vertical="center"/>
    </xf>
    <xf numFmtId="0" fontId="5" fillId="4" borderId="19" xfId="1" applyFont="1" applyFill="1" applyBorder="1" applyAlignment="1" applyProtection="1">
      <alignment horizontal="center" vertical="center"/>
    </xf>
    <xf numFmtId="186" fontId="15" fillId="0" borderId="43" xfId="1" applyNumberFormat="1" applyFont="1" applyFill="1" applyBorder="1" applyAlignment="1" applyProtection="1">
      <alignment horizontal="center" vertical="center"/>
    </xf>
    <xf numFmtId="186" fontId="15" fillId="0" borderId="42" xfId="1" applyNumberFormat="1" applyFont="1" applyFill="1" applyBorder="1" applyAlignment="1" applyProtection="1">
      <alignment horizontal="center" vertical="center"/>
    </xf>
    <xf numFmtId="171" fontId="9" fillId="0" borderId="69" xfId="61" applyNumberFormat="1" applyFont="1" applyFill="1" applyBorder="1" applyAlignment="1" applyProtection="1">
      <alignment horizontal="right" vertical="center"/>
      <protection locked="0"/>
    </xf>
    <xf numFmtId="171" fontId="9" fillId="33" borderId="69" xfId="61" applyNumberFormat="1" applyFont="1" applyFill="1" applyBorder="1" applyAlignment="1" applyProtection="1">
      <alignment horizontal="right" vertical="center"/>
      <protection locked="0"/>
    </xf>
    <xf numFmtId="171" fontId="9" fillId="33" borderId="62" xfId="61" applyNumberFormat="1" applyFont="1" applyFill="1" applyBorder="1" applyAlignment="1" applyProtection="1">
      <alignment horizontal="right" vertical="center"/>
      <protection locked="0"/>
    </xf>
    <xf numFmtId="0" fontId="20" fillId="0" borderId="0" xfId="67" applyFont="1" applyAlignment="1">
      <alignment horizontal="left" vertical="top" wrapText="1"/>
    </xf>
    <xf numFmtId="185" fontId="9" fillId="0" borderId="69" xfId="61" applyNumberFormat="1" applyFont="1" applyFill="1" applyBorder="1" applyAlignment="1" applyProtection="1">
      <alignment horizontal="right" vertical="center"/>
    </xf>
    <xf numFmtId="0" fontId="4" fillId="0" borderId="66" xfId="1" applyBorder="1" applyAlignment="1">
      <alignment horizontal="right" vertical="center"/>
    </xf>
    <xf numFmtId="186" fontId="15" fillId="0" borderId="40" xfId="1" applyNumberFormat="1" applyFont="1" applyFill="1" applyBorder="1" applyAlignment="1" applyProtection="1">
      <alignment horizontal="center" vertical="center"/>
    </xf>
    <xf numFmtId="186" fontId="15" fillId="0" borderId="19" xfId="1" applyNumberFormat="1" applyFont="1" applyFill="1" applyBorder="1" applyAlignment="1" applyProtection="1">
      <alignment horizontal="center" vertical="center"/>
    </xf>
    <xf numFmtId="185" fontId="9" fillId="33" borderId="65" xfId="61" applyNumberFormat="1" applyFont="1" applyFill="1" applyBorder="1" applyAlignment="1" applyProtection="1">
      <alignment horizontal="right" vertical="center"/>
      <protection locked="0"/>
    </xf>
    <xf numFmtId="171" fontId="4" fillId="37" borderId="69" xfId="135" applyNumberFormat="1" applyFont="1" applyFill="1" applyBorder="1" applyAlignment="1" applyProtection="1">
      <alignment horizontal="right" vertical="center"/>
      <protection locked="0"/>
    </xf>
    <xf numFmtId="171" fontId="4" fillId="37" borderId="62" xfId="135" applyNumberFormat="1" applyFont="1" applyFill="1" applyBorder="1" applyAlignment="1" applyProtection="1">
      <alignment horizontal="right" vertical="center"/>
      <protection locked="0"/>
    </xf>
    <xf numFmtId="185" fontId="4" fillId="37" borderId="69" xfId="135" applyNumberFormat="1" applyFont="1" applyFill="1" applyBorder="1" applyAlignment="1" applyProtection="1">
      <alignment horizontal="right" vertical="center"/>
      <protection locked="0"/>
    </xf>
    <xf numFmtId="185" fontId="4" fillId="37" borderId="66" xfId="135" applyNumberFormat="1" applyFont="1" applyFill="1" applyBorder="1" applyAlignment="1" applyProtection="1">
      <alignment horizontal="right" vertical="center"/>
      <protection locked="0"/>
    </xf>
    <xf numFmtId="171" fontId="9" fillId="4" borderId="43" xfId="61" applyNumberFormat="1" applyFont="1" applyFill="1" applyBorder="1" applyAlignment="1" applyProtection="1">
      <alignment horizontal="right" vertical="center"/>
    </xf>
    <xf numFmtId="171" fontId="9" fillId="4" borderId="39" xfId="61" applyNumberFormat="1" applyFont="1" applyFill="1" applyBorder="1" applyAlignment="1" applyProtection="1">
      <alignment horizontal="right" vertical="center"/>
    </xf>
    <xf numFmtId="185" fontId="9" fillId="0" borderId="69" xfId="61" applyNumberFormat="1" applyFont="1" applyFill="1" applyBorder="1" applyAlignment="1" applyProtection="1">
      <alignment horizontal="right" vertical="center"/>
      <protection locked="0"/>
    </xf>
    <xf numFmtId="171" fontId="9" fillId="33" borderId="68" xfId="61" applyNumberFormat="1" applyFont="1" applyFill="1" applyBorder="1" applyAlignment="1" applyProtection="1">
      <alignment horizontal="right" vertical="center"/>
      <protection locked="0"/>
    </xf>
    <xf numFmtId="171" fontId="9" fillId="33" borderId="61" xfId="61" applyNumberFormat="1" applyFont="1" applyFill="1" applyBorder="1" applyAlignment="1" applyProtection="1">
      <alignment horizontal="right" vertical="center"/>
      <protection locked="0"/>
    </xf>
    <xf numFmtId="185" fontId="9" fillId="4" borderId="40" xfId="61" applyNumberFormat="1" applyFont="1" applyFill="1" applyBorder="1" applyAlignment="1" applyProtection="1">
      <alignment horizontal="right" vertical="center"/>
    </xf>
    <xf numFmtId="0" fontId="9" fillId="0" borderId="40" xfId="1" applyFont="1" applyFill="1" applyBorder="1" applyAlignment="1" applyProtection="1">
      <alignment horizontal="center" vertical="center"/>
    </xf>
    <xf numFmtId="0" fontId="9" fillId="0" borderId="19" xfId="1" applyFont="1" applyFill="1" applyBorder="1" applyAlignment="1" applyProtection="1">
      <alignment horizontal="center" vertical="center"/>
    </xf>
    <xf numFmtId="0" fontId="5" fillId="0" borderId="40" xfId="1" applyFont="1" applyFill="1" applyBorder="1" applyAlignment="1" applyProtection="1">
      <alignment horizontal="center" vertical="center"/>
    </xf>
    <xf numFmtId="0" fontId="5" fillId="0" borderId="19" xfId="1" applyFont="1" applyFill="1" applyBorder="1" applyAlignment="1" applyProtection="1">
      <alignment horizontal="center" vertical="center"/>
    </xf>
    <xf numFmtId="187" fontId="9" fillId="0" borderId="0" xfId="61" applyNumberFormat="1" applyFont="1" applyFill="1" applyBorder="1" applyAlignment="1" applyProtection="1">
      <alignment horizontal="right" vertical="center"/>
    </xf>
    <xf numFmtId="0" fontId="15" fillId="0" borderId="0" xfId="1" applyFont="1" applyBorder="1" applyAlignment="1" applyProtection="1">
      <alignment horizontal="left" vertical="center" wrapText="1"/>
    </xf>
    <xf numFmtId="0" fontId="15" fillId="0" borderId="2" xfId="1" applyFont="1" applyBorder="1" applyAlignment="1" applyProtection="1">
      <alignment horizontal="left" vertical="center" wrapText="1"/>
    </xf>
    <xf numFmtId="171" fontId="9" fillId="31" borderId="65" xfId="61" applyNumberFormat="1" applyFont="1" applyFill="1" applyBorder="1" applyAlignment="1" applyProtection="1">
      <alignment horizontal="right" vertical="center"/>
      <protection locked="0"/>
    </xf>
    <xf numFmtId="171" fontId="9" fillId="31" borderId="61" xfId="61" applyNumberFormat="1" applyFont="1" applyFill="1" applyBorder="1" applyAlignment="1" applyProtection="1">
      <alignment horizontal="right" vertical="center"/>
      <protection locked="0"/>
    </xf>
    <xf numFmtId="171" fontId="9" fillId="0" borderId="43" xfId="61" applyNumberFormat="1" applyFont="1" applyFill="1" applyBorder="1" applyAlignment="1" applyProtection="1">
      <alignment horizontal="right" vertical="center"/>
    </xf>
    <xf numFmtId="171" fontId="9" fillId="0" borderId="39" xfId="61" applyNumberFormat="1" applyFont="1" applyFill="1" applyBorder="1" applyAlignment="1" applyProtection="1">
      <alignment horizontal="right" vertical="center"/>
    </xf>
    <xf numFmtId="185" fontId="9" fillId="31" borderId="65" xfId="61" applyNumberFormat="1" applyFont="1" applyFill="1" applyBorder="1" applyAlignment="1" applyProtection="1">
      <alignment horizontal="right" vertical="center"/>
      <protection locked="0"/>
    </xf>
    <xf numFmtId="186" fontId="157" fillId="0" borderId="130" xfId="1" applyNumberFormat="1" applyFont="1" applyFill="1" applyBorder="1" applyAlignment="1" applyProtection="1">
      <alignment horizontal="center" vertical="center"/>
    </xf>
    <xf numFmtId="186" fontId="157" fillId="0" borderId="40" xfId="1" applyNumberFormat="1" applyFont="1" applyFill="1" applyBorder="1" applyAlignment="1" applyProtection="1">
      <alignment horizontal="center" vertical="center"/>
    </xf>
    <xf numFmtId="186" fontId="157" fillId="0" borderId="39" xfId="1" applyNumberFormat="1" applyFont="1" applyFill="1" applyBorder="1" applyAlignment="1" applyProtection="1">
      <alignment horizontal="center" vertical="center"/>
    </xf>
    <xf numFmtId="185" fontId="9" fillId="0" borderId="40" xfId="61" applyNumberFormat="1" applyFont="1" applyFill="1" applyBorder="1" applyAlignment="1" applyProtection="1">
      <alignment horizontal="right" vertical="center"/>
    </xf>
    <xf numFmtId="0" fontId="94" fillId="31" borderId="40" xfId="124" applyFont="1" applyFill="1" applyBorder="1" applyAlignment="1" applyProtection="1">
      <alignment horizontal="center" vertical="center"/>
      <protection locked="0"/>
    </xf>
    <xf numFmtId="0" fontId="94" fillId="31" borderId="64" xfId="124" applyFont="1" applyFill="1" applyBorder="1" applyAlignment="1" applyProtection="1">
      <alignment horizontal="center" vertical="center"/>
      <protection locked="0"/>
    </xf>
    <xf numFmtId="0" fontId="44" fillId="0" borderId="0" xfId="124" applyFont="1" applyAlignment="1" applyProtection="1">
      <alignment horizontal="left" vertical="center" wrapText="1"/>
    </xf>
    <xf numFmtId="0" fontId="44" fillId="31" borderId="92" xfId="124" applyFont="1" applyFill="1" applyBorder="1" applyAlignment="1" applyProtection="1">
      <alignment horizontal="center" vertical="center"/>
      <protection locked="0"/>
    </xf>
    <xf numFmtId="0" fontId="44" fillId="31" borderId="188" xfId="124" applyFont="1" applyFill="1" applyBorder="1" applyAlignment="1" applyProtection="1">
      <alignment horizontal="center" vertical="center"/>
      <protection locked="0"/>
    </xf>
    <xf numFmtId="0" fontId="151" fillId="0" borderId="0" xfId="2" applyFont="1" applyAlignment="1" applyProtection="1">
      <alignment horizontal="left" vertical="center" wrapText="1"/>
    </xf>
    <xf numFmtId="0" fontId="43" fillId="4" borderId="41" xfId="1" applyFont="1" applyFill="1" applyBorder="1" applyAlignment="1" applyProtection="1">
      <alignment horizontal="right" vertical="center"/>
    </xf>
    <xf numFmtId="185" fontId="14" fillId="0" borderId="108" xfId="124" applyNumberFormat="1" applyFont="1" applyBorder="1" applyAlignment="1" applyProtection="1">
      <alignment horizontal="center" vertical="center" wrapText="1"/>
    </xf>
    <xf numFmtId="185" fontId="14" fillId="0" borderId="107" xfId="124" applyNumberFormat="1" applyFont="1" applyBorder="1" applyAlignment="1" applyProtection="1">
      <alignment horizontal="center" vertical="center" wrapText="1"/>
    </xf>
    <xf numFmtId="0" fontId="94" fillId="31" borderId="92" xfId="124" applyFont="1" applyFill="1" applyBorder="1" applyAlignment="1" applyProtection="1">
      <alignment horizontal="center" vertical="center"/>
      <protection locked="0"/>
    </xf>
    <xf numFmtId="0" fontId="94" fillId="31" borderId="188" xfId="124" applyFont="1" applyFill="1" applyBorder="1" applyAlignment="1" applyProtection="1">
      <alignment horizontal="center" vertical="center"/>
      <protection locked="0"/>
    </xf>
    <xf numFmtId="191" fontId="99" fillId="0" borderId="0" xfId="1" applyNumberFormat="1" applyFont="1" applyBorder="1" applyAlignment="1">
      <alignment horizontal="center"/>
    </xf>
    <xf numFmtId="1" fontId="18" fillId="0" borderId="0" xfId="1" applyNumberFormat="1" applyFont="1" applyBorder="1" applyAlignment="1">
      <alignment horizontal="left"/>
    </xf>
    <xf numFmtId="2" fontId="5" fillId="30" borderId="43" xfId="67" applyNumberFormat="1" applyFont="1" applyFill="1" applyBorder="1" applyAlignment="1">
      <alignment horizontal="center" vertical="center" wrapText="1"/>
    </xf>
    <xf numFmtId="2" fontId="5" fillId="30" borderId="42" xfId="67" applyNumberFormat="1" applyFont="1" applyFill="1" applyBorder="1" applyAlignment="1">
      <alignment horizontal="center" vertical="center" wrapText="1"/>
    </xf>
    <xf numFmtId="2" fontId="5" fillId="30" borderId="39" xfId="67" applyNumberFormat="1" applyFont="1" applyFill="1" applyBorder="1" applyAlignment="1">
      <alignment horizontal="center" vertical="center" wrapText="1"/>
    </xf>
    <xf numFmtId="2" fontId="5" fillId="30" borderId="44" xfId="67" applyNumberFormat="1" applyFont="1" applyFill="1" applyBorder="1" applyAlignment="1">
      <alignment horizontal="center" vertical="center" wrapText="1"/>
    </xf>
    <xf numFmtId="49" fontId="5" fillId="30" borderId="77" xfId="67" applyNumberFormat="1" applyFont="1" applyFill="1" applyBorder="1" applyAlignment="1">
      <alignment horizontal="center" vertical="top"/>
    </xf>
    <xf numFmtId="49" fontId="5" fillId="30" borderId="58" xfId="67" applyNumberFormat="1" applyFont="1" applyFill="1" applyBorder="1" applyAlignment="1">
      <alignment horizontal="center" vertical="top"/>
    </xf>
    <xf numFmtId="2" fontId="5" fillId="30" borderId="43" xfId="67" applyNumberFormat="1" applyFont="1" applyFill="1" applyBorder="1" applyAlignment="1">
      <alignment horizontal="center" vertical="center"/>
    </xf>
    <xf numFmtId="2" fontId="5" fillId="30" borderId="42" xfId="67" applyNumberFormat="1" applyFont="1" applyFill="1" applyBorder="1" applyAlignment="1">
      <alignment horizontal="center" vertical="center"/>
    </xf>
    <xf numFmtId="2" fontId="5" fillId="30" borderId="39" xfId="67" applyNumberFormat="1" applyFont="1" applyFill="1" applyBorder="1" applyAlignment="1">
      <alignment horizontal="center" vertical="center"/>
    </xf>
    <xf numFmtId="2" fontId="5" fillId="30" borderId="44" xfId="67" applyNumberFormat="1" applyFont="1" applyFill="1" applyBorder="1" applyAlignment="1">
      <alignment horizontal="center" vertical="center"/>
    </xf>
    <xf numFmtId="2" fontId="5" fillId="30" borderId="23" xfId="67" applyNumberFormat="1" applyFont="1" applyFill="1" applyBorder="1" applyAlignment="1">
      <alignment horizontal="center" vertical="center" wrapText="1"/>
    </xf>
    <xf numFmtId="2" fontId="5" fillId="30" borderId="2" xfId="67" applyNumberFormat="1" applyFont="1" applyFill="1" applyBorder="1" applyAlignment="1">
      <alignment horizontal="center" vertical="center" wrapText="1"/>
    </xf>
    <xf numFmtId="0" fontId="5" fillId="30" borderId="43" xfId="67" applyFont="1" applyFill="1" applyBorder="1" applyAlignment="1">
      <alignment horizontal="center" vertical="center" readingOrder="1"/>
    </xf>
    <xf numFmtId="0" fontId="5" fillId="30" borderId="42" xfId="67" applyFont="1" applyFill="1" applyBorder="1" applyAlignment="1">
      <alignment horizontal="center" vertical="center" readingOrder="1"/>
    </xf>
    <xf numFmtId="0" fontId="5" fillId="30" borderId="39" xfId="67" applyFont="1" applyFill="1" applyBorder="1" applyAlignment="1">
      <alignment horizontal="center" vertical="center" readingOrder="1"/>
    </xf>
    <xf numFmtId="0" fontId="5" fillId="30" borderId="44" xfId="67" applyFont="1" applyFill="1" applyBorder="1" applyAlignment="1">
      <alignment horizontal="center" vertical="center" readingOrder="1"/>
    </xf>
    <xf numFmtId="0" fontId="5" fillId="30" borderId="23" xfId="67" applyFont="1" applyFill="1" applyBorder="1" applyAlignment="1">
      <alignment horizontal="center" vertical="center" readingOrder="1"/>
    </xf>
    <xf numFmtId="0" fontId="5" fillId="30" borderId="2" xfId="67" applyFont="1" applyFill="1" applyBorder="1" applyAlignment="1">
      <alignment horizontal="center" vertical="center" readingOrder="1"/>
    </xf>
    <xf numFmtId="0" fontId="5" fillId="30" borderId="43" xfId="67" applyFont="1" applyFill="1" applyBorder="1" applyAlignment="1">
      <alignment horizontal="center" vertical="center"/>
    </xf>
    <xf numFmtId="0" fontId="5" fillId="30" borderId="42" xfId="67" applyFont="1" applyFill="1" applyBorder="1" applyAlignment="1">
      <alignment horizontal="center" vertical="center"/>
    </xf>
    <xf numFmtId="0" fontId="5" fillId="30" borderId="39" xfId="67" applyFont="1" applyFill="1" applyBorder="1" applyAlignment="1">
      <alignment horizontal="center" vertical="center"/>
    </xf>
    <xf numFmtId="0" fontId="5" fillId="30" borderId="44" xfId="67" applyFont="1" applyFill="1" applyBorder="1" applyAlignment="1">
      <alignment horizontal="center" vertical="center"/>
    </xf>
    <xf numFmtId="0" fontId="5" fillId="30" borderId="77" xfId="67" applyFont="1" applyFill="1" applyBorder="1" applyAlignment="1">
      <alignment horizontal="center" vertical="top" wrapText="1"/>
    </xf>
    <xf numFmtId="0" fontId="5" fillId="30" borderId="58" xfId="67" applyFont="1" applyFill="1" applyBorder="1" applyAlignment="1">
      <alignment horizontal="center" vertical="top"/>
    </xf>
    <xf numFmtId="0" fontId="5" fillId="27" borderId="79" xfId="67" applyFont="1" applyFill="1" applyBorder="1" applyAlignment="1" applyProtection="1">
      <alignment horizontal="center" vertical="center"/>
    </xf>
    <xf numFmtId="0" fontId="5" fillId="27" borderId="24" xfId="67" applyFont="1" applyFill="1" applyBorder="1" applyAlignment="1" applyProtection="1">
      <alignment horizontal="center" vertical="center"/>
    </xf>
    <xf numFmtId="0" fontId="5" fillId="27" borderId="131" xfId="67" applyFont="1" applyFill="1" applyBorder="1" applyAlignment="1" applyProtection="1">
      <alignment horizontal="center" vertical="center"/>
    </xf>
    <xf numFmtId="0" fontId="18" fillId="0" borderId="0" xfId="1" applyFont="1" applyBorder="1" applyAlignment="1" applyProtection="1">
      <alignment horizontal="left" vertical="center"/>
    </xf>
    <xf numFmtId="0" fontId="9" fillId="0" borderId="46" xfId="1" applyNumberFormat="1" applyFont="1" applyFill="1" applyBorder="1" applyAlignment="1" applyProtection="1">
      <alignment horizontal="center" vertical="center"/>
    </xf>
    <xf numFmtId="0" fontId="9" fillId="0" borderId="59" xfId="1" applyNumberFormat="1" applyFont="1" applyFill="1" applyBorder="1" applyAlignment="1" applyProtection="1">
      <alignment horizontal="center" vertical="center"/>
    </xf>
    <xf numFmtId="0" fontId="9" fillId="27" borderId="130" xfId="67" applyFont="1" applyFill="1" applyBorder="1" applyAlignment="1">
      <alignment horizontal="center" vertical="center" wrapText="1"/>
    </xf>
    <xf numFmtId="0" fontId="9" fillId="27" borderId="78" xfId="67" applyFont="1" applyFill="1" applyBorder="1" applyAlignment="1">
      <alignment horizontal="center" vertical="center" wrapText="1"/>
    </xf>
    <xf numFmtId="0" fontId="20" fillId="4" borderId="0" xfId="67" applyFont="1" applyFill="1" applyBorder="1" applyAlignment="1" applyProtection="1">
      <alignment horizontal="left" vertical="center" wrapText="1"/>
    </xf>
    <xf numFmtId="3" fontId="9" fillId="0" borderId="40" xfId="1" applyNumberFormat="1" applyFont="1" applyFill="1" applyBorder="1" applyAlignment="1" applyProtection="1">
      <alignment horizontal="center" vertical="center"/>
    </xf>
    <xf numFmtId="3" fontId="9" fillId="0" borderId="64" xfId="1" applyNumberFormat="1" applyFont="1" applyFill="1" applyBorder="1" applyAlignment="1" applyProtection="1">
      <alignment horizontal="center" vertical="center"/>
    </xf>
    <xf numFmtId="0" fontId="15" fillId="0" borderId="130" xfId="1" applyFont="1" applyBorder="1" applyAlignment="1" applyProtection="1">
      <alignment horizontal="center" vertical="center"/>
    </xf>
    <xf numFmtId="0" fontId="15" fillId="0" borderId="131" xfId="1" applyFont="1" applyBorder="1" applyAlignment="1" applyProtection="1">
      <alignment horizontal="center" vertical="center"/>
    </xf>
    <xf numFmtId="2" fontId="9" fillId="0" borderId="40" xfId="67" applyNumberFormat="1" applyFont="1" applyBorder="1" applyAlignment="1" applyProtection="1">
      <alignment horizontal="center" vertical="center"/>
    </xf>
    <xf numFmtId="2" fontId="9" fillId="0" borderId="288" xfId="67" applyNumberFormat="1" applyFont="1" applyBorder="1" applyAlignment="1" applyProtection="1">
      <alignment horizontal="center" vertical="center"/>
    </xf>
    <xf numFmtId="0" fontId="9" fillId="0" borderId="40" xfId="1" applyNumberFormat="1" applyFont="1" applyFill="1" applyBorder="1" applyAlignment="1" applyProtection="1">
      <alignment horizontal="center" vertical="center"/>
    </xf>
    <xf numFmtId="49" fontId="9" fillId="0" borderId="64" xfId="1" applyNumberFormat="1" applyFont="1" applyFill="1" applyBorder="1" applyAlignment="1" applyProtection="1">
      <alignment horizontal="center" vertical="center"/>
    </xf>
    <xf numFmtId="3" fontId="9" fillId="0" borderId="288" xfId="1" applyNumberFormat="1" applyFont="1" applyFill="1" applyBorder="1" applyAlignment="1" applyProtection="1">
      <alignment horizontal="center" vertical="center"/>
    </xf>
    <xf numFmtId="0" fontId="9" fillId="0" borderId="288" xfId="1" applyNumberFormat="1" applyFont="1" applyFill="1" applyBorder="1" applyAlignment="1" applyProtection="1">
      <alignment horizontal="center" vertical="center"/>
    </xf>
    <xf numFmtId="3" fontId="15" fillId="31" borderId="40" xfId="1" applyNumberFormat="1" applyFont="1" applyFill="1" applyBorder="1" applyAlignment="1" applyProtection="1">
      <alignment horizontal="left" vertical="center"/>
      <protection locked="0"/>
    </xf>
    <xf numFmtId="3" fontId="15" fillId="31" borderId="19" xfId="1" applyNumberFormat="1" applyFont="1" applyFill="1" applyBorder="1" applyAlignment="1" applyProtection="1">
      <alignment horizontal="left" vertical="center"/>
      <protection locked="0"/>
    </xf>
    <xf numFmtId="3" fontId="15" fillId="31" borderId="288" xfId="1" applyNumberFormat="1" applyFont="1" applyFill="1" applyBorder="1" applyAlignment="1" applyProtection="1">
      <alignment horizontal="left" vertical="center"/>
      <protection locked="0"/>
    </xf>
    <xf numFmtId="2" fontId="13" fillId="0" borderId="194" xfId="1" applyNumberFormat="1" applyFont="1" applyBorder="1" applyAlignment="1" applyProtection="1">
      <alignment horizontal="center" vertical="center"/>
    </xf>
    <xf numFmtId="2" fontId="13" fillId="0" borderId="206" xfId="1" applyNumberFormat="1" applyFont="1" applyBorder="1" applyAlignment="1" applyProtection="1">
      <alignment horizontal="center" vertical="center"/>
    </xf>
    <xf numFmtId="2" fontId="15" fillId="0" borderId="39" xfId="1" applyNumberFormat="1" applyFont="1" applyBorder="1" applyAlignment="1" applyProtection="1">
      <alignment horizontal="center" vertical="center"/>
    </xf>
    <xf numFmtId="2" fontId="15" fillId="0" borderId="129" xfId="1" applyNumberFormat="1" applyFont="1" applyBorder="1" applyAlignment="1" applyProtection="1">
      <alignment horizontal="center" vertical="center"/>
    </xf>
    <xf numFmtId="2" fontId="55" fillId="0" borderId="179" xfId="1" applyNumberFormat="1" applyFont="1" applyBorder="1" applyAlignment="1" applyProtection="1">
      <alignment horizontal="center" vertical="center"/>
    </xf>
    <xf numFmtId="2" fontId="55" fillId="0" borderId="170" xfId="1" applyNumberFormat="1" applyFont="1" applyBorder="1" applyAlignment="1" applyProtection="1">
      <alignment horizontal="center" vertical="center"/>
    </xf>
    <xf numFmtId="2" fontId="13" fillId="0" borderId="192" xfId="1" applyNumberFormat="1" applyFont="1" applyBorder="1" applyAlignment="1" applyProtection="1">
      <alignment horizontal="center" vertical="center"/>
    </xf>
    <xf numFmtId="2" fontId="55" fillId="0" borderId="208" xfId="1" applyNumberFormat="1" applyFont="1" applyBorder="1" applyAlignment="1" applyProtection="1">
      <alignment horizontal="center" vertical="center"/>
    </xf>
    <xf numFmtId="2" fontId="15" fillId="0" borderId="44" xfId="1" applyNumberFormat="1" applyFont="1" applyBorder="1" applyAlignment="1" applyProtection="1">
      <alignment horizontal="center" vertical="center"/>
    </xf>
    <xf numFmtId="0" fontId="15" fillId="31" borderId="39" xfId="1" applyFont="1" applyFill="1" applyBorder="1" applyAlignment="1" applyProtection="1">
      <alignment horizontal="center" vertical="center"/>
      <protection locked="0"/>
    </xf>
    <xf numFmtId="0" fontId="15" fillId="31" borderId="44" xfId="1" applyFont="1" applyFill="1" applyBorder="1" applyAlignment="1" applyProtection="1">
      <alignment horizontal="center" vertical="center"/>
      <protection locked="0"/>
    </xf>
    <xf numFmtId="2" fontId="55" fillId="0" borderId="46" xfId="1" applyNumberFormat="1" applyFont="1" applyBorder="1" applyAlignment="1" applyProtection="1">
      <alignment horizontal="center" vertical="center"/>
    </xf>
    <xf numFmtId="2" fontId="55" fillId="0" borderId="47" xfId="1" applyNumberFormat="1" applyFont="1" applyBorder="1" applyAlignment="1" applyProtection="1">
      <alignment horizontal="center" vertical="center"/>
    </xf>
    <xf numFmtId="0" fontId="14" fillId="0" borderId="0" xfId="1" applyFont="1" applyAlignment="1" applyProtection="1">
      <alignment horizontal="center" vertical="center"/>
    </xf>
    <xf numFmtId="2" fontId="15" fillId="31" borderId="39" xfId="1" applyNumberFormat="1" applyFont="1" applyFill="1" applyBorder="1" applyAlignment="1" applyProtection="1">
      <alignment horizontal="center" vertical="center"/>
      <protection locked="0"/>
    </xf>
    <xf numFmtId="2" fontId="15" fillId="31" borderId="44" xfId="1" applyNumberFormat="1" applyFont="1" applyFill="1" applyBorder="1" applyAlignment="1" applyProtection="1">
      <alignment horizontal="center" vertical="center"/>
      <protection locked="0"/>
    </xf>
    <xf numFmtId="0" fontId="15" fillId="31" borderId="129" xfId="1" applyFont="1" applyFill="1" applyBorder="1" applyAlignment="1" applyProtection="1">
      <alignment horizontal="center" vertical="center"/>
      <protection locked="0"/>
    </xf>
    <xf numFmtId="3" fontId="55" fillId="0" borderId="43" xfId="1" applyNumberFormat="1" applyFont="1" applyBorder="1" applyAlignment="1" applyProtection="1">
      <alignment horizontal="center" vertical="center"/>
    </xf>
    <xf numFmtId="3" fontId="55" fillId="0" borderId="128" xfId="1" applyNumberFormat="1" applyFont="1" applyBorder="1" applyAlignment="1" applyProtection="1">
      <alignment horizontal="center" vertical="center"/>
    </xf>
    <xf numFmtId="3" fontId="55" fillId="0" borderId="42" xfId="1" applyNumberFormat="1" applyFont="1" applyBorder="1" applyAlignment="1" applyProtection="1">
      <alignment horizontal="center" vertical="center"/>
    </xf>
    <xf numFmtId="2" fontId="55" fillId="0" borderId="59" xfId="1" applyNumberFormat="1" applyFont="1" applyBorder="1" applyAlignment="1" applyProtection="1">
      <alignment horizontal="center" vertical="center"/>
    </xf>
    <xf numFmtId="0" fontId="5" fillId="33" borderId="130" xfId="1" applyFont="1" applyFill="1" applyBorder="1" applyAlignment="1" applyProtection="1">
      <alignment horizontal="center" vertical="center" wrapText="1"/>
    </xf>
    <xf numFmtId="0" fontId="5" fillId="33" borderId="78" xfId="1" applyFont="1" applyFill="1" applyBorder="1" applyAlignment="1" applyProtection="1">
      <alignment horizontal="center" vertical="center" wrapText="1"/>
    </xf>
    <xf numFmtId="0" fontId="9" fillId="33" borderId="40" xfId="1" applyFont="1" applyFill="1" applyBorder="1" applyAlignment="1" applyProtection="1">
      <alignment horizontal="center" vertical="center" wrapText="1"/>
    </xf>
    <xf numFmtId="0" fontId="9" fillId="33" borderId="64" xfId="1" applyFont="1" applyFill="1" applyBorder="1" applyAlignment="1" applyProtection="1">
      <alignment horizontal="center" vertical="center" wrapText="1"/>
    </xf>
    <xf numFmtId="0" fontId="9" fillId="0" borderId="130" xfId="1" applyNumberFormat="1" applyFont="1" applyFill="1" applyBorder="1" applyAlignment="1" applyProtection="1">
      <alignment horizontal="center" vertical="center"/>
    </xf>
    <xf numFmtId="49" fontId="9" fillId="0" borderId="78" xfId="1" applyNumberFormat="1" applyFont="1" applyFill="1" applyBorder="1" applyAlignment="1" applyProtection="1">
      <alignment horizontal="center" vertical="center"/>
    </xf>
    <xf numFmtId="2" fontId="15" fillId="31" borderId="129" xfId="1" applyNumberFormat="1" applyFont="1" applyFill="1" applyBorder="1" applyAlignment="1" applyProtection="1">
      <alignment horizontal="center" vertical="center"/>
      <protection locked="0"/>
    </xf>
    <xf numFmtId="3" fontId="15" fillId="0" borderId="77" xfId="1" applyNumberFormat="1" applyFont="1" applyBorder="1" applyAlignment="1" applyProtection="1">
      <alignment horizontal="center" vertical="center"/>
    </xf>
    <xf numFmtId="3" fontId="15" fillId="0" borderId="209" xfId="1" applyNumberFormat="1" applyFont="1" applyBorder="1" applyAlignment="1" applyProtection="1">
      <alignment horizontal="center" vertical="center"/>
    </xf>
    <xf numFmtId="3" fontId="15" fillId="0" borderId="39" xfId="1" applyNumberFormat="1" applyFont="1" applyBorder="1" applyAlignment="1" applyProtection="1">
      <alignment horizontal="center" vertical="center"/>
    </xf>
    <xf numFmtId="3" fontId="15" fillId="0" borderId="129" xfId="1" applyNumberFormat="1" applyFont="1" applyBorder="1" applyAlignment="1" applyProtection="1">
      <alignment horizontal="center" vertical="center"/>
    </xf>
    <xf numFmtId="3" fontId="15" fillId="0" borderId="40" xfId="1" applyNumberFormat="1" applyFont="1" applyBorder="1" applyAlignment="1" applyProtection="1">
      <alignment horizontal="center" vertical="center"/>
    </xf>
    <xf numFmtId="3" fontId="15" fillId="0" borderId="288" xfId="1" applyNumberFormat="1" applyFont="1" applyBorder="1" applyAlignment="1" applyProtection="1">
      <alignment horizontal="center" vertical="center"/>
    </xf>
    <xf numFmtId="3" fontId="15" fillId="0" borderId="43" xfId="1" applyNumberFormat="1" applyFont="1" applyBorder="1" applyAlignment="1" applyProtection="1">
      <alignment horizontal="center" vertical="center"/>
    </xf>
    <xf numFmtId="3" fontId="15" fillId="0" borderId="128" xfId="1" applyNumberFormat="1" applyFont="1" applyBorder="1" applyAlignment="1" applyProtection="1">
      <alignment horizontal="center" vertical="center"/>
    </xf>
    <xf numFmtId="0" fontId="15" fillId="0" borderId="24" xfId="1" applyFont="1" applyBorder="1" applyAlignment="1" applyProtection="1">
      <alignment horizontal="center" vertical="center"/>
    </xf>
    <xf numFmtId="0" fontId="15" fillId="0" borderId="46" xfId="1" applyFont="1" applyBorder="1" applyAlignment="1" applyProtection="1">
      <alignment horizontal="center" vertical="center"/>
    </xf>
    <xf numFmtId="0" fontId="15" fillId="0" borderId="47" xfId="1" applyFont="1" applyBorder="1" applyAlignment="1" applyProtection="1">
      <alignment horizontal="center" vertical="center"/>
    </xf>
    <xf numFmtId="0" fontId="15" fillId="0" borderId="59" xfId="1" applyFont="1" applyBorder="1" applyAlignment="1" applyProtection="1">
      <alignment horizontal="center" vertical="center"/>
    </xf>
    <xf numFmtId="3" fontId="15" fillId="0" borderId="44" xfId="1" applyNumberFormat="1" applyFont="1" applyBorder="1" applyAlignment="1" applyProtection="1">
      <alignment horizontal="center" vertical="center"/>
    </xf>
    <xf numFmtId="3" fontId="15" fillId="0" borderId="42" xfId="1" applyNumberFormat="1" applyFont="1" applyBorder="1" applyAlignment="1" applyProtection="1">
      <alignment horizontal="center" vertical="center"/>
    </xf>
    <xf numFmtId="3" fontId="15" fillId="0" borderId="58" xfId="1" applyNumberFormat="1" applyFont="1" applyBorder="1" applyAlignment="1" applyProtection="1">
      <alignment horizontal="center" vertical="center"/>
    </xf>
    <xf numFmtId="3" fontId="15" fillId="31" borderId="39" xfId="1" applyNumberFormat="1" applyFont="1" applyFill="1" applyBorder="1" applyAlignment="1" applyProtection="1">
      <alignment horizontal="center" vertical="center"/>
      <protection locked="0"/>
    </xf>
    <xf numFmtId="3" fontId="15" fillId="31" borderId="44" xfId="1" applyNumberFormat="1" applyFont="1" applyFill="1" applyBorder="1" applyAlignment="1" applyProtection="1">
      <alignment horizontal="center" vertical="center"/>
      <protection locked="0"/>
    </xf>
    <xf numFmtId="3" fontId="15" fillId="0" borderId="19" xfId="1" applyNumberFormat="1" applyFont="1" applyBorder="1" applyAlignment="1" applyProtection="1">
      <alignment horizontal="center" vertical="center"/>
    </xf>
    <xf numFmtId="3" fontId="15" fillId="31" borderId="129" xfId="1" applyNumberFormat="1" applyFont="1" applyFill="1" applyBorder="1" applyAlignment="1" applyProtection="1">
      <alignment horizontal="center" vertical="center"/>
      <protection locked="0"/>
    </xf>
    <xf numFmtId="0" fontId="15" fillId="0" borderId="78" xfId="1" applyFont="1" applyBorder="1" applyAlignment="1" applyProtection="1">
      <alignment horizontal="center" vertical="center"/>
    </xf>
    <xf numFmtId="0" fontId="5" fillId="0" borderId="0" xfId="1" applyFont="1" applyAlignment="1" applyProtection="1">
      <alignment vertical="center"/>
    </xf>
    <xf numFmtId="193" fontId="4" fillId="0" borderId="0" xfId="1" applyNumberFormat="1" applyAlignment="1" applyProtection="1">
      <alignment vertical="center"/>
    </xf>
    <xf numFmtId="0" fontId="4" fillId="0" borderId="0" xfId="1" applyAlignment="1" applyProtection="1">
      <alignment vertical="center"/>
    </xf>
    <xf numFmtId="193" fontId="5" fillId="0" borderId="0" xfId="1" applyNumberFormat="1" applyFont="1" applyAlignment="1" applyProtection="1">
      <alignment vertical="center"/>
    </xf>
    <xf numFmtId="0" fontId="5" fillId="0" borderId="57" xfId="1" applyFont="1" applyBorder="1" applyAlignment="1" applyProtection="1">
      <alignment horizontal="right" vertical="center"/>
    </xf>
    <xf numFmtId="0" fontId="5" fillId="0" borderId="58" xfId="1" applyFont="1" applyBorder="1" applyAlignment="1" applyProtection="1">
      <alignment horizontal="right" vertical="center"/>
    </xf>
    <xf numFmtId="0" fontId="55" fillId="4" borderId="43" xfId="1" applyFont="1" applyFill="1" applyBorder="1" applyAlignment="1" applyProtection="1">
      <alignment horizontal="center" vertical="center"/>
    </xf>
    <xf numFmtId="0" fontId="55" fillId="4" borderId="42" xfId="1" applyFont="1" applyFill="1" applyBorder="1" applyAlignment="1" applyProtection="1">
      <alignment horizontal="center" vertical="center"/>
    </xf>
    <xf numFmtId="0" fontId="55" fillId="4" borderId="23" xfId="1" applyFont="1" applyFill="1" applyBorder="1" applyAlignment="1" applyProtection="1">
      <alignment horizontal="center" vertical="center"/>
    </xf>
    <xf numFmtId="0" fontId="4" fillId="0" borderId="39" xfId="1" applyBorder="1" applyAlignment="1">
      <alignment horizontal="center"/>
    </xf>
    <xf numFmtId="0" fontId="4" fillId="0" borderId="2" xfId="1" applyBorder="1" applyAlignment="1">
      <alignment horizontal="center"/>
    </xf>
    <xf numFmtId="0" fontId="4" fillId="0" borderId="44" xfId="1" applyBorder="1" applyAlignment="1">
      <alignment horizontal="center"/>
    </xf>
    <xf numFmtId="49" fontId="9" fillId="0" borderId="43" xfId="1" applyNumberFormat="1" applyFont="1" applyBorder="1" applyAlignment="1" applyProtection="1">
      <alignment horizontal="right" vertical="center"/>
    </xf>
    <xf numFmtId="49" fontId="9" fillId="0" borderId="23" xfId="1" applyNumberFormat="1" applyFont="1" applyBorder="1" applyAlignment="1" applyProtection="1">
      <alignment horizontal="right" vertical="center"/>
    </xf>
    <xf numFmtId="49" fontId="9" fillId="0" borderId="42" xfId="1" applyNumberFormat="1" applyFont="1" applyBorder="1" applyAlignment="1" applyProtection="1">
      <alignment horizontal="right" vertical="center"/>
    </xf>
    <xf numFmtId="49" fontId="9" fillId="0" borderId="40" xfId="1" applyNumberFormat="1" applyFont="1" applyBorder="1" applyAlignment="1" applyProtection="1">
      <alignment horizontal="right" vertical="center"/>
    </xf>
    <xf numFmtId="49" fontId="9" fillId="0" borderId="0" xfId="1" applyNumberFormat="1" applyFont="1" applyBorder="1" applyAlignment="1" applyProtection="1">
      <alignment horizontal="right" vertical="center"/>
    </xf>
    <xf numFmtId="49" fontId="9" fillId="0" borderId="19" xfId="1" applyNumberFormat="1" applyFont="1" applyBorder="1" applyAlignment="1" applyProtection="1">
      <alignment horizontal="right" vertical="center"/>
    </xf>
    <xf numFmtId="0" fontId="9" fillId="0" borderId="40" xfId="1" applyFont="1" applyBorder="1" applyAlignment="1" applyProtection="1">
      <alignment horizontal="right" vertical="center"/>
    </xf>
    <xf numFmtId="0" fontId="9" fillId="0" borderId="0" xfId="1" applyFont="1" applyBorder="1" applyAlignment="1" applyProtection="1">
      <alignment horizontal="right" vertical="center"/>
    </xf>
    <xf numFmtId="0" fontId="9" fillId="0" borderId="19" xfId="1" applyFont="1" applyBorder="1" applyAlignment="1" applyProtection="1">
      <alignment horizontal="right" vertical="center"/>
    </xf>
    <xf numFmtId="185" fontId="64" fillId="0" borderId="40" xfId="1" applyNumberFormat="1" applyFont="1" applyBorder="1" applyAlignment="1" applyProtection="1">
      <alignment horizontal="center" vertical="top"/>
    </xf>
    <xf numFmtId="185" fontId="64" fillId="0" borderId="19" xfId="1" applyNumberFormat="1" applyFont="1" applyBorder="1" applyAlignment="1" applyProtection="1">
      <alignment horizontal="center" vertical="top"/>
    </xf>
    <xf numFmtId="185" fontId="15" fillId="31" borderId="104" xfId="1" applyNumberFormat="1" applyFont="1" applyFill="1" applyBorder="1" applyAlignment="1" applyProtection="1">
      <alignment horizontal="left" vertical="center"/>
      <protection locked="0"/>
    </xf>
    <xf numFmtId="185" fontId="15" fillId="31" borderId="105" xfId="1" applyNumberFormat="1" applyFont="1" applyFill="1" applyBorder="1" applyAlignment="1" applyProtection="1">
      <alignment horizontal="left" vertical="center"/>
      <protection locked="0"/>
    </xf>
    <xf numFmtId="0" fontId="5" fillId="0" borderId="43" xfId="1" applyFont="1" applyBorder="1" applyAlignment="1" applyProtection="1">
      <alignment horizontal="left" vertical="center"/>
    </xf>
    <xf numFmtId="0" fontId="5" fillId="0" borderId="23" xfId="1" applyFont="1" applyBorder="1" applyAlignment="1" applyProtection="1">
      <alignment horizontal="left" vertical="center"/>
    </xf>
    <xf numFmtId="0" fontId="20" fillId="0" borderId="39" xfId="1" applyFont="1" applyBorder="1" applyAlignment="1" applyProtection="1">
      <alignment horizontal="center" vertical="center"/>
    </xf>
    <xf numFmtId="0" fontId="20" fillId="0" borderId="44" xfId="1" applyFont="1" applyBorder="1" applyAlignment="1" applyProtection="1">
      <alignment horizontal="center" vertical="center"/>
    </xf>
    <xf numFmtId="185" fontId="15" fillId="31" borderId="0" xfId="1" applyNumberFormat="1" applyFont="1" applyFill="1" applyBorder="1" applyAlignment="1" applyProtection="1">
      <alignment horizontal="left" vertical="center"/>
      <protection locked="0"/>
    </xf>
    <xf numFmtId="185" fontId="15" fillId="31" borderId="19" xfId="1" applyNumberFormat="1" applyFont="1" applyFill="1" applyBorder="1" applyAlignment="1" applyProtection="1">
      <alignment horizontal="left" vertical="center"/>
      <protection locked="0"/>
    </xf>
    <xf numFmtId="185" fontId="15" fillId="31" borderId="2" xfId="1" applyNumberFormat="1" applyFont="1" applyFill="1" applyBorder="1" applyAlignment="1" applyProtection="1">
      <alignment horizontal="left" vertical="center"/>
      <protection locked="0"/>
    </xf>
    <xf numFmtId="185" fontId="15" fillId="31" borderId="44" xfId="1" applyNumberFormat="1" applyFont="1" applyFill="1" applyBorder="1" applyAlignment="1" applyProtection="1">
      <alignment horizontal="left" vertical="center"/>
      <protection locked="0"/>
    </xf>
    <xf numFmtId="0" fontId="55" fillId="0" borderId="43" xfId="1" applyFont="1" applyBorder="1" applyAlignment="1" applyProtection="1">
      <alignment horizontal="center" vertical="center"/>
    </xf>
    <xf numFmtId="0" fontId="55" fillId="0" borderId="42" xfId="1" applyFont="1" applyBorder="1" applyAlignment="1" applyProtection="1">
      <alignment horizontal="center" vertical="center"/>
    </xf>
    <xf numFmtId="197" fontId="5" fillId="0" borderId="77" xfId="1" applyNumberFormat="1" applyFont="1" applyBorder="1" applyAlignment="1" applyProtection="1">
      <alignment horizontal="right" vertical="center"/>
    </xf>
    <xf numFmtId="197" fontId="5" fillId="0" borderId="57" xfId="1" applyNumberFormat="1" applyFont="1" applyBorder="1" applyAlignment="1" applyProtection="1">
      <alignment horizontal="right" vertical="center"/>
    </xf>
    <xf numFmtId="197" fontId="5" fillId="0" borderId="58" xfId="1" applyNumberFormat="1" applyFont="1" applyBorder="1" applyAlignment="1" applyProtection="1">
      <alignment horizontal="right" vertical="center"/>
    </xf>
    <xf numFmtId="49" fontId="5" fillId="31" borderId="23" xfId="1" applyNumberFormat="1" applyFont="1" applyFill="1" applyBorder="1" applyAlignment="1" applyProtection="1">
      <alignment horizontal="left" vertical="center"/>
      <protection locked="0"/>
    </xf>
    <xf numFmtId="49" fontId="5" fillId="31" borderId="42" xfId="1" applyNumberFormat="1" applyFont="1" applyFill="1" applyBorder="1" applyAlignment="1" applyProtection="1">
      <alignment horizontal="left" vertical="center"/>
      <protection locked="0"/>
    </xf>
    <xf numFmtId="185" fontId="64" fillId="0" borderId="36" xfId="1" applyNumberFormat="1" applyFont="1" applyBorder="1" applyAlignment="1" applyProtection="1">
      <alignment horizontal="center" vertical="top" wrapText="1"/>
    </xf>
    <xf numFmtId="185" fontId="64" fillId="0" borderId="25" xfId="1" applyNumberFormat="1" applyFont="1" applyBorder="1" applyAlignment="1" applyProtection="1">
      <alignment horizontal="center" vertical="top" wrapText="1"/>
    </xf>
    <xf numFmtId="49" fontId="9" fillId="0" borderId="39" xfId="1" applyNumberFormat="1" applyFont="1" applyBorder="1" applyAlignment="1" applyProtection="1">
      <alignment horizontal="right" vertical="center"/>
    </xf>
    <xf numFmtId="49" fontId="9" fillId="0" borderId="2" xfId="1" applyNumberFormat="1" applyFont="1" applyBorder="1" applyAlignment="1" applyProtection="1">
      <alignment horizontal="right" vertical="center"/>
    </xf>
    <xf numFmtId="49" fontId="9" fillId="0" borderId="44" xfId="1" applyNumberFormat="1" applyFont="1" applyBorder="1" applyAlignment="1" applyProtection="1">
      <alignment horizontal="right" vertical="center"/>
    </xf>
    <xf numFmtId="0" fontId="5" fillId="0" borderId="0" xfId="67" applyFont="1" applyBorder="1" applyAlignment="1" applyProtection="1">
      <alignment horizontal="left" vertical="center" wrapText="1"/>
    </xf>
    <xf numFmtId="0" fontId="9" fillId="0" borderId="0" xfId="67"/>
    <xf numFmtId="0" fontId="5" fillId="0" borderId="0" xfId="67" applyFont="1" applyBorder="1" applyAlignment="1" applyProtection="1">
      <alignment horizontal="left" vertical="top" wrapText="1"/>
    </xf>
    <xf numFmtId="0" fontId="9" fillId="0" borderId="0" xfId="67" applyFont="1" applyAlignment="1">
      <alignment horizontal="left" vertical="center" wrapText="1"/>
    </xf>
    <xf numFmtId="193" fontId="4" fillId="0" borderId="40" xfId="1" applyNumberFormat="1" applyBorder="1" applyAlignment="1" applyProtection="1">
      <alignment vertical="center"/>
    </xf>
    <xf numFmtId="193" fontId="4" fillId="0" borderId="19" xfId="1" applyNumberFormat="1" applyBorder="1" applyAlignment="1" applyProtection="1">
      <alignment vertical="center"/>
    </xf>
    <xf numFmtId="2" fontId="15" fillId="4" borderId="77" xfId="1" applyNumberFormat="1" applyFont="1" applyFill="1" applyBorder="1" applyAlignment="1" applyProtection="1">
      <alignment horizontal="center" vertical="center"/>
    </xf>
    <xf numFmtId="2" fontId="15" fillId="4" borderId="58" xfId="1" applyNumberFormat="1" applyFont="1" applyFill="1" applyBorder="1" applyAlignment="1" applyProtection="1">
      <alignment horizontal="center" vertical="center"/>
    </xf>
    <xf numFmtId="2" fontId="15" fillId="0" borderId="77" xfId="1" applyNumberFormat="1" applyFont="1" applyBorder="1" applyAlignment="1" applyProtection="1">
      <alignment horizontal="center" vertical="center"/>
    </xf>
    <xf numFmtId="2" fontId="15" fillId="0" borderId="58" xfId="1" applyNumberFormat="1" applyFont="1" applyBorder="1" applyAlignment="1" applyProtection="1">
      <alignment horizontal="center" vertical="center"/>
    </xf>
    <xf numFmtId="193" fontId="5" fillId="0" borderId="77" xfId="1" applyNumberFormat="1" applyFont="1" applyBorder="1" applyAlignment="1" applyProtection="1">
      <alignment vertical="center"/>
    </xf>
    <xf numFmtId="193" fontId="5" fillId="0" borderId="58" xfId="1" applyNumberFormat="1" applyFont="1" applyBorder="1" applyAlignment="1" applyProtection="1">
      <alignment vertical="center"/>
    </xf>
    <xf numFmtId="0" fontId="9" fillId="0" borderId="3" xfId="67" applyFont="1" applyBorder="1" applyAlignment="1" applyProtection="1">
      <alignment horizontal="center" vertical="center" wrapText="1"/>
    </xf>
    <xf numFmtId="0" fontId="5" fillId="0" borderId="43" xfId="1" applyFont="1" applyBorder="1" applyAlignment="1" applyProtection="1">
      <alignment horizontal="right" vertical="center"/>
    </xf>
    <xf numFmtId="0" fontId="5" fillId="0" borderId="42" xfId="1" applyFont="1" applyBorder="1" applyAlignment="1" applyProtection="1">
      <alignment horizontal="right" vertical="center"/>
    </xf>
    <xf numFmtId="0" fontId="5" fillId="0" borderId="23" xfId="1" applyFont="1" applyBorder="1" applyAlignment="1" applyProtection="1">
      <alignment horizontal="right" vertical="center"/>
    </xf>
    <xf numFmtId="0" fontId="9" fillId="0" borderId="3" xfId="67" applyFont="1" applyBorder="1" applyAlignment="1" applyProtection="1">
      <alignment horizontal="left" vertical="center" wrapText="1"/>
    </xf>
    <xf numFmtId="193" fontId="4" fillId="0" borderId="0" xfId="1" applyNumberFormat="1" applyBorder="1" applyAlignment="1" applyProtection="1">
      <alignment vertical="center"/>
    </xf>
    <xf numFmtId="193" fontId="5" fillId="0" borderId="57" xfId="1" applyNumberFormat="1" applyFont="1" applyBorder="1" applyAlignment="1" applyProtection="1">
      <alignment vertical="center"/>
    </xf>
    <xf numFmtId="0" fontId="9" fillId="0" borderId="111" xfId="67" applyFont="1" applyBorder="1" applyAlignment="1" applyProtection="1">
      <alignment horizontal="left" vertical="center" wrapText="1"/>
    </xf>
    <xf numFmtId="0" fontId="9" fillId="0" borderId="110" xfId="67" applyFont="1" applyBorder="1" applyAlignment="1" applyProtection="1">
      <alignment horizontal="center" vertical="center" wrapText="1"/>
    </xf>
    <xf numFmtId="193" fontId="5" fillId="0" borderId="40" xfId="1" applyNumberFormat="1" applyFont="1" applyBorder="1" applyAlignment="1" applyProtection="1">
      <alignment vertical="center"/>
    </xf>
    <xf numFmtId="193" fontId="5" fillId="0" borderId="19" xfId="1" applyNumberFormat="1" applyFont="1" applyBorder="1" applyAlignment="1" applyProtection="1">
      <alignment vertical="center"/>
    </xf>
    <xf numFmtId="0" fontId="4" fillId="0" borderId="0" xfId="1" applyBorder="1" applyAlignment="1" applyProtection="1">
      <alignment vertical="center"/>
    </xf>
    <xf numFmtId="0" fontId="4" fillId="0" borderId="19" xfId="1" applyBorder="1" applyAlignment="1" applyProtection="1">
      <alignment vertical="center"/>
    </xf>
    <xf numFmtId="0" fontId="5" fillId="0" borderId="0" xfId="1" applyFont="1" applyBorder="1" applyAlignment="1" applyProtection="1">
      <alignment vertical="center"/>
    </xf>
    <xf numFmtId="0" fontId="5" fillId="0" borderId="19" xfId="1" applyFont="1" applyBorder="1" applyAlignment="1" applyProtection="1">
      <alignment vertical="center"/>
    </xf>
    <xf numFmtId="0" fontId="15" fillId="0" borderId="43" xfId="1" applyFont="1" applyBorder="1" applyAlignment="1" applyProtection="1">
      <alignment horizontal="right" vertical="center"/>
    </xf>
    <xf numFmtId="0" fontId="15" fillId="0" borderId="42" xfId="1" applyFont="1" applyBorder="1" applyAlignment="1" applyProtection="1">
      <alignment horizontal="right" vertical="center"/>
    </xf>
    <xf numFmtId="0" fontId="15" fillId="0" borderId="39" xfId="1" applyFont="1" applyBorder="1" applyAlignment="1" applyProtection="1">
      <alignment horizontal="right" vertical="center"/>
    </xf>
    <xf numFmtId="0" fontId="15" fillId="0" borderId="44" xfId="1" applyFont="1" applyBorder="1" applyAlignment="1" applyProtection="1">
      <alignment horizontal="right" vertical="center"/>
    </xf>
    <xf numFmtId="196" fontId="70" fillId="0" borderId="23" xfId="1" applyNumberFormat="1" applyFont="1" applyBorder="1" applyAlignment="1" applyProtection="1">
      <alignment horizontal="left"/>
    </xf>
    <xf numFmtId="0" fontId="5" fillId="0" borderId="77" xfId="1" applyFont="1" applyBorder="1" applyAlignment="1" applyProtection="1">
      <alignment vertical="center"/>
    </xf>
    <xf numFmtId="0" fontId="5" fillId="0" borderId="58" xfId="1" applyFont="1" applyBorder="1" applyAlignment="1" applyProtection="1">
      <alignment vertical="center"/>
    </xf>
    <xf numFmtId="2" fontId="15" fillId="31" borderId="77" xfId="1" applyNumberFormat="1" applyFont="1" applyFill="1" applyBorder="1" applyAlignment="1" applyProtection="1">
      <alignment horizontal="center" vertical="center"/>
      <protection locked="0"/>
    </xf>
    <xf numFmtId="2" fontId="15" fillId="31" borderId="58" xfId="1" applyNumberFormat="1" applyFont="1" applyFill="1" applyBorder="1" applyAlignment="1" applyProtection="1">
      <alignment horizontal="center" vertical="center"/>
      <protection locked="0"/>
    </xf>
    <xf numFmtId="2" fontId="5" fillId="30" borderId="36" xfId="1" applyNumberFormat="1" applyFont="1" applyFill="1" applyBorder="1" applyAlignment="1">
      <alignment horizontal="center" vertical="center" wrapText="1"/>
    </xf>
    <xf numFmtId="0" fontId="4" fillId="0" borderId="34" xfId="1" applyBorder="1" applyAlignment="1">
      <alignment horizontal="center" vertical="center" wrapText="1"/>
    </xf>
    <xf numFmtId="2" fontId="5" fillId="30" borderId="40" xfId="1" applyNumberFormat="1" applyFont="1" applyFill="1" applyBorder="1" applyAlignment="1">
      <alignment horizontal="center"/>
    </xf>
    <xf numFmtId="2" fontId="5" fillId="30" borderId="0" xfId="1" applyNumberFormat="1" applyFont="1" applyFill="1" applyBorder="1" applyAlignment="1">
      <alignment horizontal="center"/>
    </xf>
    <xf numFmtId="0" fontId="20" fillId="47" borderId="30" xfId="67" applyFont="1" applyFill="1" applyBorder="1" applyAlignment="1">
      <alignment horizontal="left" vertical="center" textRotation="90"/>
    </xf>
    <xf numFmtId="0" fontId="4" fillId="47" borderId="30" xfId="1" applyFill="1" applyBorder="1" applyAlignment="1">
      <alignment horizontal="left" vertical="center" textRotation="90"/>
    </xf>
    <xf numFmtId="0" fontId="4" fillId="0" borderId="23" xfId="1" applyBorder="1" applyAlignment="1">
      <alignment horizontal="left" vertical="center"/>
    </xf>
    <xf numFmtId="0" fontId="20" fillId="48" borderId="30" xfId="67" applyFont="1" applyFill="1" applyBorder="1" applyAlignment="1">
      <alignment horizontal="left" vertical="center" textRotation="90" wrapText="1"/>
    </xf>
    <xf numFmtId="0" fontId="4" fillId="48" borderId="30" xfId="1" applyFill="1" applyBorder="1" applyAlignment="1">
      <alignment horizontal="left" vertical="center" textRotation="90"/>
    </xf>
    <xf numFmtId="0" fontId="20" fillId="48" borderId="30" xfId="67" applyFont="1" applyFill="1" applyBorder="1" applyAlignment="1">
      <alignment horizontal="left" vertical="center" textRotation="90"/>
    </xf>
    <xf numFmtId="0" fontId="63" fillId="0" borderId="36" xfId="1" applyFont="1" applyBorder="1" applyAlignment="1">
      <alignment horizontal="center" vertical="center" textRotation="90"/>
    </xf>
    <xf numFmtId="0" fontId="63" fillId="0" borderId="25" xfId="1" applyFont="1" applyBorder="1" applyAlignment="1">
      <alignment horizontal="center" vertical="center" textRotation="90"/>
    </xf>
    <xf numFmtId="0" fontId="63" fillId="0" borderId="34" xfId="1" applyFont="1" applyBorder="1" applyAlignment="1">
      <alignment horizontal="center" vertical="center" textRotation="90"/>
    </xf>
    <xf numFmtId="0" fontId="13" fillId="0" borderId="43" xfId="67" applyFont="1" applyBorder="1" applyAlignment="1">
      <alignment horizontal="center" vertical="center" wrapText="1"/>
    </xf>
    <xf numFmtId="0" fontId="13" fillId="0" borderId="23" xfId="67" applyFont="1" applyBorder="1" applyAlignment="1">
      <alignment horizontal="center" vertical="center" wrapText="1"/>
    </xf>
    <xf numFmtId="0" fontId="13" fillId="0" borderId="42" xfId="67" applyFont="1" applyBorder="1" applyAlignment="1">
      <alignment horizontal="center" vertical="center" wrapText="1"/>
    </xf>
    <xf numFmtId="0" fontId="13" fillId="0" borderId="39" xfId="67" applyFont="1" applyBorder="1" applyAlignment="1">
      <alignment horizontal="center" vertical="center" wrapText="1"/>
    </xf>
    <xf numFmtId="0" fontId="13" fillId="0" borderId="2" xfId="67" applyFont="1" applyBorder="1" applyAlignment="1">
      <alignment horizontal="center" vertical="center" wrapText="1"/>
    </xf>
    <xf numFmtId="0" fontId="13" fillId="0" borderId="44" xfId="67" applyFont="1" applyBorder="1" applyAlignment="1">
      <alignment horizontal="center" vertical="center" wrapText="1"/>
    </xf>
    <xf numFmtId="171" fontId="13" fillId="0" borderId="40" xfId="1" applyNumberFormat="1" applyFont="1" applyBorder="1" applyAlignment="1">
      <alignment horizontal="center" vertical="center"/>
    </xf>
    <xf numFmtId="171" fontId="13" fillId="0" borderId="19" xfId="1" applyNumberFormat="1" applyFont="1" applyBorder="1" applyAlignment="1">
      <alignment horizontal="center" vertical="center"/>
    </xf>
    <xf numFmtId="203" fontId="6" fillId="4" borderId="39" xfId="1" applyNumberFormat="1" applyFont="1" applyFill="1" applyBorder="1" applyAlignment="1">
      <alignment horizontal="center" vertical="center"/>
    </xf>
    <xf numFmtId="0" fontId="6" fillId="0" borderId="44" xfId="1" applyFont="1" applyBorder="1" applyAlignment="1">
      <alignment horizontal="center" vertical="center"/>
    </xf>
    <xf numFmtId="188" fontId="13" fillId="0" borderId="43" xfId="1" applyNumberFormat="1" applyFont="1" applyFill="1" applyBorder="1" applyAlignment="1">
      <alignment horizontal="right" vertical="center"/>
    </xf>
    <xf numFmtId="188" fontId="13" fillId="0" borderId="42" xfId="1" applyNumberFormat="1" applyFont="1" applyFill="1" applyBorder="1" applyAlignment="1">
      <alignment horizontal="right" vertical="center"/>
    </xf>
    <xf numFmtId="188" fontId="6" fillId="0" borderId="43" xfId="1" applyNumberFormat="1" applyFont="1" applyBorder="1" applyAlignment="1">
      <alignment horizontal="right" vertical="center"/>
    </xf>
    <xf numFmtId="0" fontId="6" fillId="0" borderId="42" xfId="1" applyFont="1" applyBorder="1" applyAlignment="1">
      <alignment horizontal="right" vertical="center"/>
    </xf>
    <xf numFmtId="188" fontId="6" fillId="0" borderId="40" xfId="1" applyNumberFormat="1" applyFont="1" applyBorder="1" applyAlignment="1">
      <alignment horizontal="right" vertical="center"/>
    </xf>
    <xf numFmtId="0" fontId="6" fillId="0" borderId="19" xfId="1" applyFont="1" applyBorder="1" applyAlignment="1">
      <alignment horizontal="right" vertical="center"/>
    </xf>
    <xf numFmtId="188" fontId="13" fillId="0" borderId="39" xfId="1" applyNumberFormat="1" applyFont="1" applyBorder="1" applyAlignment="1">
      <alignment horizontal="right" vertical="center"/>
    </xf>
    <xf numFmtId="188" fontId="13" fillId="0" borderId="44" xfId="1" applyNumberFormat="1" applyFont="1" applyBorder="1" applyAlignment="1">
      <alignment horizontal="right" vertical="center"/>
    </xf>
    <xf numFmtId="188" fontId="13" fillId="0" borderId="77" xfId="1" applyNumberFormat="1" applyFont="1" applyBorder="1" applyAlignment="1">
      <alignment horizontal="right" vertical="center"/>
    </xf>
    <xf numFmtId="188" fontId="13" fillId="0" borderId="58" xfId="1" applyNumberFormat="1" applyFont="1" applyBorder="1" applyAlignment="1">
      <alignment horizontal="right" vertical="center"/>
    </xf>
    <xf numFmtId="188" fontId="6" fillId="0" borderId="42" xfId="1" applyNumberFormat="1" applyFont="1" applyBorder="1" applyAlignment="1">
      <alignment horizontal="right" vertical="center"/>
    </xf>
    <xf numFmtId="188" fontId="6" fillId="0" borderId="19" xfId="1" applyNumberFormat="1" applyFont="1" applyBorder="1" applyAlignment="1">
      <alignment horizontal="right" vertical="center"/>
    </xf>
    <xf numFmtId="188" fontId="13" fillId="0" borderId="43" xfId="1" applyNumberFormat="1" applyFont="1" applyBorder="1" applyAlignment="1">
      <alignment horizontal="right" vertical="center"/>
    </xf>
    <xf numFmtId="188" fontId="13" fillId="0" borderId="42" xfId="1" applyNumberFormat="1" applyFont="1" applyBorder="1" applyAlignment="1">
      <alignment horizontal="right" vertical="center"/>
    </xf>
    <xf numFmtId="203" fontId="6" fillId="4" borderId="39" xfId="1" applyNumberFormat="1" applyFont="1" applyFill="1" applyBorder="1" applyAlignment="1">
      <alignment horizontal="right" vertical="center"/>
    </xf>
    <xf numFmtId="203" fontId="6" fillId="4" borderId="44" xfId="1" applyNumberFormat="1" applyFont="1" applyFill="1" applyBorder="1" applyAlignment="1">
      <alignment horizontal="right" vertical="center"/>
    </xf>
    <xf numFmtId="4" fontId="13" fillId="0" borderId="138" xfId="1" applyNumberFormat="1" applyFont="1" applyBorder="1" applyAlignment="1">
      <alignment horizontal="center" vertical="center"/>
    </xf>
    <xf numFmtId="4" fontId="13" fillId="0" borderId="137" xfId="1" applyNumberFormat="1" applyFont="1" applyBorder="1" applyAlignment="1">
      <alignment horizontal="center" vertical="center"/>
    </xf>
    <xf numFmtId="204" fontId="13" fillId="0" borderId="135" xfId="1" applyNumberFormat="1" applyFont="1" applyBorder="1" applyAlignment="1">
      <alignment horizontal="center"/>
    </xf>
    <xf numFmtId="204" fontId="13" fillId="0" borderId="134" xfId="1" applyNumberFormat="1" applyFont="1" applyBorder="1" applyAlignment="1">
      <alignment horizontal="center"/>
    </xf>
    <xf numFmtId="204" fontId="13" fillId="0" borderId="40" xfId="1" applyNumberFormat="1" applyFont="1" applyBorder="1" applyAlignment="1">
      <alignment horizontal="center" vertical="center"/>
    </xf>
    <xf numFmtId="204" fontId="13" fillId="0" borderId="19" xfId="1" applyNumberFormat="1" applyFont="1" applyBorder="1" applyAlignment="1">
      <alignment horizontal="center" vertical="center"/>
    </xf>
    <xf numFmtId="204" fontId="6" fillId="0" borderId="40" xfId="1" applyNumberFormat="1" applyFont="1" applyBorder="1" applyAlignment="1">
      <alignment horizontal="center" vertical="center"/>
    </xf>
    <xf numFmtId="204" fontId="6" fillId="0" borderId="19" xfId="1" applyNumberFormat="1" applyFont="1" applyBorder="1" applyAlignment="1">
      <alignment horizontal="center" vertical="center"/>
    </xf>
    <xf numFmtId="204" fontId="6" fillId="0" borderId="39" xfId="1" applyNumberFormat="1" applyFont="1" applyBorder="1" applyAlignment="1">
      <alignment horizontal="center" vertical="center"/>
    </xf>
    <xf numFmtId="204" fontId="6" fillId="0" borderId="44" xfId="1" applyNumberFormat="1" applyFont="1" applyBorder="1" applyAlignment="1">
      <alignment horizontal="center" vertical="center"/>
    </xf>
    <xf numFmtId="3" fontId="61" fillId="0" borderId="113" xfId="1" applyNumberFormat="1" applyFont="1" applyBorder="1" applyAlignment="1">
      <alignment horizontal="center"/>
    </xf>
    <xf numFmtId="3" fontId="61" fillId="0" borderId="112" xfId="1" applyNumberFormat="1" applyFont="1" applyBorder="1" applyAlignment="1">
      <alignment horizontal="center"/>
    </xf>
    <xf numFmtId="0" fontId="61" fillId="33" borderId="2" xfId="1" applyFont="1" applyFill="1" applyBorder="1" applyAlignment="1">
      <alignment horizontal="center"/>
    </xf>
    <xf numFmtId="0" fontId="62" fillId="0" borderId="8" xfId="1" applyFont="1" applyBorder="1" applyAlignment="1">
      <alignment horizontal="center"/>
    </xf>
    <xf numFmtId="0" fontId="62" fillId="0" borderId="58" xfId="1" applyFont="1" applyBorder="1" applyAlignment="1">
      <alignment horizontal="center"/>
    </xf>
    <xf numFmtId="172" fontId="62" fillId="0" borderId="65" xfId="1" applyNumberFormat="1" applyFont="1" applyBorder="1" applyAlignment="1"/>
    <xf numFmtId="172" fontId="62" fillId="0" borderId="19" xfId="1" applyNumberFormat="1" applyFont="1" applyBorder="1" applyAlignment="1"/>
    <xf numFmtId="190" fontId="61" fillId="0" borderId="122" xfId="1" applyNumberFormat="1" applyFont="1" applyBorder="1" applyAlignment="1"/>
    <xf numFmtId="190" fontId="61" fillId="0" borderId="90" xfId="1" applyNumberFormat="1" applyFont="1" applyBorder="1" applyAlignment="1"/>
    <xf numFmtId="3" fontId="61" fillId="0" borderId="121" xfId="1" applyNumberFormat="1" applyFont="1" applyBorder="1" applyAlignment="1">
      <alignment horizontal="center"/>
    </xf>
    <xf numFmtId="3" fontId="61" fillId="0" borderId="105" xfId="1" applyNumberFormat="1" applyFont="1" applyBorder="1" applyAlignment="1">
      <alignment horizontal="center"/>
    </xf>
    <xf numFmtId="3" fontId="61" fillId="0" borderId="65" xfId="1" applyNumberFormat="1" applyFont="1" applyBorder="1" applyAlignment="1">
      <alignment horizontal="center"/>
    </xf>
    <xf numFmtId="3" fontId="61" fillId="0" borderId="19" xfId="1" applyNumberFormat="1" applyFont="1" applyBorder="1" applyAlignment="1">
      <alignment horizontal="center"/>
    </xf>
    <xf numFmtId="3" fontId="61" fillId="0" borderId="61" xfId="1" applyNumberFormat="1" applyFont="1" applyBorder="1" applyAlignment="1">
      <alignment horizontal="center"/>
    </xf>
    <xf numFmtId="3" fontId="61" fillId="0" borderId="44" xfId="1" applyNumberFormat="1" applyFont="1" applyBorder="1" applyAlignment="1">
      <alignment horizontal="center"/>
    </xf>
    <xf numFmtId="3" fontId="62" fillId="0" borderId="8" xfId="1" applyNumberFormat="1" applyFont="1" applyBorder="1" applyAlignment="1">
      <alignment horizontal="center"/>
    </xf>
    <xf numFmtId="3" fontId="62" fillId="0" borderId="58" xfId="1" applyNumberFormat="1" applyFont="1" applyBorder="1" applyAlignment="1">
      <alignment horizontal="center"/>
    </xf>
    <xf numFmtId="3" fontId="61" fillId="0" borderId="68" xfId="1" applyNumberFormat="1" applyFont="1" applyBorder="1" applyAlignment="1">
      <alignment horizontal="center"/>
    </xf>
    <xf numFmtId="3" fontId="61" fillId="0" borderId="42" xfId="1" applyNumberFormat="1" applyFont="1" applyBorder="1" applyAlignment="1">
      <alignment horizontal="center"/>
    </xf>
    <xf numFmtId="3" fontId="62" fillId="30" borderId="8" xfId="1" applyNumberFormat="1" applyFont="1" applyFill="1" applyBorder="1" applyAlignment="1">
      <alignment horizontal="center"/>
    </xf>
    <xf numFmtId="3" fontId="62" fillId="30" borderId="58" xfId="1" applyNumberFormat="1" applyFont="1" applyFill="1" applyBorder="1" applyAlignment="1">
      <alignment horizontal="center"/>
    </xf>
    <xf numFmtId="3" fontId="111" fillId="30" borderId="8" xfId="1" applyNumberFormat="1" applyFont="1" applyFill="1" applyBorder="1" applyAlignment="1">
      <alignment horizontal="center"/>
    </xf>
    <xf numFmtId="3" fontId="111" fillId="30" borderId="58" xfId="1" applyNumberFormat="1" applyFont="1" applyFill="1" applyBorder="1" applyAlignment="1">
      <alignment horizontal="center"/>
    </xf>
    <xf numFmtId="0" fontId="117" fillId="49" borderId="0" xfId="1" applyFont="1" applyFill="1" applyBorder="1" applyAlignment="1">
      <alignment horizontal="center" vertical="center"/>
    </xf>
    <xf numFmtId="0" fontId="4" fillId="49" borderId="0" xfId="1" applyFill="1" applyBorder="1" applyAlignment="1">
      <alignment horizontal="center" vertical="center"/>
    </xf>
    <xf numFmtId="0" fontId="13" fillId="61" borderId="57" xfId="1" applyFont="1" applyFill="1" applyBorder="1" applyAlignment="1" applyProtection="1">
      <alignment horizontal="center" vertical="center"/>
      <protection locked="0"/>
    </xf>
    <xf numFmtId="0" fontId="6" fillId="61" borderId="58" xfId="1" applyFont="1" applyFill="1" applyBorder="1" applyAlignment="1">
      <alignment horizontal="center" vertical="center"/>
    </xf>
    <xf numFmtId="0" fontId="181" fillId="3" borderId="23" xfId="2" applyFont="1" applyFill="1" applyBorder="1" applyAlignment="1" applyProtection="1">
      <alignment horizontal="center" vertical="center"/>
    </xf>
    <xf numFmtId="0" fontId="6" fillId="0" borderId="23" xfId="1" applyFont="1" applyBorder="1" applyAlignment="1">
      <alignment horizontal="center" vertical="center"/>
    </xf>
    <xf numFmtId="172" fontId="13" fillId="61" borderId="77" xfId="1" applyNumberFormat="1" applyFont="1" applyFill="1" applyBorder="1" applyAlignment="1">
      <alignment horizontal="center" vertical="center"/>
    </xf>
    <xf numFmtId="172" fontId="13" fillId="61" borderId="58" xfId="1" applyNumberFormat="1" applyFont="1" applyFill="1" applyBorder="1" applyAlignment="1">
      <alignment horizontal="center" vertical="center"/>
    </xf>
    <xf numFmtId="188" fontId="6" fillId="0" borderId="40" xfId="61" applyNumberFormat="1" applyFont="1" applyBorder="1" applyAlignment="1">
      <alignment horizontal="right" vertical="center"/>
    </xf>
    <xf numFmtId="188" fontId="6" fillId="0" borderId="19" xfId="61" applyNumberFormat="1" applyFont="1" applyBorder="1" applyAlignment="1">
      <alignment horizontal="right" vertical="center"/>
    </xf>
    <xf numFmtId="171" fontId="13" fillId="0" borderId="64" xfId="1" applyNumberFormat="1" applyFont="1" applyBorder="1" applyAlignment="1">
      <alignment horizontal="center" vertical="center"/>
    </xf>
    <xf numFmtId="171" fontId="6" fillId="0" borderId="39" xfId="1" applyNumberFormat="1" applyFont="1" applyBorder="1" applyAlignment="1">
      <alignment horizontal="center" vertical="center"/>
    </xf>
    <xf numFmtId="171" fontId="6" fillId="0" borderId="129" xfId="1" applyNumberFormat="1" applyFont="1" applyBorder="1" applyAlignment="1">
      <alignment horizontal="center" vertical="center"/>
    </xf>
    <xf numFmtId="201" fontId="6" fillId="0" borderId="43" xfId="1" applyNumberFormat="1" applyFont="1" applyBorder="1" applyAlignment="1">
      <alignment horizontal="center" vertical="center"/>
    </xf>
    <xf numFmtId="201" fontId="6" fillId="0" borderId="128" xfId="1" applyNumberFormat="1" applyFont="1" applyBorder="1" applyAlignment="1">
      <alignment horizontal="center" vertical="center"/>
    </xf>
    <xf numFmtId="200" fontId="6" fillId="0" borderId="125" xfId="1" applyNumberFormat="1" applyFont="1" applyBorder="1" applyAlignment="1">
      <alignment horizontal="right" vertical="center"/>
    </xf>
    <xf numFmtId="200" fontId="6" fillId="0" borderId="124" xfId="1" applyNumberFormat="1" applyFont="1" applyBorder="1" applyAlignment="1">
      <alignment horizontal="right" vertical="center"/>
    </xf>
    <xf numFmtId="2" fontId="13" fillId="0" borderId="40" xfId="1" applyNumberFormat="1" applyFont="1" applyBorder="1" applyAlignment="1">
      <alignment horizontal="center" vertical="center"/>
    </xf>
    <xf numFmtId="2" fontId="13" fillId="0" borderId="64" xfId="1" applyNumberFormat="1" applyFont="1" applyBorder="1" applyAlignment="1">
      <alignment horizontal="center" vertical="center"/>
    </xf>
    <xf numFmtId="177" fontId="13" fillId="0" borderId="40" xfId="1" applyNumberFormat="1" applyFont="1" applyBorder="1" applyAlignment="1">
      <alignment horizontal="center" vertical="center"/>
    </xf>
    <xf numFmtId="177" fontId="13" fillId="0" borderId="64" xfId="1" applyNumberFormat="1" applyFont="1" applyBorder="1" applyAlignment="1">
      <alignment horizontal="center" vertical="center"/>
    </xf>
    <xf numFmtId="171" fontId="6" fillId="0" borderId="43" xfId="1" applyNumberFormat="1" applyFont="1" applyBorder="1" applyAlignment="1">
      <alignment horizontal="center" vertical="center"/>
    </xf>
    <xf numFmtId="171" fontId="6" fillId="0" borderId="42" xfId="1" applyNumberFormat="1" applyFont="1" applyBorder="1" applyAlignment="1">
      <alignment horizontal="center" vertical="center"/>
    </xf>
    <xf numFmtId="171" fontId="14" fillId="0" borderId="40" xfId="1" applyNumberFormat="1" applyFont="1" applyBorder="1" applyAlignment="1">
      <alignment horizontal="center" vertical="center"/>
    </xf>
    <xf numFmtId="171" fontId="14" fillId="0" borderId="0" xfId="1" applyNumberFormat="1" applyFont="1" applyBorder="1" applyAlignment="1">
      <alignment horizontal="center" vertical="center"/>
    </xf>
    <xf numFmtId="171" fontId="16" fillId="0" borderId="39" xfId="1" applyNumberFormat="1" applyFont="1" applyBorder="1" applyAlignment="1">
      <alignment horizontal="center" vertical="center"/>
    </xf>
    <xf numFmtId="171" fontId="16" fillId="0" borderId="2" xfId="1" applyNumberFormat="1" applyFont="1" applyBorder="1" applyAlignment="1">
      <alignment horizontal="center" vertical="center"/>
    </xf>
    <xf numFmtId="201" fontId="16" fillId="0" borderId="43" xfId="1" applyNumberFormat="1" applyFont="1" applyBorder="1" applyAlignment="1">
      <alignment horizontal="center" vertical="center"/>
    </xf>
    <xf numFmtId="201" fontId="16" fillId="0" borderId="23" xfId="1" applyNumberFormat="1" applyFont="1" applyBorder="1" applyAlignment="1">
      <alignment horizontal="center" vertical="center"/>
    </xf>
    <xf numFmtId="200" fontId="6" fillId="0" borderId="127" xfId="1" applyNumberFormat="1" applyFont="1" applyBorder="1" applyAlignment="1">
      <alignment horizontal="right" vertical="center"/>
    </xf>
    <xf numFmtId="200" fontId="6" fillId="0" borderId="39" xfId="1" applyNumberFormat="1" applyFont="1" applyBorder="1" applyAlignment="1">
      <alignment horizontal="right" vertical="center"/>
    </xf>
    <xf numFmtId="200" fontId="6" fillId="0" borderId="44" xfId="1" applyNumberFormat="1" applyFont="1" applyBorder="1" applyAlignment="1">
      <alignment horizontal="right" vertical="center"/>
    </xf>
    <xf numFmtId="0" fontId="110" fillId="33" borderId="2" xfId="1" applyFont="1" applyFill="1" applyBorder="1" applyAlignment="1">
      <alignment horizontal="center"/>
    </xf>
    <xf numFmtId="0" fontId="4" fillId="33" borderId="2" xfId="1" applyFill="1" applyBorder="1" applyAlignment="1">
      <alignment horizontal="center"/>
    </xf>
    <xf numFmtId="172" fontId="111" fillId="0" borderId="0" xfId="1" applyNumberFormat="1" applyFont="1" applyBorder="1" applyAlignment="1"/>
    <xf numFmtId="201" fontId="16" fillId="0" borderId="128" xfId="1" applyNumberFormat="1" applyFont="1" applyBorder="1" applyAlignment="1">
      <alignment horizontal="center" vertical="center"/>
    </xf>
    <xf numFmtId="201" fontId="16" fillId="30" borderId="40" xfId="1" applyNumberFormat="1" applyFont="1" applyFill="1" applyBorder="1" applyAlignment="1">
      <alignment horizontal="center" vertical="center"/>
    </xf>
    <xf numFmtId="201" fontId="16" fillId="30" borderId="19" xfId="1" applyNumberFormat="1" applyFont="1" applyFill="1" applyBorder="1" applyAlignment="1">
      <alignment horizontal="center" vertical="center"/>
    </xf>
    <xf numFmtId="2" fontId="14" fillId="30" borderId="40" xfId="1" applyNumberFormat="1" applyFont="1" applyFill="1" applyBorder="1" applyAlignment="1">
      <alignment horizontal="center" vertical="center"/>
    </xf>
    <xf numFmtId="2" fontId="14" fillId="30" borderId="19" xfId="1" applyNumberFormat="1" applyFont="1" applyFill="1" applyBorder="1" applyAlignment="1">
      <alignment horizontal="center" vertical="center"/>
    </xf>
    <xf numFmtId="0" fontId="4" fillId="0" borderId="44" xfId="1" applyBorder="1" applyAlignment="1">
      <alignment horizontal="center" vertical="center"/>
    </xf>
    <xf numFmtId="171" fontId="14" fillId="0" borderId="64" xfId="1" applyNumberFormat="1" applyFont="1" applyBorder="1" applyAlignment="1">
      <alignment horizontal="center" vertical="center"/>
    </xf>
    <xf numFmtId="171" fontId="16" fillId="0" borderId="129" xfId="1" applyNumberFormat="1" applyFont="1" applyBorder="1" applyAlignment="1">
      <alignment horizontal="center" vertical="center"/>
    </xf>
    <xf numFmtId="0" fontId="111" fillId="0" borderId="3" xfId="1" applyFont="1" applyBorder="1" applyAlignment="1">
      <alignment horizontal="center"/>
    </xf>
    <xf numFmtId="0" fontId="111" fillId="0" borderId="133" xfId="1" applyFont="1" applyBorder="1" applyAlignment="1">
      <alignment horizontal="center"/>
    </xf>
    <xf numFmtId="172" fontId="111" fillId="30" borderId="65" xfId="1" applyNumberFormat="1" applyFont="1" applyFill="1" applyBorder="1" applyAlignment="1"/>
    <xf numFmtId="172" fontId="111" fillId="30" borderId="72" xfId="1" applyNumberFormat="1" applyFont="1" applyFill="1" applyBorder="1" applyAlignment="1"/>
    <xf numFmtId="3" fontId="110" fillId="0" borderId="0" xfId="1" applyNumberFormat="1" applyFont="1" applyBorder="1" applyAlignment="1">
      <alignment horizontal="center"/>
    </xf>
    <xf numFmtId="201" fontId="16" fillId="0" borderId="40" xfId="1" applyNumberFormat="1" applyFont="1" applyBorder="1" applyAlignment="1">
      <alignment horizontal="center" vertical="center"/>
    </xf>
    <xf numFmtId="201" fontId="16" fillId="0" borderId="19" xfId="1" applyNumberFormat="1" applyFont="1" applyBorder="1" applyAlignment="1">
      <alignment horizontal="center" vertical="center"/>
    </xf>
    <xf numFmtId="171" fontId="14" fillId="0" borderId="19" xfId="1" applyNumberFormat="1" applyFont="1" applyBorder="1" applyAlignment="1">
      <alignment horizontal="center" vertical="center"/>
    </xf>
    <xf numFmtId="171" fontId="14" fillId="30" borderId="40" xfId="1" applyNumberFormat="1" applyFont="1" applyFill="1" applyBorder="1" applyAlignment="1">
      <alignment horizontal="center" vertical="center"/>
    </xf>
    <xf numFmtId="171" fontId="14" fillId="30" borderId="19" xfId="1" applyNumberFormat="1" applyFont="1" applyFill="1" applyBorder="1" applyAlignment="1">
      <alignment horizontal="center" vertical="center"/>
    </xf>
    <xf numFmtId="200" fontId="6" fillId="30" borderId="125" xfId="1" applyNumberFormat="1" applyFont="1" applyFill="1" applyBorder="1" applyAlignment="1">
      <alignment horizontal="right" vertical="center"/>
    </xf>
    <xf numFmtId="200" fontId="6" fillId="30" borderId="126" xfId="1" applyNumberFormat="1" applyFont="1" applyFill="1" applyBorder="1" applyAlignment="1">
      <alignment horizontal="right" vertical="center"/>
    </xf>
    <xf numFmtId="3" fontId="111" fillId="0" borderId="8" xfId="1" applyNumberFormat="1" applyFont="1" applyBorder="1" applyAlignment="1">
      <alignment horizontal="center"/>
    </xf>
    <xf numFmtId="3" fontId="111" fillId="0" borderId="58" xfId="1" applyNumberFormat="1" applyFont="1" applyBorder="1" applyAlignment="1">
      <alignment horizontal="center"/>
    </xf>
    <xf numFmtId="3" fontId="110" fillId="0" borderId="61" xfId="1" applyNumberFormat="1" applyFont="1" applyBorder="1" applyAlignment="1">
      <alignment horizontal="center"/>
    </xf>
    <xf numFmtId="3" fontId="110" fillId="0" borderId="44" xfId="1" applyNumberFormat="1" applyFont="1" applyBorder="1" applyAlignment="1">
      <alignment horizontal="center"/>
    </xf>
    <xf numFmtId="3" fontId="110" fillId="0" borderId="121" xfId="1" applyNumberFormat="1" applyFont="1" applyBorder="1" applyAlignment="1">
      <alignment horizontal="center"/>
    </xf>
    <xf numFmtId="3" fontId="110" fillId="0" borderId="105" xfId="1" applyNumberFormat="1" applyFont="1" applyBorder="1" applyAlignment="1">
      <alignment horizontal="center"/>
    </xf>
    <xf numFmtId="0" fontId="111" fillId="0" borderId="8" xfId="1" applyFont="1" applyBorder="1" applyAlignment="1">
      <alignment horizontal="center"/>
    </xf>
    <xf numFmtId="0" fontId="111" fillId="0" borderId="58" xfId="1" applyFont="1" applyBorder="1" applyAlignment="1">
      <alignment horizontal="center"/>
    </xf>
    <xf numFmtId="177" fontId="14" fillId="0" borderId="40" xfId="1" applyNumberFormat="1" applyFont="1" applyBorder="1" applyAlignment="1">
      <alignment horizontal="center" vertical="center"/>
    </xf>
    <xf numFmtId="177" fontId="14" fillId="0" borderId="64" xfId="1" applyNumberFormat="1" applyFont="1" applyBorder="1" applyAlignment="1">
      <alignment horizontal="center" vertical="center"/>
    </xf>
    <xf numFmtId="177" fontId="14" fillId="30" borderId="40" xfId="1" applyNumberFormat="1" applyFont="1" applyFill="1" applyBorder="1" applyAlignment="1">
      <alignment horizontal="center" vertical="center"/>
    </xf>
    <xf numFmtId="177" fontId="14" fillId="30" borderId="19" xfId="1" applyNumberFormat="1" applyFont="1" applyFill="1" applyBorder="1" applyAlignment="1">
      <alignment horizontal="center" vertical="center"/>
    </xf>
    <xf numFmtId="3" fontId="110" fillId="30" borderId="65" xfId="1" applyNumberFormat="1" applyFont="1" applyFill="1" applyBorder="1" applyAlignment="1">
      <alignment horizontal="center"/>
    </xf>
    <xf numFmtId="3" fontId="110" fillId="30" borderId="72" xfId="1" applyNumberFormat="1" applyFont="1" applyFill="1" applyBorder="1" applyAlignment="1">
      <alignment horizontal="center"/>
    </xf>
    <xf numFmtId="172" fontId="111" fillId="0" borderId="65" xfId="1" applyNumberFormat="1" applyFont="1" applyBorder="1" applyAlignment="1"/>
    <xf numFmtId="172" fontId="111" fillId="0" borderId="19" xfId="1" applyNumberFormat="1" applyFont="1" applyBorder="1" applyAlignment="1"/>
    <xf numFmtId="0" fontId="111" fillId="30" borderId="8" xfId="1" applyFont="1" applyFill="1" applyBorder="1" applyAlignment="1">
      <alignment horizontal="center"/>
    </xf>
    <xf numFmtId="0" fontId="111" fillId="30" borderId="120" xfId="1" applyFont="1" applyFill="1" applyBorder="1" applyAlignment="1">
      <alignment horizontal="center"/>
    </xf>
    <xf numFmtId="2" fontId="14" fillId="0" borderId="40" xfId="1" applyNumberFormat="1" applyFont="1" applyBorder="1" applyAlignment="1">
      <alignment horizontal="center" vertical="center"/>
    </xf>
    <xf numFmtId="2" fontId="14" fillId="0" borderId="64" xfId="1" applyNumberFormat="1" applyFont="1" applyBorder="1" applyAlignment="1">
      <alignment horizontal="center" vertical="center"/>
    </xf>
    <xf numFmtId="3" fontId="110" fillId="0" borderId="68" xfId="1" applyNumberFormat="1" applyFont="1" applyBorder="1" applyAlignment="1">
      <alignment horizontal="center"/>
    </xf>
    <xf numFmtId="3" fontId="110" fillId="0" borderId="42" xfId="1" applyNumberFormat="1" applyFont="1" applyBorder="1" applyAlignment="1">
      <alignment horizontal="center"/>
    </xf>
    <xf numFmtId="190" fontId="110" fillId="0" borderId="122" xfId="1" applyNumberFormat="1" applyFont="1" applyBorder="1" applyAlignment="1"/>
    <xf numFmtId="190" fontId="110" fillId="0" borderId="90" xfId="1" applyNumberFormat="1" applyFont="1" applyBorder="1" applyAlignment="1"/>
    <xf numFmtId="188" fontId="6" fillId="30" borderId="40" xfId="1" applyNumberFormat="1" applyFont="1" applyFill="1" applyBorder="1" applyAlignment="1">
      <alignment horizontal="right" vertical="center"/>
    </xf>
    <xf numFmtId="188" fontId="6" fillId="30" borderId="19" xfId="1" applyNumberFormat="1" applyFont="1" applyFill="1" applyBorder="1" applyAlignment="1">
      <alignment horizontal="right" vertical="center"/>
    </xf>
    <xf numFmtId="0" fontId="4" fillId="0" borderId="19" xfId="1" applyBorder="1" applyAlignment="1">
      <alignment horizontal="right" vertical="center"/>
    </xf>
    <xf numFmtId="188" fontId="6" fillId="30" borderId="43" xfId="1" applyNumberFormat="1" applyFont="1" applyFill="1" applyBorder="1" applyAlignment="1">
      <alignment horizontal="right" vertical="center"/>
    </xf>
    <xf numFmtId="188" fontId="6" fillId="30" borderId="42" xfId="1" applyNumberFormat="1" applyFont="1" applyFill="1" applyBorder="1" applyAlignment="1">
      <alignment horizontal="right" vertical="center"/>
    </xf>
    <xf numFmtId="0" fontId="5" fillId="0" borderId="77" xfId="1" applyFont="1" applyBorder="1" applyAlignment="1">
      <alignment wrapText="1"/>
    </xf>
    <xf numFmtId="0" fontId="5" fillId="0" borderId="57" xfId="1" applyFont="1" applyBorder="1" applyAlignment="1">
      <alignment wrapText="1"/>
    </xf>
    <xf numFmtId="0" fontId="9" fillId="0" borderId="40" xfId="1" applyFont="1" applyBorder="1" applyAlignment="1">
      <alignment wrapText="1"/>
    </xf>
    <xf numFmtId="0" fontId="9" fillId="0" borderId="0" xfId="1" applyFont="1" applyBorder="1" applyAlignment="1">
      <alignment wrapText="1"/>
    </xf>
    <xf numFmtId="0" fontId="5" fillId="30" borderId="77" xfId="1" applyFont="1" applyFill="1" applyBorder="1" applyAlignment="1">
      <alignment wrapText="1"/>
    </xf>
    <xf numFmtId="0" fontId="5" fillId="30" borderId="57" xfId="1" applyFont="1" applyFill="1" applyBorder="1" applyAlignment="1">
      <alignment wrapText="1"/>
    </xf>
    <xf numFmtId="200" fontId="6" fillId="0" borderId="126" xfId="1" applyNumberFormat="1" applyFont="1" applyBorder="1" applyAlignment="1">
      <alignment horizontal="right" vertical="center"/>
    </xf>
    <xf numFmtId="0" fontId="5" fillId="0" borderId="43" xfId="1" applyFont="1" applyBorder="1" applyAlignment="1">
      <alignment wrapText="1"/>
    </xf>
    <xf numFmtId="0" fontId="5" fillId="0" borderId="23" xfId="1" applyFont="1" applyBorder="1" applyAlignment="1">
      <alignment wrapText="1"/>
    </xf>
    <xf numFmtId="2" fontId="14" fillId="0" borderId="19" xfId="1" applyNumberFormat="1" applyFont="1" applyBorder="1" applyAlignment="1">
      <alignment horizontal="center" vertical="center"/>
    </xf>
    <xf numFmtId="177" fontId="14" fillId="0" borderId="19" xfId="1" applyNumberFormat="1" applyFont="1" applyBorder="1" applyAlignment="1">
      <alignment horizontal="center" vertical="center"/>
    </xf>
    <xf numFmtId="0" fontId="5" fillId="0" borderId="40" xfId="1" applyFont="1" applyBorder="1" applyAlignment="1">
      <alignment wrapText="1"/>
    </xf>
    <xf numFmtId="0" fontId="5" fillId="0" borderId="0" xfId="1" applyFont="1" applyBorder="1" applyAlignment="1">
      <alignment wrapText="1"/>
    </xf>
    <xf numFmtId="0" fontId="9" fillId="0" borderId="92" xfId="1" applyFont="1" applyBorder="1" applyAlignment="1">
      <alignment wrapText="1"/>
    </xf>
    <xf numFmtId="0" fontId="9" fillId="0" borderId="91" xfId="1" applyFont="1" applyBorder="1" applyAlignment="1">
      <alignment wrapText="1"/>
    </xf>
    <xf numFmtId="0" fontId="9" fillId="49" borderId="23" xfId="1" applyFont="1" applyFill="1" applyBorder="1" applyAlignment="1">
      <alignment wrapText="1"/>
    </xf>
    <xf numFmtId="3" fontId="111" fillId="30" borderId="57" xfId="1" applyNumberFormat="1" applyFont="1" applyFill="1" applyBorder="1" applyAlignment="1">
      <alignment horizontal="center"/>
    </xf>
    <xf numFmtId="188" fontId="13" fillId="30" borderId="43" xfId="1" applyNumberFormat="1" applyFont="1" applyFill="1" applyBorder="1" applyAlignment="1">
      <alignment horizontal="right" vertical="center"/>
    </xf>
    <xf numFmtId="188" fontId="13" fillId="30" borderId="42" xfId="1" applyNumberFormat="1" applyFont="1" applyFill="1" applyBorder="1" applyAlignment="1">
      <alignment horizontal="right" vertical="center"/>
    </xf>
    <xf numFmtId="188" fontId="13" fillId="30" borderId="39" xfId="1" applyNumberFormat="1" applyFont="1" applyFill="1" applyBorder="1" applyAlignment="1">
      <alignment horizontal="right" vertical="center"/>
    </xf>
    <xf numFmtId="188" fontId="13" fillId="30" borderId="44" xfId="1" applyNumberFormat="1" applyFont="1" applyFill="1" applyBorder="1" applyAlignment="1">
      <alignment horizontal="right" vertical="center"/>
    </xf>
    <xf numFmtId="203" fontId="6" fillId="30" borderId="39" xfId="1" applyNumberFormat="1" applyFont="1" applyFill="1" applyBorder="1" applyAlignment="1">
      <alignment horizontal="right" vertical="center"/>
    </xf>
    <xf numFmtId="203" fontId="6" fillId="30" borderId="44" xfId="1" applyNumberFormat="1" applyFont="1" applyFill="1" applyBorder="1" applyAlignment="1">
      <alignment horizontal="right" vertical="center"/>
    </xf>
    <xf numFmtId="204" fontId="13" fillId="30" borderId="40" xfId="1" applyNumberFormat="1" applyFont="1" applyFill="1" applyBorder="1" applyAlignment="1">
      <alignment horizontal="center" vertical="center"/>
    </xf>
    <xf numFmtId="204" fontId="13" fillId="30" borderId="19" xfId="1" applyNumberFormat="1" applyFont="1" applyFill="1" applyBorder="1" applyAlignment="1">
      <alignment horizontal="center" vertical="center"/>
    </xf>
    <xf numFmtId="204" fontId="6" fillId="30" borderId="40" xfId="1" applyNumberFormat="1" applyFont="1" applyFill="1" applyBorder="1" applyAlignment="1">
      <alignment horizontal="center" vertical="center"/>
    </xf>
    <xf numFmtId="204" fontId="6" fillId="30" borderId="19" xfId="1" applyNumberFormat="1" applyFont="1" applyFill="1" applyBorder="1" applyAlignment="1">
      <alignment horizontal="center" vertical="center"/>
    </xf>
    <xf numFmtId="190" fontId="110" fillId="30" borderId="122" xfId="1" applyNumberFormat="1" applyFont="1" applyFill="1" applyBorder="1" applyAlignment="1"/>
    <xf numFmtId="190" fontId="110" fillId="30" borderId="123" xfId="1" applyNumberFormat="1" applyFont="1" applyFill="1" applyBorder="1" applyAlignment="1"/>
    <xf numFmtId="204" fontId="6" fillId="30" borderId="39" xfId="1" applyNumberFormat="1" applyFont="1" applyFill="1" applyBorder="1" applyAlignment="1">
      <alignment horizontal="center" vertical="center"/>
    </xf>
    <xf numFmtId="204" fontId="6" fillId="30" borderId="44" xfId="1" applyNumberFormat="1" applyFont="1" applyFill="1" applyBorder="1" applyAlignment="1">
      <alignment horizontal="center" vertical="center"/>
    </xf>
    <xf numFmtId="190" fontId="110" fillId="0" borderId="91" xfId="1" applyNumberFormat="1" applyFont="1" applyBorder="1" applyAlignment="1"/>
    <xf numFmtId="0" fontId="111" fillId="33" borderId="23" xfId="1" applyFont="1" applyFill="1" applyBorder="1" applyAlignment="1">
      <alignment horizontal="center" wrapText="1"/>
    </xf>
    <xf numFmtId="3" fontId="110" fillId="0" borderId="65" xfId="1" applyNumberFormat="1" applyFont="1" applyBorder="1" applyAlignment="1">
      <alignment horizontal="center"/>
    </xf>
    <xf numFmtId="3" fontId="110" fillId="0" borderId="19" xfId="1" applyNumberFormat="1" applyFont="1" applyBorder="1" applyAlignment="1">
      <alignment horizontal="center"/>
    </xf>
    <xf numFmtId="200" fontId="6" fillId="30" borderId="39" xfId="1" applyNumberFormat="1" applyFont="1" applyFill="1" applyBorder="1" applyAlignment="1">
      <alignment horizontal="right" vertical="center"/>
    </xf>
    <xf numFmtId="200" fontId="6" fillId="30" borderId="44" xfId="1" applyNumberFormat="1" applyFont="1" applyFill="1" applyBorder="1" applyAlignment="1">
      <alignment horizontal="right" vertical="center"/>
    </xf>
    <xf numFmtId="203" fontId="6" fillId="30" borderId="39" xfId="1" applyNumberFormat="1" applyFont="1" applyFill="1" applyBorder="1" applyAlignment="1">
      <alignment horizontal="center" vertical="center"/>
    </xf>
    <xf numFmtId="171" fontId="13" fillId="30" borderId="40" xfId="1" applyNumberFormat="1" applyFont="1" applyFill="1" applyBorder="1" applyAlignment="1">
      <alignment horizontal="center" vertical="center"/>
    </xf>
    <xf numFmtId="171" fontId="13" fillId="30" borderId="19" xfId="1" applyNumberFormat="1" applyFont="1" applyFill="1" applyBorder="1" applyAlignment="1">
      <alignment horizontal="center" vertical="center"/>
    </xf>
    <xf numFmtId="0" fontId="4" fillId="0" borderId="42" xfId="1" applyBorder="1" applyAlignment="1">
      <alignment horizontal="right" vertical="center"/>
    </xf>
    <xf numFmtId="188" fontId="6" fillId="41" borderId="43" xfId="1" applyNumberFormat="1" applyFont="1" applyFill="1" applyBorder="1" applyAlignment="1">
      <alignment horizontal="right" vertical="center"/>
    </xf>
    <xf numFmtId="0" fontId="4" fillId="41" borderId="42" xfId="1" applyFill="1" applyBorder="1" applyAlignment="1">
      <alignment horizontal="right" vertical="center"/>
    </xf>
    <xf numFmtId="188" fontId="6" fillId="41" borderId="40" xfId="1" applyNumberFormat="1" applyFont="1" applyFill="1" applyBorder="1" applyAlignment="1">
      <alignment horizontal="right" vertical="center"/>
    </xf>
    <xf numFmtId="0" fontId="4" fillId="41" borderId="19" xfId="1" applyFill="1" applyBorder="1" applyAlignment="1">
      <alignment horizontal="right" vertical="center"/>
    </xf>
    <xf numFmtId="188" fontId="13" fillId="41" borderId="77" xfId="1" applyNumberFormat="1" applyFont="1" applyFill="1" applyBorder="1" applyAlignment="1">
      <alignment horizontal="right" vertical="center"/>
    </xf>
    <xf numFmtId="188" fontId="13" fillId="41" borderId="58" xfId="1" applyNumberFormat="1" applyFont="1" applyFill="1" applyBorder="1" applyAlignment="1">
      <alignment horizontal="right" vertical="center"/>
    </xf>
    <xf numFmtId="188" fontId="13" fillId="41" borderId="43" xfId="1" applyNumberFormat="1" applyFont="1" applyFill="1" applyBorder="1" applyAlignment="1">
      <alignment horizontal="right" vertical="center"/>
    </xf>
    <xf numFmtId="188" fontId="13" fillId="41" borderId="42" xfId="1" applyNumberFormat="1" applyFont="1" applyFill="1" applyBorder="1" applyAlignment="1">
      <alignment horizontal="right" vertical="center"/>
    </xf>
    <xf numFmtId="188" fontId="6" fillId="41" borderId="40" xfId="61" applyNumberFormat="1" applyFont="1" applyFill="1" applyBorder="1" applyAlignment="1">
      <alignment horizontal="right" vertical="center"/>
    </xf>
    <xf numFmtId="188" fontId="6" fillId="41" borderId="19" xfId="61" applyNumberFormat="1" applyFont="1" applyFill="1" applyBorder="1" applyAlignment="1">
      <alignment horizontal="right" vertical="center"/>
    </xf>
    <xf numFmtId="203" fontId="6" fillId="41" borderId="39" xfId="1" applyNumberFormat="1" applyFont="1" applyFill="1" applyBorder="1" applyAlignment="1">
      <alignment horizontal="right" vertical="center"/>
    </xf>
    <xf numFmtId="203" fontId="6" fillId="41" borderId="44" xfId="1" applyNumberFormat="1" applyFont="1" applyFill="1" applyBorder="1" applyAlignment="1">
      <alignment horizontal="right" vertical="center"/>
    </xf>
    <xf numFmtId="188" fontId="13" fillId="41" borderId="39" xfId="1" applyNumberFormat="1" applyFont="1" applyFill="1" applyBorder="1" applyAlignment="1">
      <alignment horizontal="right" vertical="center"/>
    </xf>
    <xf numFmtId="188" fontId="13" fillId="41" borderId="44" xfId="1" applyNumberFormat="1" applyFont="1" applyFill="1" applyBorder="1" applyAlignment="1">
      <alignment horizontal="right" vertical="center"/>
    </xf>
    <xf numFmtId="0" fontId="4" fillId="0" borderId="25" xfId="1" applyBorder="1" applyAlignment="1">
      <alignment horizontal="center" vertical="center" textRotation="90"/>
    </xf>
    <xf numFmtId="0" fontId="4" fillId="0" borderId="34" xfId="1" applyBorder="1" applyAlignment="1">
      <alignment horizontal="center" vertical="center" textRotation="90"/>
    </xf>
    <xf numFmtId="172" fontId="14" fillId="37" borderId="77" xfId="1" applyNumberFormat="1" applyFont="1" applyFill="1" applyBorder="1" applyAlignment="1" applyProtection="1">
      <alignment horizontal="center" vertical="center"/>
      <protection locked="0"/>
    </xf>
    <xf numFmtId="172" fontId="14" fillId="37" borderId="58" xfId="1" applyNumberFormat="1" applyFont="1" applyFill="1" applyBorder="1" applyAlignment="1" applyProtection="1">
      <alignment horizontal="center" vertical="center"/>
      <protection locked="0"/>
    </xf>
    <xf numFmtId="0" fontId="9" fillId="0" borderId="0" xfId="1" applyFont="1" applyBorder="1" applyAlignment="1">
      <alignment horizontal="left" vertical="center"/>
    </xf>
    <xf numFmtId="204" fontId="13" fillId="0" borderId="40" xfId="1" applyNumberFormat="1" applyFont="1" applyBorder="1" applyAlignment="1">
      <alignment horizontal="center"/>
    </xf>
    <xf numFmtId="204" fontId="13" fillId="0" borderId="19" xfId="1" applyNumberFormat="1" applyFont="1" applyBorder="1" applyAlignment="1">
      <alignment horizontal="center"/>
    </xf>
    <xf numFmtId="204" fontId="13" fillId="30" borderId="40" xfId="1" applyNumberFormat="1" applyFont="1" applyFill="1" applyBorder="1" applyAlignment="1">
      <alignment horizontal="center"/>
    </xf>
    <xf numFmtId="204" fontId="13" fillId="30" borderId="19" xfId="1" applyNumberFormat="1" applyFont="1" applyFill="1" applyBorder="1" applyAlignment="1">
      <alignment horizontal="center"/>
    </xf>
    <xf numFmtId="4" fontId="13" fillId="30" borderId="138" xfId="1" applyNumberFormat="1" applyFont="1" applyFill="1" applyBorder="1" applyAlignment="1">
      <alignment horizontal="center" vertical="center"/>
    </xf>
    <xf numFmtId="4" fontId="13" fillId="30" borderId="137" xfId="1" applyNumberFormat="1" applyFont="1" applyFill="1" applyBorder="1" applyAlignment="1">
      <alignment horizontal="center" vertical="center"/>
    </xf>
    <xf numFmtId="171" fontId="6" fillId="30" borderId="43" xfId="1" applyNumberFormat="1" applyFont="1" applyFill="1" applyBorder="1" applyAlignment="1">
      <alignment horizontal="center" vertical="center"/>
    </xf>
    <xf numFmtId="171" fontId="6" fillId="30" borderId="42" xfId="1" applyNumberFormat="1" applyFont="1" applyFill="1" applyBorder="1" applyAlignment="1">
      <alignment horizontal="center" vertical="center"/>
    </xf>
    <xf numFmtId="3" fontId="111" fillId="30" borderId="120" xfId="1" applyNumberFormat="1" applyFont="1" applyFill="1" applyBorder="1" applyAlignment="1">
      <alignment horizontal="center"/>
    </xf>
    <xf numFmtId="0" fontId="13" fillId="37" borderId="77" xfId="1" applyFont="1" applyFill="1" applyBorder="1" applyAlignment="1" applyProtection="1">
      <alignment horizontal="center" vertical="center"/>
      <protection locked="0"/>
    </xf>
    <xf numFmtId="0" fontId="6" fillId="37" borderId="57" xfId="1" applyFont="1" applyFill="1" applyBorder="1" applyAlignment="1">
      <alignment horizontal="center" vertical="center"/>
    </xf>
    <xf numFmtId="0" fontId="6" fillId="37" borderId="58" xfId="1" applyFont="1" applyFill="1" applyBorder="1" applyAlignment="1">
      <alignment horizontal="center" vertical="center"/>
    </xf>
    <xf numFmtId="0" fontId="13" fillId="37" borderId="57" xfId="1" applyFont="1" applyFill="1" applyBorder="1" applyAlignment="1" applyProtection="1">
      <alignment horizontal="center" vertical="center"/>
      <protection locked="0"/>
    </xf>
    <xf numFmtId="171" fontId="16" fillId="0" borderId="44" xfId="1" applyNumberFormat="1" applyFont="1" applyBorder="1" applyAlignment="1">
      <alignment horizontal="center" vertical="center"/>
    </xf>
    <xf numFmtId="171" fontId="16" fillId="30" borderId="39" xfId="1" applyNumberFormat="1" applyFont="1" applyFill="1" applyBorder="1" applyAlignment="1">
      <alignment horizontal="center" vertical="center"/>
    </xf>
    <xf numFmtId="171" fontId="16" fillId="30" borderId="44" xfId="1" applyNumberFormat="1" applyFont="1" applyFill="1" applyBorder="1" applyAlignment="1">
      <alignment horizontal="center" vertical="center"/>
    </xf>
    <xf numFmtId="0" fontId="7" fillId="3" borderId="23" xfId="2" applyFill="1" applyBorder="1" applyAlignment="1" applyProtection="1">
      <alignment horizontal="center" vertical="center"/>
    </xf>
    <xf numFmtId="0" fontId="9" fillId="0" borderId="23" xfId="1" applyFont="1" applyBorder="1" applyAlignment="1">
      <alignment horizontal="center" vertical="center"/>
    </xf>
    <xf numFmtId="3" fontId="111" fillId="0" borderId="57" xfId="1" applyNumberFormat="1" applyFont="1" applyBorder="1" applyAlignment="1">
      <alignment horizontal="center"/>
    </xf>
    <xf numFmtId="172" fontId="111" fillId="0" borderId="57" xfId="1" applyNumberFormat="1" applyFont="1" applyBorder="1" applyAlignment="1"/>
    <xf numFmtId="172" fontId="111" fillId="30" borderId="8" xfId="1" applyNumberFormat="1" applyFont="1" applyFill="1" applyBorder="1" applyAlignment="1"/>
    <xf numFmtId="172" fontId="111" fillId="30" borderId="120" xfId="1" applyNumberFormat="1" applyFont="1" applyFill="1" applyBorder="1" applyAlignment="1"/>
    <xf numFmtId="190" fontId="111" fillId="30" borderId="57" xfId="1" applyNumberFormat="1" applyFont="1" applyFill="1" applyBorder="1" applyAlignment="1"/>
    <xf numFmtId="190" fontId="111" fillId="30" borderId="8" xfId="1" applyNumberFormat="1" applyFont="1" applyFill="1" applyBorder="1" applyAlignment="1"/>
    <xf numFmtId="190" fontId="111" fillId="30" borderId="120" xfId="1" applyNumberFormat="1" applyFont="1" applyFill="1" applyBorder="1" applyAlignment="1"/>
    <xf numFmtId="0" fontId="17" fillId="0" borderId="0" xfId="1" applyFont="1" applyAlignment="1">
      <alignment horizontal="center"/>
    </xf>
    <xf numFmtId="190" fontId="110" fillId="0" borderId="0" xfId="1" applyNumberFormat="1" applyFont="1" applyBorder="1" applyAlignment="1"/>
    <xf numFmtId="172" fontId="110" fillId="0" borderId="0" xfId="1" applyNumberFormat="1" applyFont="1" applyBorder="1" applyAlignment="1"/>
    <xf numFmtId="190" fontId="110" fillId="0" borderId="118" xfId="1" applyNumberFormat="1" applyFont="1" applyBorder="1" applyAlignment="1"/>
    <xf numFmtId="0" fontId="17" fillId="49" borderId="0" xfId="1" applyFont="1" applyFill="1" applyAlignment="1">
      <alignment horizontal="center"/>
    </xf>
    <xf numFmtId="3" fontId="110" fillId="0" borderId="2" xfId="1" applyNumberFormat="1" applyFont="1" applyBorder="1" applyAlignment="1">
      <alignment horizontal="center"/>
    </xf>
    <xf numFmtId="190" fontId="110" fillId="30" borderId="116" xfId="1" applyNumberFormat="1" applyFont="1" applyFill="1" applyBorder="1" applyAlignment="1"/>
    <xf numFmtId="190" fontId="110" fillId="30" borderId="117" xfId="1" applyNumberFormat="1" applyFont="1" applyFill="1" applyBorder="1" applyAlignment="1"/>
    <xf numFmtId="190" fontId="110" fillId="30" borderId="65" xfId="1" applyNumberFormat="1" applyFont="1" applyFill="1" applyBorder="1" applyAlignment="1"/>
    <xf numFmtId="190" fontId="110" fillId="30" borderId="72" xfId="1" applyNumberFormat="1" applyFont="1" applyFill="1" applyBorder="1" applyAlignment="1"/>
    <xf numFmtId="0" fontId="9" fillId="0" borderId="119" xfId="1" applyFont="1" applyBorder="1" applyAlignment="1">
      <alignment wrapText="1"/>
    </xf>
    <xf numFmtId="0" fontId="9" fillId="0" borderId="118" xfId="1" applyFont="1" applyBorder="1" applyAlignment="1">
      <alignment wrapText="1"/>
    </xf>
    <xf numFmtId="0" fontId="9" fillId="0" borderId="39" xfId="1" applyFont="1" applyBorder="1" applyAlignment="1">
      <alignment wrapText="1"/>
    </xf>
    <xf numFmtId="0" fontId="9" fillId="0" borderId="2" xfId="1" applyFont="1" applyBorder="1" applyAlignment="1">
      <alignment wrapText="1"/>
    </xf>
    <xf numFmtId="3" fontId="110" fillId="30" borderId="113" xfId="1" applyNumberFormat="1" applyFont="1" applyFill="1" applyBorder="1" applyAlignment="1">
      <alignment horizontal="center"/>
    </xf>
    <xf numFmtId="3" fontId="110" fillId="30" borderId="114" xfId="1" applyNumberFormat="1" applyFont="1" applyFill="1" applyBorder="1" applyAlignment="1">
      <alignment horizontal="center"/>
    </xf>
    <xf numFmtId="3" fontId="110" fillId="0" borderId="113" xfId="1" applyNumberFormat="1" applyFont="1" applyBorder="1" applyAlignment="1">
      <alignment horizontal="center"/>
    </xf>
    <xf numFmtId="3" fontId="110" fillId="0" borderId="112" xfId="1" applyNumberFormat="1" applyFont="1" applyBorder="1" applyAlignment="1">
      <alignment horizontal="center"/>
    </xf>
    <xf numFmtId="172" fontId="110" fillId="30" borderId="65" xfId="1" applyNumberFormat="1" applyFont="1" applyFill="1" applyBorder="1" applyAlignment="1"/>
    <xf numFmtId="172" fontId="110" fillId="30" borderId="72" xfId="1" applyNumberFormat="1" applyFont="1" applyFill="1" applyBorder="1" applyAlignment="1"/>
    <xf numFmtId="188" fontId="13" fillId="55" borderId="39" xfId="1" applyNumberFormat="1" applyFont="1" applyFill="1" applyBorder="1" applyAlignment="1">
      <alignment horizontal="right" vertical="center"/>
    </xf>
    <xf numFmtId="188" fontId="13" fillId="55" borderId="44" xfId="1" applyNumberFormat="1" applyFont="1" applyFill="1" applyBorder="1" applyAlignment="1">
      <alignment horizontal="right" vertical="center"/>
    </xf>
    <xf numFmtId="188" fontId="6" fillId="41" borderId="42" xfId="1" applyNumberFormat="1" applyFont="1" applyFill="1" applyBorder="1" applyAlignment="1">
      <alignment horizontal="right" vertical="center"/>
    </xf>
    <xf numFmtId="2" fontId="14" fillId="0" borderId="0" xfId="1" applyNumberFormat="1" applyFont="1" applyBorder="1" applyAlignment="1">
      <alignment horizontal="center" vertical="center"/>
    </xf>
    <xf numFmtId="177" fontId="14" fillId="0" borderId="0" xfId="1" applyNumberFormat="1" applyFont="1" applyBorder="1" applyAlignment="1">
      <alignment horizontal="center" vertical="center"/>
    </xf>
    <xf numFmtId="0" fontId="110" fillId="33" borderId="44" xfId="1" applyFont="1" applyFill="1" applyBorder="1" applyAlignment="1">
      <alignment horizontal="center"/>
    </xf>
    <xf numFmtId="3" fontId="120" fillId="4" borderId="32" xfId="105" applyNumberFormat="1" applyFont="1" applyFill="1" applyBorder="1" applyAlignment="1" applyProtection="1">
      <alignment horizontal="left" vertical="center"/>
    </xf>
    <xf numFmtId="3" fontId="120" fillId="4" borderId="19" xfId="105" applyNumberFormat="1" applyFont="1" applyFill="1" applyBorder="1" applyAlignment="1" applyProtection="1">
      <alignment horizontal="left" vertical="center"/>
    </xf>
    <xf numFmtId="216" fontId="130" fillId="0" borderId="0" xfId="1" applyNumberFormat="1" applyFont="1" applyAlignment="1" applyProtection="1">
      <alignment horizontal="center" vertical="top"/>
    </xf>
    <xf numFmtId="2" fontId="6" fillId="37" borderId="2" xfId="105" applyNumberFormat="1" applyFont="1" applyFill="1" applyBorder="1" applyAlignment="1" applyProtection="1">
      <alignment horizontal="left" vertical="center"/>
      <protection locked="0"/>
    </xf>
    <xf numFmtId="2" fontId="6" fillId="37" borderId="71" xfId="105" applyNumberFormat="1" applyFont="1" applyFill="1" applyBorder="1" applyAlignment="1" applyProtection="1">
      <alignment horizontal="left" vertical="center"/>
      <protection locked="0"/>
    </xf>
    <xf numFmtId="0" fontId="6" fillId="37" borderId="104" xfId="105" applyFont="1" applyFill="1" applyBorder="1" applyAlignment="1" applyProtection="1">
      <alignment horizontal="left" vertical="center"/>
      <protection locked="0"/>
    </xf>
    <xf numFmtId="0" fontId="6" fillId="37" borderId="165" xfId="105" applyFont="1" applyFill="1" applyBorder="1" applyAlignment="1" applyProtection="1">
      <alignment horizontal="left" vertical="center"/>
      <protection locked="0"/>
    </xf>
    <xf numFmtId="0" fontId="6" fillId="37" borderId="0" xfId="1" applyFont="1" applyFill="1" applyBorder="1" applyAlignment="1" applyProtection="1">
      <alignment horizontal="left" vertical="center"/>
      <protection locked="0"/>
    </xf>
    <xf numFmtId="1" fontId="126" fillId="4" borderId="77" xfId="1" applyNumberFormat="1" applyFont="1" applyFill="1" applyBorder="1" applyAlignment="1" applyProtection="1">
      <alignment horizontal="center" vertical="center"/>
    </xf>
    <xf numFmtId="1" fontId="126" fillId="4" borderId="57" xfId="1" applyNumberFormat="1" applyFont="1" applyFill="1" applyBorder="1" applyAlignment="1" applyProtection="1">
      <alignment horizontal="center" vertical="center"/>
    </xf>
    <xf numFmtId="0" fontId="13" fillId="0" borderId="0" xfId="1" applyFont="1" applyFill="1" applyAlignment="1" applyProtection="1">
      <alignment horizontal="right" vertical="center"/>
      <protection locked="0"/>
    </xf>
    <xf numFmtId="0" fontId="9" fillId="0" borderId="0" xfId="1" applyFont="1" applyAlignment="1">
      <alignment horizontal="right"/>
    </xf>
    <xf numFmtId="0" fontId="6" fillId="31" borderId="57" xfId="1" applyFont="1" applyFill="1" applyBorder="1" applyAlignment="1" applyProtection="1">
      <alignment horizontal="center" vertical="center"/>
      <protection locked="0"/>
    </xf>
    <xf numFmtId="0" fontId="6" fillId="31" borderId="58" xfId="1" applyFont="1" applyFill="1" applyBorder="1" applyAlignment="1" applyProtection="1">
      <alignment horizontal="center" vertical="center"/>
      <protection locked="0"/>
    </xf>
    <xf numFmtId="0" fontId="18" fillId="0" borderId="0" xfId="1" applyFont="1" applyFill="1" applyBorder="1" applyAlignment="1" applyProtection="1">
      <alignment horizontal="right" vertical="top"/>
    </xf>
    <xf numFmtId="0" fontId="108" fillId="4" borderId="0" xfId="1" applyNumberFormat="1" applyFont="1" applyFill="1" applyBorder="1" applyAlignment="1" applyProtection="1">
      <alignment horizontal="left" vertical="center" wrapText="1" readingOrder="1"/>
    </xf>
    <xf numFmtId="0" fontId="9" fillId="0" borderId="0" xfId="1" applyFont="1" applyAlignment="1">
      <alignment horizontal="left" vertical="center"/>
    </xf>
    <xf numFmtId="2" fontId="6" fillId="37" borderId="0" xfId="105" applyNumberFormat="1" applyFont="1" applyFill="1" applyBorder="1" applyAlignment="1" applyProtection="1">
      <alignment horizontal="left" vertical="center"/>
      <protection locked="0"/>
    </xf>
    <xf numFmtId="2" fontId="6" fillId="37" borderId="72" xfId="105" applyNumberFormat="1" applyFont="1" applyFill="1" applyBorder="1" applyAlignment="1" applyProtection="1">
      <alignment horizontal="left" vertical="center"/>
      <protection locked="0"/>
    </xf>
    <xf numFmtId="0" fontId="6" fillId="31" borderId="2" xfId="1" applyFont="1" applyFill="1" applyBorder="1" applyAlignment="1" applyProtection="1">
      <alignment horizontal="right" vertical="center"/>
      <protection locked="0"/>
    </xf>
    <xf numFmtId="0" fontId="6" fillId="31" borderId="71" xfId="1" applyFont="1" applyFill="1" applyBorder="1" applyAlignment="1" applyProtection="1">
      <alignment horizontal="right" vertical="center"/>
      <protection locked="0"/>
    </xf>
    <xf numFmtId="1" fontId="126" fillId="27" borderId="77" xfId="1" applyNumberFormat="1" applyFont="1" applyFill="1" applyBorder="1" applyAlignment="1" applyProtection="1">
      <alignment horizontal="center" vertical="center"/>
    </xf>
    <xf numFmtId="1" fontId="126" fillId="27" borderId="57" xfId="1" applyNumberFormat="1" applyFont="1" applyFill="1" applyBorder="1" applyAlignment="1" applyProtection="1">
      <alignment horizontal="center" vertical="center"/>
    </xf>
    <xf numFmtId="0" fontId="9" fillId="0" borderId="23" xfId="1" applyFont="1" applyBorder="1" applyAlignment="1" applyProtection="1">
      <alignment horizontal="center" vertical="center"/>
    </xf>
    <xf numFmtId="0" fontId="9" fillId="0" borderId="42" xfId="1" applyFont="1" applyBorder="1" applyAlignment="1" applyProtection="1">
      <alignment horizontal="center" vertical="center"/>
    </xf>
    <xf numFmtId="0" fontId="9" fillId="31" borderId="104" xfId="105" applyFont="1" applyFill="1" applyBorder="1" applyAlignment="1" applyProtection="1">
      <alignment horizontal="left" vertical="center"/>
      <protection locked="0"/>
    </xf>
    <xf numFmtId="0" fontId="9" fillId="31" borderId="165" xfId="105" applyFont="1" applyFill="1" applyBorder="1" applyAlignment="1" applyProtection="1">
      <alignment horizontal="left" vertical="center"/>
      <protection locked="0"/>
    </xf>
    <xf numFmtId="0" fontId="9" fillId="31" borderId="2" xfId="105" applyFont="1" applyFill="1" applyBorder="1" applyAlignment="1" applyProtection="1">
      <alignment horizontal="left" vertical="center"/>
      <protection locked="0"/>
    </xf>
    <xf numFmtId="0" fontId="9" fillId="31" borderId="71" xfId="105" applyFont="1" applyFill="1" applyBorder="1" applyAlignment="1" applyProtection="1">
      <alignment horizontal="left" vertical="center"/>
      <protection locked="0"/>
    </xf>
    <xf numFmtId="0" fontId="6" fillId="37" borderId="0" xfId="105" applyFont="1" applyFill="1" applyBorder="1" applyAlignment="1" applyProtection="1">
      <alignment horizontal="left" vertical="center"/>
      <protection locked="0"/>
    </xf>
    <xf numFmtId="0" fontId="6" fillId="37" borderId="72" xfId="105" applyFont="1" applyFill="1" applyBorder="1" applyAlignment="1" applyProtection="1">
      <alignment horizontal="left" vertical="center"/>
      <protection locked="0"/>
    </xf>
    <xf numFmtId="2" fontId="6" fillId="37" borderId="104" xfId="105" applyNumberFormat="1" applyFont="1" applyFill="1" applyBorder="1" applyAlignment="1" applyProtection="1">
      <alignment horizontal="left" vertical="center"/>
      <protection locked="0"/>
    </xf>
    <xf numFmtId="2" fontId="6" fillId="37" borderId="165" xfId="105" applyNumberFormat="1" applyFont="1" applyFill="1" applyBorder="1" applyAlignment="1" applyProtection="1">
      <alignment horizontal="left" vertical="center"/>
      <protection locked="0"/>
    </xf>
    <xf numFmtId="0" fontId="13" fillId="0" borderId="77" xfId="105" applyFont="1" applyBorder="1" applyAlignment="1" applyProtection="1">
      <alignment horizontal="left" vertical="center" wrapText="1"/>
    </xf>
    <xf numFmtId="0" fontId="13" fillId="0" borderId="120" xfId="105" applyFont="1" applyBorder="1" applyAlignment="1" applyProtection="1">
      <alignment horizontal="left" vertical="center" wrapText="1"/>
    </xf>
    <xf numFmtId="0" fontId="6" fillId="0" borderId="2" xfId="1" applyFont="1" applyFill="1" applyBorder="1" applyAlignment="1" applyProtection="1">
      <alignment horizontal="left" vertical="center"/>
    </xf>
    <xf numFmtId="0" fontId="6" fillId="37" borderId="91" xfId="105" applyFont="1" applyFill="1" applyBorder="1" applyAlignment="1" applyProtection="1">
      <alignment horizontal="left" vertical="center"/>
      <protection locked="0"/>
    </xf>
    <xf numFmtId="0" fontId="6" fillId="37" borderId="123"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protection locked="0"/>
    </xf>
    <xf numFmtId="0" fontId="6" fillId="37" borderId="91" xfId="1" applyFont="1" applyFill="1" applyBorder="1" applyAlignment="1" applyProtection="1">
      <alignment horizontal="left" vertical="center"/>
      <protection locked="0"/>
    </xf>
    <xf numFmtId="0" fontId="6" fillId="37" borderId="123" xfId="1" applyFont="1" applyFill="1" applyBorder="1" applyAlignment="1" applyProtection="1">
      <alignment horizontal="left" vertical="center"/>
      <protection locked="0"/>
    </xf>
    <xf numFmtId="0" fontId="6" fillId="31" borderId="2" xfId="1" applyFont="1" applyFill="1" applyBorder="1" applyAlignment="1" applyProtection="1">
      <alignment horizontal="left" vertical="center"/>
      <protection locked="0"/>
    </xf>
    <xf numFmtId="0" fontId="6" fillId="31" borderId="0" xfId="105" applyFont="1" applyFill="1" applyBorder="1" applyAlignment="1" applyProtection="1">
      <alignment horizontal="left" vertical="center"/>
      <protection locked="0"/>
    </xf>
    <xf numFmtId="0" fontId="6" fillId="37" borderId="2" xfId="105" applyFont="1" applyFill="1" applyBorder="1" applyAlignment="1" applyProtection="1">
      <alignment horizontal="left" vertical="center" wrapText="1"/>
      <protection locked="0"/>
    </xf>
    <xf numFmtId="0" fontId="6" fillId="37" borderId="71" xfId="105" applyFont="1" applyFill="1" applyBorder="1" applyAlignment="1" applyProtection="1">
      <alignment horizontal="left" vertical="center" wrapText="1"/>
      <protection locked="0"/>
    </xf>
    <xf numFmtId="0" fontId="13" fillId="31" borderId="0" xfId="1" applyFont="1" applyFill="1" applyAlignment="1" applyProtection="1">
      <alignment vertical="center"/>
      <protection locked="0"/>
    </xf>
    <xf numFmtId="0" fontId="6" fillId="37" borderId="2" xfId="1" applyFont="1" applyFill="1" applyBorder="1" applyAlignment="1" applyProtection="1">
      <alignment horizontal="left" vertical="center"/>
      <protection locked="0"/>
    </xf>
    <xf numFmtId="0" fontId="4" fillId="0" borderId="0" xfId="1" applyAlignment="1">
      <alignment horizontal="left" vertical="center"/>
    </xf>
    <xf numFmtId="0" fontId="4" fillId="0" borderId="72" xfId="1" applyBorder="1" applyAlignment="1">
      <alignment horizontal="left" vertical="center"/>
    </xf>
    <xf numFmtId="0" fontId="4" fillId="0" borderId="104" xfId="1" applyBorder="1" applyAlignment="1">
      <alignment horizontal="left" vertical="center"/>
    </xf>
    <xf numFmtId="0" fontId="4" fillId="0" borderId="165" xfId="1" applyBorder="1" applyAlignment="1">
      <alignment horizontal="left" vertical="center"/>
    </xf>
    <xf numFmtId="0" fontId="0" fillId="0" borderId="72" xfId="0" applyBorder="1" applyAlignment="1">
      <alignment horizontal="left" vertical="center"/>
    </xf>
    <xf numFmtId="0" fontId="0" fillId="0" borderId="165" xfId="0" applyBorder="1" applyAlignment="1">
      <alignment horizontal="left" vertical="center"/>
    </xf>
    <xf numFmtId="0" fontId="6" fillId="32" borderId="23" xfId="105" applyFont="1" applyFill="1" applyBorder="1" applyAlignment="1" applyProtection="1">
      <alignment horizontal="left" vertical="center"/>
      <protection locked="0"/>
    </xf>
    <xf numFmtId="0" fontId="6" fillId="0" borderId="2" xfId="1" applyFont="1" applyFill="1" applyBorder="1" applyAlignment="1" applyProtection="1">
      <alignment horizontal="right" vertical="center"/>
    </xf>
    <xf numFmtId="0" fontId="6" fillId="0" borderId="71" xfId="1" applyFont="1" applyFill="1" applyBorder="1" applyAlignment="1" applyProtection="1">
      <alignment horizontal="right" vertical="center"/>
    </xf>
    <xf numFmtId="0" fontId="9" fillId="0" borderId="0" xfId="1" applyFont="1" applyFill="1" applyAlignment="1">
      <alignment horizontal="right"/>
    </xf>
    <xf numFmtId="0" fontId="108" fillId="0" borderId="0" xfId="1" applyNumberFormat="1" applyFont="1" applyFill="1" applyBorder="1" applyAlignment="1" applyProtection="1">
      <alignment horizontal="left" vertical="center" wrapText="1" readingOrder="1"/>
    </xf>
    <xf numFmtId="0" fontId="9" fillId="0" borderId="0" xfId="1" applyFont="1" applyFill="1" applyAlignment="1">
      <alignment horizontal="left" vertical="center"/>
    </xf>
    <xf numFmtId="0" fontId="6" fillId="37" borderId="2" xfId="1" applyFont="1" applyFill="1" applyBorder="1" applyAlignment="1" applyProtection="1">
      <alignment horizontal="left" vertical="center" wrapText="1"/>
      <protection locked="0"/>
    </xf>
    <xf numFmtId="0" fontId="6" fillId="37" borderId="71" xfId="1" applyFont="1" applyFill="1" applyBorder="1" applyAlignment="1" applyProtection="1">
      <alignment horizontal="left" vertical="center" wrapText="1"/>
      <protection locked="0"/>
    </xf>
    <xf numFmtId="0" fontId="124" fillId="37" borderId="91" xfId="105" applyFont="1" applyFill="1" applyBorder="1" applyAlignment="1" applyProtection="1">
      <alignment horizontal="left" vertical="center"/>
      <protection locked="0"/>
    </xf>
    <xf numFmtId="0" fontId="124" fillId="37" borderId="123" xfId="105" applyFont="1" applyFill="1" applyBorder="1" applyAlignment="1" applyProtection="1">
      <alignment horizontal="left" vertical="center"/>
      <protection locked="0"/>
    </xf>
    <xf numFmtId="0" fontId="6" fillId="37" borderId="71" xfId="1" applyFont="1" applyFill="1" applyBorder="1" applyAlignment="1" applyProtection="1">
      <alignment horizontal="left" vertical="center"/>
      <protection locked="0"/>
    </xf>
    <xf numFmtId="0" fontId="6" fillId="37" borderId="104" xfId="1" applyFont="1" applyFill="1" applyBorder="1" applyAlignment="1" applyProtection="1">
      <alignment horizontal="left" vertical="center"/>
      <protection locked="0"/>
    </xf>
    <xf numFmtId="0" fontId="6" fillId="37" borderId="165" xfId="1" applyFont="1" applyFill="1" applyBorder="1" applyAlignment="1" applyProtection="1">
      <alignment horizontal="left" vertical="center"/>
      <protection locked="0"/>
    </xf>
    <xf numFmtId="0" fontId="6" fillId="37" borderId="71" xfId="105" applyFont="1" applyFill="1" applyBorder="1" applyAlignment="1" applyProtection="1">
      <alignment horizontal="left" vertical="center"/>
      <protection locked="0"/>
    </xf>
    <xf numFmtId="0" fontId="13" fillId="31" borderId="0" xfId="1" applyFont="1" applyFill="1" applyAlignment="1">
      <alignment vertical="center"/>
    </xf>
    <xf numFmtId="0" fontId="55" fillId="31" borderId="0" xfId="1" applyFont="1" applyFill="1" applyAlignment="1" applyProtection="1">
      <alignment vertical="center"/>
      <protection locked="0"/>
    </xf>
    <xf numFmtId="0" fontId="6" fillId="0" borderId="71" xfId="1" applyFont="1" applyFill="1" applyBorder="1" applyAlignment="1" applyProtection="1">
      <alignment horizontal="left" vertical="center"/>
    </xf>
    <xf numFmtId="0" fontId="4" fillId="31" borderId="104" xfId="105" applyFont="1" applyFill="1" applyBorder="1" applyAlignment="1" applyProtection="1">
      <alignment horizontal="left" vertical="center"/>
      <protection locked="0"/>
    </xf>
    <xf numFmtId="0" fontId="4" fillId="31" borderId="165" xfId="105" applyFont="1" applyFill="1" applyBorder="1" applyAlignment="1" applyProtection="1">
      <alignment horizontal="left" vertical="center"/>
      <protection locked="0"/>
    </xf>
    <xf numFmtId="0" fontId="4" fillId="31" borderId="2" xfId="105" applyFont="1" applyFill="1" applyBorder="1" applyAlignment="1" applyProtection="1">
      <alignment horizontal="left" vertical="center"/>
      <protection locked="0"/>
    </xf>
    <xf numFmtId="0" fontId="4" fillId="31" borderId="71" xfId="105" applyFont="1" applyFill="1" applyBorder="1" applyAlignment="1" applyProtection="1">
      <alignment horizontal="left" vertical="center"/>
      <protection locked="0"/>
    </xf>
    <xf numFmtId="0" fontId="4" fillId="0" borderId="23" xfId="1" applyFont="1" applyBorder="1" applyAlignment="1" applyProtection="1">
      <alignment horizontal="center" vertical="center"/>
    </xf>
    <xf numFmtId="0" fontId="4" fillId="0" borderId="42" xfId="1" applyFont="1" applyBorder="1" applyAlignment="1" applyProtection="1">
      <alignment horizontal="center" vertical="center"/>
    </xf>
    <xf numFmtId="0" fontId="4" fillId="0" borderId="0" xfId="1" applyFont="1" applyAlignment="1">
      <alignment horizontal="right"/>
    </xf>
    <xf numFmtId="0" fontId="18" fillId="31" borderId="0" xfId="1" applyFont="1" applyFill="1" applyBorder="1" applyAlignment="1" applyProtection="1">
      <alignment horizontal="right" vertical="top"/>
      <protection locked="0"/>
    </xf>
    <xf numFmtId="0" fontId="4" fillId="0" borderId="0" xfId="1" applyFont="1" applyAlignment="1">
      <alignment horizontal="left" vertical="center"/>
    </xf>
    <xf numFmtId="0" fontId="9" fillId="0" borderId="0" xfId="1" applyFont="1" applyBorder="1" applyAlignment="1" applyProtection="1">
      <alignment horizontal="center" vertical="top" wrapText="1"/>
    </xf>
    <xf numFmtId="216" fontId="159" fillId="0" borderId="0" xfId="1" applyNumberFormat="1" applyFont="1" applyAlignment="1" applyProtection="1">
      <alignment horizontal="right" vertical="top"/>
    </xf>
    <xf numFmtId="0" fontId="163" fillId="4" borderId="0" xfId="1" applyNumberFormat="1" applyFont="1" applyFill="1" applyBorder="1" applyAlignment="1" applyProtection="1">
      <alignment horizontal="left" vertical="center" wrapText="1" readingOrder="1"/>
    </xf>
    <xf numFmtId="0" fontId="6" fillId="37" borderId="0" xfId="105" applyFont="1" applyFill="1" applyBorder="1" applyAlignment="1" applyProtection="1">
      <alignment horizontal="center" vertical="center"/>
      <protection locked="0"/>
    </xf>
    <xf numFmtId="0" fontId="6" fillId="37" borderId="72" xfId="105" applyFont="1" applyFill="1" applyBorder="1" applyAlignment="1" applyProtection="1">
      <alignment horizontal="center" vertical="center"/>
      <protection locked="0"/>
    </xf>
    <xf numFmtId="0" fontId="4" fillId="0" borderId="0" xfId="1" applyAlignment="1">
      <alignment horizontal="right"/>
    </xf>
    <xf numFmtId="0" fontId="6" fillId="37" borderId="287" xfId="105" applyFont="1" applyFill="1" applyBorder="1" applyAlignment="1" applyProtection="1">
      <alignment horizontal="left" vertical="center" wrapText="1"/>
      <protection locked="0"/>
    </xf>
    <xf numFmtId="0" fontId="6" fillId="37" borderId="114" xfId="105" applyFont="1" applyFill="1" applyBorder="1" applyAlignment="1" applyProtection="1">
      <alignment horizontal="left" vertical="center" wrapText="1"/>
      <protection locked="0"/>
    </xf>
    <xf numFmtId="0" fontId="9" fillId="33" borderId="43" xfId="0" applyFont="1" applyFill="1" applyBorder="1" applyAlignment="1" applyProtection="1">
      <alignment horizontal="left" vertical="center"/>
    </xf>
    <xf numFmtId="0" fontId="0" fillId="0" borderId="23" xfId="0" applyBorder="1" applyAlignment="1" applyProtection="1">
      <alignment horizontal="left" vertical="center"/>
    </xf>
    <xf numFmtId="0" fontId="0" fillId="0" borderId="42" xfId="0" applyBorder="1" applyAlignment="1" applyProtection="1">
      <alignment horizontal="left" vertical="center"/>
    </xf>
    <xf numFmtId="0" fontId="9" fillId="33" borderId="40" xfId="1" applyFont="1" applyFill="1" applyBorder="1" applyAlignment="1" applyProtection="1">
      <alignment horizontal="left" vertical="center"/>
    </xf>
    <xf numFmtId="0" fontId="4" fillId="0" borderId="0" xfId="1" applyAlignment="1" applyProtection="1">
      <alignment horizontal="left" vertical="center"/>
    </xf>
    <xf numFmtId="0" fontId="4" fillId="0" borderId="19" xfId="1" applyBorder="1" applyAlignment="1" applyProtection="1">
      <alignment horizontal="left" vertical="center"/>
    </xf>
    <xf numFmtId="0" fontId="6" fillId="31" borderId="104" xfId="105" applyFont="1" applyFill="1" applyBorder="1" applyAlignment="1" applyProtection="1">
      <alignment horizontal="left" vertical="center"/>
      <protection locked="0"/>
    </xf>
    <xf numFmtId="0" fontId="6" fillId="31" borderId="165" xfId="105" applyFont="1" applyFill="1" applyBorder="1" applyAlignment="1" applyProtection="1">
      <alignment horizontal="left" vertical="center"/>
      <protection locked="0"/>
    </xf>
    <xf numFmtId="0" fontId="6" fillId="37" borderId="287" xfId="105" applyFont="1" applyFill="1" applyBorder="1" applyAlignment="1" applyProtection="1">
      <alignment horizontal="left" vertical="center"/>
      <protection locked="0"/>
    </xf>
    <xf numFmtId="0" fontId="6" fillId="37" borderId="114" xfId="105" applyFont="1" applyFill="1" applyBorder="1" applyAlignment="1" applyProtection="1">
      <alignment horizontal="left" vertical="center"/>
      <protection locked="0"/>
    </xf>
    <xf numFmtId="0" fontId="9" fillId="33" borderId="40" xfId="0" applyFont="1" applyFill="1" applyBorder="1" applyAlignment="1" applyProtection="1">
      <alignment horizontal="left" vertical="center"/>
    </xf>
    <xf numFmtId="0" fontId="0" fillId="0" borderId="0" xfId="0" applyAlignment="1" applyProtection="1">
      <alignment horizontal="left" vertical="center"/>
    </xf>
    <xf numFmtId="0" fontId="0" fillId="0" borderId="19" xfId="0" applyBorder="1" applyAlignment="1" applyProtection="1">
      <alignment horizontal="left" vertical="center"/>
    </xf>
    <xf numFmtId="0" fontId="6" fillId="31" borderId="71" xfId="1" applyFont="1" applyFill="1" applyBorder="1" applyAlignment="1" applyProtection="1">
      <alignment horizontal="left" vertical="center"/>
      <protection locked="0"/>
    </xf>
    <xf numFmtId="0" fontId="6" fillId="0" borderId="287" xfId="105" applyFont="1" applyFill="1" applyBorder="1" applyAlignment="1" applyProtection="1">
      <alignment horizontal="left" vertical="center" wrapText="1"/>
      <protection locked="0"/>
    </xf>
    <xf numFmtId="0" fontId="6" fillId="0" borderId="114" xfId="105" applyFont="1" applyFill="1" applyBorder="1" applyAlignment="1" applyProtection="1">
      <alignment horizontal="left" vertical="center" wrapText="1"/>
      <protection locked="0"/>
    </xf>
    <xf numFmtId="0" fontId="13" fillId="0" borderId="0" xfId="1" applyFont="1" applyFill="1" applyAlignment="1" applyProtection="1">
      <alignment horizontal="right" vertical="center"/>
    </xf>
    <xf numFmtId="0" fontId="4" fillId="0" borderId="0" xfId="1" applyAlignment="1" applyProtection="1">
      <alignment horizontal="right"/>
    </xf>
    <xf numFmtId="0" fontId="13" fillId="31" borderId="0" xfId="1" applyFont="1" applyFill="1" applyAlignment="1" applyProtection="1">
      <alignment horizontal="left" vertical="center"/>
      <protection locked="0"/>
    </xf>
    <xf numFmtId="0" fontId="4" fillId="0" borderId="0" xfId="1" applyAlignment="1" applyProtection="1">
      <alignment horizontal="left" vertical="center"/>
      <protection locked="0"/>
    </xf>
    <xf numFmtId="0" fontId="6" fillId="37" borderId="0" xfId="105" applyFont="1" applyFill="1" applyBorder="1" applyAlignment="1" applyProtection="1">
      <alignment vertical="center"/>
      <protection locked="0"/>
    </xf>
    <xf numFmtId="0" fontId="6" fillId="37" borderId="72" xfId="105" applyFont="1" applyFill="1" applyBorder="1" applyAlignment="1" applyProtection="1">
      <alignment vertical="center"/>
      <protection locked="0"/>
    </xf>
    <xf numFmtId="0" fontId="6" fillId="37" borderId="91" xfId="105" applyFont="1" applyFill="1" applyBorder="1" applyAlignment="1" applyProtection="1">
      <alignment vertical="center"/>
      <protection locked="0"/>
    </xf>
    <xf numFmtId="0" fontId="6" fillId="37" borderId="123" xfId="105" applyFont="1" applyFill="1" applyBorder="1" applyAlignment="1" applyProtection="1">
      <alignment vertical="center"/>
      <protection locked="0"/>
    </xf>
    <xf numFmtId="0" fontId="158" fillId="32" borderId="0" xfId="105" applyFont="1" applyFill="1" applyBorder="1" applyAlignment="1" applyProtection="1">
      <alignment horizontal="left" vertical="center"/>
      <protection locked="0"/>
    </xf>
    <xf numFmtId="0" fontId="158" fillId="32" borderId="72" xfId="105" applyFont="1" applyFill="1" applyBorder="1" applyAlignment="1" applyProtection="1">
      <alignment horizontal="left" vertical="center"/>
      <protection locked="0"/>
    </xf>
    <xf numFmtId="0" fontId="158" fillId="31" borderId="2" xfId="1" applyFont="1" applyFill="1" applyBorder="1" applyAlignment="1" applyProtection="1">
      <alignment horizontal="left" vertical="center"/>
      <protection locked="0"/>
    </xf>
    <xf numFmtId="0" fontId="158" fillId="32" borderId="0" xfId="1" applyFont="1" applyFill="1" applyBorder="1" applyAlignment="1" applyProtection="1">
      <alignment horizontal="left" vertical="center"/>
      <protection locked="0"/>
    </xf>
    <xf numFmtId="0" fontId="158" fillId="32" borderId="72" xfId="1" applyFont="1" applyFill="1" applyBorder="1" applyAlignment="1" applyProtection="1">
      <alignment horizontal="left" vertical="center"/>
      <protection locked="0"/>
    </xf>
    <xf numFmtId="0" fontId="158" fillId="0" borderId="2" xfId="105" applyFont="1" applyFill="1" applyBorder="1" applyAlignment="1" applyProtection="1">
      <alignment horizontal="left" vertical="center"/>
      <protection locked="0"/>
    </xf>
    <xf numFmtId="0" fontId="158" fillId="0" borderId="2" xfId="1" applyFont="1" applyFill="1" applyBorder="1" applyAlignment="1" applyProtection="1">
      <alignment horizontal="left" vertical="center"/>
      <protection locked="0"/>
    </xf>
    <xf numFmtId="2" fontId="158" fillId="32" borderId="0" xfId="105" applyNumberFormat="1" applyFont="1" applyFill="1" applyBorder="1" applyAlignment="1" applyProtection="1">
      <alignment horizontal="left" vertical="center"/>
      <protection locked="0"/>
    </xf>
    <xf numFmtId="2" fontId="158" fillId="32" borderId="72" xfId="105" applyNumberFormat="1" applyFont="1" applyFill="1" applyBorder="1" applyAlignment="1" applyProtection="1">
      <alignment horizontal="left" vertical="center"/>
      <protection locked="0"/>
    </xf>
    <xf numFmtId="2" fontId="158" fillId="32" borderId="104" xfId="105" applyNumberFormat="1" applyFont="1" applyFill="1" applyBorder="1" applyAlignment="1" applyProtection="1">
      <alignment horizontal="left" vertical="center"/>
      <protection locked="0"/>
    </xf>
    <xf numFmtId="2" fontId="158" fillId="32" borderId="165" xfId="105" applyNumberFormat="1" applyFont="1" applyFill="1" applyBorder="1" applyAlignment="1" applyProtection="1">
      <alignment horizontal="left" vertical="center"/>
      <protection locked="0"/>
    </xf>
    <xf numFmtId="2" fontId="158" fillId="32" borderId="2" xfId="105" applyNumberFormat="1" applyFont="1" applyFill="1" applyBorder="1" applyAlignment="1" applyProtection="1">
      <alignment horizontal="left" vertical="center"/>
      <protection locked="0"/>
    </xf>
    <xf numFmtId="2" fontId="158" fillId="32" borderId="71" xfId="105" applyNumberFormat="1" applyFont="1" applyFill="1" applyBorder="1" applyAlignment="1" applyProtection="1">
      <alignment horizontal="left" vertical="center"/>
      <protection locked="0"/>
    </xf>
    <xf numFmtId="0" fontId="158" fillId="32" borderId="104" xfId="105" applyFont="1" applyFill="1" applyBorder="1" applyAlignment="1" applyProtection="1">
      <alignment horizontal="left" vertical="center"/>
      <protection locked="0"/>
    </xf>
    <xf numFmtId="0" fontId="158" fillId="32" borderId="165" xfId="105" applyFont="1" applyFill="1" applyBorder="1" applyAlignment="1" applyProtection="1">
      <alignment horizontal="left" vertical="center"/>
      <protection locked="0"/>
    </xf>
    <xf numFmtId="0" fontId="9" fillId="0" borderId="32" xfId="1" applyFont="1" applyBorder="1" applyAlignment="1" applyProtection="1">
      <alignment horizontal="center" vertical="center" wrapText="1"/>
    </xf>
    <xf numFmtId="0" fontId="4" fillId="0" borderId="32" xfId="1" applyBorder="1" applyAlignment="1" applyProtection="1">
      <alignment horizontal="center" vertical="center" wrapText="1"/>
    </xf>
    <xf numFmtId="0" fontId="158" fillId="31" borderId="0" xfId="105" applyFont="1" applyFill="1" applyBorder="1" applyAlignment="1" applyProtection="1">
      <alignment horizontal="left" vertical="center"/>
      <protection locked="0"/>
    </xf>
    <xf numFmtId="0" fontId="13" fillId="0" borderId="171" xfId="105" applyFont="1" applyBorder="1" applyAlignment="1" applyProtection="1">
      <alignment horizontal="left" vertical="center" wrapText="1"/>
    </xf>
    <xf numFmtId="0" fontId="13" fillId="0" borderId="211" xfId="105" applyFont="1" applyBorder="1" applyAlignment="1" applyProtection="1">
      <alignment horizontal="left" vertical="center" wrapText="1"/>
    </xf>
    <xf numFmtId="0" fontId="158" fillId="32" borderId="2" xfId="1" applyFont="1" applyFill="1" applyBorder="1" applyAlignment="1" applyProtection="1">
      <alignment horizontal="left" vertical="center"/>
      <protection locked="0"/>
    </xf>
    <xf numFmtId="0" fontId="6" fillId="31" borderId="57" xfId="1" applyFont="1" applyFill="1" applyBorder="1" applyAlignment="1" applyProtection="1">
      <alignment horizontal="left" vertical="center"/>
      <protection locked="0"/>
    </xf>
    <xf numFmtId="0" fontId="6" fillId="31" borderId="58" xfId="1" applyFont="1" applyFill="1" applyBorder="1" applyAlignment="1" applyProtection="1">
      <alignment horizontal="left" vertical="center"/>
      <protection locked="0"/>
    </xf>
    <xf numFmtId="1" fontId="43" fillId="4" borderId="74" xfId="1" applyNumberFormat="1" applyFont="1" applyFill="1" applyBorder="1" applyAlignment="1" applyProtection="1">
      <alignment horizontal="center" vertical="center"/>
    </xf>
    <xf numFmtId="1" fontId="43" fillId="4" borderId="75" xfId="1" applyNumberFormat="1" applyFont="1" applyFill="1" applyBorder="1" applyAlignment="1" applyProtection="1">
      <alignment horizontal="center" vertical="center"/>
    </xf>
    <xf numFmtId="1" fontId="43" fillId="27" borderId="74" xfId="1" applyNumberFormat="1" applyFont="1" applyFill="1" applyBorder="1" applyAlignment="1" applyProtection="1">
      <alignment horizontal="center" vertical="center"/>
    </xf>
    <xf numFmtId="1" fontId="43" fillId="27" borderId="75" xfId="1" applyNumberFormat="1" applyFont="1" applyFill="1" applyBorder="1" applyAlignment="1" applyProtection="1">
      <alignment horizontal="center" vertical="center"/>
    </xf>
    <xf numFmtId="0" fontId="118" fillId="31" borderId="2" xfId="1" applyFont="1" applyFill="1" applyBorder="1" applyAlignment="1" applyProtection="1">
      <alignment horizontal="left" vertical="center"/>
      <protection locked="0"/>
    </xf>
    <xf numFmtId="0" fontId="118" fillId="31" borderId="71" xfId="1" applyFont="1" applyFill="1" applyBorder="1" applyAlignment="1" applyProtection="1">
      <alignment horizontal="left" vertical="center"/>
      <protection locked="0"/>
    </xf>
    <xf numFmtId="0" fontId="9" fillId="31" borderId="0" xfId="1" applyFont="1" applyFill="1" applyAlignment="1" applyProtection="1">
      <alignment horizontal="center" vertical="center"/>
      <protection locked="0"/>
    </xf>
    <xf numFmtId="0" fontId="9" fillId="31" borderId="0" xfId="1" applyFont="1" applyFill="1" applyAlignment="1" applyProtection="1">
      <alignment vertical="center" wrapText="1"/>
      <protection locked="0"/>
    </xf>
    <xf numFmtId="1" fontId="126" fillId="4" borderId="74" xfId="1" applyNumberFormat="1" applyFont="1" applyFill="1" applyBorder="1" applyAlignment="1" applyProtection="1">
      <alignment horizontal="center" vertical="center"/>
    </xf>
    <xf numFmtId="1" fontId="126" fillId="4" borderId="75" xfId="1" applyNumberFormat="1" applyFont="1" applyFill="1" applyBorder="1" applyAlignment="1" applyProtection="1">
      <alignment horizontal="center" vertical="center"/>
    </xf>
    <xf numFmtId="1" fontId="101" fillId="27" borderId="74" xfId="1" applyNumberFormat="1" applyFont="1" applyFill="1" applyBorder="1" applyAlignment="1" applyProtection="1">
      <alignment horizontal="center" vertical="center"/>
    </xf>
    <xf numFmtId="1" fontId="101" fillId="27" borderId="75" xfId="1" applyNumberFormat="1" applyFont="1" applyFill="1" applyBorder="1" applyAlignment="1" applyProtection="1">
      <alignment horizontal="center" vertical="center"/>
    </xf>
    <xf numFmtId="1" fontId="101" fillId="4" borderId="74" xfId="1" applyNumberFormat="1" applyFont="1" applyFill="1" applyBorder="1" applyAlignment="1" applyProtection="1">
      <alignment horizontal="center" vertical="center"/>
    </xf>
    <xf numFmtId="1" fontId="101" fillId="4" borderId="75" xfId="1" applyNumberFormat="1" applyFont="1" applyFill="1" applyBorder="1" applyAlignment="1" applyProtection="1">
      <alignment horizontal="center" vertical="center"/>
    </xf>
    <xf numFmtId="0" fontId="158" fillId="0" borderId="2" xfId="105" applyFont="1" applyFill="1" applyBorder="1" applyAlignment="1" applyProtection="1">
      <alignment horizontal="left" vertical="center" wrapText="1"/>
      <protection locked="0"/>
    </xf>
    <xf numFmtId="0" fontId="158" fillId="0" borderId="71" xfId="105" applyFont="1" applyFill="1" applyBorder="1" applyAlignment="1" applyProtection="1">
      <alignment horizontal="left" vertical="center" wrapText="1"/>
      <protection locked="0"/>
    </xf>
    <xf numFmtId="0" fontId="109" fillId="31" borderId="0" xfId="1" applyFont="1" applyFill="1" applyBorder="1" applyAlignment="1" applyProtection="1">
      <alignment horizontal="right" vertical="top"/>
      <protection locked="0"/>
    </xf>
  </cellXfs>
  <cellStyles count="181">
    <cellStyle name="20% - Akzent1" xfId="3"/>
    <cellStyle name="20% - Akzent2" xfId="4"/>
    <cellStyle name="20% - Akzent3" xfId="5"/>
    <cellStyle name="20% - Akzent4" xfId="6"/>
    <cellStyle name="20% - Akzent5" xfId="7"/>
    <cellStyle name="20% - Akzent6" xfId="8"/>
    <cellStyle name="40% - Akzent1" xfId="9"/>
    <cellStyle name="40% - Akzent2" xfId="10"/>
    <cellStyle name="40% - Akzent3" xfId="11"/>
    <cellStyle name="40% - Akzent4" xfId="12"/>
    <cellStyle name="40% - Akzent5" xfId="13"/>
    <cellStyle name="40% - Akzent6" xfId="14"/>
    <cellStyle name="60% - Akzent1" xfId="15"/>
    <cellStyle name="60% - Akzent2" xfId="16"/>
    <cellStyle name="60% - Akzent3" xfId="17"/>
    <cellStyle name="60% - Akzent4" xfId="18"/>
    <cellStyle name="60% - Akzent5" xfId="19"/>
    <cellStyle name="60% - Akzent6" xfId="20"/>
    <cellStyle name="Akzent1 2" xfId="21"/>
    <cellStyle name="Akzent2 2" xfId="22"/>
    <cellStyle name="Akzent3 2" xfId="23"/>
    <cellStyle name="Akzent4 2" xfId="24"/>
    <cellStyle name="Akzent5 2" xfId="25"/>
    <cellStyle name="Akzent6 2" xfId="26"/>
    <cellStyle name="Ausgabe 2" xfId="27"/>
    <cellStyle name="Ausgabe 3" xfId="122"/>
    <cellStyle name="Berechnung 2" xfId="28"/>
    <cellStyle name="Berechnung 3" xfId="130"/>
    <cellStyle name="blau" xfId="123"/>
    <cellStyle name="Dezimal (2)" xfId="29"/>
    <cellStyle name="Dezimal (2) 2" xfId="146"/>
    <cellStyle name="Dezimal [1]" xfId="30"/>
    <cellStyle name="Dezimal [1] 2" xfId="31"/>
    <cellStyle name="Dezimal [1] 2 2" xfId="32"/>
    <cellStyle name="Dezimal [1] 2 2 2" xfId="149"/>
    <cellStyle name="Dezimal [1] 2 3" xfId="148"/>
    <cellStyle name="Dezimal [1] 3" xfId="33"/>
    <cellStyle name="Dezimal [1] 3 2" xfId="150"/>
    <cellStyle name="Dezimal [1] 4" xfId="147"/>
    <cellStyle name="Eingabe 2" xfId="34"/>
    <cellStyle name="Eingabe2kommastelle" xfId="35"/>
    <cellStyle name="Eingabe2kommastelle 2" xfId="151"/>
    <cellStyle name="Ergebnis 2" xfId="36"/>
    <cellStyle name="Erklärender Text 2" xfId="37"/>
    <cellStyle name="Euro" xfId="38"/>
    <cellStyle name="Euro 2" xfId="39"/>
    <cellStyle name="Euro 2 2" xfId="40"/>
    <cellStyle name="Euro 2 2 2" xfId="153"/>
    <cellStyle name="Euro 2 3" xfId="152"/>
    <cellStyle name="Euro 3" xfId="41"/>
    <cellStyle name="Euro 3 2" xfId="154"/>
    <cellStyle name="Euro 4" xfId="42"/>
    <cellStyle name="Euro 4 2" xfId="155"/>
    <cellStyle name="Euro 5" xfId="140"/>
    <cellStyle name="Euro_Tabak_Kalkulation 2010 Auflagen 15_55_71_72_101116" xfId="43"/>
    <cellStyle name="europrom3" xfId="44"/>
    <cellStyle name="Gut 2" xfId="45"/>
    <cellStyle name="Hyperlink 2" xfId="46"/>
    <cellStyle name="Hyperlink 2 2" xfId="145"/>
    <cellStyle name="Hyperlink 3" xfId="47"/>
    <cellStyle name="Komma 2" xfId="48"/>
    <cellStyle name="Komma 2 2" xfId="156"/>
    <cellStyle name="Komma 3" xfId="49"/>
    <cellStyle name="Komma 3 2" xfId="50"/>
    <cellStyle name="Komma 4" xfId="142"/>
    <cellStyle name="Link" xfId="2" builtinId="8"/>
    <cellStyle name="Link 2" xfId="141"/>
    <cellStyle name="M_w_Z+%2_Sz_AS10_R_G" xfId="51"/>
    <cellStyle name="M_w_Z+%2_Sz_AS10_R_G 2" xfId="157"/>
    <cellStyle name="M_w_Z+2nr_Sz_AS10_R_G" xfId="52"/>
    <cellStyle name="M_w_Z+2nr_Sz_AS10_R_G 2" xfId="158"/>
    <cellStyle name="matrix_allgem" xfId="53"/>
    <cellStyle name="Matrix1" xfId="54"/>
    <cellStyle name="Matrix1 2" xfId="143"/>
    <cellStyle name="MatrixNr" xfId="55"/>
    <cellStyle name="Neutral 2" xfId="56"/>
    <cellStyle name="Notiz 2" xfId="57"/>
    <cellStyle name="Notiz 2 2" xfId="58"/>
    <cellStyle name="Notiz 2 2 2" xfId="160"/>
    <cellStyle name="Notiz 2 3" xfId="159"/>
    <cellStyle name="Notiz 3" xfId="59"/>
    <cellStyle name="Notiz 3 2" xfId="161"/>
    <cellStyle name="Notiz 4" xfId="60"/>
    <cellStyle name="Notiz 4 2" xfId="162"/>
    <cellStyle name="Prozent 2" xfId="61"/>
    <cellStyle name="Prozent 2 2" xfId="135"/>
    <cellStyle name="Prozent 3" xfId="62"/>
    <cellStyle name="Prozent 3 2" xfId="163"/>
    <cellStyle name="Prozent 4" xfId="63"/>
    <cellStyle name="Prozent 4 2" xfId="64"/>
    <cellStyle name="Prozent 5" xfId="131"/>
    <cellStyle name="Schlecht 2" xfId="65"/>
    <cellStyle name="Spaltenüberschrift" xfId="66"/>
    <cellStyle name="Standard" xfId="0" builtinId="0"/>
    <cellStyle name="Standard 10" xfId="178"/>
    <cellStyle name="Standard 11" xfId="179"/>
    <cellStyle name="Standard 12" xfId="180"/>
    <cellStyle name="Standard 2" xfId="1"/>
    <cellStyle name="Standard 2 2" xfId="67"/>
    <cellStyle name="Standard 2 2 2" xfId="164"/>
    <cellStyle name="Standard 2 3" xfId="68"/>
    <cellStyle name="Standard 2 4" xfId="69"/>
    <cellStyle name="Standard 3" xfId="70"/>
    <cellStyle name="Standard 3 2" xfId="136"/>
    <cellStyle name="Standard 3 3" xfId="144"/>
    <cellStyle name="Standard 4" xfId="71"/>
    <cellStyle name="Standard 4 2" xfId="72"/>
    <cellStyle name="Standard 4 2 2" xfId="73"/>
    <cellStyle name="Standard 4 2 2 2" xfId="74"/>
    <cellStyle name="Standard 4 2 2 2 2" xfId="75"/>
    <cellStyle name="Standard 4 2 2 3" xfId="76"/>
    <cellStyle name="Standard 4 2 2 4" xfId="77"/>
    <cellStyle name="Standard 4 2 2 5" xfId="78"/>
    <cellStyle name="Standard 4 2 3" xfId="79"/>
    <cellStyle name="Standard 4 2 3 2" xfId="80"/>
    <cellStyle name="Standard 4 2 4" xfId="81"/>
    <cellStyle name="Standard 4 2 5" xfId="82"/>
    <cellStyle name="Standard 4 2 6" xfId="83"/>
    <cellStyle name="Standard 4 3" xfId="84"/>
    <cellStyle name="Standard 4 3 2" xfId="85"/>
    <cellStyle name="Standard 4 3 2 2" xfId="86"/>
    <cellStyle name="Standard 4 3 3" xfId="87"/>
    <cellStyle name="Standard 4 3 4" xfId="88"/>
    <cellStyle name="Standard 4 3 5" xfId="89"/>
    <cellStyle name="Standard 4 4" xfId="90"/>
    <cellStyle name="Standard 4 4 2" xfId="91"/>
    <cellStyle name="Standard 4 5" xfId="92"/>
    <cellStyle name="Standard 4 6" xfId="93"/>
    <cellStyle name="Standard 4 7" xfId="94"/>
    <cellStyle name="Standard 5" xfId="95"/>
    <cellStyle name="Standard 5 2" xfId="96"/>
    <cellStyle name="Standard 5 2 2" xfId="97"/>
    <cellStyle name="Standard 5 3" xfId="98"/>
    <cellStyle name="Standard 5 4" xfId="99"/>
    <cellStyle name="Standard 5 5" xfId="100"/>
    <cellStyle name="Standard 5 5 2" xfId="165"/>
    <cellStyle name="Standard 5 6" xfId="101"/>
    <cellStyle name="Standard 5 7" xfId="133"/>
    <cellStyle name="Standard 6" xfId="102"/>
    <cellStyle name="Standard 7" xfId="132"/>
    <cellStyle name="Standard 8" xfId="134"/>
    <cellStyle name="Standard 8 2" xfId="172"/>
    <cellStyle name="Standard 9" xfId="139"/>
    <cellStyle name="Standard 9 2" xfId="174"/>
    <cellStyle name="Standard neu" xfId="103"/>
    <cellStyle name="Standard neu 2" xfId="104"/>
    <cellStyle name="Standard neu 2 2" xfId="166"/>
    <cellStyle name="Standard_db" xfId="105"/>
    <cellStyle name="Standard_PSM1" xfId="124"/>
    <cellStyle name="Standard_PSM1 2" xfId="106"/>
    <cellStyle name="Stil 1" xfId="107"/>
    <cellStyle name="Stil 1 2" xfId="128"/>
    <cellStyle name="Stil 2" xfId="125"/>
    <cellStyle name="Stil 3" xfId="126"/>
    <cellStyle name="Stil 3 2" xfId="127"/>
    <cellStyle name="Stil 3 2 2" xfId="138"/>
    <cellStyle name="Stil 3 3" xfId="137"/>
    <cellStyle name="Text" xfId="108"/>
    <cellStyle name="Text 2" xfId="109"/>
    <cellStyle name="Text 2 2" xfId="110"/>
    <cellStyle name="Text 2 2 2" xfId="169"/>
    <cellStyle name="Text 2 3" xfId="168"/>
    <cellStyle name="Text 3" xfId="111"/>
    <cellStyle name="Text 3 2" xfId="170"/>
    <cellStyle name="Text 4" xfId="167"/>
    <cellStyle name="Überschrift 1 2" xfId="112"/>
    <cellStyle name="Überschrift 2 2" xfId="113"/>
    <cellStyle name="Überschrift 3 2" xfId="114"/>
    <cellStyle name="Überschrift 4 2" xfId="115"/>
    <cellStyle name="Überschrift 5" xfId="116"/>
    <cellStyle name="Verknüpfte Zelle 2" xfId="117"/>
    <cellStyle name="Verknüpfte Zelle 3" xfId="129"/>
    <cellStyle name="Währung 2" xfId="118"/>
    <cellStyle name="Währung 2 2" xfId="171"/>
    <cellStyle name="Währung 2 2 2" xfId="175"/>
    <cellStyle name="Währung 2 2 3" xfId="177"/>
    <cellStyle name="Währung 2 3" xfId="173"/>
    <cellStyle name="Währung 2 4" xfId="176"/>
    <cellStyle name="Warnender Text 2" xfId="119"/>
    <cellStyle name="ZeileSpalterot" xfId="120"/>
    <cellStyle name="Zelle überprüfen 2" xfId="121"/>
  </cellStyles>
  <dxfs count="1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condense val="0"/>
        <extend val="0"/>
        <color indexed="43"/>
      </font>
    </dxf>
    <dxf>
      <font>
        <condense val="0"/>
        <extend val="0"/>
        <color indexed="9"/>
      </font>
      <fill>
        <patternFill>
          <bgColor indexed="9"/>
        </patternFill>
      </fill>
      <border>
        <left/>
        <right/>
      </border>
    </dxf>
    <dxf>
      <font>
        <condense val="0"/>
        <extend val="0"/>
        <color indexed="9"/>
      </font>
      <fill>
        <patternFill>
          <bgColor indexed="9"/>
        </patternFill>
      </fill>
      <border>
        <left/>
        <right/>
        <top/>
      </border>
    </dxf>
    <dxf>
      <fill>
        <patternFill>
          <bgColor indexed="9"/>
        </patternFill>
      </fill>
      <border>
        <left/>
        <right/>
        <top/>
      </border>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
      <font>
        <b/>
        <i val="0"/>
        <condense val="0"/>
        <extend val="0"/>
        <color indexed="8"/>
      </font>
      <fill>
        <patternFill>
          <bgColor indexed="10"/>
        </patternFill>
      </fill>
    </dxf>
  </dxfs>
  <tableStyles count="0" defaultTableStyle="TableStyleMedium2" defaultPivotStyle="PivotStyleLight16"/>
  <colors>
    <mruColors>
      <color rgb="FFFFFF99"/>
      <color rgb="FF33CC33"/>
      <color rgb="FF99FF99"/>
      <color rgb="FF99CCFF"/>
      <color rgb="FF6633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249427725644"/>
          <c:y val="8.8266399810391596E-2"/>
          <c:w val="0.77755677800548895"/>
          <c:h val="0.78915547133204744"/>
        </c:manualLayout>
      </c:layout>
      <c:barChart>
        <c:barDir val="bar"/>
        <c:grouping val="clustered"/>
        <c:varyColors val="0"/>
        <c:ser>
          <c:idx val="0"/>
          <c:order val="0"/>
          <c:spPr>
            <a:solidFill>
              <a:srgbClr val="33CC33"/>
            </a:solidFill>
            <a:ln w="25400">
              <a:noFill/>
            </a:ln>
          </c:spPr>
          <c:invertIfNegative val="1"/>
          <c:dLbls>
            <c:numFmt formatCode="#,##0" sourceLinked="0"/>
            <c:spPr>
              <a:solidFill>
                <a:schemeClr val="bg1"/>
              </a:solidFill>
              <a:ln w="25400">
                <a:noFill/>
              </a:ln>
            </c:spPr>
            <c:txPr>
              <a:bodyPr/>
              <a:lstStyle/>
              <a:p>
                <a:pPr>
                  <a:defRPr sz="9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'E1'!$C$14:$C$64</c:f>
              <c:strCache>
                <c:ptCount val="11"/>
                <c:pt idx="0">
                  <c:v>Winterweizen (Futter-)</c:v>
                </c:pt>
                <c:pt idx="1">
                  <c:v>Winterroggen</c:v>
                </c:pt>
                <c:pt idx="2">
                  <c:v>Dinkel</c:v>
                </c:pt>
                <c:pt idx="3">
                  <c:v>Braugerste</c:v>
                </c:pt>
                <c:pt idx="4">
                  <c:v>Körnermais </c:v>
                </c:pt>
                <c:pt idx="5">
                  <c:v>Sommerraps </c:v>
                </c:pt>
                <c:pt idx="6">
                  <c:v>Sonnenblumen </c:v>
                </c:pt>
                <c:pt idx="7">
                  <c:v>Öko-Winterweizen (Futter)</c:v>
                </c:pt>
                <c:pt idx="8">
                  <c:v>Öko-Dinkel</c:v>
                </c:pt>
                <c:pt idx="9">
                  <c:v>Öko-Hafer</c:v>
                </c:pt>
                <c:pt idx="10">
                  <c:v>Öko-Körnermais </c:v>
                </c:pt>
              </c:strCache>
            </c:strRef>
          </c:cat>
          <c:val>
            <c:numRef>
              <c:f>'E1'!$M$14:$M$64</c:f>
              <c:numCache>
                <c:formatCode>#,##0__</c:formatCode>
                <c:ptCount val="11"/>
                <c:pt idx="0">
                  <c:v>834.36849601443168</c:v>
                </c:pt>
                <c:pt idx="1">
                  <c:v>439.74654206588241</c:v>
                </c:pt>
                <c:pt idx="2">
                  <c:v>119.23801896941154</c:v>
                </c:pt>
                <c:pt idx="3">
                  <c:v>622.76958144000002</c:v>
                </c:pt>
                <c:pt idx="4">
                  <c:v>855.20052224313736</c:v>
                </c:pt>
                <c:pt idx="5">
                  <c:v>144.31330873035267</c:v>
                </c:pt>
                <c:pt idx="6">
                  <c:v>245.56453813764665</c:v>
                </c:pt>
                <c:pt idx="7">
                  <c:v>793.62958595119335</c:v>
                </c:pt>
                <c:pt idx="8">
                  <c:v>747.78698724635296</c:v>
                </c:pt>
                <c:pt idx="9">
                  <c:v>962.67753599885714</c:v>
                </c:pt>
                <c:pt idx="10">
                  <c:v>1362.4779474138493</c:v>
                </c:pt>
              </c:numCache>
            </c:numRef>
          </c:val>
          <c:extLst>
            <c:ext xmlns:c14="http://schemas.microsoft.com/office/drawing/2007/8/2/chart" uri="{6F2FDCE9-48DA-4B69-8628-5D25D57E5C99}">
              <c14:invertSolidFillFmt>
                <c14:spPr xmlns:c14="http://schemas.microsoft.com/office/drawing/2007/8/2/chart">
                  <a:solidFill>
                    <a:srgbClr val="FF0000"/>
                  </a:solidFill>
                  <a:ln w="25400">
                    <a:noFill/>
                  </a:ln>
                </c14:spPr>
              </c14:invertSolidFillFmt>
            </c:ext>
            <c:ext xmlns:c16="http://schemas.microsoft.com/office/drawing/2014/chart" uri="{C3380CC4-5D6E-409C-BE32-E72D297353CC}">
              <c16:uniqueId val="{00000000-AA85-4756-BC16-C70D8F6A4BB1}"/>
            </c:ext>
          </c:extLst>
        </c:ser>
        <c:dLbls>
          <c:showLegendKey val="0"/>
          <c:showVal val="0"/>
          <c:showCatName val="0"/>
          <c:showSerName val="0"/>
          <c:showPercent val="0"/>
          <c:showBubbleSize val="0"/>
        </c:dLbls>
        <c:gapWidth val="50"/>
        <c:axId val="100217600"/>
        <c:axId val="100219136"/>
      </c:barChart>
      <c:catAx>
        <c:axId val="100217600"/>
        <c:scaling>
          <c:orientation val="maxMin"/>
        </c:scaling>
        <c:delete val="0"/>
        <c:axPos val="l"/>
        <c:numFmt formatCode="General" sourceLinked="1"/>
        <c:majorTickMark val="none"/>
        <c:minorTickMark val="none"/>
        <c:tickLblPos val="low"/>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100219136"/>
        <c:crosses val="autoZero"/>
        <c:auto val="0"/>
        <c:lblAlgn val="ctr"/>
        <c:lblOffset val="100"/>
        <c:noMultiLvlLbl val="0"/>
      </c:catAx>
      <c:valAx>
        <c:axId val="100219136"/>
        <c:scaling>
          <c:orientation val="minMax"/>
        </c:scaling>
        <c:delete val="0"/>
        <c:axPos val="t"/>
        <c:majorGridlines>
          <c:spPr>
            <a:ln w="3175">
              <a:solidFill>
                <a:srgbClr val="000000"/>
              </a:solidFill>
              <a:prstDash val="solid"/>
            </a:ln>
          </c:spPr>
        </c:majorGridlines>
        <c:title>
          <c:tx>
            <c:rich>
              <a:bodyPr/>
              <a:lstStyle/>
              <a:p>
                <a:pPr algn="l">
                  <a:defRPr sz="1200" b="1" i="0" u="none" strike="noStrike" baseline="0">
                    <a:solidFill>
                      <a:srgbClr val="000000"/>
                    </a:solidFill>
                    <a:latin typeface="Arial"/>
                    <a:ea typeface="Arial"/>
                    <a:cs typeface="Arial"/>
                  </a:defRPr>
                </a:pPr>
                <a:r>
                  <a:rPr lang="de-DE"/>
                  <a:t>€ / ha</a:t>
                </a:r>
              </a:p>
            </c:rich>
          </c:tx>
          <c:layout>
            <c:manualLayout>
              <c:xMode val="edge"/>
              <c:yMode val="edge"/>
              <c:x val="0.93035680503292262"/>
              <c:y val="0.920358285415305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00217600"/>
        <c:crosses val="autoZero"/>
        <c:crossBetween val="between"/>
      </c:valAx>
      <c:spPr>
        <a:solidFill>
          <a:sysClr val="window" lastClr="FFFFFF"/>
        </a:solidFill>
        <a:ln w="12700">
          <a:solidFill>
            <a:srgbClr val="808080"/>
          </a:solidFill>
          <a:prstDash val="solid"/>
        </a:ln>
      </c:spPr>
    </c:plotArea>
    <c:plotVisOnly val="1"/>
    <c:dispBlanksAs val="gap"/>
    <c:showDLblsOverMax val="0"/>
  </c:chart>
  <c:spPr>
    <a:solidFill>
      <a:srgbClr val="FFFFCC"/>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-niedriges Leistungsniveau-</a:t>
            </a:r>
          </a:p>
        </c:rich>
      </c:tx>
      <c:layout>
        <c:manualLayout>
          <c:xMode val="edge"/>
          <c:yMode val="edge"/>
          <c:x val="0.2021915416681512"/>
          <c:y val="3.2262028003471679E-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9354593773728167E-2"/>
          <c:y val="6.4884395417159971E-2"/>
          <c:w val="0.94608959757023536"/>
          <c:h val="0.53291238356541948"/>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F0FB-4AD3-AA54-FCE4F19898E0}"/>
            </c:ext>
          </c:extLst>
        </c:ser>
        <c:dLbls>
          <c:showLegendKey val="0"/>
          <c:showVal val="0"/>
          <c:showCatName val="0"/>
          <c:showSerName val="0"/>
          <c:showPercent val="0"/>
          <c:showBubbleSize val="0"/>
        </c:dLbls>
        <c:gapWidth val="50"/>
        <c:axId val="122326400"/>
        <c:axId val="122340480"/>
      </c:barChart>
      <c:catAx>
        <c:axId val="1223264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340480"/>
        <c:crosses val="autoZero"/>
        <c:auto val="0"/>
        <c:lblAlgn val="ctr"/>
        <c:lblOffset val="100"/>
        <c:tickLblSkip val="1"/>
        <c:tickMarkSkip val="1"/>
        <c:noMultiLvlLbl val="0"/>
      </c:catAx>
      <c:valAx>
        <c:axId val="122340480"/>
        <c:scaling>
          <c:orientation val="minMax"/>
        </c:scaling>
        <c:delete val="0"/>
        <c:axPos val="l"/>
        <c:majorGridlines>
          <c:spPr>
            <a:ln w="1905">
              <a:solidFill>
                <a:srgbClr val="000000"/>
              </a:solidFill>
              <a:prstDash val="sysDot"/>
            </a:ln>
          </c:spPr>
        </c:majorGridlines>
        <c:title>
          <c:tx>
            <c:rich>
              <a:bodyPr rot="0" vert="horz"/>
              <a:lstStyle/>
              <a:p>
                <a:pPr algn="l">
                  <a:defRPr sz="1100" b="1" i="0" u="none" strike="noStrike" baseline="0">
                    <a:solidFill>
                      <a:srgbClr val="000000"/>
                    </a:solidFill>
                    <a:latin typeface="Calibri"/>
                    <a:ea typeface="Calibri"/>
                    <a:cs typeface="Calibri"/>
                  </a:defRPr>
                </a:pPr>
                <a:r>
                  <a:rPr lang="de-DE"/>
                  <a:t>€ / ha</a:t>
                </a:r>
              </a:p>
            </c:rich>
          </c:tx>
          <c:layout>
            <c:manualLayout>
              <c:xMode val="edge"/>
              <c:yMode val="edge"/>
              <c:x val="4.80120188596335E-2"/>
              <c:y val="1.524008951072351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326400"/>
        <c:crosses val="autoZero"/>
        <c:crossBetween val="between"/>
      </c:valAx>
      <c:spPr>
        <a:ln>
          <a:prstDash val="sysDot"/>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1"/>
          <c:order val="0"/>
          <c:tx>
            <c:v>ohne Prämien</c:v>
          </c:tx>
          <c:spPr>
            <a:solidFill>
              <a:srgbClr val="99FF99"/>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'EK1'!$D$21:$J$21</c:f>
              <c:numCache>
                <c:formatCode>#,##0____</c:formatCode>
                <c:ptCount val="7"/>
                <c:pt idx="0">
                  <c:v>495.09373709176452</c:v>
                </c:pt>
                <c:pt idx="1">
                  <c:v>315.86490436823533</c:v>
                </c:pt>
                <c:pt idx="2">
                  <c:v>390.63462081411762</c:v>
                </c:pt>
                <c:pt idx="3">
                  <c:v>694.99591604525494</c:v>
                </c:pt>
                <c:pt idx="4">
                  <c:v>551.16686765803979</c:v>
                </c:pt>
                <c:pt idx="5">
                  <c:v>-156.06699105243695</c:v>
                </c:pt>
                <c:pt idx="6">
                  <c:v>418.55505122933238</c:v>
                </c:pt>
              </c:numCache>
            </c:numRef>
          </c:val>
          <c:extLst>
            <c:ext xmlns:c16="http://schemas.microsoft.com/office/drawing/2014/chart" uri="{C3380CC4-5D6E-409C-BE32-E72D297353CC}">
              <c16:uniqueId val="{00000000-56F1-4934-8FAB-652AC05A7A1E}"/>
            </c:ext>
          </c:extLst>
        </c:ser>
        <c:ser>
          <c:idx val="2"/>
          <c:order val="1"/>
          <c:tx>
            <c:v>mit Prämien</c:v>
          </c:tx>
          <c:spPr>
            <a:solidFill>
              <a:srgbClr val="33CC33"/>
            </a:solidFill>
          </c:spPr>
          <c:invertIfNegative val="0"/>
          <c:dLbls>
            <c:spPr>
              <a:noFill/>
              <a:ln>
                <a:noFill/>
              </a:ln>
              <a:effectLst/>
            </c:spPr>
            <c:txPr>
              <a:bodyPr/>
              <a:lstStyle/>
              <a:p>
                <a:pPr>
                  <a:defRPr sz="1000">
                    <a:solidFill>
                      <a:srgbClr val="663300"/>
                    </a:solidFil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'EK1'!$D$6:$J$6</c:f>
              <c:strCache>
                <c:ptCount val="7"/>
                <c:pt idx="0">
                  <c:v>Winterraps</c:v>
                </c:pt>
                <c:pt idx="1">
                  <c:v>Winterweizen (Brot-)</c:v>
                </c:pt>
                <c:pt idx="2">
                  <c:v>Braugerste</c:v>
                </c:pt>
                <c:pt idx="3">
                  <c:v>Winterweizen (Futter-)</c:v>
                </c:pt>
                <c:pt idx="4">
                  <c:v>Körnermais </c:v>
                </c:pt>
                <c:pt idx="5">
                  <c:v>Begrünung</c:v>
                </c:pt>
                <c:pt idx="6">
                  <c:v>Ø DB je ha AF </c:v>
                </c:pt>
              </c:strCache>
            </c:strRef>
          </c:cat>
          <c:val>
            <c:numRef>
              <c:f>'EK1'!$D$22:$J$22</c:f>
              <c:numCache>
                <c:formatCode>#,##0____</c:formatCode>
                <c:ptCount val="7"/>
                <c:pt idx="0">
                  <c:v>938.01149735783508</c:v>
                </c:pt>
                <c:pt idx="1">
                  <c:v>624.47666158586469</c:v>
                </c:pt>
                <c:pt idx="2">
                  <c:v>838.39407598756861</c:v>
                </c:pt>
                <c:pt idx="3">
                  <c:v>1136.0828128435608</c:v>
                </c:pt>
                <c:pt idx="4">
                  <c:v>894.73770266630117</c:v>
                </c:pt>
                <c:pt idx="5">
                  <c:v>298.03245068879272</c:v>
                </c:pt>
                <c:pt idx="6">
                  <c:v>869.06730419089138</c:v>
                </c:pt>
              </c:numCache>
            </c:numRef>
          </c:val>
          <c:extLst>
            <c:ext xmlns:c16="http://schemas.microsoft.com/office/drawing/2014/chart" uri="{C3380CC4-5D6E-409C-BE32-E72D297353CC}">
              <c16:uniqueId val="{00000001-56F1-4934-8FAB-652AC05A7A1E}"/>
            </c:ext>
          </c:extLst>
        </c:ser>
        <c:dLbls>
          <c:showLegendKey val="0"/>
          <c:showVal val="0"/>
          <c:showCatName val="0"/>
          <c:showSerName val="0"/>
          <c:showPercent val="0"/>
          <c:showBubbleSize val="0"/>
        </c:dLbls>
        <c:gapWidth val="150"/>
        <c:axId val="101394688"/>
        <c:axId val="101400576"/>
      </c:barChart>
      <c:catAx>
        <c:axId val="101394688"/>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1400576"/>
        <c:crosses val="autoZero"/>
        <c:auto val="0"/>
        <c:lblAlgn val="ctr"/>
        <c:lblOffset val="100"/>
        <c:noMultiLvlLbl val="0"/>
      </c:catAx>
      <c:valAx>
        <c:axId val="1014005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174195330847E-2"/>
              <c:y val="4.955372113181964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1394688"/>
        <c:crosses val="autoZero"/>
        <c:crossBetween val="between"/>
      </c:valAx>
      <c:spPr>
        <a:noFill/>
        <a:ln w="25400">
          <a:noFill/>
        </a:ln>
      </c:spPr>
    </c:plotArea>
    <c:legend>
      <c:legendPos val="r"/>
      <c:layout>
        <c:manualLayout>
          <c:xMode val="edge"/>
          <c:yMode val="edge"/>
          <c:x val="0.80000095635818791"/>
          <c:y val="5.5474452554744529E-2"/>
          <c:w val="0.12493299741573577"/>
          <c:h val="9.3129084198082468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53973668271E-2"/>
          <c:y val="0.12802274926748169"/>
          <c:w val="0.88039457459926018"/>
          <c:h val="0.68807339449541283"/>
        </c:manualLayout>
      </c:layout>
      <c:barChart>
        <c:barDir val="col"/>
        <c:grouping val="clustered"/>
        <c:varyColors val="0"/>
        <c:ser>
          <c:idx val="1"/>
          <c:order val="0"/>
          <c:tx>
            <c:v>ohne Prämien</c:v>
          </c:tx>
          <c:spPr>
            <a:solidFill>
              <a:srgbClr val="99FF99"/>
            </a:solidFill>
            <a:ln w="0">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'EK2'!$D$21:$J$21</c:f>
              <c:numCache>
                <c:formatCode>#,##0____</c:formatCode>
                <c:ptCount val="7"/>
                <c:pt idx="0">
                  <c:v>859.88314033294046</c:v>
                </c:pt>
                <c:pt idx="1">
                  <c:v>536.6116599082352</c:v>
                </c:pt>
                <c:pt idx="2">
                  <c:v>277.67927903435304</c:v>
                </c:pt>
                <c:pt idx="3">
                  <c:v>246.86426499411778</c:v>
                </c:pt>
                <c:pt idx="4">
                  <c:v>855.20052224313736</c:v>
                </c:pt>
                <c:pt idx="5">
                  <c:v>0</c:v>
                </c:pt>
                <c:pt idx="6">
                  <c:v>581.14101138994511</c:v>
                </c:pt>
              </c:numCache>
            </c:numRef>
          </c:val>
          <c:extLst>
            <c:ext xmlns:c16="http://schemas.microsoft.com/office/drawing/2014/chart" uri="{C3380CC4-5D6E-409C-BE32-E72D297353CC}">
              <c16:uniqueId val="{00000000-6497-4ACE-B1C3-F99A7A2FB09C}"/>
            </c:ext>
          </c:extLst>
        </c:ser>
        <c:ser>
          <c:idx val="2"/>
          <c:order val="1"/>
          <c:tx>
            <c:v>mit Prämien</c:v>
          </c:tx>
          <c:spPr>
            <a:solidFill>
              <a:srgbClr val="33CC33"/>
            </a:solidFill>
          </c:spPr>
          <c:invertIfNegative val="0"/>
          <c:dLbls>
            <c:spPr>
              <a:noFill/>
              <a:ln>
                <a:noFill/>
              </a:ln>
              <a:effectLst/>
            </c:spPr>
            <c:txPr>
              <a:bodyPr/>
              <a:lstStyle/>
              <a:p>
                <a:pPr algn="ctr">
                  <a:defRPr lang="de-DE" sz="1000" b="0" i="0" u="none" strike="noStrike" kern="1200"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'EK2'!$D$6:$J$6</c:f>
              <c:strCache>
                <c:ptCount val="7"/>
                <c:pt idx="0">
                  <c:v>Winterraps</c:v>
                </c:pt>
                <c:pt idx="1">
                  <c:v>Winterweizen (Brot-)</c:v>
                </c:pt>
                <c:pt idx="2">
                  <c:v>Futtererbsen </c:v>
                </c:pt>
                <c:pt idx="3">
                  <c:v>Wintergerste</c:v>
                </c:pt>
                <c:pt idx="4">
                  <c:v>Körnermais </c:v>
                </c:pt>
                <c:pt idx="5">
                  <c:v>Begrünung</c:v>
                </c:pt>
                <c:pt idx="6">
                  <c:v>Ø DB je ha AF </c:v>
                </c:pt>
              </c:strCache>
            </c:strRef>
          </c:cat>
          <c:val>
            <c:numRef>
              <c:f>'EK2'!$D$22:$J$22</c:f>
              <c:numCache>
                <c:formatCode>#,##0____</c:formatCode>
                <c:ptCount val="7"/>
                <c:pt idx="0">
                  <c:v>1300.9706658590471</c:v>
                </c:pt>
                <c:pt idx="1">
                  <c:v>843.6804626071646</c:v>
                </c:pt>
                <c:pt idx="2">
                  <c:v>826.65299524852821</c:v>
                </c:pt>
                <c:pt idx="3">
                  <c:v>688.89268141904915</c:v>
                </c:pt>
                <c:pt idx="4">
                  <c:v>1197.1994154840522</c:v>
                </c:pt>
                <c:pt idx="5">
                  <c:v>0</c:v>
                </c:pt>
                <c:pt idx="6">
                  <c:v>973.18199085943195</c:v>
                </c:pt>
              </c:numCache>
            </c:numRef>
          </c:val>
          <c:extLst>
            <c:ext xmlns:c16="http://schemas.microsoft.com/office/drawing/2014/chart" uri="{C3380CC4-5D6E-409C-BE32-E72D297353CC}">
              <c16:uniqueId val="{00000001-6497-4ACE-B1C3-F99A7A2FB09C}"/>
            </c:ext>
          </c:extLst>
        </c:ser>
        <c:dLbls>
          <c:showLegendKey val="0"/>
          <c:showVal val="0"/>
          <c:showCatName val="0"/>
          <c:showSerName val="0"/>
          <c:showPercent val="0"/>
          <c:showBubbleSize val="0"/>
        </c:dLbls>
        <c:gapWidth val="150"/>
        <c:axId val="104964864"/>
        <c:axId val="104966400"/>
      </c:barChart>
      <c:catAx>
        <c:axId val="104964864"/>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966400"/>
        <c:crosses val="autoZero"/>
        <c:auto val="0"/>
        <c:lblAlgn val="ctr"/>
        <c:lblOffset val="100"/>
        <c:noMultiLvlLbl val="0"/>
      </c:catAx>
      <c:valAx>
        <c:axId val="104966400"/>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3.7394561509770795E-2"/>
              <c:y val="4.226964244541624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964864"/>
        <c:crosses val="autoZero"/>
        <c:crossBetween val="between"/>
      </c:valAx>
      <c:spPr>
        <a:noFill/>
        <a:ln w="25400">
          <a:noFill/>
        </a:ln>
      </c:spPr>
    </c:plotArea>
    <c:legend>
      <c:legendPos val="r"/>
      <c:layout>
        <c:manualLayout>
          <c:xMode val="edge"/>
          <c:yMode val="edge"/>
          <c:x val="0.80000095635818791"/>
          <c:y val="5.5474452554744529E-2"/>
          <c:w val="0.11781921862972709"/>
          <c:h val="8.3699569952618874E-2"/>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28865994631835E-2"/>
          <c:y val="0.15719257920259347"/>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D309-4701-A05C-097604BEA8B7}"/>
              </c:ext>
            </c:extLst>
          </c:dPt>
          <c:dPt>
            <c:idx val="8"/>
            <c:invertIfNegative val="0"/>
            <c:bubble3D val="0"/>
            <c:extLst>
              <c:ext xmlns:c16="http://schemas.microsoft.com/office/drawing/2014/chart" uri="{C3380CC4-5D6E-409C-BE32-E72D297353CC}">
                <c16:uniqueId val="{00000001-D309-4701-A05C-097604BEA8B7}"/>
              </c:ext>
            </c:extLst>
          </c:dPt>
          <c:dLbls>
            <c:dLbl>
              <c:idx val="0"/>
              <c:layout>
                <c:manualLayout>
                  <c:x val="-5.6569532251259146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09-4701-A05C-097604BEA8B7}"/>
                </c:ext>
              </c:extLst>
            </c:dLbl>
            <c:dLbl>
              <c:idx val="1"/>
              <c:layout>
                <c:manualLayout>
                  <c:x val="-8.4854298376888723E-3"/>
                  <c:y val="-2.41744197710967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09-4701-A05C-097604BEA8B7}"/>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09-4701-A05C-097604BEA8B7}"/>
                </c:ext>
              </c:extLst>
            </c:dLbl>
            <c:dLbl>
              <c:idx val="3"/>
              <c:layout>
                <c:manualLayout>
                  <c:x val="-5.65695322512586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09-4701-A05C-097604BEA8B7}"/>
                </c:ext>
              </c:extLst>
            </c:dLbl>
            <c:dLbl>
              <c:idx val="4"/>
              <c:layout>
                <c:manualLayout>
                  <c:x val="-8.4854298376888723E-3"/>
                  <c:y val="-8.8638515200996834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09-4701-A05C-097604BEA8B7}"/>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09-4701-A05C-097604BEA8B7}"/>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EÖ1!$D$22:$S$22</c:f>
              <c:numCache>
                <c:formatCode>#,##0____</c:formatCode>
                <c:ptCount val="16"/>
                <c:pt idx="0">
                  <c:v>304.44338121394964</c:v>
                </c:pt>
                <c:pt idx="1">
                  <c:v>251.8558812139496</c:v>
                </c:pt>
                <c:pt idx="2">
                  <c:v>829.62086418662216</c:v>
                </c:pt>
                <c:pt idx="3">
                  <c:v>1218.4729450123696</c:v>
                </c:pt>
                <c:pt idx="4">
                  <c:v>698.33286418662215</c:v>
                </c:pt>
                <c:pt idx="5">
                  <c:v>1106.4630352329414</c:v>
                </c:pt>
                <c:pt idx="6">
                  <c:v>962.67753599885714</c:v>
                </c:pt>
                <c:pt idx="7">
                  <c:v>747.78698724635296</c:v>
                </c:pt>
                <c:pt idx="8">
                  <c:v>793.62958595119335</c:v>
                </c:pt>
                <c:pt idx="9">
                  <c:v>1167.8382455762353</c:v>
                </c:pt>
                <c:pt idx="10">
                  <c:v>953.98466892894123</c:v>
                </c:pt>
                <c:pt idx="11">
                  <c:v>1678.7895067835293</c:v>
                </c:pt>
                <c:pt idx="12">
                  <c:v>1362.4779474138493</c:v>
                </c:pt>
                <c:pt idx="13">
                  <c:v>808.67336781734502</c:v>
                </c:pt>
                <c:pt idx="14">
                  <c:v>7885.7463269453765</c:v>
                </c:pt>
                <c:pt idx="15">
                  <c:v>0</c:v>
                </c:pt>
              </c:numCache>
            </c:numRef>
          </c:val>
          <c:extLst>
            <c:ext xmlns:c16="http://schemas.microsoft.com/office/drawing/2014/chart" uri="{C3380CC4-5D6E-409C-BE32-E72D297353CC}">
              <c16:uniqueId val="{00000007-D309-4701-A05C-097604BEA8B7}"/>
            </c:ext>
          </c:extLst>
        </c:ser>
        <c:ser>
          <c:idx val="1"/>
          <c:order val="1"/>
          <c:tx>
            <c:v>mit Prämien</c:v>
          </c:tx>
          <c:spPr>
            <a:solidFill>
              <a:srgbClr val="33CC33"/>
            </a:solidFill>
            <a:ln>
              <a:noFill/>
            </a:ln>
          </c:spPr>
          <c:invertIfNegative val="0"/>
          <c:dLbls>
            <c:spPr>
              <a:solidFill>
                <a:sysClr val="window" lastClr="FFFFFF"/>
              </a:solidFill>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EÖ1!$D$7:$S$7</c:f>
              <c:strCache>
                <c:ptCount val="16"/>
                <c:pt idx="0">
                  <c:v>Kleegras zweijährig (50:50)</c:v>
                </c:pt>
                <c:pt idx="1">
                  <c:v>Luzernegras zweijährig (50:50)</c:v>
                </c:pt>
                <c:pt idx="2">
                  <c:v>Öko-Winterroggen (Brot)</c:v>
                </c:pt>
                <c:pt idx="3">
                  <c:v>Öko-Winterweizen (Brot)</c:v>
                </c:pt>
                <c:pt idx="4">
                  <c:v>Öko-Wintergerste</c:v>
                </c:pt>
                <c:pt idx="5">
                  <c:v>Öko-Braugerste</c:v>
                </c:pt>
                <c:pt idx="6">
                  <c:v>Öko-Hafer</c:v>
                </c:pt>
                <c:pt idx="7">
                  <c:v>Öko-Dinkel</c:v>
                </c:pt>
                <c:pt idx="8">
                  <c:v>Öko-Winterweizen (Futter)</c:v>
                </c:pt>
                <c:pt idx="9">
                  <c:v>Öko-Ackerbohnen </c:v>
                </c:pt>
                <c:pt idx="10">
                  <c:v>Öko-Futtererbsen</c:v>
                </c:pt>
                <c:pt idx="11">
                  <c:v>Öko-Sojabohnen</c:v>
                </c:pt>
                <c:pt idx="12">
                  <c:v>Öko-Körnermais </c:v>
                </c:pt>
                <c:pt idx="13">
                  <c:v>Öko-Sonnenblumen</c:v>
                </c:pt>
                <c:pt idx="14">
                  <c:v>Öko-Speisekartoffeln spät</c:v>
                </c:pt>
                <c:pt idx="15">
                  <c:v>Ø DB je ha AF </c:v>
                </c:pt>
              </c:strCache>
            </c:strRef>
          </c:cat>
          <c:val>
            <c:numRef>
              <c:f>EÖ1!$D$23:$S$23</c:f>
              <c:numCache>
                <c:formatCode>#,##0____</c:formatCode>
                <c:ptCount val="16"/>
                <c:pt idx="0">
                  <c:v>1003.3952206614457</c:v>
                </c:pt>
                <c:pt idx="1">
                  <c:v>950.19419982811235</c:v>
                </c:pt>
                <c:pt idx="2">
                  <c:v>1412.7197742687993</c:v>
                </c:pt>
                <c:pt idx="3">
                  <c:v>1899.8084627041806</c:v>
                </c:pt>
                <c:pt idx="4">
                  <c:v>1280.0867476021326</c:v>
                </c:pt>
                <c:pt idx="5">
                  <c:v>1690.4044789773259</c:v>
                </c:pt>
                <c:pt idx="6">
                  <c:v>1545.8043294743993</c:v>
                </c:pt>
                <c:pt idx="7">
                  <c:v>1330.0245020975606</c:v>
                </c:pt>
                <c:pt idx="8">
                  <c:v>1376.2930422317352</c:v>
                </c:pt>
                <c:pt idx="9">
                  <c:v>1754.1052473301804</c:v>
                </c:pt>
                <c:pt idx="10">
                  <c:v>1541.4744900664455</c:v>
                </c:pt>
                <c:pt idx="11">
                  <c:v>2262.9403843626706</c:v>
                </c:pt>
                <c:pt idx="12">
                  <c:v>1937.1246345781219</c:v>
                </c:pt>
                <c:pt idx="13">
                  <c:v>1386.3758904418808</c:v>
                </c:pt>
                <c:pt idx="14">
                  <c:v>8434.3279507597381</c:v>
                </c:pt>
                <c:pt idx="15">
                  <c:v>0</c:v>
                </c:pt>
              </c:numCache>
            </c:numRef>
          </c:val>
          <c:extLst>
            <c:ext xmlns:c16="http://schemas.microsoft.com/office/drawing/2014/chart" uri="{C3380CC4-5D6E-409C-BE32-E72D297353CC}">
              <c16:uniqueId val="{00000008-D309-4701-A05C-097604BEA8B7}"/>
            </c:ext>
          </c:extLst>
        </c:ser>
        <c:dLbls>
          <c:showLegendKey val="0"/>
          <c:showVal val="0"/>
          <c:showCatName val="0"/>
          <c:showSerName val="0"/>
          <c:showPercent val="0"/>
          <c:showBubbleSize val="0"/>
        </c:dLbls>
        <c:gapWidth val="150"/>
        <c:axId val="104774656"/>
        <c:axId val="104788736"/>
      </c:barChart>
      <c:catAx>
        <c:axId val="104774656"/>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788736"/>
        <c:crosses val="autoZero"/>
        <c:auto val="0"/>
        <c:lblAlgn val="ctr"/>
        <c:lblOffset val="100"/>
        <c:noMultiLvlLbl val="0"/>
      </c:catAx>
      <c:valAx>
        <c:axId val="10478873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2.1704880375436587E-2"/>
              <c:y val="3.4961738237349209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774656"/>
        <c:crosses val="autoZero"/>
        <c:crossBetween val="between"/>
      </c:valAx>
      <c:spPr>
        <a:noFill/>
        <a:ln w="25400">
          <a:noFill/>
        </a:ln>
      </c:spPr>
    </c:plotArea>
    <c:legend>
      <c:legendPos val="r"/>
      <c:layout>
        <c:manualLayout>
          <c:xMode val="edge"/>
          <c:yMode val="edge"/>
          <c:x val="0.80000095635818791"/>
          <c:y val="5.5474452554744529E-2"/>
          <c:w val="0.14979778337424421"/>
          <c:h val="0.17372281931911795"/>
        </c:manualLayout>
      </c:layout>
      <c:overlay val="0"/>
      <c:txPr>
        <a:bodyPr/>
        <a:lstStyle/>
        <a:p>
          <a:pPr>
            <a:defRPr sz="12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301488053241378E-2"/>
          <c:y val="0.15230292063232534"/>
          <c:w val="0.88039457459926018"/>
          <c:h val="0.68807339449541283"/>
        </c:manualLayout>
      </c:layout>
      <c:barChart>
        <c:barDir val="col"/>
        <c:grouping val="clustered"/>
        <c:varyColors val="0"/>
        <c:ser>
          <c:idx val="0"/>
          <c:order val="0"/>
          <c:tx>
            <c:v>ohne Prämien</c:v>
          </c:tx>
          <c:spPr>
            <a:solidFill>
              <a:srgbClr val="99FF99"/>
            </a:solidFill>
            <a:ln w="0">
              <a:noFill/>
              <a:prstDash val="solid"/>
            </a:ln>
          </c:spPr>
          <c:invertIfNegative val="0"/>
          <c:dPt>
            <c:idx val="6"/>
            <c:invertIfNegative val="0"/>
            <c:bubble3D val="0"/>
            <c:extLst>
              <c:ext xmlns:c16="http://schemas.microsoft.com/office/drawing/2014/chart" uri="{C3380CC4-5D6E-409C-BE32-E72D297353CC}">
                <c16:uniqueId val="{00000000-2941-4055-9B3B-7FEECE22F199}"/>
              </c:ext>
            </c:extLst>
          </c:dPt>
          <c:dPt>
            <c:idx val="8"/>
            <c:invertIfNegative val="0"/>
            <c:bubble3D val="0"/>
            <c:extLst>
              <c:ext xmlns:c16="http://schemas.microsoft.com/office/drawing/2014/chart" uri="{C3380CC4-5D6E-409C-BE32-E72D297353CC}">
                <c16:uniqueId val="{00000001-2941-4055-9B3B-7FEECE22F199}"/>
              </c:ext>
            </c:extLst>
          </c:dPt>
          <c:dLbls>
            <c:dLbl>
              <c:idx val="0"/>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41-4055-9B3B-7FEECE22F199}"/>
                </c:ext>
              </c:extLst>
            </c:dLbl>
            <c:dLbl>
              <c:idx val="1"/>
              <c:layout>
                <c:manualLayout>
                  <c:x val="-1.1423644740839553E-2"/>
                  <c:y val="-2.258009399364165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41-4055-9B3B-7FEECE22F199}"/>
                </c:ext>
              </c:extLst>
            </c:dLbl>
            <c:dLbl>
              <c:idx val="2"/>
              <c:layout>
                <c:manualLayout>
                  <c:x val="-1.14236434563942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41-4055-9B3B-7FEECE22F199}"/>
                </c:ext>
              </c:extLst>
            </c:dLbl>
            <c:dLbl>
              <c:idx val="3"/>
              <c:layout>
                <c:manualLayout>
                  <c:x val="-8.567733555629664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41-4055-9B3B-7FEECE22F199}"/>
                </c:ext>
              </c:extLst>
            </c:dLbl>
            <c:dLbl>
              <c:idx val="4"/>
              <c:layout>
                <c:manualLayout>
                  <c:x val="-9.99568914823460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41-4055-9B3B-7FEECE22F199}"/>
                </c:ext>
              </c:extLst>
            </c:dLbl>
            <c:dLbl>
              <c:idx val="5"/>
              <c:layout>
                <c:manualLayout>
                  <c:x val="-1.1423644740839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41-4055-9B3B-7FEECE22F199}"/>
                </c:ext>
              </c:extLst>
            </c:dLbl>
            <c:dLbl>
              <c:idx val="8"/>
              <c:layout>
                <c:manualLayout>
                  <c:x val="-9.99568802434495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41-4055-9B3B-7FEECE22F199}"/>
                </c:ext>
              </c:extLst>
            </c:dLbl>
            <c:spPr>
              <a:solidFill>
                <a:sysClr val="window" lastClr="FFFFFF"/>
              </a:solidFill>
              <a:ln w="25400">
                <a:noFill/>
              </a:ln>
            </c:spPr>
            <c:txPr>
              <a:bodyPr/>
              <a:lstStyle/>
              <a:p>
                <a:pPr algn="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spPr>
              <a:ln>
                <a:noFill/>
              </a:ln>
            </c:spPr>
            <c:trendlineType val="log"/>
            <c:dispRSqr val="0"/>
            <c:dispEq val="0"/>
          </c:trendline>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EÖ2!$D$22:$L$22</c:f>
              <c:numCache>
                <c:formatCode>#,##0____</c:formatCode>
                <c:ptCount val="9"/>
                <c:pt idx="0">
                  <c:v>304.44338121394964</c:v>
                </c:pt>
                <c:pt idx="1">
                  <c:v>829.62086418662216</c:v>
                </c:pt>
                <c:pt idx="2">
                  <c:v>1167.8382455762353</c:v>
                </c:pt>
                <c:pt idx="3">
                  <c:v>793.62958595119335</c:v>
                </c:pt>
                <c:pt idx="4">
                  <c:v>0</c:v>
                </c:pt>
                <c:pt idx="5">
                  <c:v>0</c:v>
                </c:pt>
                <c:pt idx="6">
                  <c:v>0</c:v>
                </c:pt>
                <c:pt idx="7">
                  <c:v>0</c:v>
                </c:pt>
                <c:pt idx="8">
                  <c:v>60.888676242789927</c:v>
                </c:pt>
              </c:numCache>
            </c:numRef>
          </c:val>
          <c:extLst>
            <c:ext xmlns:c16="http://schemas.microsoft.com/office/drawing/2014/chart" uri="{C3380CC4-5D6E-409C-BE32-E72D297353CC}">
              <c16:uniqueId val="{00000008-2941-4055-9B3B-7FEECE22F199}"/>
            </c:ext>
          </c:extLst>
        </c:ser>
        <c:ser>
          <c:idx val="1"/>
          <c:order val="1"/>
          <c:tx>
            <c:v>mit Prämien</c:v>
          </c:tx>
          <c:spPr>
            <a:solidFill>
              <a:srgbClr val="33CC33"/>
            </a:solidFill>
            <a:ln>
              <a:noFill/>
            </a:ln>
          </c:spPr>
          <c:invertIfNegative val="0"/>
          <c:dLbls>
            <c:spPr>
              <a:solidFill>
                <a:sysClr val="window" lastClr="FFFFFF"/>
              </a:solidFill>
              <a:ln>
                <a:noFill/>
              </a:ln>
            </c:spPr>
            <c:txPr>
              <a:bodyPr/>
              <a:lstStyle/>
              <a:p>
                <a:pPr>
                  <a:defRPr sz="1000" b="0" i="0" u="none" strike="noStrike" baseline="0">
                    <a:solidFill>
                      <a:srgbClr val="6633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EÖ2!$D$7:$L$7</c:f>
              <c:strCache>
                <c:ptCount val="9"/>
                <c:pt idx="0">
                  <c:v>Kleegras zweijährig (50:50)</c:v>
                </c:pt>
                <c:pt idx="1">
                  <c:v>Öko-Winterroggen (Brot)</c:v>
                </c:pt>
                <c:pt idx="2">
                  <c:v>Öko-Ackerbohnen </c:v>
                </c:pt>
                <c:pt idx="3">
                  <c:v>Öko-Winterweizen (Futter)</c:v>
                </c:pt>
                <c:pt idx="8">
                  <c:v>Ø DB je ha AF </c:v>
                </c:pt>
              </c:strCache>
            </c:strRef>
          </c:cat>
          <c:val>
            <c:numRef>
              <c:f>EÖ2!$D$23:$L$23</c:f>
              <c:numCache>
                <c:formatCode>#,##0____</c:formatCode>
                <c:ptCount val="9"/>
                <c:pt idx="0">
                  <c:v>1003.3952206614457</c:v>
                </c:pt>
                <c:pt idx="1">
                  <c:v>1412.7197742687993</c:v>
                </c:pt>
                <c:pt idx="2">
                  <c:v>1754.1052473301804</c:v>
                </c:pt>
                <c:pt idx="3">
                  <c:v>1376.2930422317352</c:v>
                </c:pt>
                <c:pt idx="4">
                  <c:v>0</c:v>
                </c:pt>
                <c:pt idx="5">
                  <c:v>0</c:v>
                </c:pt>
                <c:pt idx="6">
                  <c:v>0</c:v>
                </c:pt>
                <c:pt idx="7">
                  <c:v>0</c:v>
                </c:pt>
                <c:pt idx="8">
                  <c:v>200.67904413228914</c:v>
                </c:pt>
              </c:numCache>
            </c:numRef>
          </c:val>
          <c:extLst>
            <c:ext xmlns:c16="http://schemas.microsoft.com/office/drawing/2014/chart" uri="{C3380CC4-5D6E-409C-BE32-E72D297353CC}">
              <c16:uniqueId val="{00000009-2941-4055-9B3B-7FEECE22F199}"/>
            </c:ext>
          </c:extLst>
        </c:ser>
        <c:dLbls>
          <c:showLegendKey val="0"/>
          <c:showVal val="0"/>
          <c:showCatName val="0"/>
          <c:showSerName val="0"/>
          <c:showPercent val="0"/>
          <c:showBubbleSize val="0"/>
        </c:dLbls>
        <c:gapWidth val="150"/>
        <c:axId val="104872192"/>
        <c:axId val="104882176"/>
      </c:barChart>
      <c:catAx>
        <c:axId val="104872192"/>
        <c:scaling>
          <c:orientation val="minMax"/>
        </c:scaling>
        <c:delete val="0"/>
        <c:axPos val="b"/>
        <c:numFmt formatCode="@" sourceLinked="0"/>
        <c:majorTickMark val="cross"/>
        <c:minorTickMark val="none"/>
        <c:tickLblPos val="low"/>
        <c:txPr>
          <a:bodyPr rot="1380000" vert="horz"/>
          <a:lstStyle/>
          <a:p>
            <a:pPr>
              <a:defRPr sz="1200" b="0" i="0" u="none" strike="noStrike" baseline="0">
                <a:solidFill>
                  <a:srgbClr val="000000"/>
                </a:solidFill>
                <a:latin typeface="Arial"/>
                <a:ea typeface="Arial"/>
                <a:cs typeface="Arial"/>
              </a:defRPr>
            </a:pPr>
            <a:endParaRPr lang="de-DE"/>
          </a:p>
        </c:txPr>
        <c:crossAx val="104882176"/>
        <c:crosses val="autoZero"/>
        <c:auto val="0"/>
        <c:lblAlgn val="ctr"/>
        <c:lblOffset val="100"/>
        <c:noMultiLvlLbl val="0"/>
      </c:catAx>
      <c:valAx>
        <c:axId val="104882176"/>
        <c:scaling>
          <c:orientation val="minMax"/>
        </c:scaling>
        <c:delete val="0"/>
        <c:axPos val="l"/>
        <c:title>
          <c:tx>
            <c:rich>
              <a:bodyPr rot="0" vert="horz"/>
              <a:lstStyle/>
              <a:p>
                <a:pPr algn="ctr">
                  <a:defRPr sz="1100" b="1" i="0" u="none" strike="noStrike" baseline="0">
                    <a:solidFill>
                      <a:srgbClr val="000000"/>
                    </a:solidFill>
                    <a:latin typeface="Arial"/>
                    <a:ea typeface="Arial"/>
                    <a:cs typeface="Arial"/>
                  </a:defRPr>
                </a:pPr>
                <a:r>
                  <a:rPr lang="de-DE"/>
                  <a:t>€ / ha</a:t>
                </a:r>
              </a:p>
            </c:rich>
          </c:tx>
          <c:layout>
            <c:manualLayout>
              <c:xMode val="edge"/>
              <c:yMode val="edge"/>
              <c:x val="1.8501081716249902E-2"/>
              <c:y val="6.6549877574028082E-2"/>
            </c:manualLayout>
          </c:layout>
          <c:overlay val="0"/>
          <c:spPr>
            <a:noFill/>
            <a:ln w="25400">
              <a:noFill/>
            </a:ln>
          </c:spPr>
        </c:title>
        <c:numFmt formatCode="#,##0____"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104872192"/>
        <c:crosses val="autoZero"/>
        <c:crossBetween val="between"/>
      </c:valAx>
      <c:spPr>
        <a:noFill/>
        <a:ln w="25400">
          <a:noFill/>
        </a:ln>
      </c:spPr>
    </c:plotArea>
    <c:legend>
      <c:legendPos val="r"/>
      <c:legendEntry>
        <c:idx val="2"/>
        <c:delete val="1"/>
      </c:legendEntry>
      <c:layout>
        <c:manualLayout>
          <c:xMode val="edge"/>
          <c:yMode val="edge"/>
          <c:x val="0.8000005490945431"/>
          <c:y val="5.2348993288590599E-2"/>
          <c:w val="0.14644362446326009"/>
          <c:h val="0.17315453856858495"/>
        </c:manualLayout>
      </c:layout>
      <c:overlay val="0"/>
      <c:txPr>
        <a:bodyPr/>
        <a:lstStyle/>
        <a:p>
          <a:pPr>
            <a:defRPr lang="de-DE" sz="1200" b="0" i="0" u="none" strike="noStrike" kern="1200" baseline="0">
              <a:solidFill>
                <a:srgbClr val="000000"/>
              </a:solidFill>
              <a:latin typeface="Arial"/>
              <a:ea typeface="Arial"/>
              <a:cs typeface="Arial"/>
            </a:defRPr>
          </a:pPr>
          <a:endParaRPr lang="de-DE"/>
        </a:p>
      </c:txPr>
    </c:legend>
    <c:plotVisOnly val="1"/>
    <c:dispBlanksAs val="gap"/>
    <c:showDLblsOverMax val="0"/>
  </c:chart>
  <c:spPr>
    <a:solidFill>
      <a:srgbClr val="FFFF99">
        <a:alpha val="0"/>
      </a:srgbClr>
    </a:solidFill>
    <a:ln w="9525">
      <a:noFill/>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160" b="1" i="0" u="none" strike="noStrike" baseline="0">
                <a:solidFill>
                  <a:srgbClr val="000000"/>
                </a:solidFill>
                <a:latin typeface="Calibri"/>
                <a:ea typeface="Calibri"/>
                <a:cs typeface="Calibri"/>
              </a:defRPr>
            </a:pPr>
            <a:r>
              <a:rPr lang="de-DE" b="0"/>
              <a:t>Kostendeckender Erlös</a:t>
            </a:r>
          </a:p>
        </c:rich>
      </c:tx>
      <c:layout>
        <c:manualLayout>
          <c:xMode val="edge"/>
          <c:yMode val="edge"/>
          <c:x val="0.46962716250215714"/>
          <c:y val="4.686103707630463E-2"/>
        </c:manualLayout>
      </c:layout>
      <c:overlay val="1"/>
    </c:title>
    <c:autoTitleDeleted val="0"/>
    <c:plotArea>
      <c:layout>
        <c:manualLayout>
          <c:layoutTarget val="inner"/>
          <c:xMode val="edge"/>
          <c:yMode val="edge"/>
          <c:x val="6.9150120250845451E-2"/>
          <c:y val="0.14228504831533187"/>
          <c:w val="0.86896729404540496"/>
          <c:h val="0.60406533840503429"/>
        </c:manualLayout>
      </c:layout>
      <c:barChart>
        <c:barDir val="col"/>
        <c:grouping val="clustered"/>
        <c:varyColors val="0"/>
        <c:ser>
          <c:idx val="0"/>
          <c:order val="0"/>
          <c:tx>
            <c:strRef>
              <c:f>Kostenrechnung!$Q$176</c:f>
              <c:strCache>
                <c:ptCount val="1"/>
                <c:pt idx="0">
                  <c:v>ohne Prämien</c:v>
                </c:pt>
              </c:strCache>
            </c:strRef>
          </c:tx>
          <c:spPr>
            <a:solidFill>
              <a:srgbClr val="002060"/>
            </a:solidFill>
            <a:ln>
              <a:solidFill>
                <a:schemeClr val="tx1"/>
              </a:solidFill>
            </a:ln>
          </c:spPr>
          <c:invertIfNegative val="0"/>
          <c:dLbls>
            <c:dLbl>
              <c:idx val="0"/>
              <c:layout>
                <c:manualLayout>
                  <c:x val="0"/>
                  <c:y val="-4.41826112549461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F3-46C9-9909-62EF6FEAA4BC}"/>
                </c:ext>
              </c:extLst>
            </c:dLbl>
            <c:dLbl>
              <c:idx val="1"/>
              <c:layout>
                <c:manualLayout>
                  <c:x val="1.5925679493568408E-3"/>
                  <c:y val="-2.65095667529677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F3-46C9-9909-62EF6FEAA4BC}"/>
                </c:ext>
              </c:extLst>
            </c:dLbl>
            <c:dLbl>
              <c:idx val="2"/>
              <c:layout>
                <c:manualLayout>
                  <c:x val="7.9628397467842033E-3"/>
                  <c:y val="-2.209130562747309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Kostenrechnung!$R$176:$X$176</c:f>
              <c:numCache>
                <c:formatCode>0.00\ </c:formatCode>
                <c:ptCount val="7"/>
                <c:pt idx="0" formatCode="#,##0.00__">
                  <c:v>25.812175218942986</c:v>
                </c:pt>
                <c:pt idx="1">
                  <c:v>26.283373947760602</c:v>
                </c:pt>
                <c:pt idx="2" formatCode="#,##0.00__">
                  <c:v>53.574300020190478</c:v>
                </c:pt>
                <c:pt idx="3">
                  <c:v>24.829099178492811</c:v>
                </c:pt>
                <c:pt idx="4" formatCode="#,##0.00__">
                  <c:v>46.181792516708725</c:v>
                </c:pt>
                <c:pt idx="5" formatCode="General">
                  <c:v>1.6556767637135181</c:v>
                </c:pt>
                <c:pt idx="6" formatCode="#,##0.00__">
                  <c:v>68.558332845148868</c:v>
                </c:pt>
              </c:numCache>
            </c:numRef>
          </c:val>
          <c:extLst>
            <c:ext xmlns:c16="http://schemas.microsoft.com/office/drawing/2014/chart" uri="{C3380CC4-5D6E-409C-BE32-E72D297353CC}">
              <c16:uniqueId val="{00000003-7EF3-46C9-9909-62EF6FEAA4BC}"/>
            </c:ext>
          </c:extLst>
        </c:ser>
        <c:ser>
          <c:idx val="1"/>
          <c:order val="1"/>
          <c:tx>
            <c:strRef>
              <c:f>Kostenrechnung!$Q$177</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0"/>
          <c:dLbls>
            <c:dLbl>
              <c:idx val="0"/>
              <c:layout>
                <c:manualLayout>
                  <c:x val="2.8431441981444879E-3"/>
                  <c:y val="-2.22160943261118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F3-46C9-9909-62EF6FEAA4BC}"/>
                </c:ext>
              </c:extLst>
            </c:dLbl>
            <c:dLbl>
              <c:idx val="1"/>
              <c:layout>
                <c:manualLayout>
                  <c:x val="1.0463878033234399E-2"/>
                  <c:y val="-7.1034176363815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F3-46C9-9909-62EF6FEAA4BC}"/>
                </c:ext>
              </c:extLst>
            </c:dLbl>
            <c:dLbl>
              <c:idx val="2"/>
              <c:layout>
                <c:manualLayout>
                  <c:x val="5.7716599815865206E-3"/>
                  <c:y val="-2.023342342328985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F3-46C9-9909-62EF6FEAA4BC}"/>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Kostenrechnung!$R$173:$X$175</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Kostenrechnung!$R$177:$X$177</c:f>
              <c:numCache>
                <c:formatCode>0.00\ </c:formatCode>
                <c:ptCount val="7"/>
                <c:pt idx="0" formatCode="#,##0.00__">
                  <c:v>22.241064107831875</c:v>
                </c:pt>
                <c:pt idx="1">
                  <c:v>20.925726888937071</c:v>
                </c:pt>
                <c:pt idx="2" formatCode="#,##0.00__">
                  <c:v>42.18930002019048</c:v>
                </c:pt>
                <c:pt idx="3">
                  <c:v>21.275099178492813</c:v>
                </c:pt>
                <c:pt idx="4" formatCode="#,##0.00__">
                  <c:v>30.313221088137297</c:v>
                </c:pt>
                <c:pt idx="5" formatCode="General">
                  <c:v>0.51717676371351828</c:v>
                </c:pt>
                <c:pt idx="6" formatCode="#,##0.00__">
                  <c:v>51.691666178482201</c:v>
                </c:pt>
              </c:numCache>
            </c:numRef>
          </c:val>
          <c:extLst>
            <c:ext xmlns:c16="http://schemas.microsoft.com/office/drawing/2014/chart" uri="{C3380CC4-5D6E-409C-BE32-E72D297353CC}">
              <c16:uniqueId val="{00000007-7EF3-46C9-9909-62EF6FEAA4BC}"/>
            </c:ext>
          </c:extLst>
        </c:ser>
        <c:dLbls>
          <c:showLegendKey val="0"/>
          <c:showVal val="0"/>
          <c:showCatName val="0"/>
          <c:showSerName val="0"/>
          <c:showPercent val="0"/>
          <c:showBubbleSize val="0"/>
        </c:dLbls>
        <c:gapWidth val="150"/>
        <c:axId val="118339072"/>
        <c:axId val="118340608"/>
      </c:barChart>
      <c:catAx>
        <c:axId val="11833907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8340608"/>
        <c:crosses val="autoZero"/>
        <c:auto val="1"/>
        <c:lblAlgn val="ctr"/>
        <c:lblOffset val="100"/>
        <c:noMultiLvlLbl val="1"/>
      </c:catAx>
      <c:valAx>
        <c:axId val="11834060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€/dt</a:t>
                </a:r>
              </a:p>
            </c:rich>
          </c:tx>
          <c:layout>
            <c:manualLayout>
              <c:xMode val="edge"/>
              <c:yMode val="edge"/>
              <c:x val="3.7590177997602142E-2"/>
              <c:y val="3.9050348601556886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8339072"/>
        <c:crosses val="autoZero"/>
        <c:crossBetween val="between"/>
      </c:valAx>
      <c:spPr>
        <a:solidFill>
          <a:sysClr val="window" lastClr="FFFFFF"/>
        </a:solidFill>
        <a:ln w="25400">
          <a:noFill/>
        </a:ln>
      </c:spPr>
    </c:plotArea>
    <c:legend>
      <c:legendPos val="r"/>
      <c:layout>
        <c:manualLayout>
          <c:xMode val="edge"/>
          <c:yMode val="edge"/>
          <c:x val="0.43354691931953848"/>
          <c:y val="0.91779973409903459"/>
          <c:w val="0.10703862255445602"/>
          <c:h val="8.2038847148148478E-2"/>
        </c:manualLayout>
      </c:layout>
      <c:overlay val="0"/>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Kostenrechnung!$Q$140</c:f>
          <c:strCache>
            <c:ptCount val="1"/>
          </c:strCache>
        </c:strRef>
      </c:tx>
      <c:overlay val="1"/>
      <c:txPr>
        <a:bodyPr/>
        <a:lstStyle/>
        <a:p>
          <a:pPr>
            <a:defRPr sz="2160" b="1" i="0" u="none" strike="noStrike" baseline="0">
              <a:solidFill>
                <a:srgbClr val="000000"/>
              </a:solidFill>
              <a:latin typeface="Calibri"/>
              <a:ea typeface="Calibri"/>
              <a:cs typeface="Calibri"/>
            </a:defRPr>
          </a:pPr>
          <a:endParaRPr lang="de-DE"/>
        </a:p>
      </c:txPr>
    </c:title>
    <c:autoTitleDeleted val="0"/>
    <c:plotArea>
      <c:layout>
        <c:manualLayout>
          <c:layoutTarget val="inner"/>
          <c:xMode val="edge"/>
          <c:yMode val="edge"/>
          <c:x val="0.1158322421598509"/>
          <c:y val="0.13584540738377851"/>
          <c:w val="0.85260962452921751"/>
          <c:h val="0.6226464087933512"/>
        </c:manualLayout>
      </c:layout>
      <c:barChart>
        <c:barDir val="col"/>
        <c:grouping val="clustered"/>
        <c:varyColors val="0"/>
        <c:ser>
          <c:idx val="0"/>
          <c:order val="0"/>
          <c:tx>
            <c:strRef>
              <c:f>Kostenrechnung!$Q$145</c:f>
              <c:strCache>
                <c:ptCount val="1"/>
                <c:pt idx="0">
                  <c:v>ohne Prämien</c:v>
                </c:pt>
              </c:strCache>
            </c:strRef>
          </c:tx>
          <c:spPr>
            <a:solidFill>
              <a:srgbClr val="002060"/>
            </a:solidFill>
            <a:ln>
              <a:noFill/>
            </a:ln>
          </c:spPr>
          <c:invertIfNegative val="0"/>
          <c:dLbls>
            <c:dLbl>
              <c:idx val="0"/>
              <c:layout>
                <c:manualLayout>
                  <c:x val="-1.636457604961542E-3"/>
                  <c:y val="9.51131530143884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2-441B-8888-82A382802359}"/>
                </c:ext>
              </c:extLst>
            </c:dLbl>
            <c:dLbl>
              <c:idx val="1"/>
              <c:layout>
                <c:manualLayout>
                  <c:x val="-3.2246374608578769E-3"/>
                  <c:y val="7.09183696051484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2-441B-8888-82A382802359}"/>
                </c:ext>
              </c:extLst>
            </c:dLbl>
            <c:dLbl>
              <c:idx val="2"/>
              <c:layout>
                <c:manualLayout>
                  <c:x val="3.3295838020247471E-3"/>
                  <c:y val="3.932139174003324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Kostenrechnung!$R$145:$X$145</c:f>
              <c:numCache>
                <c:formatCode>#,##0__</c:formatCode>
                <c:ptCount val="7"/>
                <c:pt idx="0">
                  <c:v>776.89841544823526</c:v>
                </c:pt>
                <c:pt idx="1">
                  <c:v>425.0366205341179</c:v>
                </c:pt>
                <c:pt idx="2">
                  <c:v>859.88314033294046</c:v>
                </c:pt>
                <c:pt idx="3">
                  <c:v>855.20052224313736</c:v>
                </c:pt>
                <c:pt idx="4">
                  <c:v>277.67927903435304</c:v>
                </c:pt>
                <c:pt idx="5" formatCode="General">
                  <c:v>234.17327299630261</c:v>
                </c:pt>
                <c:pt idx="6">
                  <c:v>407.27406265882382</c:v>
                </c:pt>
              </c:numCache>
            </c:numRef>
          </c:val>
          <c:extLst>
            <c:ext xmlns:c16="http://schemas.microsoft.com/office/drawing/2014/chart" uri="{C3380CC4-5D6E-409C-BE32-E72D297353CC}">
              <c16:uniqueId val="{00000003-CC62-441B-8888-82A382802359}"/>
            </c:ext>
          </c:extLst>
        </c:ser>
        <c:ser>
          <c:idx val="1"/>
          <c:order val="1"/>
          <c:tx>
            <c:strRef>
              <c:f>Kostenrechnung!$Q$146</c:f>
              <c:strCache>
                <c:ptCount val="1"/>
                <c:pt idx="0">
                  <c:v>mit Prämien</c:v>
                </c:pt>
              </c:strCache>
            </c:strRef>
          </c:tx>
          <c:spPr>
            <a:pattFill prst="wdUpDiag">
              <a:fgClr>
                <a:srgbClr val="002060"/>
              </a:fgClr>
              <a:bgClr>
                <a:schemeClr val="bg1"/>
              </a:bgClr>
            </a:pattFill>
            <a:ln w="25400" cap="sq" cmpd="sng">
              <a:solidFill>
                <a:schemeClr val="tx1"/>
              </a:solidFill>
              <a:prstDash val="solid"/>
              <a:round/>
            </a:ln>
          </c:spPr>
          <c:invertIfNegative val="1"/>
          <c:dLbls>
            <c:dLbl>
              <c:idx val="0"/>
              <c:layout>
                <c:manualLayout>
                  <c:x val="1.2987565743471255E-3"/>
                  <c:y val="2.683981534348678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62-441B-8888-82A382802359}"/>
                </c:ext>
              </c:extLst>
            </c:dLbl>
            <c:dLbl>
              <c:idx val="1"/>
              <c:layout>
                <c:manualLayout>
                  <c:x val="2.7418599702064271E-3"/>
                  <c:y val="4.13892614182080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62-441B-8888-82A382802359}"/>
                </c:ext>
              </c:extLst>
            </c:dLbl>
            <c:dLbl>
              <c:idx val="2"/>
              <c:layout>
                <c:manualLayout>
                  <c:x val="-1.9503237770954307E-3"/>
                  <c:y val="2.2511098422983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62-441B-8888-82A382802359}"/>
                </c:ext>
              </c:extLst>
            </c:dLbl>
            <c:spPr>
              <a:noFill/>
              <a:ln>
                <a:noFill/>
              </a:ln>
              <a:effectLst/>
            </c:spPr>
            <c:txPr>
              <a:bodyPr/>
              <a:lstStyle/>
              <a:p>
                <a:pPr>
                  <a:defRPr sz="1800" b="0" i="0" u="none" strike="noStrike" baseline="0">
                    <a:solidFill>
                      <a:srgbClr val="000000"/>
                    </a:solidFill>
                    <a:latin typeface="Calibri"/>
                    <a:ea typeface="Calibri"/>
                    <a:cs typeface="Calibri"/>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Kostenrechnung!$R$141:$X$144</c:f>
              <c:multiLvlStrCache>
                <c:ptCount val="7"/>
                <c:lvl>
                  <c:pt idx="0">
                    <c:v>Winterweizen (Brot-)</c:v>
                  </c:pt>
                  <c:pt idx="1">
                    <c:v>Wintergerste</c:v>
                  </c:pt>
                  <c:pt idx="2">
                    <c:v>Winterraps</c:v>
                  </c:pt>
                  <c:pt idx="3">
                    <c:v>Körnermais </c:v>
                  </c:pt>
                  <c:pt idx="4">
                    <c:v>Futtererbsen </c:v>
                  </c:pt>
                  <c:pt idx="5">
                    <c:v>Kleegras einjährig (70:30) </c:v>
                  </c:pt>
                  <c:pt idx="6">
                    <c:v>Sojabohne </c:v>
                  </c:pt>
                </c:lvl>
                <c:lvl>
                  <c:pt idx="0">
                    <c:v>hoch</c:v>
                  </c:pt>
                  <c:pt idx="1">
                    <c:v>hoch</c:v>
                  </c:pt>
                  <c:pt idx="2">
                    <c:v>mittel</c:v>
                  </c:pt>
                  <c:pt idx="3">
                    <c:v>mittel</c:v>
                  </c:pt>
                  <c:pt idx="4">
                    <c:v>mittel</c:v>
                  </c:pt>
                  <c:pt idx="5">
                    <c:v>mittel</c:v>
                  </c:pt>
                  <c:pt idx="6">
                    <c:v>mittel</c:v>
                  </c:pt>
                </c:lvl>
                <c:lvl>
                  <c:pt idx="0">
                    <c:v>90dt/ha</c:v>
                  </c:pt>
                  <c:pt idx="1">
                    <c:v>85dt/ha</c:v>
                  </c:pt>
                  <c:pt idx="2">
                    <c:v>40dt/ha</c:v>
                  </c:pt>
                  <c:pt idx="3">
                    <c:v>100dt/ha</c:v>
                  </c:pt>
                  <c:pt idx="4">
                    <c:v>35dt/ha</c:v>
                  </c:pt>
                  <c:pt idx="5">
                    <c:v>400dt/ha</c:v>
                  </c:pt>
                  <c:pt idx="6">
                    <c:v>27dt/ha</c:v>
                  </c:pt>
                </c:lvl>
              </c:multiLvlStrCache>
            </c:multiLvlStrRef>
          </c:cat>
          <c:val>
            <c:numRef>
              <c:f>Kostenrechnung!$R$146:$X$146</c:f>
              <c:numCache>
                <c:formatCode>#,##0__</c:formatCode>
                <c:ptCount val="7"/>
                <c:pt idx="0">
                  <c:v>1082.6522302951312</c:v>
                </c:pt>
                <c:pt idx="1">
                  <c:v>865.66121444034923</c:v>
                </c:pt>
                <c:pt idx="2">
                  <c:v>1300.9706658590471</c:v>
                </c:pt>
                <c:pt idx="3">
                  <c:v>1197.1994154840522</c:v>
                </c:pt>
                <c:pt idx="4">
                  <c:v>826.65299524852821</c:v>
                </c:pt>
                <c:pt idx="5" formatCode="General">
                  <c:v>692.3052945145929</c:v>
                </c:pt>
                <c:pt idx="6">
                  <c:v>854.29301318098067</c:v>
                </c:pt>
              </c:numCache>
            </c:numRef>
          </c:val>
          <c:extLst>
            <c:ext xmlns:c16="http://schemas.microsoft.com/office/drawing/2014/chart" uri="{C3380CC4-5D6E-409C-BE32-E72D297353CC}">
              <c16:uniqueId val="{00000007-CC62-441B-8888-82A382802359}"/>
            </c:ext>
          </c:extLst>
        </c:ser>
        <c:dLbls>
          <c:showLegendKey val="0"/>
          <c:showVal val="0"/>
          <c:showCatName val="0"/>
          <c:showSerName val="0"/>
          <c:showPercent val="0"/>
          <c:showBubbleSize val="0"/>
        </c:dLbls>
        <c:gapWidth val="150"/>
        <c:axId val="116908032"/>
        <c:axId val="116909568"/>
      </c:barChart>
      <c:catAx>
        <c:axId val="116908032"/>
        <c:scaling>
          <c:orientation val="minMax"/>
        </c:scaling>
        <c:delete val="0"/>
        <c:axPos val="b"/>
        <c:numFmt formatCode="General" sourceLinked="1"/>
        <c:majorTickMark val="out"/>
        <c:minorTickMark val="none"/>
        <c:tickLblPos val="low"/>
        <c:txPr>
          <a:bodyPr rot="0" vert="horz"/>
          <a:lstStyle/>
          <a:p>
            <a:pPr>
              <a:defRPr sz="1800" b="0" i="0" u="none" strike="noStrike" baseline="0">
                <a:solidFill>
                  <a:srgbClr val="000000"/>
                </a:solidFill>
                <a:latin typeface="Calibri"/>
                <a:ea typeface="Calibri"/>
                <a:cs typeface="Calibri"/>
              </a:defRPr>
            </a:pPr>
            <a:endParaRPr lang="de-DE"/>
          </a:p>
        </c:txPr>
        <c:crossAx val="116909568"/>
        <c:crosses val="autoZero"/>
        <c:auto val="1"/>
        <c:lblAlgn val="ctr"/>
        <c:lblOffset val="100"/>
        <c:noMultiLvlLbl val="1"/>
      </c:catAx>
      <c:valAx>
        <c:axId val="116909568"/>
        <c:scaling>
          <c:orientation val="minMax"/>
        </c:scaling>
        <c:delete val="0"/>
        <c:axPos val="l"/>
        <c:majorGridlines/>
        <c:title>
          <c:tx>
            <c:rich>
              <a:bodyPr rot="0" vert="horz"/>
              <a:lstStyle/>
              <a:p>
                <a:pPr algn="ctr">
                  <a:defRPr sz="1800" b="1" i="0" u="none" strike="noStrike" baseline="0">
                    <a:solidFill>
                      <a:srgbClr val="000000"/>
                    </a:solidFill>
                    <a:latin typeface="Calibri"/>
                    <a:ea typeface="Calibri"/>
                    <a:cs typeface="Calibri"/>
                  </a:defRPr>
                </a:pPr>
                <a:r>
                  <a:rPr lang="de-DE"/>
                  <a:t>€/ha</a:t>
                </a:r>
              </a:p>
            </c:rich>
          </c:tx>
          <c:layout>
            <c:manualLayout>
              <c:xMode val="edge"/>
              <c:yMode val="edge"/>
              <c:x val="6.6854552576841005E-3"/>
              <c:y val="1.6195357720566742E-2"/>
            </c:manualLayout>
          </c:layout>
          <c:overlay val="0"/>
        </c:title>
        <c:numFmt formatCode="#,##0" sourceLinked="0"/>
        <c:majorTickMark val="out"/>
        <c:minorTickMark val="none"/>
        <c:tickLblPos val="nextTo"/>
        <c:txPr>
          <a:bodyPr rot="0" vert="horz"/>
          <a:lstStyle/>
          <a:p>
            <a:pPr>
              <a:defRPr sz="1800" b="0" i="0" u="none" strike="noStrike" baseline="0">
                <a:solidFill>
                  <a:srgbClr val="000000"/>
                </a:solidFill>
                <a:latin typeface="Calibri"/>
                <a:ea typeface="Calibri"/>
                <a:cs typeface="Calibri"/>
              </a:defRPr>
            </a:pPr>
            <a:endParaRPr lang="de-DE"/>
          </a:p>
        </c:txPr>
        <c:crossAx val="116908032"/>
        <c:crosses val="autoZero"/>
        <c:crossBetween val="between"/>
      </c:valAx>
      <c:spPr>
        <a:solidFill>
          <a:sysClr val="window" lastClr="FFFFFF"/>
        </a:solidFill>
        <a:ln w="25400">
          <a:noFill/>
        </a:ln>
      </c:spPr>
    </c:plotArea>
    <c:legend>
      <c:legendPos val="tr"/>
      <c:legendEntry>
        <c:idx val="0"/>
        <c:txPr>
          <a:bodyPr/>
          <a:lstStyle/>
          <a:p>
            <a:pPr>
              <a:defRPr sz="1425" b="0" i="0" u="none" strike="noStrike" baseline="0">
                <a:solidFill>
                  <a:srgbClr val="000000"/>
                </a:solidFill>
                <a:latin typeface="Calibri"/>
                <a:ea typeface="Calibri"/>
                <a:cs typeface="Calibri"/>
              </a:defRPr>
            </a:pPr>
            <a:endParaRPr lang="de-DE"/>
          </a:p>
        </c:txPr>
      </c:legendEntry>
      <c:legendEntry>
        <c:idx val="1"/>
        <c:txPr>
          <a:bodyPr/>
          <a:lstStyle/>
          <a:p>
            <a:pPr>
              <a:defRPr sz="1425" b="0" i="0" u="none" strike="noStrike" baseline="0">
                <a:solidFill>
                  <a:srgbClr val="000000"/>
                </a:solidFill>
                <a:latin typeface="Calibri"/>
                <a:ea typeface="Calibri"/>
                <a:cs typeface="Calibri"/>
              </a:defRPr>
            </a:pPr>
            <a:endParaRPr lang="de-DE"/>
          </a:p>
        </c:txPr>
      </c:legendEntry>
      <c:layout>
        <c:manualLayout>
          <c:xMode val="edge"/>
          <c:yMode val="edge"/>
          <c:x val="0.48217869184915552"/>
          <c:y val="0.90001933884490415"/>
          <c:w val="0.10662449307536113"/>
          <c:h val="9.5031177585704521E-2"/>
        </c:manualLayout>
      </c:layout>
      <c:overlay val="1"/>
      <c:txPr>
        <a:bodyPr/>
        <a:lstStyle/>
        <a:p>
          <a:pPr>
            <a:defRPr sz="1425" b="0" i="0" u="none" strike="noStrike" baseline="0">
              <a:solidFill>
                <a:srgbClr val="000000"/>
              </a:solidFill>
              <a:latin typeface="Calibri"/>
              <a:ea typeface="Calibri"/>
              <a:cs typeface="Calibri"/>
            </a:defRPr>
          </a:pPr>
          <a:endParaRPr lang="de-DE"/>
        </a:p>
      </c:txPr>
    </c:legend>
    <c:plotVisOnly val="1"/>
    <c:dispBlanksAs val="gap"/>
    <c:showDLblsOverMax val="0"/>
  </c:chart>
  <c:spPr>
    <a:solidFill>
      <a:srgbClr val="99CCFF"/>
    </a:solidFill>
    <a:ln>
      <a:noFill/>
    </a:ln>
  </c:spPr>
  <c:txPr>
    <a:bodyPr/>
    <a:lstStyle/>
    <a:p>
      <a:pPr>
        <a:defRPr sz="1800" b="0" i="0" u="none" strike="noStrike" baseline="0">
          <a:solidFill>
            <a:srgbClr val="000000"/>
          </a:solidFill>
          <a:latin typeface="Calibri"/>
          <a:ea typeface="Calibri"/>
          <a:cs typeface="Calibri"/>
        </a:defRPr>
      </a:pPr>
      <a:endParaRPr lang="de-DE"/>
    </a:p>
  </c:txPr>
  <c:printSettings>
    <c:headerFooter/>
    <c:pageMargins b="0.78740157499999996" l="0.7" r="0.7" t="0.78740157499999996" header="0.3" footer="0.3"/>
    <c:pageSetup paperSize="9" orientation="landscape" horizontalDpi="1200" verticalDpi="1200"/>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  </a:t>
            </a:r>
          </a:p>
          <a:p>
            <a:pPr>
              <a:defRPr sz="10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-hohes Leistungsniveau-</a:t>
            </a:r>
          </a:p>
        </c:rich>
      </c:tx>
      <c:layout>
        <c:manualLayout>
          <c:xMode val="edge"/>
          <c:yMode val="edge"/>
          <c:x val="0.16856712355400016"/>
          <c:y val="0.10531092594008273"/>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4655803675148688E-2"/>
          <c:y val="9.5784744446224548E-2"/>
          <c:w val="0.95178435839028097"/>
          <c:h val="0.59804716349036025"/>
        </c:manualLayout>
      </c:layout>
      <c:barChart>
        <c:barDir val="col"/>
        <c:grouping val="clustered"/>
        <c:varyColors val="0"/>
        <c:ser>
          <c:idx val="0"/>
          <c:order val="0"/>
          <c:spPr>
            <a:solidFill>
              <a:srgbClr val="8080FF"/>
            </a:solidFill>
            <a:ln w="12700">
              <a:solidFill>
                <a:srgbClr val="000000"/>
              </a:solidFill>
              <a:prstDash val="solid"/>
            </a:ln>
          </c:spPr>
          <c:invertIfNegative val="0"/>
          <c:dLbls>
            <c:dLbl>
              <c:idx val="8"/>
              <c:layout>
                <c:manualLayout>
                  <c:x val="2.5437196204688537E-3"/>
                  <c:y val="-1.48658887518578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AD-449B-A0F7-77EC4CB7449A}"/>
                </c:ext>
              </c:extLst>
            </c:dLbl>
            <c:dLbl>
              <c:idx val="15"/>
              <c:layout>
                <c:manualLayout>
                  <c:x val="-8.1035352457020193E-4"/>
                  <c:y val="-1.046346189498070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AD-449B-A0F7-77EC4CB7449A}"/>
                </c:ext>
              </c:extLst>
            </c:dLbl>
            <c:dLbl>
              <c:idx val="16"/>
              <c:layout>
                <c:manualLayout>
                  <c:x val="-8.9883403849062339E-4"/>
                  <c:y val="-9.17810592236284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AD-449B-A0F7-77EC4CB7449A}"/>
                </c:ext>
              </c:extLst>
            </c:dLbl>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68AD-449B-A0F7-77EC4CB7449A}"/>
            </c:ext>
          </c:extLst>
        </c:ser>
        <c:dLbls>
          <c:showLegendKey val="0"/>
          <c:showVal val="0"/>
          <c:showCatName val="0"/>
          <c:showSerName val="0"/>
          <c:showPercent val="0"/>
          <c:showBubbleSize val="0"/>
        </c:dLbls>
        <c:gapWidth val="50"/>
        <c:axId val="127068800"/>
        <c:axId val="127070592"/>
      </c:barChart>
      <c:catAx>
        <c:axId val="127068800"/>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7070592"/>
        <c:crosses val="autoZero"/>
        <c:auto val="0"/>
        <c:lblAlgn val="ctr"/>
        <c:lblOffset val="100"/>
        <c:tickLblSkip val="1"/>
        <c:tickMarkSkip val="1"/>
        <c:noMultiLvlLbl val="0"/>
      </c:catAx>
      <c:valAx>
        <c:axId val="127070592"/>
        <c:scaling>
          <c:orientation val="minMax"/>
        </c:scaling>
        <c:delete val="0"/>
        <c:axPos val="l"/>
        <c:majorGridlines>
          <c:spPr>
            <a:ln w="3175">
              <a:solidFill>
                <a:srgbClr val="000000"/>
              </a:solidFill>
              <a:prstDash val="sysDot"/>
            </a:ln>
          </c:spPr>
        </c:majorGridlines>
        <c:title>
          <c:tx>
            <c:rich>
              <a:bodyPr rot="0" vert="horz"/>
              <a:lstStyle/>
              <a:p>
                <a:pPr algn="l">
                  <a:defRPr sz="1000" b="1" i="0" u="none" strike="noStrike" baseline="0">
                    <a:solidFill>
                      <a:srgbClr val="000000"/>
                    </a:solidFill>
                    <a:latin typeface="Arial"/>
                    <a:ea typeface="Arial"/>
                    <a:cs typeface="Arial"/>
                  </a:defRPr>
                </a:pPr>
                <a:r>
                  <a:rPr lang="de-DE"/>
                  <a:t>€ / ha</a:t>
                </a:r>
              </a:p>
            </c:rich>
          </c:tx>
          <c:layout>
            <c:manualLayout>
              <c:xMode val="edge"/>
              <c:yMode val="edge"/>
              <c:x val="4.3094054300123051E-2"/>
              <c:y val="6.368715439696251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706880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oddFooter>&amp;L&amp;11LEL Schwäbisch Gmünd&amp;Z45&amp;R&amp;11&amp;N</c:oddFooter>
    </c:headerFooter>
    <c:pageMargins b="0.984251969" l="0.78740157499999996" r="0.78740157499999996" t="0.78" header="0.4921259845" footer="0.32"/>
    <c:pageSetup paperSize="60" orientation="landscape" horizontalDpi="30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Deckungsbeiträge (ohne Zinsansatz, ohne Prämien)  </a:t>
            </a:r>
          </a:p>
          <a:p>
            <a:pPr>
              <a:defRPr sz="800" b="0" i="0" u="none" strike="noStrike" baseline="0">
                <a:solidFill>
                  <a:srgbClr val="000000"/>
                </a:solidFill>
                <a:latin typeface="Arial"/>
                <a:ea typeface="Arial"/>
                <a:cs typeface="Arial"/>
              </a:defRPr>
            </a:pPr>
            <a:r>
              <a:rPr lang="de-DE" sz="1200" b="1" i="0" u="none" strike="noStrike" baseline="0">
                <a:solidFill>
                  <a:srgbClr val="000000"/>
                </a:solidFill>
                <a:latin typeface="Arial"/>
                <a:cs typeface="Arial"/>
              </a:rPr>
              <a:t>-mittleres Leistungsniveau-</a:t>
            </a:r>
          </a:p>
        </c:rich>
      </c:tx>
      <c:layout>
        <c:manualLayout>
          <c:xMode val="edge"/>
          <c:yMode val="edge"/>
          <c:x val="0.18373978797609428"/>
          <c:y val="4.0357654636510018E-2"/>
        </c:manualLayout>
      </c:layout>
      <c:overlay val="0"/>
      <c:spPr>
        <a:solidFill>
          <a:schemeClr val="accent5">
            <a:lumMod val="20000"/>
            <a:lumOff val="80000"/>
          </a:schemeClr>
        </a:solidFill>
        <a:ln w="25400">
          <a:noFill/>
        </a:ln>
      </c:spPr>
    </c:title>
    <c:autoTitleDeleted val="0"/>
    <c:plotArea>
      <c:layout>
        <c:manualLayout>
          <c:layoutTarget val="inner"/>
          <c:xMode val="edge"/>
          <c:yMode val="edge"/>
          <c:x val="4.313717049605701E-2"/>
          <c:y val="4.20748031496063E-2"/>
          <c:w val="0.95686282950394297"/>
          <c:h val="0.65762812543168947"/>
        </c:manualLayout>
      </c:layout>
      <c:barChart>
        <c:barDir val="col"/>
        <c:grouping val="clustered"/>
        <c:varyColors val="0"/>
        <c:ser>
          <c:idx val="0"/>
          <c:order val="0"/>
          <c:spPr>
            <a:solidFill>
              <a:srgbClr val="8080FF"/>
            </a:solidFill>
            <a:ln w="12700">
              <a:solidFill>
                <a:srgbClr val="000000"/>
              </a:solidFill>
              <a:prstDash val="solid"/>
            </a:ln>
          </c:spPr>
          <c:invertIfNegative val="0"/>
          <c:dLbls>
            <c:numFmt formatCode="#,##0" sourceLinked="0"/>
            <c:spPr>
              <a:solidFill>
                <a:schemeClr val="accent6">
                  <a:lumMod val="20000"/>
                  <a:lumOff val="80000"/>
                </a:schemeClr>
              </a:solidFill>
              <a:ln w="25400">
                <a:noFill/>
              </a:ln>
            </c:spPr>
            <c:txPr>
              <a:bodyPr/>
              <a:lstStyle/>
              <a:p>
                <a:pPr>
                  <a:defRPr sz="1000" b="0"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2E1C-4AB7-9415-0567D849C00A}"/>
            </c:ext>
          </c:extLst>
        </c:ser>
        <c:dLbls>
          <c:showLegendKey val="0"/>
          <c:showVal val="0"/>
          <c:showCatName val="0"/>
          <c:showSerName val="0"/>
          <c:showPercent val="0"/>
          <c:showBubbleSize val="0"/>
        </c:dLbls>
        <c:gapWidth val="50"/>
        <c:axId val="122123776"/>
        <c:axId val="122125312"/>
      </c:barChart>
      <c:catAx>
        <c:axId val="122123776"/>
        <c:scaling>
          <c:orientation val="minMax"/>
        </c:scaling>
        <c:delete val="0"/>
        <c:axPos val="b"/>
        <c:numFmt formatCode="General" sourceLinked="1"/>
        <c:majorTickMark val="none"/>
        <c:minorTickMark val="none"/>
        <c:tickLblPos val="low"/>
        <c:spPr>
          <a:ln w="3175">
            <a:solidFill>
              <a:srgbClr val="000000"/>
            </a:solidFill>
            <a:prstDash val="solid"/>
          </a:ln>
        </c:spPr>
        <c:txPr>
          <a:bodyPr rot="2700000" vert="horz"/>
          <a:lstStyle/>
          <a:p>
            <a:pPr>
              <a:defRPr sz="900" b="0" i="0" u="none" strike="noStrike" baseline="0">
                <a:solidFill>
                  <a:srgbClr val="000000"/>
                </a:solidFill>
                <a:latin typeface="Arial"/>
                <a:ea typeface="Arial"/>
                <a:cs typeface="Arial"/>
              </a:defRPr>
            </a:pPr>
            <a:endParaRPr lang="de-DE"/>
          </a:p>
        </c:txPr>
        <c:crossAx val="122125312"/>
        <c:crosses val="autoZero"/>
        <c:auto val="0"/>
        <c:lblAlgn val="ctr"/>
        <c:lblOffset val="100"/>
        <c:tickLblSkip val="1"/>
        <c:tickMarkSkip val="1"/>
        <c:noMultiLvlLbl val="0"/>
      </c:catAx>
      <c:valAx>
        <c:axId val="122125312"/>
        <c:scaling>
          <c:orientation val="minMax"/>
        </c:scaling>
        <c:delete val="0"/>
        <c:axPos val="l"/>
        <c:majorGridlines>
          <c:spPr>
            <a:ln w="3175">
              <a:solidFill>
                <a:srgbClr val="000000"/>
              </a:solidFill>
              <a:prstDash val="sysDot"/>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2212377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Footer>&amp;LLEL Schwäbisch Gmünd&amp;ZKalkulationsdaten Marktfrüchte
&amp;N&amp;RAusgedruckt am: &amp;D</c:oddFooter>
    </c:headerFooter>
    <c:pageMargins b="0.9" l="0.78740157499999996" r="0.78740157499999996" t="0.6" header="0.4921259845" footer="0.28000000000000003"/>
    <c:pageSetup paperSize="60" orientation="landscape" horizontalDpi="300"/>
  </c:printSettings>
</c:chartSpace>
</file>

<file path=xl/ctrlProps/ctrlProp1.xml><?xml version="1.0" encoding="utf-8"?>
<formControlPr xmlns="http://schemas.microsoft.com/office/spreadsheetml/2009/9/main" objectType="Drop" dropLines="3" dropStyle="combo" dx="18" fmlaLink="W7" fmlaRange="$U$8:$U$9" noThreeD="1" sel="2" val="0"/>
</file>

<file path=xl/ctrlProps/ctrlProp10.xml><?xml version="1.0" encoding="utf-8"?>
<formControlPr xmlns="http://schemas.microsoft.com/office/spreadsheetml/2009/9/main" objectType="Drop" dropStyle="combo" dx="18" fmlaLink="AB34" fmlaRange="'SDK3'!$C$24:$C$86" noThreeD="1" sel="17" val="0"/>
</file>

<file path=xl/ctrlProps/ctrlProp100.xml><?xml version="1.0" encoding="utf-8"?>
<formControlPr xmlns="http://schemas.microsoft.com/office/spreadsheetml/2009/9/main" objectType="CheckBox" fmlaLink="$T$16" lockText="1" noThreeD="1"/>
</file>

<file path=xl/ctrlProps/ctrlProp101.xml><?xml version="1.0" encoding="utf-8"?>
<formControlPr xmlns="http://schemas.microsoft.com/office/spreadsheetml/2009/9/main" objectType="CheckBox" fmlaLink="$T$3" lockText="1" noThreeD="1"/>
</file>

<file path=xl/ctrlProps/ctrlProp102.xml><?xml version="1.0" encoding="utf-8"?>
<formControlPr xmlns="http://schemas.microsoft.com/office/spreadsheetml/2009/9/main" objectType="CheckBox" fmlaLink="$T$4" lockText="1" noThreeD="1"/>
</file>

<file path=xl/ctrlProps/ctrlProp103.xml><?xml version="1.0" encoding="utf-8"?>
<formControlPr xmlns="http://schemas.microsoft.com/office/spreadsheetml/2009/9/main" objectType="CheckBox" fmlaLink="$T$4" lockText="1" noThreeD="1"/>
</file>

<file path=xl/ctrlProps/ctrlProp104.xml><?xml version="1.0" encoding="utf-8"?>
<formControlPr xmlns="http://schemas.microsoft.com/office/spreadsheetml/2009/9/main" objectType="CheckBox" fmlaLink="$T$3" lockText="1" noThreeD="1"/>
</file>

<file path=xl/ctrlProps/ctrlProp105.xml><?xml version="1.0" encoding="utf-8"?>
<formControlPr xmlns="http://schemas.microsoft.com/office/spreadsheetml/2009/9/main" objectType="CheckBox" checked="Checked" fmlaLink="$S$14" lockText="1" noThreeD="1"/>
</file>

<file path=xl/ctrlProps/ctrlProp106.xml><?xml version="1.0" encoding="utf-8"?>
<formControlPr xmlns="http://schemas.microsoft.com/office/spreadsheetml/2009/9/main" objectType="CheckBox" fmlaLink="$S$15" lockText="1" noThreeD="1"/>
</file>

<file path=xl/ctrlProps/ctrlProp107.xml><?xml version="1.0" encoding="utf-8"?>
<formControlPr xmlns="http://schemas.microsoft.com/office/spreadsheetml/2009/9/main" objectType="CheckBox" fmlaLink="$S$16" lockText="1" noThreeD="1"/>
</file>

<file path=xl/ctrlProps/ctrlProp108.xml><?xml version="1.0" encoding="utf-8"?>
<formControlPr xmlns="http://schemas.microsoft.com/office/spreadsheetml/2009/9/main" objectType="CheckBox" fmlaLink="$S$17" lockText="1" noThreeD="1"/>
</file>

<file path=xl/ctrlProps/ctrlProp109.xml><?xml version="1.0" encoding="utf-8"?>
<formControlPr xmlns="http://schemas.microsoft.com/office/spreadsheetml/2009/9/main" objectType="CheckBox" checked="Checked" fmlaLink="$R$14" lockText="1" noThreeD="1"/>
</file>

<file path=xl/ctrlProps/ctrlProp11.xml><?xml version="1.0" encoding="utf-8"?>
<formControlPr xmlns="http://schemas.microsoft.com/office/spreadsheetml/2009/9/main" objectType="Drop" dropStyle="combo" dx="18" fmlaLink="AB35" fmlaRange="'SDK3'!$C$24:$C$86" noThreeD="1" sel="1" val="0"/>
</file>

<file path=xl/ctrlProps/ctrlProp110.xml><?xml version="1.0" encoding="utf-8"?>
<formControlPr xmlns="http://schemas.microsoft.com/office/spreadsheetml/2009/9/main" objectType="CheckBox" fmlaLink="$R$15" lockText="1" noThreeD="1"/>
</file>

<file path=xl/ctrlProps/ctrlProp111.xml><?xml version="1.0" encoding="utf-8"?>
<formControlPr xmlns="http://schemas.microsoft.com/office/spreadsheetml/2009/9/main" objectType="CheckBox" fmlaLink="$R$16" lockText="1" noThreeD="1"/>
</file>

<file path=xl/ctrlProps/ctrlProp112.xml><?xml version="1.0" encoding="utf-8"?>
<formControlPr xmlns="http://schemas.microsoft.com/office/spreadsheetml/2009/9/main" objectType="CheckBox" fmlaLink="$R$17" lockText="1" noThreeD="1"/>
</file>

<file path=xl/ctrlProps/ctrlProp113.xml><?xml version="1.0" encoding="utf-8"?>
<formControlPr xmlns="http://schemas.microsoft.com/office/spreadsheetml/2009/9/main" objectType="CheckBox" checked="Checked" fmlaLink="$T$14" lockText="1" noThreeD="1"/>
</file>

<file path=xl/ctrlProps/ctrlProp114.xml><?xml version="1.0" encoding="utf-8"?>
<formControlPr xmlns="http://schemas.microsoft.com/office/spreadsheetml/2009/9/main" objectType="CheckBox" fmlaLink="$T$15" lockText="1" noThreeD="1"/>
</file>

<file path=xl/ctrlProps/ctrlProp115.xml><?xml version="1.0" encoding="utf-8"?>
<formControlPr xmlns="http://schemas.microsoft.com/office/spreadsheetml/2009/9/main" objectType="CheckBox" fmlaLink="$T$16" lockText="1" noThreeD="1"/>
</file>

<file path=xl/ctrlProps/ctrlProp116.xml><?xml version="1.0" encoding="utf-8"?>
<formControlPr xmlns="http://schemas.microsoft.com/office/spreadsheetml/2009/9/main" objectType="CheckBox" fmlaLink="$T$17" lockText="1" noThreeD="1"/>
</file>

<file path=xl/ctrlProps/ctrlProp117.xml><?xml version="1.0" encoding="utf-8"?>
<formControlPr xmlns="http://schemas.microsoft.com/office/spreadsheetml/2009/9/main" objectType="CheckBox" fmlaLink="$T$3" lockText="1" noThreeD="1"/>
</file>

<file path=xl/ctrlProps/ctrlProp118.xml><?xml version="1.0" encoding="utf-8"?>
<formControlPr xmlns="http://schemas.microsoft.com/office/spreadsheetml/2009/9/main" objectType="CheckBox" fmlaLink="$T$4" lockText="1" noThreeD="1"/>
</file>

<file path=xl/ctrlProps/ctrlProp119.xml><?xml version="1.0" encoding="utf-8"?>
<formControlPr xmlns="http://schemas.microsoft.com/office/spreadsheetml/2009/9/main" objectType="CheckBox" fmlaLink="$T$4" lockText="1" noThreeD="1"/>
</file>

<file path=xl/ctrlProps/ctrlProp12.xml><?xml version="1.0" encoding="utf-8"?>
<formControlPr xmlns="http://schemas.microsoft.com/office/spreadsheetml/2009/9/main" objectType="Drop" dropStyle="combo" dx="18" fmlaLink="AB36" fmlaRange="'SDK3'!$C$24:$C$86" noThreeD="1" sel="1" val="0"/>
</file>

<file path=xl/ctrlProps/ctrlProp120.xml><?xml version="1.0" encoding="utf-8"?>
<formControlPr xmlns="http://schemas.microsoft.com/office/spreadsheetml/2009/9/main" objectType="CheckBox" fmlaLink="$T$3" lockText="1" noThreeD="1"/>
</file>

<file path=xl/ctrlProps/ctrlProp121.xml><?xml version="1.0" encoding="utf-8"?>
<formControlPr xmlns="http://schemas.microsoft.com/office/spreadsheetml/2009/9/main" objectType="CheckBox" checked="Checked" fmlaLink="$S$14" lockText="1" noThreeD="1"/>
</file>

<file path=xl/ctrlProps/ctrlProp122.xml><?xml version="1.0" encoding="utf-8"?>
<formControlPr xmlns="http://schemas.microsoft.com/office/spreadsheetml/2009/9/main" objectType="CheckBox" fmlaLink="$S$15" lockText="1" noThreeD="1"/>
</file>

<file path=xl/ctrlProps/ctrlProp123.xml><?xml version="1.0" encoding="utf-8"?>
<formControlPr xmlns="http://schemas.microsoft.com/office/spreadsheetml/2009/9/main" objectType="CheckBox" fmlaLink="$S$16" lockText="1" noThreeD="1"/>
</file>

<file path=xl/ctrlProps/ctrlProp124.xml><?xml version="1.0" encoding="utf-8"?>
<formControlPr xmlns="http://schemas.microsoft.com/office/spreadsheetml/2009/9/main" objectType="CheckBox" fmlaLink="$S$17" lockText="1" noThreeD="1"/>
</file>

<file path=xl/ctrlProps/ctrlProp125.xml><?xml version="1.0" encoding="utf-8"?>
<formControlPr xmlns="http://schemas.microsoft.com/office/spreadsheetml/2009/9/main" objectType="CheckBox" checked="Checked" fmlaLink="$R$14" lockText="1" noThreeD="1"/>
</file>

<file path=xl/ctrlProps/ctrlProp126.xml><?xml version="1.0" encoding="utf-8"?>
<formControlPr xmlns="http://schemas.microsoft.com/office/spreadsheetml/2009/9/main" objectType="CheckBox" fmlaLink="$R$15" lockText="1" noThreeD="1"/>
</file>

<file path=xl/ctrlProps/ctrlProp127.xml><?xml version="1.0" encoding="utf-8"?>
<formControlPr xmlns="http://schemas.microsoft.com/office/spreadsheetml/2009/9/main" objectType="CheckBox" fmlaLink="$R$16" lockText="1" noThreeD="1"/>
</file>

<file path=xl/ctrlProps/ctrlProp128.xml><?xml version="1.0" encoding="utf-8"?>
<formControlPr xmlns="http://schemas.microsoft.com/office/spreadsheetml/2009/9/main" objectType="CheckBox" fmlaLink="$R$17" lockText="1" noThreeD="1"/>
</file>

<file path=xl/ctrlProps/ctrlProp129.xml><?xml version="1.0" encoding="utf-8"?>
<formControlPr xmlns="http://schemas.microsoft.com/office/spreadsheetml/2009/9/main" objectType="CheckBox" checked="Checked" fmlaLink="$T$14" lockText="1" noThreeD="1"/>
</file>

<file path=xl/ctrlProps/ctrlProp13.xml><?xml version="1.0" encoding="utf-8"?>
<formControlPr xmlns="http://schemas.microsoft.com/office/spreadsheetml/2009/9/main" objectType="Drop" dropStyle="combo" dx="18" fmlaLink="AB39" fmlaRange="'SDK3'!$C$91:$C$106" noThreeD="1" sel="16" val="0"/>
</file>

<file path=xl/ctrlProps/ctrlProp130.xml><?xml version="1.0" encoding="utf-8"?>
<formControlPr xmlns="http://schemas.microsoft.com/office/spreadsheetml/2009/9/main" objectType="CheckBox" fmlaLink="$T$15" lockText="1" noThreeD="1"/>
</file>

<file path=xl/ctrlProps/ctrlProp131.xml><?xml version="1.0" encoding="utf-8"?>
<formControlPr xmlns="http://schemas.microsoft.com/office/spreadsheetml/2009/9/main" objectType="CheckBox" fmlaLink="$T$16" lockText="1" noThreeD="1"/>
</file>

<file path=xl/ctrlProps/ctrlProp132.xml><?xml version="1.0" encoding="utf-8"?>
<formControlPr xmlns="http://schemas.microsoft.com/office/spreadsheetml/2009/9/main" objectType="CheckBox" fmlaLink="$T$17" lockText="1" noThreeD="1"/>
</file>

<file path=xl/ctrlProps/ctrlProp133.xml><?xml version="1.0" encoding="utf-8"?>
<formControlPr xmlns="http://schemas.microsoft.com/office/spreadsheetml/2009/9/main" objectType="CheckBox" fmlaLink="$T$3" lockText="1" noThreeD="1"/>
</file>

<file path=xl/ctrlProps/ctrlProp134.xml><?xml version="1.0" encoding="utf-8"?>
<formControlPr xmlns="http://schemas.microsoft.com/office/spreadsheetml/2009/9/main" objectType="CheckBox" fmlaLink="$T$4" lockText="1" noThreeD="1"/>
</file>

<file path=xl/ctrlProps/ctrlProp135.xml><?xml version="1.0" encoding="utf-8"?>
<formControlPr xmlns="http://schemas.microsoft.com/office/spreadsheetml/2009/9/main" objectType="CheckBox" fmlaLink="$T$4" lockText="1" noThreeD="1"/>
</file>

<file path=xl/ctrlProps/ctrlProp136.xml><?xml version="1.0" encoding="utf-8"?>
<formControlPr xmlns="http://schemas.microsoft.com/office/spreadsheetml/2009/9/main" objectType="CheckBox" fmlaLink="$T$3" lockText="1" noThreeD="1"/>
</file>

<file path=xl/ctrlProps/ctrlProp137.xml><?xml version="1.0" encoding="utf-8"?>
<formControlPr xmlns="http://schemas.microsoft.com/office/spreadsheetml/2009/9/main" objectType="CheckBox" checked="Checked" fmlaLink="$S$14" lockText="1" noThreeD="1"/>
</file>

<file path=xl/ctrlProps/ctrlProp138.xml><?xml version="1.0" encoding="utf-8"?>
<formControlPr xmlns="http://schemas.microsoft.com/office/spreadsheetml/2009/9/main" objectType="CheckBox" fmlaLink="$S$15" lockText="1" noThreeD="1"/>
</file>

<file path=xl/ctrlProps/ctrlProp139.xml><?xml version="1.0" encoding="utf-8"?>
<formControlPr xmlns="http://schemas.microsoft.com/office/spreadsheetml/2009/9/main" objectType="CheckBox" fmlaLink="$S$16" lockText="1" noThreeD="1"/>
</file>

<file path=xl/ctrlProps/ctrlProp14.xml><?xml version="1.0" encoding="utf-8"?>
<formControlPr xmlns="http://schemas.microsoft.com/office/spreadsheetml/2009/9/main" objectType="Drop" dropStyle="combo" dx="18" fmlaLink="AB40" fmlaRange="'SDK3'!$C$91:$C$106" noThreeD="1" sel="1" val="0"/>
</file>

<file path=xl/ctrlProps/ctrlProp140.xml><?xml version="1.0" encoding="utf-8"?>
<formControlPr xmlns="http://schemas.microsoft.com/office/spreadsheetml/2009/9/main" objectType="CheckBox" fmlaLink="$S$17" lockText="1" noThreeD="1"/>
</file>

<file path=xl/ctrlProps/ctrlProp141.xml><?xml version="1.0" encoding="utf-8"?>
<formControlPr xmlns="http://schemas.microsoft.com/office/spreadsheetml/2009/9/main" objectType="CheckBox" checked="Checked" fmlaLink="$R$14" lockText="1" noThreeD="1"/>
</file>

<file path=xl/ctrlProps/ctrlProp142.xml><?xml version="1.0" encoding="utf-8"?>
<formControlPr xmlns="http://schemas.microsoft.com/office/spreadsheetml/2009/9/main" objectType="CheckBox" fmlaLink="$R$15" lockText="1" noThreeD="1"/>
</file>

<file path=xl/ctrlProps/ctrlProp143.xml><?xml version="1.0" encoding="utf-8"?>
<formControlPr xmlns="http://schemas.microsoft.com/office/spreadsheetml/2009/9/main" objectType="CheckBox" fmlaLink="$R$16" lockText="1" noThreeD="1"/>
</file>

<file path=xl/ctrlProps/ctrlProp144.xml><?xml version="1.0" encoding="utf-8"?>
<formControlPr xmlns="http://schemas.microsoft.com/office/spreadsheetml/2009/9/main" objectType="CheckBox" fmlaLink="$R$17" lockText="1" noThreeD="1"/>
</file>

<file path=xl/ctrlProps/ctrlProp145.xml><?xml version="1.0" encoding="utf-8"?>
<formControlPr xmlns="http://schemas.microsoft.com/office/spreadsheetml/2009/9/main" objectType="CheckBox" checked="Checked" fmlaLink="$T$14" lockText="1" noThreeD="1"/>
</file>

<file path=xl/ctrlProps/ctrlProp146.xml><?xml version="1.0" encoding="utf-8"?>
<formControlPr xmlns="http://schemas.microsoft.com/office/spreadsheetml/2009/9/main" objectType="CheckBox" fmlaLink="$T$15" lockText="1" noThreeD="1"/>
</file>

<file path=xl/ctrlProps/ctrlProp147.xml><?xml version="1.0" encoding="utf-8"?>
<formControlPr xmlns="http://schemas.microsoft.com/office/spreadsheetml/2009/9/main" objectType="CheckBox" fmlaLink="$T$16" lockText="1" noThreeD="1"/>
</file>

<file path=xl/ctrlProps/ctrlProp148.xml><?xml version="1.0" encoding="utf-8"?>
<formControlPr xmlns="http://schemas.microsoft.com/office/spreadsheetml/2009/9/main" objectType="CheckBox" fmlaLink="$T$17" lockText="1" noThreeD="1"/>
</file>

<file path=xl/ctrlProps/ctrlProp149.xml><?xml version="1.0" encoding="utf-8"?>
<formControlPr xmlns="http://schemas.microsoft.com/office/spreadsheetml/2009/9/main" objectType="CheckBox" fmlaLink="$T$3" lockText="1" noThreeD="1"/>
</file>

<file path=xl/ctrlProps/ctrlProp15.xml><?xml version="1.0" encoding="utf-8"?>
<formControlPr xmlns="http://schemas.microsoft.com/office/spreadsheetml/2009/9/main" objectType="Drop" dropStyle="combo" dx="18" fmlaLink="AB64" fmlaRange="'SDK3'!$C$24:$C$86" noThreeD="1" sel="40" val="0"/>
</file>

<file path=xl/ctrlProps/ctrlProp150.xml><?xml version="1.0" encoding="utf-8"?>
<formControlPr xmlns="http://schemas.microsoft.com/office/spreadsheetml/2009/9/main" objectType="CheckBox" fmlaLink="$T$4" lockText="1" noThreeD="1"/>
</file>

<file path=xl/ctrlProps/ctrlProp151.xml><?xml version="1.0" encoding="utf-8"?>
<formControlPr xmlns="http://schemas.microsoft.com/office/spreadsheetml/2009/9/main" objectType="CheckBox" fmlaLink="$T$4" lockText="1" noThreeD="1"/>
</file>

<file path=xl/ctrlProps/ctrlProp152.xml><?xml version="1.0" encoding="utf-8"?>
<formControlPr xmlns="http://schemas.microsoft.com/office/spreadsheetml/2009/9/main" objectType="CheckBox" fmlaLink="$T$3" lockText="1" noThreeD="1"/>
</file>

<file path=xl/ctrlProps/ctrlProp153.xml><?xml version="1.0" encoding="utf-8"?>
<formControlPr xmlns="http://schemas.microsoft.com/office/spreadsheetml/2009/9/main" objectType="CheckBox" checked="Checked" fmlaLink="$S$14" lockText="1" noThreeD="1"/>
</file>

<file path=xl/ctrlProps/ctrlProp154.xml><?xml version="1.0" encoding="utf-8"?>
<formControlPr xmlns="http://schemas.microsoft.com/office/spreadsheetml/2009/9/main" objectType="CheckBox" fmlaLink="$S$15" lockText="1" noThreeD="1"/>
</file>

<file path=xl/ctrlProps/ctrlProp155.xml><?xml version="1.0" encoding="utf-8"?>
<formControlPr xmlns="http://schemas.microsoft.com/office/spreadsheetml/2009/9/main" objectType="CheckBox" fmlaLink="$S$16" lockText="1" noThreeD="1"/>
</file>

<file path=xl/ctrlProps/ctrlProp156.xml><?xml version="1.0" encoding="utf-8"?>
<formControlPr xmlns="http://schemas.microsoft.com/office/spreadsheetml/2009/9/main" objectType="CheckBox" fmlaLink="$S$17" lockText="1" noThreeD="1"/>
</file>

<file path=xl/ctrlProps/ctrlProp157.xml><?xml version="1.0" encoding="utf-8"?>
<formControlPr xmlns="http://schemas.microsoft.com/office/spreadsheetml/2009/9/main" objectType="CheckBox" checked="Checked" fmlaLink="$R$14" lockText="1" noThreeD="1"/>
</file>

<file path=xl/ctrlProps/ctrlProp158.xml><?xml version="1.0" encoding="utf-8"?>
<formControlPr xmlns="http://schemas.microsoft.com/office/spreadsheetml/2009/9/main" objectType="CheckBox" fmlaLink="$R$15" lockText="1" noThreeD="1"/>
</file>

<file path=xl/ctrlProps/ctrlProp159.xml><?xml version="1.0" encoding="utf-8"?>
<formControlPr xmlns="http://schemas.microsoft.com/office/spreadsheetml/2009/9/main" objectType="CheckBox" fmlaLink="$R$16" lockText="1" noThreeD="1"/>
</file>

<file path=xl/ctrlProps/ctrlProp16.xml><?xml version="1.0" encoding="utf-8"?>
<formControlPr xmlns="http://schemas.microsoft.com/office/spreadsheetml/2009/9/main" objectType="Drop" dropStyle="combo" dx="18" fmlaLink="AB71" fmlaRange="'SDK3'!$C$91:$C$106" noThreeD="1" sel="16" val="0"/>
</file>

<file path=xl/ctrlProps/ctrlProp160.xml><?xml version="1.0" encoding="utf-8"?>
<formControlPr xmlns="http://schemas.microsoft.com/office/spreadsheetml/2009/9/main" objectType="CheckBox" fmlaLink="$R$17" lockText="1" noThreeD="1"/>
</file>

<file path=xl/ctrlProps/ctrlProp161.xml><?xml version="1.0" encoding="utf-8"?>
<formControlPr xmlns="http://schemas.microsoft.com/office/spreadsheetml/2009/9/main" objectType="CheckBox" checked="Checked" fmlaLink="$T$14" lockText="1" noThreeD="1"/>
</file>

<file path=xl/ctrlProps/ctrlProp162.xml><?xml version="1.0" encoding="utf-8"?>
<formControlPr xmlns="http://schemas.microsoft.com/office/spreadsheetml/2009/9/main" objectType="CheckBox" fmlaLink="$T$15" lockText="1" noThreeD="1"/>
</file>

<file path=xl/ctrlProps/ctrlProp163.xml><?xml version="1.0" encoding="utf-8"?>
<formControlPr xmlns="http://schemas.microsoft.com/office/spreadsheetml/2009/9/main" objectType="CheckBox" fmlaLink="$T$16" lockText="1" noThreeD="1"/>
</file>

<file path=xl/ctrlProps/ctrlProp164.xml><?xml version="1.0" encoding="utf-8"?>
<formControlPr xmlns="http://schemas.microsoft.com/office/spreadsheetml/2009/9/main" objectType="CheckBox" fmlaLink="$T$17" lockText="1" noThreeD="1"/>
</file>

<file path=xl/ctrlProps/ctrlProp165.xml><?xml version="1.0" encoding="utf-8"?>
<formControlPr xmlns="http://schemas.microsoft.com/office/spreadsheetml/2009/9/main" objectType="CheckBox" fmlaLink="$T$3" lockText="1" noThreeD="1"/>
</file>

<file path=xl/ctrlProps/ctrlProp166.xml><?xml version="1.0" encoding="utf-8"?>
<formControlPr xmlns="http://schemas.microsoft.com/office/spreadsheetml/2009/9/main" objectType="CheckBox" fmlaLink="$T$4" lockText="1" noThreeD="1"/>
</file>

<file path=xl/ctrlProps/ctrlProp167.xml><?xml version="1.0" encoding="utf-8"?>
<formControlPr xmlns="http://schemas.microsoft.com/office/spreadsheetml/2009/9/main" objectType="CheckBox" fmlaLink="$T$4" lockText="1" noThreeD="1"/>
</file>

<file path=xl/ctrlProps/ctrlProp168.xml><?xml version="1.0" encoding="utf-8"?>
<formControlPr xmlns="http://schemas.microsoft.com/office/spreadsheetml/2009/9/main" objectType="CheckBox" fmlaLink="$T$3" lockText="1" noThreeD="1"/>
</file>

<file path=xl/ctrlProps/ctrlProp169.xml><?xml version="1.0" encoding="utf-8"?>
<formControlPr xmlns="http://schemas.microsoft.com/office/spreadsheetml/2009/9/main" objectType="CheckBox" checked="Checked" fmlaLink="$S$14" lockText="1" noThreeD="1"/>
</file>

<file path=xl/ctrlProps/ctrlProp17.xml><?xml version="1.0" encoding="utf-8"?>
<formControlPr xmlns="http://schemas.microsoft.com/office/spreadsheetml/2009/9/main" objectType="Drop" dropStyle="combo" dx="18" fmlaLink="AB72" fmlaRange="'SDK3'!$C$91:$C$106" noThreeD="1" sel="1" val="0"/>
</file>

<file path=xl/ctrlProps/ctrlProp170.xml><?xml version="1.0" encoding="utf-8"?>
<formControlPr xmlns="http://schemas.microsoft.com/office/spreadsheetml/2009/9/main" objectType="CheckBox" fmlaLink="$S$15" lockText="1" noThreeD="1"/>
</file>

<file path=xl/ctrlProps/ctrlProp171.xml><?xml version="1.0" encoding="utf-8"?>
<formControlPr xmlns="http://schemas.microsoft.com/office/spreadsheetml/2009/9/main" objectType="CheckBox" fmlaLink="$S$16" lockText="1" noThreeD="1"/>
</file>

<file path=xl/ctrlProps/ctrlProp172.xml><?xml version="1.0" encoding="utf-8"?>
<formControlPr xmlns="http://schemas.microsoft.com/office/spreadsheetml/2009/9/main" objectType="CheckBox" fmlaLink="$S$17" lockText="1" noThreeD="1"/>
</file>

<file path=xl/ctrlProps/ctrlProp173.xml><?xml version="1.0" encoding="utf-8"?>
<formControlPr xmlns="http://schemas.microsoft.com/office/spreadsheetml/2009/9/main" objectType="CheckBox" checked="Checked" fmlaLink="$R$14" lockText="1" noThreeD="1"/>
</file>

<file path=xl/ctrlProps/ctrlProp174.xml><?xml version="1.0" encoding="utf-8"?>
<formControlPr xmlns="http://schemas.microsoft.com/office/spreadsheetml/2009/9/main" objectType="CheckBox" fmlaLink="$R$15" lockText="1" noThreeD="1"/>
</file>

<file path=xl/ctrlProps/ctrlProp175.xml><?xml version="1.0" encoding="utf-8"?>
<formControlPr xmlns="http://schemas.microsoft.com/office/spreadsheetml/2009/9/main" objectType="CheckBox" fmlaLink="$R$16" lockText="1" noThreeD="1"/>
</file>

<file path=xl/ctrlProps/ctrlProp176.xml><?xml version="1.0" encoding="utf-8"?>
<formControlPr xmlns="http://schemas.microsoft.com/office/spreadsheetml/2009/9/main" objectType="CheckBox" fmlaLink="$R$17" lockText="1" noThreeD="1"/>
</file>

<file path=xl/ctrlProps/ctrlProp177.xml><?xml version="1.0" encoding="utf-8"?>
<formControlPr xmlns="http://schemas.microsoft.com/office/spreadsheetml/2009/9/main" objectType="CheckBox" checked="Checked" fmlaLink="$T$14" lockText="1" noThreeD="1"/>
</file>

<file path=xl/ctrlProps/ctrlProp178.xml><?xml version="1.0" encoding="utf-8"?>
<formControlPr xmlns="http://schemas.microsoft.com/office/spreadsheetml/2009/9/main" objectType="CheckBox" fmlaLink="$T$15" lockText="1" noThreeD="1"/>
</file>

<file path=xl/ctrlProps/ctrlProp179.xml><?xml version="1.0" encoding="utf-8"?>
<formControlPr xmlns="http://schemas.microsoft.com/office/spreadsheetml/2009/9/main" objectType="CheckBox" fmlaLink="$T$16" lockText="1" noThreeD="1"/>
</file>

<file path=xl/ctrlProps/ctrlProp18.xml><?xml version="1.0" encoding="utf-8"?>
<formControlPr xmlns="http://schemas.microsoft.com/office/spreadsheetml/2009/9/main" objectType="Drop" dropStyle="combo" dx="18" fmlaLink="AB73" fmlaRange="'SDK3'!$C$91:$C$106" noThreeD="1" sel="1" val="0"/>
</file>

<file path=xl/ctrlProps/ctrlProp180.xml><?xml version="1.0" encoding="utf-8"?>
<formControlPr xmlns="http://schemas.microsoft.com/office/spreadsheetml/2009/9/main" objectType="CheckBox" fmlaLink="$T$17" lockText="1" noThreeD="1"/>
</file>

<file path=xl/ctrlProps/ctrlProp181.xml><?xml version="1.0" encoding="utf-8"?>
<formControlPr xmlns="http://schemas.microsoft.com/office/spreadsheetml/2009/9/main" objectType="CheckBox" fmlaLink="$T$3" lockText="1" noThreeD="1"/>
</file>

<file path=xl/ctrlProps/ctrlProp182.xml><?xml version="1.0" encoding="utf-8"?>
<formControlPr xmlns="http://schemas.microsoft.com/office/spreadsheetml/2009/9/main" objectType="CheckBox" fmlaLink="$T$4" lockText="1" noThreeD="1"/>
</file>

<file path=xl/ctrlProps/ctrlProp19.xml><?xml version="1.0" encoding="utf-8"?>
<formControlPr xmlns="http://schemas.microsoft.com/office/spreadsheetml/2009/9/main" objectType="Drop" dropStyle="combo" dx="18" fmlaLink="AB37" fmlaRange="'SDK3'!$C$24:$C$86" noThreeD="1" sel="1" val="0"/>
</file>

<file path=xl/ctrlProps/ctrlProp2.xml><?xml version="1.0" encoding="utf-8"?>
<formControlPr xmlns="http://schemas.microsoft.com/office/spreadsheetml/2009/9/main" objectType="Radio" firstButton="1" fmlaLink="$W$25" lockText="1" noThreeD="1"/>
</file>

<file path=xl/ctrlProps/ctrlProp20.xml><?xml version="1.0" encoding="utf-8"?>
<formControlPr xmlns="http://schemas.microsoft.com/office/spreadsheetml/2009/9/main" objectType="Drop" dropStyle="combo" dx="18" fmlaLink="AB36" fmlaRange="'SDK3'!$C$24:$C$86" noThreeD="1" sel="1" val="0"/>
</file>

<file path=xl/ctrlProps/ctrlProp21.xml><?xml version="1.0" encoding="utf-8"?>
<formControlPr xmlns="http://schemas.microsoft.com/office/spreadsheetml/2009/9/main" objectType="Drop" dropStyle="combo" dx="18" fmlaLink="AB37" fmlaRange="'SDK3'!$C$24:$C$86" noThreeD="1" sel="1" val="0"/>
</file>

<file path=xl/ctrlProps/ctrlProp22.xml><?xml version="1.0" encoding="utf-8"?>
<formControlPr xmlns="http://schemas.microsoft.com/office/spreadsheetml/2009/9/main" objectType="Drop" dropStyle="combo" dx="18" fmlaLink="AB65" fmlaRange="'SDK3'!$C$24:$C$86" noThreeD="1" sel="41" val="0"/>
</file>

<file path=xl/ctrlProps/ctrlProp23.xml><?xml version="1.0" encoding="utf-8"?>
<formControlPr xmlns="http://schemas.microsoft.com/office/spreadsheetml/2009/9/main" objectType="Drop" dropStyle="combo" dx="18" fmlaLink="AB66" fmlaRange="'SDK3'!$C$24:$C$86" noThreeD="1" sel="1" val="0"/>
</file>

<file path=xl/ctrlProps/ctrlProp24.xml><?xml version="1.0" encoding="utf-8"?>
<formControlPr xmlns="http://schemas.microsoft.com/office/spreadsheetml/2009/9/main" objectType="Drop" dropStyle="combo" dx="18" fmlaLink="AB67" fmlaRange="'SDK3'!$C$24:$C$86" noThreeD="1" sel="1" val="0"/>
</file>

<file path=xl/ctrlProps/ctrlProp25.xml><?xml version="1.0" encoding="utf-8"?>
<formControlPr xmlns="http://schemas.microsoft.com/office/spreadsheetml/2009/9/main" objectType="Drop" dropStyle="combo" dx="18" fmlaLink="AB68" fmlaRange="'SDK3'!$C$24:$C$86" noThreeD="1" sel="1" val="0"/>
</file>

<file path=xl/ctrlProps/ctrlProp26.xml><?xml version="1.0" encoding="utf-8"?>
<formControlPr xmlns="http://schemas.microsoft.com/office/spreadsheetml/2009/9/main" objectType="Drop" dropStyle="combo" dx="18" fmlaLink="AB69" fmlaRange="'SDK3'!$C$24:$C$86" noThreeD="1" sel="22" val="0"/>
</file>

<file path=xl/ctrlProps/ctrlProp27.xml><?xml version="1.0" encoding="utf-8"?>
<formControlPr xmlns="http://schemas.microsoft.com/office/spreadsheetml/2009/9/main" objectType="CheckBox" checked="Checked" fmlaLink="$U$17" lockText="1" noThreeD="1"/>
</file>

<file path=xl/ctrlProps/ctrlProp28.xml><?xml version="1.0" encoding="utf-8"?>
<formControlPr xmlns="http://schemas.microsoft.com/office/spreadsheetml/2009/9/main" objectType="CheckBox" fmlaLink="$U$19" lockText="1" noThreeD="1"/>
</file>

<file path=xl/ctrlProps/ctrlProp29.xml><?xml version="1.0" encoding="utf-8"?>
<formControlPr xmlns="http://schemas.microsoft.com/office/spreadsheetml/2009/9/main" objectType="Drop" dropLines="4" dropStyle="combo" dx="19" fmlaLink="AL5" fmlaRange="$AI$6:$AI$7" noThreeD="1" sel="2" val="0"/>
</file>

<file path=xl/ctrlProps/ctrlProp3.xml><?xml version="1.0" encoding="utf-8"?>
<formControlPr xmlns="http://schemas.microsoft.com/office/spreadsheetml/2009/9/main" objectType="Radio" checked="Checked" lockText="1" noThreeD="1"/>
</file>

<file path=xl/ctrlProps/ctrlProp30.xml><?xml version="1.0" encoding="utf-8"?>
<formControlPr xmlns="http://schemas.microsoft.com/office/spreadsheetml/2009/9/main" objectType="CheckBox" fmlaLink="$T$4" lockText="1" noThreeD="1"/>
</file>

<file path=xl/ctrlProps/ctrlProp31.xml><?xml version="1.0" encoding="utf-8"?>
<formControlPr xmlns="http://schemas.microsoft.com/office/spreadsheetml/2009/9/main" objectType="CheckBox" checked="Checked" fmlaLink="$T$3" lockText="1" noThreeD="1"/>
</file>

<file path=xl/ctrlProps/ctrlProp32.xml><?xml version="1.0" encoding="utf-8"?>
<formControlPr xmlns="http://schemas.microsoft.com/office/spreadsheetml/2009/9/main" objectType="CheckBox" fmlaLink="$T$4" lockText="1" noThreeD="1"/>
</file>

<file path=xl/ctrlProps/ctrlProp33.xml><?xml version="1.0" encoding="utf-8"?>
<formControlPr xmlns="http://schemas.microsoft.com/office/spreadsheetml/2009/9/main" objectType="CheckBox" fmlaLink="$T$3" lockText="1" noThreeD="1"/>
</file>

<file path=xl/ctrlProps/ctrlProp34.xml><?xml version="1.0" encoding="utf-8"?>
<formControlPr xmlns="http://schemas.microsoft.com/office/spreadsheetml/2009/9/main" objectType="CheckBox" fmlaLink="$T$4" lockText="1" noThreeD="1"/>
</file>

<file path=xl/ctrlProps/ctrlProp35.xml><?xml version="1.0" encoding="utf-8"?>
<formControlPr xmlns="http://schemas.microsoft.com/office/spreadsheetml/2009/9/main" objectType="CheckBox" fmlaLink="$T$3" lockText="1" noThreeD="1"/>
</file>

<file path=xl/ctrlProps/ctrlProp36.xml><?xml version="1.0" encoding="utf-8"?>
<formControlPr xmlns="http://schemas.microsoft.com/office/spreadsheetml/2009/9/main" objectType="CheckBox" fmlaLink="$T$4" lockText="1" noThreeD="1"/>
</file>

<file path=xl/ctrlProps/ctrlProp37.xml><?xml version="1.0" encoding="utf-8"?>
<formControlPr xmlns="http://schemas.microsoft.com/office/spreadsheetml/2009/9/main" objectType="CheckBox" fmlaLink="$T$3" lockText="1" noThreeD="1"/>
</file>

<file path=xl/ctrlProps/ctrlProp38.xml><?xml version="1.0" encoding="utf-8"?>
<formControlPr xmlns="http://schemas.microsoft.com/office/spreadsheetml/2009/9/main" objectType="CheckBox" fmlaLink="$T$4" lockText="1" noThreeD="1"/>
</file>

<file path=xl/ctrlProps/ctrlProp39.xml><?xml version="1.0" encoding="utf-8"?>
<formControlPr xmlns="http://schemas.microsoft.com/office/spreadsheetml/2009/9/main" objectType="CheckBox" fmlaLink="$T$3" lockText="1" noThreeD="1"/>
</file>

<file path=xl/ctrlProps/ctrlProp4.xml><?xml version="1.0" encoding="utf-8"?>
<formControlPr xmlns="http://schemas.microsoft.com/office/spreadsheetml/2009/9/main" objectType="Radio" checked="Checked" firstButton="1" fmlaLink="$W$5" lockText="1" noThreeD="1"/>
</file>

<file path=xl/ctrlProps/ctrlProp40.xml><?xml version="1.0" encoding="utf-8"?>
<formControlPr xmlns="http://schemas.microsoft.com/office/spreadsheetml/2009/9/main" objectType="CheckBox" fmlaLink="$T$4" lockText="1" noThreeD="1"/>
</file>

<file path=xl/ctrlProps/ctrlProp41.xml><?xml version="1.0" encoding="utf-8"?>
<formControlPr xmlns="http://schemas.microsoft.com/office/spreadsheetml/2009/9/main" objectType="CheckBox" fmlaLink="$T$3" lockText="1" noThreeD="1"/>
</file>

<file path=xl/ctrlProps/ctrlProp42.xml><?xml version="1.0" encoding="utf-8"?>
<formControlPr xmlns="http://schemas.microsoft.com/office/spreadsheetml/2009/9/main" objectType="CheckBox" fmlaLink="$T$4" lockText="1" noThreeD="1"/>
</file>

<file path=xl/ctrlProps/ctrlProp43.xml><?xml version="1.0" encoding="utf-8"?>
<formControlPr xmlns="http://schemas.microsoft.com/office/spreadsheetml/2009/9/main" objectType="CheckBox" fmlaLink="$T$3" lockText="1" noThreeD="1"/>
</file>

<file path=xl/ctrlProps/ctrlProp44.xml><?xml version="1.0" encoding="utf-8"?>
<formControlPr xmlns="http://schemas.microsoft.com/office/spreadsheetml/2009/9/main" objectType="CheckBox" fmlaLink="$T$4" lockText="1" noThreeD="1"/>
</file>

<file path=xl/ctrlProps/ctrlProp45.xml><?xml version="1.0" encoding="utf-8"?>
<formControlPr xmlns="http://schemas.microsoft.com/office/spreadsheetml/2009/9/main" objectType="CheckBox" fmlaLink="$T$3" lockText="1" noThreeD="1"/>
</file>

<file path=xl/ctrlProps/ctrlProp46.xml><?xml version="1.0" encoding="utf-8"?>
<formControlPr xmlns="http://schemas.microsoft.com/office/spreadsheetml/2009/9/main" objectType="CheckBox" fmlaLink="$T$4" lockText="1" noThreeD="1"/>
</file>

<file path=xl/ctrlProps/ctrlProp47.xml><?xml version="1.0" encoding="utf-8"?>
<formControlPr xmlns="http://schemas.microsoft.com/office/spreadsheetml/2009/9/main" objectType="CheckBox" fmlaLink="$T$3" lockText="1" noThreeD="1"/>
</file>

<file path=xl/ctrlProps/ctrlProp48.xml><?xml version="1.0" encoding="utf-8"?>
<formControlPr xmlns="http://schemas.microsoft.com/office/spreadsheetml/2009/9/main" objectType="CheckBox" fmlaLink="$T$4" lockText="1" noThreeD="1"/>
</file>

<file path=xl/ctrlProps/ctrlProp49.xml><?xml version="1.0" encoding="utf-8"?>
<formControlPr xmlns="http://schemas.microsoft.com/office/spreadsheetml/2009/9/main" objectType="CheckBox" fmlaLink="$T$3"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CheckBox" fmlaLink="$T$4" lockText="1" noThreeD="1"/>
</file>

<file path=xl/ctrlProps/ctrlProp51.xml><?xml version="1.0" encoding="utf-8"?>
<formControlPr xmlns="http://schemas.microsoft.com/office/spreadsheetml/2009/9/main" objectType="CheckBox" fmlaLink="$T$3" lockText="1" noThreeD="1"/>
</file>

<file path=xl/ctrlProps/ctrlProp52.xml><?xml version="1.0" encoding="utf-8"?>
<formControlPr xmlns="http://schemas.microsoft.com/office/spreadsheetml/2009/9/main" objectType="CheckBox" fmlaLink="$T$4" lockText="1" noThreeD="1"/>
</file>

<file path=xl/ctrlProps/ctrlProp53.xml><?xml version="1.0" encoding="utf-8"?>
<formControlPr xmlns="http://schemas.microsoft.com/office/spreadsheetml/2009/9/main" objectType="CheckBox" fmlaLink="$T$3" lockText="1" noThreeD="1"/>
</file>

<file path=xl/ctrlProps/ctrlProp54.xml><?xml version="1.0" encoding="utf-8"?>
<formControlPr xmlns="http://schemas.microsoft.com/office/spreadsheetml/2009/9/main" objectType="CheckBox" fmlaLink="$T$4" lockText="1" noThreeD="1"/>
</file>

<file path=xl/ctrlProps/ctrlProp55.xml><?xml version="1.0" encoding="utf-8"?>
<formControlPr xmlns="http://schemas.microsoft.com/office/spreadsheetml/2009/9/main" objectType="CheckBox" fmlaLink="$T$3" lockText="1" noThreeD="1"/>
</file>

<file path=xl/ctrlProps/ctrlProp56.xml><?xml version="1.0" encoding="utf-8"?>
<formControlPr xmlns="http://schemas.microsoft.com/office/spreadsheetml/2009/9/main" objectType="CheckBox" fmlaLink="$T$4" lockText="1" noThreeD="1"/>
</file>

<file path=xl/ctrlProps/ctrlProp57.xml><?xml version="1.0" encoding="utf-8"?>
<formControlPr xmlns="http://schemas.microsoft.com/office/spreadsheetml/2009/9/main" objectType="CheckBox" fmlaLink="$T$3" lockText="1" noThreeD="1"/>
</file>

<file path=xl/ctrlProps/ctrlProp58.xml><?xml version="1.0" encoding="utf-8"?>
<formControlPr xmlns="http://schemas.microsoft.com/office/spreadsheetml/2009/9/main" objectType="CheckBox" fmlaLink="$T$4" lockText="1" noThreeD="1"/>
</file>

<file path=xl/ctrlProps/ctrlProp59.xml><?xml version="1.0" encoding="utf-8"?>
<formControlPr xmlns="http://schemas.microsoft.com/office/spreadsheetml/2009/9/main" objectType="CheckBox" checked="Checked" fmlaLink="$T$3"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CheckBox" fmlaLink="$T$4" lockText="1" noThreeD="1"/>
</file>

<file path=xl/ctrlProps/ctrlProp61.xml><?xml version="1.0" encoding="utf-8"?>
<formControlPr xmlns="http://schemas.microsoft.com/office/spreadsheetml/2009/9/main" objectType="CheckBox" checked="Checked" fmlaLink="$T$3" lockText="1" noThreeD="1"/>
</file>

<file path=xl/ctrlProps/ctrlProp62.xml><?xml version="1.0" encoding="utf-8"?>
<formControlPr xmlns="http://schemas.microsoft.com/office/spreadsheetml/2009/9/main" objectType="CheckBox" fmlaLink="$T$4" lockText="1" noThreeD="1"/>
</file>

<file path=xl/ctrlProps/ctrlProp63.xml><?xml version="1.0" encoding="utf-8"?>
<formControlPr xmlns="http://schemas.microsoft.com/office/spreadsheetml/2009/9/main" objectType="CheckBox" checked="Checked" fmlaLink="$T$3" lockText="1" noThreeD="1"/>
</file>

<file path=xl/ctrlProps/ctrlProp64.xml><?xml version="1.0" encoding="utf-8"?>
<formControlPr xmlns="http://schemas.microsoft.com/office/spreadsheetml/2009/9/main" objectType="CheckBox" fmlaLink="$T$4" lockText="1" noThreeD="1"/>
</file>

<file path=xl/ctrlProps/ctrlProp65.xml><?xml version="1.0" encoding="utf-8"?>
<formControlPr xmlns="http://schemas.microsoft.com/office/spreadsheetml/2009/9/main" objectType="CheckBox" checked="Checked" fmlaLink="$T$3" lockText="1" noThreeD="1"/>
</file>

<file path=xl/ctrlProps/ctrlProp66.xml><?xml version="1.0" encoding="utf-8"?>
<formControlPr xmlns="http://schemas.microsoft.com/office/spreadsheetml/2009/9/main" objectType="CheckBox" fmlaLink="$T$4" lockText="1" noThreeD="1"/>
</file>

<file path=xl/ctrlProps/ctrlProp67.xml><?xml version="1.0" encoding="utf-8"?>
<formControlPr xmlns="http://schemas.microsoft.com/office/spreadsheetml/2009/9/main" objectType="CheckBox" checked="Checked" fmlaLink="$T$3" lockText="1" noThreeD="1"/>
</file>

<file path=xl/ctrlProps/ctrlProp68.xml><?xml version="1.0" encoding="utf-8"?>
<formControlPr xmlns="http://schemas.microsoft.com/office/spreadsheetml/2009/9/main" objectType="CheckBox" fmlaLink="$T$4" lockText="1" noThreeD="1"/>
</file>

<file path=xl/ctrlProps/ctrlProp69.xml><?xml version="1.0" encoding="utf-8"?>
<formControlPr xmlns="http://schemas.microsoft.com/office/spreadsheetml/2009/9/main" objectType="CheckBox" checked="Checked" fmlaLink="$T$3" lockText="1" noThreeD="1"/>
</file>

<file path=xl/ctrlProps/ctrlProp7.xml><?xml version="1.0" encoding="utf-8"?>
<formControlPr xmlns="http://schemas.microsoft.com/office/spreadsheetml/2009/9/main" objectType="Drop" dropStyle="combo" dx="18" fmlaLink="AB31" fmlaRange="'SDK3'!$C$24:$C$86" noThreeD="1" sel="2" val="0"/>
</file>

<file path=xl/ctrlProps/ctrlProp70.xml><?xml version="1.0" encoding="utf-8"?>
<formControlPr xmlns="http://schemas.microsoft.com/office/spreadsheetml/2009/9/main" objectType="CheckBox" fmlaLink="$T$4" lockText="1" noThreeD="1"/>
</file>

<file path=xl/ctrlProps/ctrlProp71.xml><?xml version="1.0" encoding="utf-8"?>
<formControlPr xmlns="http://schemas.microsoft.com/office/spreadsheetml/2009/9/main" objectType="CheckBox" checked="Checked" fmlaLink="$T$3" lockText="1" noThreeD="1"/>
</file>

<file path=xl/ctrlProps/ctrlProp72.xml><?xml version="1.0" encoding="utf-8"?>
<formControlPr xmlns="http://schemas.microsoft.com/office/spreadsheetml/2009/9/main" objectType="CheckBox" fmlaLink="$T$4" lockText="1" noThreeD="1"/>
</file>

<file path=xl/ctrlProps/ctrlProp73.xml><?xml version="1.0" encoding="utf-8"?>
<formControlPr xmlns="http://schemas.microsoft.com/office/spreadsheetml/2009/9/main" objectType="CheckBox" checked="Checked" fmlaLink="$T$3" lockText="1" noThreeD="1"/>
</file>

<file path=xl/ctrlProps/ctrlProp74.xml><?xml version="1.0" encoding="utf-8"?>
<formControlPr xmlns="http://schemas.microsoft.com/office/spreadsheetml/2009/9/main" objectType="CheckBox" checked="Checked" fmlaLink="$S$14" lockText="1" noThreeD="1"/>
</file>

<file path=xl/ctrlProps/ctrlProp75.xml><?xml version="1.0" encoding="utf-8"?>
<formControlPr xmlns="http://schemas.microsoft.com/office/spreadsheetml/2009/9/main" objectType="CheckBox" fmlaLink="$S$15" lockText="1" noThreeD="1"/>
</file>

<file path=xl/ctrlProps/ctrlProp76.xml><?xml version="1.0" encoding="utf-8"?>
<formControlPr xmlns="http://schemas.microsoft.com/office/spreadsheetml/2009/9/main" objectType="CheckBox" fmlaLink="$S$16" lockText="1" noThreeD="1"/>
</file>

<file path=xl/ctrlProps/ctrlProp77.xml><?xml version="1.0" encoding="utf-8"?>
<formControlPr xmlns="http://schemas.microsoft.com/office/spreadsheetml/2009/9/main" objectType="CheckBox" checked="Checked" fmlaLink="$R$14" lockText="1" noThreeD="1"/>
</file>

<file path=xl/ctrlProps/ctrlProp78.xml><?xml version="1.0" encoding="utf-8"?>
<formControlPr xmlns="http://schemas.microsoft.com/office/spreadsheetml/2009/9/main" objectType="CheckBox" fmlaLink="$R$15" lockText="1" noThreeD="1"/>
</file>

<file path=xl/ctrlProps/ctrlProp79.xml><?xml version="1.0" encoding="utf-8"?>
<formControlPr xmlns="http://schemas.microsoft.com/office/spreadsheetml/2009/9/main" objectType="CheckBox" fmlaLink="$R$16" lockText="1" noThreeD="1"/>
</file>

<file path=xl/ctrlProps/ctrlProp8.xml><?xml version="1.0" encoding="utf-8"?>
<formControlPr xmlns="http://schemas.microsoft.com/office/spreadsheetml/2009/9/main" objectType="Drop" dropStyle="combo" dx="18" fmlaLink="AB32" fmlaRange="'SDK3'!$C$24:$C$86" noThreeD="1" sel="4" val="0"/>
</file>

<file path=xl/ctrlProps/ctrlProp80.xml><?xml version="1.0" encoding="utf-8"?>
<formControlPr xmlns="http://schemas.microsoft.com/office/spreadsheetml/2009/9/main" objectType="CheckBox" checked="Checked" fmlaLink="$T$14" lockText="1" noThreeD="1"/>
</file>

<file path=xl/ctrlProps/ctrlProp81.xml><?xml version="1.0" encoding="utf-8"?>
<formControlPr xmlns="http://schemas.microsoft.com/office/spreadsheetml/2009/9/main" objectType="CheckBox" fmlaLink="$T$15" lockText="1" noThreeD="1"/>
</file>

<file path=xl/ctrlProps/ctrlProp82.xml><?xml version="1.0" encoding="utf-8"?>
<formControlPr xmlns="http://schemas.microsoft.com/office/spreadsheetml/2009/9/main" objectType="CheckBox" fmlaLink="$T$16" lockText="1" noThreeD="1"/>
</file>

<file path=xl/ctrlProps/ctrlProp83.xml><?xml version="1.0" encoding="utf-8"?>
<formControlPr xmlns="http://schemas.microsoft.com/office/spreadsheetml/2009/9/main" objectType="CheckBox" checked="Checked" fmlaLink="$S$14" lockText="1" noThreeD="1"/>
</file>

<file path=xl/ctrlProps/ctrlProp84.xml><?xml version="1.0" encoding="utf-8"?>
<formControlPr xmlns="http://schemas.microsoft.com/office/spreadsheetml/2009/9/main" objectType="CheckBox" fmlaLink="$S$15" lockText="1" noThreeD="1"/>
</file>

<file path=xl/ctrlProps/ctrlProp85.xml><?xml version="1.0" encoding="utf-8"?>
<formControlPr xmlns="http://schemas.microsoft.com/office/spreadsheetml/2009/9/main" objectType="CheckBox" fmlaLink="$S$16" lockText="1" noThreeD="1"/>
</file>

<file path=xl/ctrlProps/ctrlProp86.xml><?xml version="1.0" encoding="utf-8"?>
<formControlPr xmlns="http://schemas.microsoft.com/office/spreadsheetml/2009/9/main" objectType="CheckBox" checked="Checked" fmlaLink="$R$14" lockText="1" noThreeD="1"/>
</file>

<file path=xl/ctrlProps/ctrlProp87.xml><?xml version="1.0" encoding="utf-8"?>
<formControlPr xmlns="http://schemas.microsoft.com/office/spreadsheetml/2009/9/main" objectType="CheckBox" fmlaLink="$R$15" lockText="1" noThreeD="1"/>
</file>

<file path=xl/ctrlProps/ctrlProp88.xml><?xml version="1.0" encoding="utf-8"?>
<formControlPr xmlns="http://schemas.microsoft.com/office/spreadsheetml/2009/9/main" objectType="CheckBox" fmlaLink="$R$16" lockText="1" noThreeD="1"/>
</file>

<file path=xl/ctrlProps/ctrlProp89.xml><?xml version="1.0" encoding="utf-8"?>
<formControlPr xmlns="http://schemas.microsoft.com/office/spreadsheetml/2009/9/main" objectType="CheckBox" checked="Checked" fmlaLink="$T$14" lockText="1" noThreeD="1"/>
</file>

<file path=xl/ctrlProps/ctrlProp9.xml><?xml version="1.0" encoding="utf-8"?>
<formControlPr xmlns="http://schemas.microsoft.com/office/spreadsheetml/2009/9/main" objectType="Drop" dropStyle="combo" dx="18" fmlaLink="AB33" fmlaRange="'SDK3'!$C$24:$C$86" noThreeD="1" sel="16" val="0"/>
</file>

<file path=xl/ctrlProps/ctrlProp90.xml><?xml version="1.0" encoding="utf-8"?>
<formControlPr xmlns="http://schemas.microsoft.com/office/spreadsheetml/2009/9/main" objectType="CheckBox" fmlaLink="$T$15" lockText="1" noThreeD="1"/>
</file>

<file path=xl/ctrlProps/ctrlProp91.xml><?xml version="1.0" encoding="utf-8"?>
<formControlPr xmlns="http://schemas.microsoft.com/office/spreadsheetml/2009/9/main" objectType="CheckBox" fmlaLink="$T$16" lockText="1" noThreeD="1"/>
</file>

<file path=xl/ctrlProps/ctrlProp92.xml><?xml version="1.0" encoding="utf-8"?>
<formControlPr xmlns="http://schemas.microsoft.com/office/spreadsheetml/2009/9/main" objectType="CheckBox" checked="Checked" fmlaLink="$S$14" lockText="1" noThreeD="1"/>
</file>

<file path=xl/ctrlProps/ctrlProp93.xml><?xml version="1.0" encoding="utf-8"?>
<formControlPr xmlns="http://schemas.microsoft.com/office/spreadsheetml/2009/9/main" objectType="CheckBox" fmlaLink="$S$15" lockText="1" noThreeD="1"/>
</file>

<file path=xl/ctrlProps/ctrlProp94.xml><?xml version="1.0" encoding="utf-8"?>
<formControlPr xmlns="http://schemas.microsoft.com/office/spreadsheetml/2009/9/main" objectType="CheckBox" fmlaLink="$S$16" lockText="1" noThreeD="1"/>
</file>

<file path=xl/ctrlProps/ctrlProp95.xml><?xml version="1.0" encoding="utf-8"?>
<formControlPr xmlns="http://schemas.microsoft.com/office/spreadsheetml/2009/9/main" objectType="CheckBox" checked="Checked" fmlaLink="$R$14" lockText="1" noThreeD="1"/>
</file>

<file path=xl/ctrlProps/ctrlProp96.xml><?xml version="1.0" encoding="utf-8"?>
<formControlPr xmlns="http://schemas.microsoft.com/office/spreadsheetml/2009/9/main" objectType="CheckBox" fmlaLink="$R$15" lockText="1" noThreeD="1"/>
</file>

<file path=xl/ctrlProps/ctrlProp97.xml><?xml version="1.0" encoding="utf-8"?>
<formControlPr xmlns="http://schemas.microsoft.com/office/spreadsheetml/2009/9/main" objectType="CheckBox" fmlaLink="$R$16" lockText="1" noThreeD="1"/>
</file>

<file path=xl/ctrlProps/ctrlProp98.xml><?xml version="1.0" encoding="utf-8"?>
<formControlPr xmlns="http://schemas.microsoft.com/office/spreadsheetml/2009/9/main" objectType="CheckBox" checked="Checked" fmlaLink="$T$14" lockText="1" noThreeD="1"/>
</file>

<file path=xl/ctrlProps/ctrlProp99.xml><?xml version="1.0" encoding="utf-8"?>
<formControlPr xmlns="http://schemas.microsoft.com/office/spreadsheetml/2009/9/main" objectType="CheckBox" fmlaLink="$T$15"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A1:A8"/></Relationships>
</file>

<file path=xl/drawings/_rels/drawing14.xml.rels><?xml version="1.0" encoding="UTF-8" standalone="yes"?>
<Relationships xmlns="http://schemas.openxmlformats.org/package/2006/relationships"><Relationship Id="rId1" Type="http://schemas.openxmlformats.org/officeDocument/2006/relationships/hyperlink" Target="#Inhalt!B56"/></Relationships>
</file>

<file path=xl/drawings/_rels/drawing1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6.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3" Type="http://schemas.openxmlformats.org/officeDocument/2006/relationships/hyperlink" Target="#Inhalt!B12"/><Relationship Id="rId2" Type="http://schemas.openxmlformats.org/officeDocument/2006/relationships/hyperlink" Target="#Kostenrechnung!A1"/><Relationship Id="rId1" Type="http://schemas.openxmlformats.org/officeDocument/2006/relationships/hyperlink" Target="#Inhalt!A1:A8"/></Relationships>
</file>

<file path=xl/drawings/_rels/drawing18.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19.xml.rels><?xml version="1.0" encoding="UTF-8" standalone="yes"?>
<Relationships xmlns="http://schemas.openxmlformats.org/package/2006/relationships"><Relationship Id="rId2" Type="http://schemas.openxmlformats.org/officeDocument/2006/relationships/hyperlink" Target="#Inhalt!B12"/><Relationship Id="rId1" Type="http://schemas.openxmlformats.org/officeDocument/2006/relationships/hyperlink" Target="#Kostenrechnung!A1"/></Relationships>
</file>

<file path=xl/drawings/_rels/drawing2.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1.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2.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3.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4.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5.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6.xml.rels><?xml version="1.0" encoding="UTF-8" standalone="yes"?>
<Relationships xmlns="http://schemas.openxmlformats.org/package/2006/relationships"><Relationship Id="rId2" Type="http://schemas.openxmlformats.org/officeDocument/2006/relationships/hyperlink" Target="#Kostenrechnung!A1"/><Relationship Id="rId1" Type="http://schemas.openxmlformats.org/officeDocument/2006/relationships/hyperlink" Target="#Inhalt!B12"/></Relationships>
</file>

<file path=xl/drawings/_rels/drawing27.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chart" Target="../charts/chart7.xml"/><Relationship Id="rId1" Type="http://schemas.openxmlformats.org/officeDocument/2006/relationships/chart" Target="../charts/chart6.xml"/></Relationships>
</file>

<file path=xl/drawings/_rels/drawing2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xml.rels><?xml version="1.0" encoding="UTF-8" standalone="yes"?>
<Relationships xmlns="http://schemas.openxmlformats.org/package/2006/relationships"><Relationship Id="rId1" Type="http://schemas.openxmlformats.org/officeDocument/2006/relationships/hyperlink" Target="#Inhalt!A1:A8"/></Relationships>
</file>

<file path=xl/drawings/_rels/drawing3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3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1.xml"/></Relationships>
</file>

<file path=xl/drawings/_rels/drawing4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1.xml.rels><?xml version="1.0" encoding="UTF-8" standalone="yes"?>
<Relationships xmlns="http://schemas.openxmlformats.org/package/2006/relationships"><Relationship Id="rId3" Type="http://schemas.openxmlformats.org/officeDocument/2006/relationships/hyperlink" Target="#Inhalt!A1:A8"/><Relationship Id="rId2" Type="http://schemas.openxmlformats.org/officeDocument/2006/relationships/image" Target="../media/image6.png"/><Relationship Id="rId1" Type="http://schemas.openxmlformats.org/officeDocument/2006/relationships/hyperlink" Target="#Kostenrechnung!E2"/></Relationships>
</file>

<file path=xl/drawings/_rels/drawing4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4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1.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2.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3.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4.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5.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6.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8.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5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hyperlink" Target="#Kostenrechnung!E2"/></Relationships>
</file>

<file path=xl/drawings/_rels/drawing6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hyperlink" Target="#Inhalt!B60"/></Relationships>
</file>

<file path=xl/drawings/_rels/drawing6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2"/></Relationships>
</file>

<file path=xl/drawings/_rels/drawing6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2"/></Relationships>
</file>

<file path=xl/drawings/_rels/drawing6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1"/></Relationships>
</file>

<file path=xl/drawings/_rels/drawing6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6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8"/></Relationships>
</file>

<file path=xl/drawings/_rels/drawing7.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3.xml"/></Relationships>
</file>

<file path=xl/drawings/_rels/drawing7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7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2"/></Relationships>
</file>

<file path=xl/drawings/_rels/drawing7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7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1"/></Relationships>
</file>

<file path=xl/drawings/_rels/drawing7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0"/></Relationships>
</file>

<file path=xl/drawings/_rels/drawing7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7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7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80.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4"/></Relationships>
</file>

<file path=xl/drawings/_rels/drawing81.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2.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25"/></Relationships>
</file>

<file path=xl/drawings/_rels/drawing83.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4.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53"/></Relationships>
</file>

<file path=xl/drawings/_rels/drawing85.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7"/></Relationships>
</file>

<file path=xl/drawings/_rels/drawing86.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38"/></Relationships>
</file>

<file path=xl/drawings/_rels/drawing87.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8.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8"/></Relationships>
</file>

<file path=xl/drawings/_rels/drawing89.xml.rels><?xml version="1.0" encoding="UTF-8" standalone="yes"?>
<Relationships xmlns="http://schemas.openxmlformats.org/package/2006/relationships"><Relationship Id="rId2" Type="http://schemas.openxmlformats.org/officeDocument/2006/relationships/hyperlink" Target="#Kostenrechnung!E2"/><Relationship Id="rId1" Type="http://schemas.openxmlformats.org/officeDocument/2006/relationships/hyperlink" Target="#Inhalt!B46"/></Relationships>
</file>

<file path=xl/drawings/_rels/drawing9.xml.rels><?xml version="1.0" encoding="UTF-8" standalone="yes"?>
<Relationships xmlns="http://schemas.openxmlformats.org/package/2006/relationships"><Relationship Id="rId2" Type="http://schemas.openxmlformats.org/officeDocument/2006/relationships/hyperlink" Target="#Inhalt!A1:A8"/><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3741420</xdr:colOff>
      <xdr:row>1</xdr:row>
      <xdr:rowOff>22860</xdr:rowOff>
    </xdr:from>
    <xdr:ext cx="1307686" cy="952866"/>
    <xdr:pic>
      <xdr:nvPicPr>
        <xdr:cNvPr id="5" name="Grafi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3100" y="198120"/>
          <a:ext cx="1307686" cy="95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98161</xdr:colOff>
      <xdr:row>3</xdr:row>
      <xdr:rowOff>64878</xdr:rowOff>
    </xdr:from>
    <xdr:ext cx="889795" cy="217560"/>
    <xdr:sp macro="" textlink="">
      <xdr:nvSpPr>
        <xdr:cNvPr id="6" name="Textfeld 5"/>
        <xdr:cNvSpPr txBox="1"/>
      </xdr:nvSpPr>
      <xdr:spPr>
        <a:xfrm>
          <a:off x="6156061" y="903078"/>
          <a:ext cx="8897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800" b="0"/>
            <a:t>K.Cypzirsch,2012</a:t>
          </a:r>
        </a:p>
      </xdr:txBody>
    </xdr:sp>
    <xdr:clientData/>
  </xdr:oneCellAnchor>
  <xdr:oneCellAnchor>
    <xdr:from>
      <xdr:col>1</xdr:col>
      <xdr:colOff>15240</xdr:colOff>
      <xdr:row>0</xdr:row>
      <xdr:rowOff>152400</xdr:rowOff>
    </xdr:from>
    <xdr:ext cx="1578534" cy="1066800"/>
    <xdr:pic>
      <xdr:nvPicPr>
        <xdr:cNvPr id="7" name="Grafik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52400"/>
          <a:ext cx="1578534"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1.xml><?xml version="1.0" encoding="utf-8"?>
<xdr:wsDr xmlns:xdr="http://schemas.openxmlformats.org/drawingml/2006/spreadsheetDrawing" xmlns:a="http://schemas.openxmlformats.org/drawingml/2006/main">
  <xdr:twoCellAnchor>
    <xdr:from>
      <xdr:col>12</xdr:col>
      <xdr:colOff>318851</xdr:colOff>
      <xdr:row>4</xdr:row>
      <xdr:rowOff>114795</xdr:rowOff>
    </xdr:from>
    <xdr:to>
      <xdr:col>21</xdr:col>
      <xdr:colOff>702029</xdr:colOff>
      <xdr:row>26</xdr:row>
      <xdr:rowOff>113014</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1543510</xdr:colOff>
      <xdr:row>2</xdr:row>
      <xdr:rowOff>185057</xdr:rowOff>
    </xdr:from>
    <xdr:to>
      <xdr:col>13</xdr:col>
      <xdr:colOff>0</xdr:colOff>
      <xdr:row>3</xdr:row>
      <xdr:rowOff>185057</xdr:rowOff>
    </xdr:to>
    <xdr:sp macro="" textlink="">
      <xdr:nvSpPr>
        <xdr:cNvPr id="5" name="Rectangle 40">
          <a:hlinkClick xmlns:r="http://schemas.openxmlformats.org/officeDocument/2006/relationships" r:id="rId2"/>
        </xdr:cNvPr>
        <xdr:cNvSpPr>
          <a:spLocks noChangeArrowheads="1"/>
        </xdr:cNvSpPr>
      </xdr:nvSpPr>
      <xdr:spPr bwMode="auto">
        <a:xfrm>
          <a:off x="10818139" y="185057"/>
          <a:ext cx="1624232" cy="272143"/>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0.68795</cdr:x>
      <cdr:y>0.0851</cdr:y>
    </cdr:from>
    <cdr:to>
      <cdr:x>0.93632</cdr:x>
      <cdr:y>0.33072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180975</xdr:colOff>
          <xdr:row>6</xdr:row>
          <xdr:rowOff>76200</xdr:rowOff>
        </xdr:from>
        <xdr:to>
          <xdr:col>12</xdr:col>
          <xdr:colOff>19050</xdr:colOff>
          <xdr:row>6</xdr:row>
          <xdr:rowOff>323850</xdr:rowOff>
        </xdr:to>
        <xdr:sp macro="" textlink="">
          <xdr:nvSpPr>
            <xdr:cNvPr id="8193" name="Drop Down 1" hidden="1">
              <a:extLst>
                <a:ext uri="{63B3BB69-23CF-44E3-9099-C40C66FF867C}">
                  <a14:compatExt spid="_x0000_s819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twoCellAnchor>
    <xdr:from>
      <xdr:col>16</xdr:col>
      <xdr:colOff>8626</xdr:colOff>
      <xdr:row>1</xdr:row>
      <xdr:rowOff>16329</xdr:rowOff>
    </xdr:from>
    <xdr:to>
      <xdr:col>17</xdr:col>
      <xdr:colOff>0</xdr:colOff>
      <xdr:row>2</xdr:row>
      <xdr:rowOff>0</xdr:rowOff>
    </xdr:to>
    <xdr:sp macro="" textlink="">
      <xdr:nvSpPr>
        <xdr:cNvPr id="3" name="Rectangle 40">
          <a:hlinkClick xmlns:r="http://schemas.openxmlformats.org/officeDocument/2006/relationships" r:id="rId1"/>
        </xdr:cNvPr>
        <xdr:cNvSpPr>
          <a:spLocks noChangeArrowheads="1"/>
        </xdr:cNvSpPr>
      </xdr:nvSpPr>
      <xdr:spPr bwMode="auto">
        <a:xfrm>
          <a:off x="9402997" y="190500"/>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587829</xdr:colOff>
      <xdr:row>6</xdr:row>
      <xdr:rowOff>343457</xdr:rowOff>
    </xdr:from>
    <xdr:ext cx="1774371" cy="298800"/>
    <xdr:sp macro="" textlink="">
      <xdr:nvSpPr>
        <xdr:cNvPr id="2" name="Textfeld 1">
          <a:hlinkClick xmlns:r="http://schemas.openxmlformats.org/officeDocument/2006/relationships" r:id="rId2"/>
        </xdr:cNvPr>
        <xdr:cNvSpPr txBox="1"/>
      </xdr:nvSpPr>
      <xdr:spPr>
        <a:xfrm>
          <a:off x="9252858" y="15191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47625</xdr:colOff>
          <xdr:row>24</xdr:row>
          <xdr:rowOff>0</xdr:rowOff>
        </xdr:from>
        <xdr:to>
          <xdr:col>11</xdr:col>
          <xdr:colOff>114300</xdr:colOff>
          <xdr:row>25</xdr:row>
          <xdr:rowOff>9525</xdr:rowOff>
        </xdr:to>
        <xdr:sp macro="" textlink="">
          <xdr:nvSpPr>
            <xdr:cNvPr id="98305" name="Option Button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23</xdr:row>
          <xdr:rowOff>209550</xdr:rowOff>
        </xdr:from>
        <xdr:to>
          <xdr:col>13</xdr:col>
          <xdr:colOff>76200</xdr:colOff>
          <xdr:row>24</xdr:row>
          <xdr:rowOff>209550</xdr:rowOff>
        </xdr:to>
        <xdr:sp macro="" textlink="">
          <xdr:nvSpPr>
            <xdr:cNvPr id="98306" name="Option Button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xdr:row>
          <xdr:rowOff>171450</xdr:rowOff>
        </xdr:from>
        <xdr:to>
          <xdr:col>2</xdr:col>
          <xdr:colOff>457200</xdr:colOff>
          <xdr:row>10</xdr:row>
          <xdr:rowOff>9525</xdr:rowOff>
        </xdr:to>
        <xdr:sp macro="" textlink="">
          <xdr:nvSpPr>
            <xdr:cNvPr id="98307" name="Option Button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9</xdr:row>
          <xdr:rowOff>180975</xdr:rowOff>
        </xdr:from>
        <xdr:to>
          <xdr:col>2</xdr:col>
          <xdr:colOff>457200</xdr:colOff>
          <xdr:row>11</xdr:row>
          <xdr:rowOff>19050</xdr:rowOff>
        </xdr:to>
        <xdr:sp macro="" textlink="">
          <xdr:nvSpPr>
            <xdr:cNvPr id="98308" name="Option Button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8</xdr:row>
          <xdr:rowOff>0</xdr:rowOff>
        </xdr:from>
        <xdr:to>
          <xdr:col>7</xdr:col>
          <xdr:colOff>0</xdr:colOff>
          <xdr:row>11</xdr:row>
          <xdr:rowOff>180975</xdr:rowOff>
        </xdr:to>
        <xdr:sp macro="" textlink="">
          <xdr:nvSpPr>
            <xdr:cNvPr id="98309" name="Group Box 5" hidden="1">
              <a:extLst>
                <a:ext uri="{63B3BB69-23CF-44E3-9099-C40C66FF867C}">
                  <a14:compatExt spid="_x0000_s983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57150</xdr:colOff>
      <xdr:row>1</xdr:row>
      <xdr:rowOff>38100</xdr:rowOff>
    </xdr:from>
    <xdr:to>
      <xdr:col>4</xdr:col>
      <xdr:colOff>132484</xdr:colOff>
      <xdr:row>2</xdr:row>
      <xdr:rowOff>9525</xdr:rowOff>
    </xdr:to>
    <xdr:sp macro="" textlink="">
      <xdr:nvSpPr>
        <xdr:cNvPr id="7" name="Rectangle 9">
          <a:hlinkClick xmlns:r="http://schemas.openxmlformats.org/officeDocument/2006/relationships" r:id="rId1"/>
        </xdr:cNvPr>
        <xdr:cNvSpPr>
          <a:spLocks noChangeArrowheads="1"/>
        </xdr:cNvSpPr>
      </xdr:nvSpPr>
      <xdr:spPr bwMode="auto">
        <a:xfrm>
          <a:off x="834390" y="205740"/>
          <a:ext cx="2407054" cy="139065"/>
        </a:xfrm>
        <a:prstGeom prst="rect">
          <a:avLst/>
        </a:prstGeom>
        <a:solidFill>
          <a:srgbClr val="F6CD7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0</xdr:colOff>
          <xdr:row>30</xdr:row>
          <xdr:rowOff>0</xdr:rowOff>
        </xdr:from>
        <xdr:to>
          <xdr:col>10</xdr:col>
          <xdr:colOff>19050</xdr:colOff>
          <xdr:row>31</xdr:row>
          <xdr:rowOff>19050</xdr:rowOff>
        </xdr:to>
        <xdr:sp macro="" textlink="">
          <xdr:nvSpPr>
            <xdr:cNvPr id="98310" name="Drop Down 6" hidden="1">
              <a:extLst>
                <a:ext uri="{63B3BB69-23CF-44E3-9099-C40C66FF867C}">
                  <a14:compatExt spid="_x0000_s9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10</xdr:col>
          <xdr:colOff>19050</xdr:colOff>
          <xdr:row>32</xdr:row>
          <xdr:rowOff>19050</xdr:rowOff>
        </xdr:to>
        <xdr:sp macro="" textlink="">
          <xdr:nvSpPr>
            <xdr:cNvPr id="98311" name="Drop Down 7" hidden="1">
              <a:extLst>
                <a:ext uri="{63B3BB69-23CF-44E3-9099-C40C66FF867C}">
                  <a14:compatExt spid="_x0000_s9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32</xdr:row>
          <xdr:rowOff>0</xdr:rowOff>
        </xdr:from>
        <xdr:to>
          <xdr:col>10</xdr:col>
          <xdr:colOff>19050</xdr:colOff>
          <xdr:row>33</xdr:row>
          <xdr:rowOff>19050</xdr:rowOff>
        </xdr:to>
        <xdr:sp macro="" textlink="">
          <xdr:nvSpPr>
            <xdr:cNvPr id="98312" name="Drop Down 8" hidden="1">
              <a:extLst>
                <a:ext uri="{63B3BB69-23CF-44E3-9099-C40C66FF867C}">
                  <a14:compatExt spid="_x0000_s9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10</xdr:col>
          <xdr:colOff>19050</xdr:colOff>
          <xdr:row>34</xdr:row>
          <xdr:rowOff>19050</xdr:rowOff>
        </xdr:to>
        <xdr:sp macro="" textlink="">
          <xdr:nvSpPr>
            <xdr:cNvPr id="98313" name="Drop Down 9" hidden="1">
              <a:extLst>
                <a:ext uri="{63B3BB69-23CF-44E3-9099-C40C66FF867C}">
                  <a14:compatExt spid="_x0000_s9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10</xdr:col>
          <xdr:colOff>19050</xdr:colOff>
          <xdr:row>35</xdr:row>
          <xdr:rowOff>19050</xdr:rowOff>
        </xdr:to>
        <xdr:sp macro="" textlink="">
          <xdr:nvSpPr>
            <xdr:cNvPr id="98314" name="Drop Down 10" hidden="1">
              <a:extLst>
                <a:ext uri="{63B3BB69-23CF-44E3-9099-C40C66FF867C}">
                  <a14:compatExt spid="_x0000_s9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15" name="Drop Down 11" hidden="1">
              <a:extLst>
                <a:ext uri="{63B3BB69-23CF-44E3-9099-C40C66FF867C}">
                  <a14:compatExt spid="_x0000_s9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190500</xdr:rowOff>
        </xdr:from>
        <xdr:to>
          <xdr:col>10</xdr:col>
          <xdr:colOff>0</xdr:colOff>
          <xdr:row>39</xdr:row>
          <xdr:rowOff>0</xdr:rowOff>
        </xdr:to>
        <xdr:sp macro="" textlink="">
          <xdr:nvSpPr>
            <xdr:cNvPr id="98316" name="Drop Down 12" hidden="1">
              <a:extLst>
                <a:ext uri="{63B3BB69-23CF-44E3-9099-C40C66FF867C}">
                  <a14:compatExt spid="_x0000_s9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10</xdr:col>
          <xdr:colOff>0</xdr:colOff>
          <xdr:row>40</xdr:row>
          <xdr:rowOff>19050</xdr:rowOff>
        </xdr:to>
        <xdr:sp macro="" textlink="">
          <xdr:nvSpPr>
            <xdr:cNvPr id="98317" name="Drop Down 13" hidden="1">
              <a:extLst>
                <a:ext uri="{63B3BB69-23CF-44E3-9099-C40C66FF867C}">
                  <a14:compatExt spid="_x0000_s9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10</xdr:col>
          <xdr:colOff>19050</xdr:colOff>
          <xdr:row>64</xdr:row>
          <xdr:rowOff>19050</xdr:rowOff>
        </xdr:to>
        <xdr:sp macro="" textlink="">
          <xdr:nvSpPr>
            <xdr:cNvPr id="98318" name="Drop Down 14" hidden="1">
              <a:extLst>
                <a:ext uri="{63B3BB69-23CF-44E3-9099-C40C66FF867C}">
                  <a14:compatExt spid="_x0000_s9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70</xdr:row>
          <xdr:rowOff>0</xdr:rowOff>
        </xdr:from>
        <xdr:to>
          <xdr:col>10</xdr:col>
          <xdr:colOff>0</xdr:colOff>
          <xdr:row>71</xdr:row>
          <xdr:rowOff>19050</xdr:rowOff>
        </xdr:to>
        <xdr:sp macro="" textlink="">
          <xdr:nvSpPr>
            <xdr:cNvPr id="98319" name="Drop Down 15" hidden="1">
              <a:extLst>
                <a:ext uri="{63B3BB69-23CF-44E3-9099-C40C66FF867C}">
                  <a14:compatExt spid="_x0000_s9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10</xdr:col>
          <xdr:colOff>0</xdr:colOff>
          <xdr:row>72</xdr:row>
          <xdr:rowOff>19050</xdr:rowOff>
        </xdr:to>
        <xdr:sp macro="" textlink="">
          <xdr:nvSpPr>
            <xdr:cNvPr id="98320" name="Drop Down 16" hidden="1">
              <a:extLst>
                <a:ext uri="{63B3BB69-23CF-44E3-9099-C40C66FF867C}">
                  <a14:compatExt spid="_x0000_s9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10</xdr:col>
          <xdr:colOff>0</xdr:colOff>
          <xdr:row>73</xdr:row>
          <xdr:rowOff>19050</xdr:rowOff>
        </xdr:to>
        <xdr:sp macro="" textlink="">
          <xdr:nvSpPr>
            <xdr:cNvPr id="98321" name="Drop Down 17" hidden="1">
              <a:extLst>
                <a:ext uri="{63B3BB69-23CF-44E3-9099-C40C66FF867C}">
                  <a14:compatExt spid="_x0000_s9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2" name="Drop Down 18" hidden="1">
              <a:extLst>
                <a:ext uri="{63B3BB69-23CF-44E3-9099-C40C66FF867C}">
                  <a14:compatExt spid="_x0000_s9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10</xdr:col>
          <xdr:colOff>19050</xdr:colOff>
          <xdr:row>36</xdr:row>
          <xdr:rowOff>19050</xdr:rowOff>
        </xdr:to>
        <xdr:sp macro="" textlink="">
          <xdr:nvSpPr>
            <xdr:cNvPr id="98323" name="Drop Down 19" hidden="1">
              <a:extLst>
                <a:ext uri="{63B3BB69-23CF-44E3-9099-C40C66FF867C}">
                  <a14:compatExt spid="_x0000_s9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36</xdr:row>
          <xdr:rowOff>0</xdr:rowOff>
        </xdr:from>
        <xdr:to>
          <xdr:col>10</xdr:col>
          <xdr:colOff>19050</xdr:colOff>
          <xdr:row>37</xdr:row>
          <xdr:rowOff>19050</xdr:rowOff>
        </xdr:to>
        <xdr:sp macro="" textlink="">
          <xdr:nvSpPr>
            <xdr:cNvPr id="98324" name="Drop Down 20" hidden="1">
              <a:extLst>
                <a:ext uri="{63B3BB69-23CF-44E3-9099-C40C66FF867C}">
                  <a14:compatExt spid="_x0000_s9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0</xdr:rowOff>
        </xdr:from>
        <xdr:to>
          <xdr:col>10</xdr:col>
          <xdr:colOff>19050</xdr:colOff>
          <xdr:row>65</xdr:row>
          <xdr:rowOff>19050</xdr:rowOff>
        </xdr:to>
        <xdr:sp macro="" textlink="">
          <xdr:nvSpPr>
            <xdr:cNvPr id="98325" name="Drop Down 21" hidden="1">
              <a:extLst>
                <a:ext uri="{63B3BB69-23CF-44E3-9099-C40C66FF867C}">
                  <a14:compatExt spid="_x0000_s9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10</xdr:col>
          <xdr:colOff>19050</xdr:colOff>
          <xdr:row>66</xdr:row>
          <xdr:rowOff>19050</xdr:rowOff>
        </xdr:to>
        <xdr:sp macro="" textlink="">
          <xdr:nvSpPr>
            <xdr:cNvPr id="98326" name="Drop Down 22" hidden="1">
              <a:extLst>
                <a:ext uri="{63B3BB69-23CF-44E3-9099-C40C66FF867C}">
                  <a14:compatExt spid="_x0000_s9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66</xdr:row>
          <xdr:rowOff>0</xdr:rowOff>
        </xdr:from>
        <xdr:to>
          <xdr:col>10</xdr:col>
          <xdr:colOff>19050</xdr:colOff>
          <xdr:row>67</xdr:row>
          <xdr:rowOff>19050</xdr:rowOff>
        </xdr:to>
        <xdr:sp macro="" textlink="">
          <xdr:nvSpPr>
            <xdr:cNvPr id="98327" name="Drop Down 23" hidden="1">
              <a:extLst>
                <a:ext uri="{63B3BB69-23CF-44E3-9099-C40C66FF867C}">
                  <a14:compatExt spid="_x0000_s9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10</xdr:col>
          <xdr:colOff>19050</xdr:colOff>
          <xdr:row>68</xdr:row>
          <xdr:rowOff>19050</xdr:rowOff>
        </xdr:to>
        <xdr:sp macro="" textlink="">
          <xdr:nvSpPr>
            <xdr:cNvPr id="98328" name="Drop Down 24" hidden="1">
              <a:extLst>
                <a:ext uri="{63B3BB69-23CF-44E3-9099-C40C66FF867C}">
                  <a14:compatExt spid="_x0000_s9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68</xdr:row>
          <xdr:rowOff>0</xdr:rowOff>
        </xdr:from>
        <xdr:to>
          <xdr:col>10</xdr:col>
          <xdr:colOff>19050</xdr:colOff>
          <xdr:row>69</xdr:row>
          <xdr:rowOff>57150</xdr:rowOff>
        </xdr:to>
        <xdr:sp macro="" textlink="">
          <xdr:nvSpPr>
            <xdr:cNvPr id="98329" name="Drop Down 25" hidden="1">
              <a:extLst>
                <a:ext uri="{63B3BB69-23CF-44E3-9099-C40C66FF867C}">
                  <a14:compatExt spid="_x0000_s9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15</xdr:col>
      <xdr:colOff>595746</xdr:colOff>
      <xdr:row>1</xdr:row>
      <xdr:rowOff>0</xdr:rowOff>
    </xdr:from>
    <xdr:to>
      <xdr:col>44</xdr:col>
      <xdr:colOff>695325</xdr:colOff>
      <xdr:row>1</xdr:row>
      <xdr:rowOff>235528</xdr:rowOff>
    </xdr:to>
    <xdr:sp macro="" textlink="">
      <xdr:nvSpPr>
        <xdr:cNvPr id="2" name="Rectangle 45">
          <a:hlinkClick xmlns:r="http://schemas.openxmlformats.org/officeDocument/2006/relationships" r:id="rId1"/>
        </xdr:cNvPr>
        <xdr:cNvSpPr>
          <a:spLocks noChangeArrowheads="1"/>
        </xdr:cNvSpPr>
      </xdr:nvSpPr>
      <xdr:spPr bwMode="auto">
        <a:xfrm>
          <a:off x="11406621" y="171450"/>
          <a:ext cx="169025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mc:AlternateContent xmlns:mc="http://schemas.openxmlformats.org/markup-compatibility/2006">
    <mc:Choice xmlns:a14="http://schemas.microsoft.com/office/drawing/2010/main" Requires="a14">
      <xdr:twoCellAnchor editAs="oneCell">
        <xdr:from>
          <xdr:col>9</xdr:col>
          <xdr:colOff>161925</xdr:colOff>
          <xdr:row>60</xdr:row>
          <xdr:rowOff>104775</xdr:rowOff>
        </xdr:from>
        <xdr:to>
          <xdr:col>9</xdr:col>
          <xdr:colOff>361950</xdr:colOff>
          <xdr:row>61</xdr:row>
          <xdr:rowOff>152400</xdr:rowOff>
        </xdr:to>
        <xdr:sp macro="" textlink="">
          <xdr:nvSpPr>
            <xdr:cNvPr id="56321" name="Check Box 1" hidden="1">
              <a:extLst>
                <a:ext uri="{63B3BB69-23CF-44E3-9099-C40C66FF867C}">
                  <a14:compatExt spid="_x0000_s56321"/>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63</xdr:row>
          <xdr:rowOff>114300</xdr:rowOff>
        </xdr:from>
        <xdr:to>
          <xdr:col>9</xdr:col>
          <xdr:colOff>381000</xdr:colOff>
          <xdr:row>64</xdr:row>
          <xdr:rowOff>152400</xdr:rowOff>
        </xdr:to>
        <xdr:sp macro="" textlink="">
          <xdr:nvSpPr>
            <xdr:cNvPr id="56322" name="Check Box 2" hidden="1">
              <a:extLst>
                <a:ext uri="{63B3BB69-23CF-44E3-9099-C40C66FF867C}">
                  <a14:compatExt spid="_x0000_s56322"/>
                </a:ext>
              </a:extLst>
            </xdr:cNvPr>
            <xdr:cNvSpPr/>
          </xdr:nvSpPr>
          <xdr:spPr bwMode="auto">
            <a:xfrm>
              <a:off x="0" y="0"/>
              <a:ext cx="0" cy="0"/>
            </a:xfrm>
            <a:prstGeom prst="rect">
              <a:avLst/>
            </a:prstGeom>
            <a:solidFill>
              <a:srgbClr val="FFFF99" mc:Ignorable="a14" a14:legacySpreadsheetColorIndex="43"/>
            </a:solidFill>
            <a:ln w="381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6</xdr:row>
          <xdr:rowOff>57150</xdr:rowOff>
        </xdr:from>
        <xdr:to>
          <xdr:col>10</xdr:col>
          <xdr:colOff>704850</xdr:colOff>
          <xdr:row>6</xdr:row>
          <xdr:rowOff>352425</xdr:rowOff>
        </xdr:to>
        <xdr:sp macro="" textlink="">
          <xdr:nvSpPr>
            <xdr:cNvPr id="56323" name="Drop Down 3" hidden="1">
              <a:extLst>
                <a:ext uri="{63B3BB69-23CF-44E3-9099-C40C66FF867C}">
                  <a14:compatExt spid="_x0000_s56323"/>
                </a:ext>
              </a:extLst>
            </xdr:cNvPr>
            <xdr:cNvSpPr/>
          </xdr:nvSpPr>
          <xdr:spPr bwMode="auto">
            <a:xfrm>
              <a:off x="0" y="0"/>
              <a:ext cx="0" cy="0"/>
            </a:xfrm>
            <a:prstGeom prst="rect">
              <a:avLst/>
            </a:prstGeom>
            <a:noFill/>
            <a:ln>
              <a:noFill/>
            </a:ln>
            <a:extLst>
              <a:ext uri="{91240B29-F687-4F45-9708-019B960494DF}">
                <a14:hiddenLine w="12700">
                  <a:noFill/>
                  <a:miter lim="800000"/>
                  <a:headEnd/>
                  <a:tailEnd/>
                </a14:hiddenLine>
              </a:ext>
            </a:extLst>
          </xdr:spPr>
        </xdr:sp>
        <xdr:clientData/>
      </xdr:twoCellAnchor>
    </mc:Choice>
    <mc:Fallback/>
  </mc:AlternateContent>
  <xdr:oneCellAnchor>
    <xdr:from>
      <xdr:col>15</xdr:col>
      <xdr:colOff>468086</xdr:colOff>
      <xdr:row>7</xdr:row>
      <xdr:rowOff>0</xdr:rowOff>
    </xdr:from>
    <xdr:ext cx="1845623" cy="298800"/>
    <xdr:sp macro="" textlink="">
      <xdr:nvSpPr>
        <xdr:cNvPr id="9" name="Textfeld 8">
          <a:hlinkClick xmlns:r="http://schemas.openxmlformats.org/officeDocument/2006/relationships" r:id="rId2"/>
        </xdr:cNvPr>
        <xdr:cNvSpPr txBox="1"/>
      </xdr:nvSpPr>
      <xdr:spPr>
        <a:xfrm>
          <a:off x="9515104" y="1565564"/>
          <a:ext cx="1845623"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1</xdr:col>
      <xdr:colOff>86264</xdr:colOff>
      <xdr:row>136</xdr:row>
      <xdr:rowOff>0</xdr:rowOff>
    </xdr:from>
    <xdr:ext cx="6660455" cy="4075118"/>
    <xdr:pic>
      <xdr:nvPicPr>
        <xdr:cNvPr id="2" name="Grafik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364" y="17769840"/>
          <a:ext cx="6660455" cy="407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0</xdr:colOff>
      <xdr:row>9</xdr:row>
      <xdr:rowOff>0</xdr:rowOff>
    </xdr:from>
    <xdr:ext cx="1817915" cy="298800"/>
    <xdr:sp macro="" textlink="">
      <xdr:nvSpPr>
        <xdr:cNvPr id="4" name="Textfeld 3">
          <a:hlinkClick xmlns:r="http://schemas.openxmlformats.org/officeDocument/2006/relationships" r:id="rId2"/>
        </xdr:cNvPr>
        <xdr:cNvSpPr txBox="1"/>
      </xdr:nvSpPr>
      <xdr:spPr>
        <a:xfrm>
          <a:off x="9971314" y="2090057"/>
          <a:ext cx="181791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0</xdr:colOff>
      <xdr:row>1</xdr:row>
      <xdr:rowOff>91044</xdr:rowOff>
    </xdr:from>
    <xdr:to>
      <xdr:col>17</xdr:col>
      <xdr:colOff>240475</xdr:colOff>
      <xdr:row>2</xdr:row>
      <xdr:rowOff>21772</xdr:rowOff>
    </xdr:to>
    <xdr:sp macro="" textlink="">
      <xdr:nvSpPr>
        <xdr:cNvPr id="5" name="Rectangle 45">
          <a:hlinkClick xmlns:r="http://schemas.openxmlformats.org/officeDocument/2006/relationships" r:id="rId3"/>
        </xdr:cNvPr>
        <xdr:cNvSpPr>
          <a:spLocks noChangeArrowheads="1"/>
        </xdr:cNvSpPr>
      </xdr:nvSpPr>
      <xdr:spPr bwMode="auto">
        <a:xfrm>
          <a:off x="9971314" y="210787"/>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25879</xdr:colOff>
      <xdr:row>1</xdr:row>
      <xdr:rowOff>8626</xdr:rowOff>
    </xdr:from>
    <xdr:to>
      <xdr:col>17</xdr:col>
      <xdr:colOff>1647669</xdr:colOff>
      <xdr:row>2</xdr:row>
      <xdr:rowOff>42413</xdr:rowOff>
    </xdr:to>
    <xdr:sp macro="" textlink="">
      <xdr:nvSpPr>
        <xdr:cNvPr id="2" name="Rectangle 40">
          <a:hlinkClick xmlns:r="http://schemas.openxmlformats.org/officeDocument/2006/relationships" r:id="rId1"/>
        </xdr:cNvPr>
        <xdr:cNvSpPr>
          <a:spLocks noChangeArrowheads="1"/>
        </xdr:cNvSpPr>
      </xdr:nvSpPr>
      <xdr:spPr bwMode="auto">
        <a:xfrm>
          <a:off x="13627579" y="176266"/>
          <a:ext cx="775970" cy="201427"/>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1</xdr:col>
      <xdr:colOff>1</xdr:colOff>
      <xdr:row>21</xdr:row>
      <xdr:rowOff>161924</xdr:rowOff>
    </xdr:from>
    <xdr:to>
      <xdr:col>2</xdr:col>
      <xdr:colOff>2</xdr:colOff>
      <xdr:row>30</xdr:row>
      <xdr:rowOff>76199</xdr:rowOff>
    </xdr:to>
    <xdr:sp macro="" textlink="">
      <xdr:nvSpPr>
        <xdr:cNvPr id="3" name="Textfeld 2"/>
        <xdr:cNvSpPr txBox="1"/>
      </xdr:nvSpPr>
      <xdr:spPr>
        <a:xfrm rot="16200000">
          <a:off x="488634" y="3993831"/>
          <a:ext cx="1423035"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Bodenbearb.</a:t>
          </a:r>
        </a:p>
      </xdr:txBody>
    </xdr:sp>
    <xdr:clientData/>
  </xdr:twoCellAnchor>
  <xdr:twoCellAnchor>
    <xdr:from>
      <xdr:col>1</xdr:col>
      <xdr:colOff>2</xdr:colOff>
      <xdr:row>31</xdr:row>
      <xdr:rowOff>0</xdr:rowOff>
    </xdr:from>
    <xdr:to>
      <xdr:col>2</xdr:col>
      <xdr:colOff>3</xdr:colOff>
      <xdr:row>39</xdr:row>
      <xdr:rowOff>2</xdr:rowOff>
    </xdr:to>
    <xdr:sp macro="" textlink="">
      <xdr:nvSpPr>
        <xdr:cNvPr id="4" name="Textfeld 3"/>
        <xdr:cNvSpPr txBox="1"/>
      </xdr:nvSpPr>
      <xdr:spPr>
        <a:xfrm rot="16200000">
          <a:off x="529592" y="546735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Bestellung</a:t>
          </a:r>
        </a:p>
      </xdr:txBody>
    </xdr:sp>
    <xdr:clientData/>
  </xdr:twoCellAnchor>
  <xdr:twoCellAnchor>
    <xdr:from>
      <xdr:col>1</xdr:col>
      <xdr:colOff>5</xdr:colOff>
      <xdr:row>44</xdr:row>
      <xdr:rowOff>45720</xdr:rowOff>
    </xdr:from>
    <xdr:to>
      <xdr:col>2</xdr:col>
      <xdr:colOff>5</xdr:colOff>
      <xdr:row>51</xdr:row>
      <xdr:rowOff>68586</xdr:rowOff>
    </xdr:to>
    <xdr:sp macro="" textlink="">
      <xdr:nvSpPr>
        <xdr:cNvPr id="5" name="Textfeld 4"/>
        <xdr:cNvSpPr txBox="1"/>
      </xdr:nvSpPr>
      <xdr:spPr>
        <a:xfrm rot="16200000">
          <a:off x="601982" y="7620003"/>
          <a:ext cx="1196346"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Pflege</a:t>
          </a:r>
        </a:p>
      </xdr:txBody>
    </xdr:sp>
    <xdr:clientData/>
  </xdr:twoCellAnchor>
  <xdr:twoCellAnchor>
    <xdr:from>
      <xdr:col>1</xdr:col>
      <xdr:colOff>1</xdr:colOff>
      <xdr:row>39</xdr:row>
      <xdr:rowOff>0</xdr:rowOff>
    </xdr:from>
    <xdr:to>
      <xdr:col>2</xdr:col>
      <xdr:colOff>0</xdr:colOff>
      <xdr:row>44</xdr:row>
      <xdr:rowOff>53339</xdr:rowOff>
    </xdr:to>
    <xdr:sp macro="" textlink="">
      <xdr:nvSpPr>
        <xdr:cNvPr id="6" name="Textfeld 5"/>
        <xdr:cNvSpPr txBox="1"/>
      </xdr:nvSpPr>
      <xdr:spPr>
        <a:xfrm rot="16200000">
          <a:off x="754381" y="6583680"/>
          <a:ext cx="8915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Düngung </a:t>
          </a:r>
        </a:p>
      </xdr:txBody>
    </xdr:sp>
    <xdr:clientData/>
  </xdr:twoCellAnchor>
  <xdr:twoCellAnchor>
    <xdr:from>
      <xdr:col>0</xdr:col>
      <xdr:colOff>196391</xdr:colOff>
      <xdr:row>64</xdr:row>
      <xdr:rowOff>78555</xdr:rowOff>
    </xdr:from>
    <xdr:to>
      <xdr:col>2</xdr:col>
      <xdr:colOff>0</xdr:colOff>
      <xdr:row>80</xdr:row>
      <xdr:rowOff>78556</xdr:rowOff>
    </xdr:to>
    <xdr:sp macro="" textlink="">
      <xdr:nvSpPr>
        <xdr:cNvPr id="7" name="Textfeld 6"/>
        <xdr:cNvSpPr txBox="1"/>
      </xdr:nvSpPr>
      <xdr:spPr>
        <a:xfrm rot="16200000">
          <a:off x="-610465" y="12284931"/>
          <a:ext cx="3017521" cy="14038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050"/>
            <a:t>Kartoffeln</a:t>
          </a:r>
        </a:p>
      </xdr:txBody>
    </xdr:sp>
    <xdr:clientData/>
  </xdr:twoCellAnchor>
  <xdr:twoCellAnchor>
    <xdr:from>
      <xdr:col>1</xdr:col>
      <xdr:colOff>1</xdr:colOff>
      <xdr:row>52</xdr:row>
      <xdr:rowOff>0</xdr:rowOff>
    </xdr:from>
    <xdr:to>
      <xdr:col>2</xdr:col>
      <xdr:colOff>2</xdr:colOff>
      <xdr:row>53</xdr:row>
      <xdr:rowOff>2</xdr:rowOff>
    </xdr:to>
    <xdr:sp macro="" textlink="">
      <xdr:nvSpPr>
        <xdr:cNvPr id="8" name="Textfeld 7"/>
        <xdr:cNvSpPr txBox="1"/>
      </xdr:nvSpPr>
      <xdr:spPr>
        <a:xfrm rot="16200000">
          <a:off x="948691" y="856869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50"/>
            <a:t>Ernte</a:t>
          </a:r>
        </a:p>
      </xdr:txBody>
    </xdr:sp>
    <xdr:clientData/>
  </xdr:twoCellAnchor>
  <xdr:twoCellAnchor>
    <xdr:from>
      <xdr:col>1</xdr:col>
      <xdr:colOff>1</xdr:colOff>
      <xdr:row>53</xdr:row>
      <xdr:rowOff>0</xdr:rowOff>
    </xdr:from>
    <xdr:to>
      <xdr:col>2</xdr:col>
      <xdr:colOff>2</xdr:colOff>
      <xdr:row>58</xdr:row>
      <xdr:rowOff>2</xdr:rowOff>
    </xdr:to>
    <xdr:sp macro="" textlink="">
      <xdr:nvSpPr>
        <xdr:cNvPr id="9" name="Textfeld 8"/>
        <xdr:cNvSpPr txBox="1"/>
      </xdr:nvSpPr>
      <xdr:spPr>
        <a:xfrm rot="16200000">
          <a:off x="781051" y="923925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de-DE" sz="1000"/>
            <a:t>Transport</a:t>
          </a:r>
          <a:endParaRPr lang="de-DE" sz="1050"/>
        </a:p>
      </xdr:txBody>
    </xdr:sp>
    <xdr:clientData/>
  </xdr:twoCellAnchor>
  <xdr:twoCellAnchor>
    <xdr:from>
      <xdr:col>0</xdr:col>
      <xdr:colOff>196391</xdr:colOff>
      <xdr:row>58</xdr:row>
      <xdr:rowOff>0</xdr:rowOff>
    </xdr:from>
    <xdr:to>
      <xdr:col>1</xdr:col>
      <xdr:colOff>265128</xdr:colOff>
      <xdr:row>65</xdr:row>
      <xdr:rowOff>0</xdr:rowOff>
    </xdr:to>
    <xdr:sp macro="" textlink="">
      <xdr:nvSpPr>
        <xdr:cNvPr id="10" name="Textfeld 9"/>
        <xdr:cNvSpPr txBox="1"/>
      </xdr:nvSpPr>
      <xdr:spPr>
        <a:xfrm rot="16200000">
          <a:off x="-123570" y="1037836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1100"/>
            <a:t>Grünland</a:t>
          </a:r>
        </a:p>
      </xdr:txBody>
    </xdr:sp>
    <xdr:clientData/>
  </xdr:twoCellAnchor>
  <xdr:oneCellAnchor>
    <xdr:from>
      <xdr:col>15</xdr:col>
      <xdr:colOff>132444</xdr:colOff>
      <xdr:row>11</xdr:row>
      <xdr:rowOff>44450</xdr:rowOff>
    </xdr:from>
    <xdr:ext cx="1839685" cy="298800"/>
    <xdr:sp macro="" textlink="">
      <xdr:nvSpPr>
        <xdr:cNvPr id="16" name="Textfeld 15">
          <a:hlinkClick xmlns:r="http://schemas.openxmlformats.org/officeDocument/2006/relationships" r:id="rId2"/>
        </xdr:cNvPr>
        <xdr:cNvSpPr txBox="1"/>
      </xdr:nvSpPr>
      <xdr:spPr>
        <a:xfrm>
          <a:off x="8838294" y="1930400"/>
          <a:ext cx="1839685"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15</xdr:col>
      <xdr:colOff>64325</xdr:colOff>
      <xdr:row>0</xdr:row>
      <xdr:rowOff>107950</xdr:rowOff>
    </xdr:from>
    <xdr:to>
      <xdr:col>15</xdr:col>
      <xdr:colOff>1993900</xdr:colOff>
      <xdr:row>1</xdr:row>
      <xdr:rowOff>227364</xdr:rowOff>
    </xdr:to>
    <xdr:sp macro="" textlink="">
      <xdr:nvSpPr>
        <xdr:cNvPr id="17" name="Rectangle 45">
          <a:hlinkClick xmlns:r="http://schemas.openxmlformats.org/officeDocument/2006/relationships" r:id="rId3"/>
        </xdr:cNvPr>
        <xdr:cNvSpPr>
          <a:spLocks noChangeArrowheads="1"/>
        </xdr:cNvSpPr>
      </xdr:nvSpPr>
      <xdr:spPr bwMode="auto">
        <a:xfrm>
          <a:off x="8770175" y="107950"/>
          <a:ext cx="1929575" cy="24641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22</xdr:row>
      <xdr:rowOff>157112</xdr:rowOff>
    </xdr:from>
    <xdr:to>
      <xdr:col>2</xdr:col>
      <xdr:colOff>2</xdr:colOff>
      <xdr:row>30</xdr:row>
      <xdr:rowOff>0</xdr:rowOff>
    </xdr:to>
    <xdr:sp macro="" textlink="">
      <xdr:nvSpPr>
        <xdr:cNvPr id="4" name="Textfeld 3"/>
        <xdr:cNvSpPr txBox="1"/>
      </xdr:nvSpPr>
      <xdr:spPr>
        <a:xfrm rot="16200000">
          <a:off x="608148" y="4037145"/>
          <a:ext cx="1184008"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Bodenbearb.</a:t>
          </a:r>
        </a:p>
      </xdr:txBody>
    </xdr:sp>
    <xdr:clientData/>
  </xdr:twoCellAnchor>
  <xdr:twoCellAnchor>
    <xdr:from>
      <xdr:col>1</xdr:col>
      <xdr:colOff>2</xdr:colOff>
      <xdr:row>30</xdr:row>
      <xdr:rowOff>0</xdr:rowOff>
    </xdr:from>
    <xdr:to>
      <xdr:col>2</xdr:col>
      <xdr:colOff>3</xdr:colOff>
      <xdr:row>39</xdr:row>
      <xdr:rowOff>2</xdr:rowOff>
    </xdr:to>
    <xdr:sp macro="" textlink="">
      <xdr:nvSpPr>
        <xdr:cNvPr id="5" name="Textfeld 4"/>
        <xdr:cNvSpPr txBox="1"/>
      </xdr:nvSpPr>
      <xdr:spPr>
        <a:xfrm rot="16200000">
          <a:off x="529592" y="5299710"/>
          <a:ext cx="13411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Bestellung</a:t>
          </a:r>
        </a:p>
      </xdr:txBody>
    </xdr:sp>
    <xdr:clientData/>
  </xdr:twoCellAnchor>
  <xdr:twoCellAnchor>
    <xdr:from>
      <xdr:col>1</xdr:col>
      <xdr:colOff>3</xdr:colOff>
      <xdr:row>38</xdr:row>
      <xdr:rowOff>78555</xdr:rowOff>
    </xdr:from>
    <xdr:to>
      <xdr:col>2</xdr:col>
      <xdr:colOff>3</xdr:colOff>
      <xdr:row>45</xdr:row>
      <xdr:rowOff>2</xdr:rowOff>
    </xdr:to>
    <xdr:sp macro="" textlink="">
      <xdr:nvSpPr>
        <xdr:cNvPr id="6" name="Textfeld 5"/>
        <xdr:cNvSpPr txBox="1"/>
      </xdr:nvSpPr>
      <xdr:spPr>
        <a:xfrm rot="16200000">
          <a:off x="736509" y="6344829"/>
          <a:ext cx="927287" cy="80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Pflege</a:t>
          </a:r>
        </a:p>
      </xdr:txBody>
    </xdr:sp>
    <xdr:clientData/>
  </xdr:twoCellAnchor>
  <xdr:twoCellAnchor>
    <xdr:from>
      <xdr:col>1</xdr:col>
      <xdr:colOff>1</xdr:colOff>
      <xdr:row>45</xdr:row>
      <xdr:rowOff>1</xdr:rowOff>
    </xdr:from>
    <xdr:to>
      <xdr:col>2</xdr:col>
      <xdr:colOff>0</xdr:colOff>
      <xdr:row>52</xdr:row>
      <xdr:rowOff>0</xdr:rowOff>
    </xdr:to>
    <xdr:sp macro="" textlink="">
      <xdr:nvSpPr>
        <xdr:cNvPr id="7" name="Textfeld 6"/>
        <xdr:cNvSpPr txBox="1"/>
      </xdr:nvSpPr>
      <xdr:spPr>
        <a:xfrm rot="16200000">
          <a:off x="697231" y="7311391"/>
          <a:ext cx="1005839"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Düngung </a:t>
          </a:r>
        </a:p>
      </xdr:txBody>
    </xdr:sp>
    <xdr:clientData/>
  </xdr:twoCellAnchor>
  <xdr:twoCellAnchor>
    <xdr:from>
      <xdr:col>0</xdr:col>
      <xdr:colOff>204011</xdr:colOff>
      <xdr:row>69</xdr:row>
      <xdr:rowOff>78555</xdr:rowOff>
    </xdr:from>
    <xdr:to>
      <xdr:col>1</xdr:col>
      <xdr:colOff>274926</xdr:colOff>
      <xdr:row>87</xdr:row>
      <xdr:rowOff>78556</xdr:rowOff>
    </xdr:to>
    <xdr:sp macro="" textlink="">
      <xdr:nvSpPr>
        <xdr:cNvPr id="8" name="Textfeld 7"/>
        <xdr:cNvSpPr txBox="1"/>
      </xdr:nvSpPr>
      <xdr:spPr>
        <a:xfrm rot="16200000">
          <a:off x="-869242" y="12048408"/>
          <a:ext cx="3017521" cy="8710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Kartoffeln</a:t>
          </a:r>
        </a:p>
        <a:p>
          <a:endParaRPr lang="de-DE" sz="1100"/>
        </a:p>
      </xdr:txBody>
    </xdr:sp>
    <xdr:clientData/>
  </xdr:twoCellAnchor>
  <xdr:twoCellAnchor>
    <xdr:from>
      <xdr:col>1</xdr:col>
      <xdr:colOff>1</xdr:colOff>
      <xdr:row>52</xdr:row>
      <xdr:rowOff>0</xdr:rowOff>
    </xdr:from>
    <xdr:to>
      <xdr:col>2</xdr:col>
      <xdr:colOff>2</xdr:colOff>
      <xdr:row>55</xdr:row>
      <xdr:rowOff>2</xdr:rowOff>
    </xdr:to>
    <xdr:sp macro="" textlink="">
      <xdr:nvSpPr>
        <xdr:cNvPr id="9" name="Textfeld 8"/>
        <xdr:cNvSpPr txBox="1"/>
      </xdr:nvSpPr>
      <xdr:spPr>
        <a:xfrm rot="16200000">
          <a:off x="948691" y="8065770"/>
          <a:ext cx="50292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100"/>
            <a:t>Ernte</a:t>
          </a:r>
        </a:p>
        <a:p>
          <a:endParaRPr lang="de-DE" sz="1100"/>
        </a:p>
      </xdr:txBody>
    </xdr:sp>
    <xdr:clientData/>
  </xdr:twoCellAnchor>
  <xdr:twoCellAnchor>
    <xdr:from>
      <xdr:col>1</xdr:col>
      <xdr:colOff>1</xdr:colOff>
      <xdr:row>55</xdr:row>
      <xdr:rowOff>0</xdr:rowOff>
    </xdr:from>
    <xdr:to>
      <xdr:col>2</xdr:col>
      <xdr:colOff>2</xdr:colOff>
      <xdr:row>60</xdr:row>
      <xdr:rowOff>2</xdr:rowOff>
    </xdr:to>
    <xdr:sp macro="" textlink="">
      <xdr:nvSpPr>
        <xdr:cNvPr id="10" name="Textfeld 9"/>
        <xdr:cNvSpPr txBox="1"/>
      </xdr:nvSpPr>
      <xdr:spPr>
        <a:xfrm rot="16200000">
          <a:off x="781051" y="8736330"/>
          <a:ext cx="838202" cy="8001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700"/>
            </a:lnSpc>
          </a:pPr>
          <a:r>
            <a:rPr lang="de-DE" sz="1000"/>
            <a:t>Transport</a:t>
          </a:r>
          <a:endParaRPr lang="de-DE" sz="1050"/>
        </a:p>
        <a:p>
          <a:pPr>
            <a:lnSpc>
              <a:spcPts val="800"/>
            </a:lnSpc>
          </a:pPr>
          <a:endParaRPr lang="de-DE" sz="1050"/>
        </a:p>
      </xdr:txBody>
    </xdr:sp>
    <xdr:clientData/>
  </xdr:twoCellAnchor>
  <xdr:twoCellAnchor>
    <xdr:from>
      <xdr:col>1</xdr:col>
      <xdr:colOff>1</xdr:colOff>
      <xdr:row>88</xdr:row>
      <xdr:rowOff>0</xdr:rowOff>
    </xdr:from>
    <xdr:to>
      <xdr:col>2</xdr:col>
      <xdr:colOff>0</xdr:colOff>
      <xdr:row>93</xdr:row>
      <xdr:rowOff>0</xdr:rowOff>
    </xdr:to>
    <xdr:sp macro="" textlink="">
      <xdr:nvSpPr>
        <xdr:cNvPr id="11" name="Textfeld 10"/>
        <xdr:cNvSpPr txBox="1"/>
      </xdr:nvSpPr>
      <xdr:spPr>
        <a:xfrm rot="16200000">
          <a:off x="781051" y="14100810"/>
          <a:ext cx="838200" cy="8000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Hanf</a:t>
          </a:r>
        </a:p>
      </xdr:txBody>
    </xdr:sp>
    <xdr:clientData/>
  </xdr:twoCellAnchor>
  <xdr:twoCellAnchor>
    <xdr:from>
      <xdr:col>7</xdr:col>
      <xdr:colOff>342493</xdr:colOff>
      <xdr:row>104</xdr:row>
      <xdr:rowOff>32722</xdr:rowOff>
    </xdr:from>
    <xdr:to>
      <xdr:col>11</xdr:col>
      <xdr:colOff>74</xdr:colOff>
      <xdr:row>130</xdr:row>
      <xdr:rowOff>125682</xdr:rowOff>
    </xdr:to>
    <xdr:sp macro="" textlink="">
      <xdr:nvSpPr>
        <xdr:cNvPr id="12" name="Textfeld 11"/>
        <xdr:cNvSpPr txBox="1"/>
      </xdr:nvSpPr>
      <xdr:spPr>
        <a:xfrm>
          <a:off x="5943193" y="16796722"/>
          <a:ext cx="2857981" cy="4451600"/>
        </a:xfrm>
        <a:prstGeom prst="rect">
          <a:avLst/>
        </a:prstGeom>
        <a:solidFill>
          <a:sysClr val="window" lastClr="FFFFFF"/>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endParaRPr lang="de-DE" sz="1400" b="0" baseline="0">
            <a:solidFill>
              <a:schemeClr val="dk1"/>
            </a:solidFill>
            <a:effectLst/>
            <a:latin typeface="+mn-lt"/>
            <a:ea typeface="+mn-ea"/>
            <a:cs typeface="+mn-cs"/>
          </a:endParaRPr>
        </a:p>
        <a:p>
          <a:pPr marL="0" marR="0" indent="0" defTabSz="914400" eaLnBrk="1" fontAlgn="auto" latinLnBrk="0" hangingPunct="1">
            <a:lnSpc>
              <a:spcPts val="1300"/>
            </a:lnSpc>
            <a:spcBef>
              <a:spcPts val="0"/>
            </a:spcBef>
            <a:spcAft>
              <a:spcPts val="0"/>
            </a:spcAft>
            <a:buClrTx/>
            <a:buSzTx/>
            <a:buFontTx/>
            <a:buNone/>
            <a:tabLst/>
            <a:defRPr/>
          </a:pPr>
          <a:r>
            <a:rPr lang="de-DE" sz="1200" b="0" baseline="0">
              <a:solidFill>
                <a:schemeClr val="dk1"/>
              </a:solidFill>
              <a:effectLst/>
              <a:latin typeface="+mn-lt"/>
              <a:ea typeface="+mn-ea"/>
              <a:cs typeface="+mn-cs"/>
            </a:rPr>
            <a:t>Anhand dieser Tabellen soll d</a:t>
          </a:r>
          <a:r>
            <a:rPr lang="de-DE" sz="1200" b="0">
              <a:solidFill>
                <a:schemeClr val="dk1"/>
              </a:solidFill>
              <a:effectLst/>
              <a:latin typeface="+mn-lt"/>
              <a:ea typeface="+mn-ea"/>
              <a:cs typeface="+mn-cs"/>
            </a:rPr>
            <a:t>ie Kalkulation</a:t>
          </a:r>
          <a:r>
            <a:rPr lang="de-DE" sz="1200" b="0" baseline="0">
              <a:solidFill>
                <a:schemeClr val="dk1"/>
              </a:solidFill>
              <a:effectLst/>
              <a:latin typeface="+mn-lt"/>
              <a:ea typeface="+mn-ea"/>
              <a:cs typeface="+mn-cs"/>
            </a:rPr>
            <a:t> der </a:t>
          </a:r>
          <a:r>
            <a:rPr lang="de-DE" sz="1200" b="1" baseline="0">
              <a:solidFill>
                <a:schemeClr val="dk1"/>
              </a:solidFill>
              <a:effectLst/>
              <a:latin typeface="+mn-lt"/>
              <a:ea typeface="+mn-ea"/>
              <a:cs typeface="+mn-cs"/>
            </a:rPr>
            <a:t>Handarbeitswerte </a:t>
          </a:r>
          <a:r>
            <a:rPr lang="de-DE" sz="1200" b="0" baseline="0">
              <a:solidFill>
                <a:schemeClr val="dk1"/>
              </a:solidFill>
              <a:effectLst/>
              <a:latin typeface="+mn-lt"/>
              <a:ea typeface="+mn-ea"/>
              <a:cs typeface="+mn-cs"/>
            </a:rPr>
            <a:t>erleichtert werden. Die ermittelten Werte der einzelnen Arbeitsgänge werden dann </a:t>
          </a:r>
          <a:r>
            <a:rPr lang="de-DE" sz="1200" b="1" baseline="0">
              <a:solidFill>
                <a:schemeClr val="dk1"/>
              </a:solidFill>
              <a:effectLst/>
              <a:latin typeface="+mn-lt"/>
              <a:ea typeface="+mn-ea"/>
              <a:cs typeface="+mn-cs"/>
            </a:rPr>
            <a:t>automatisch als ein Gesamtwert in die Tabelle Arbeitgänge übermittelt </a:t>
          </a:r>
          <a:r>
            <a:rPr lang="de-DE" sz="1200" b="0" baseline="0">
              <a:solidFill>
                <a:schemeClr val="dk1"/>
              </a:solidFill>
              <a:effectLst/>
              <a:latin typeface="+mn-lt"/>
              <a:ea typeface="+mn-ea"/>
              <a:cs typeface="+mn-cs"/>
            </a:rPr>
            <a:t>und können von dort für die Berechnungsblätter ausgewählt werden.</a:t>
          </a:r>
          <a:endParaRPr lang="de-DE" sz="1200" b="0">
            <a:effectLst/>
          </a:endParaRPr>
        </a:p>
        <a:p>
          <a:pPr>
            <a:lnSpc>
              <a:spcPts val="1100"/>
            </a:lnSpc>
          </a:pPr>
          <a:endParaRPr lang="de-DE" sz="1200" b="1">
            <a:solidFill>
              <a:srgbClr val="FF0000"/>
            </a:solidFill>
          </a:endParaRPr>
        </a:p>
      </xdr:txBody>
    </xdr:sp>
    <xdr:clientData/>
  </xdr:twoCellAnchor>
  <xdr:twoCellAnchor>
    <xdr:from>
      <xdr:col>0</xdr:col>
      <xdr:colOff>204011</xdr:colOff>
      <xdr:row>60</xdr:row>
      <xdr:rowOff>0</xdr:rowOff>
    </xdr:from>
    <xdr:to>
      <xdr:col>1</xdr:col>
      <xdr:colOff>272748</xdr:colOff>
      <xdr:row>70</xdr:row>
      <xdr:rowOff>0</xdr:rowOff>
    </xdr:to>
    <xdr:sp macro="" textlink="">
      <xdr:nvSpPr>
        <xdr:cNvPr id="13" name="Textfeld 12"/>
        <xdr:cNvSpPr txBox="1"/>
      </xdr:nvSpPr>
      <xdr:spPr>
        <a:xfrm rot="16200000">
          <a:off x="-115950" y="9875441"/>
          <a:ext cx="1508760" cy="868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100"/>
            <a:t>Grünland</a:t>
          </a:r>
        </a:p>
        <a:p>
          <a:endParaRPr lang="de-DE" sz="1100"/>
        </a:p>
      </xdr:txBody>
    </xdr:sp>
    <xdr:clientData/>
  </xdr:twoCellAnchor>
  <xdr:twoCellAnchor>
    <xdr:from>
      <xdr:col>0</xdr:col>
      <xdr:colOff>204010</xdr:colOff>
      <xdr:row>93</xdr:row>
      <xdr:rowOff>1</xdr:rowOff>
    </xdr:from>
    <xdr:to>
      <xdr:col>1</xdr:col>
      <xdr:colOff>274926</xdr:colOff>
      <xdr:row>100</xdr:row>
      <xdr:rowOff>0</xdr:rowOff>
    </xdr:to>
    <xdr:sp macro="" textlink="">
      <xdr:nvSpPr>
        <xdr:cNvPr id="14" name="Textfeld 13"/>
        <xdr:cNvSpPr txBox="1"/>
      </xdr:nvSpPr>
      <xdr:spPr>
        <a:xfrm rot="16200000">
          <a:off x="52778" y="15071193"/>
          <a:ext cx="1173479" cy="8710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de-DE" sz="1000"/>
            <a:t>Hand</a:t>
          </a:r>
          <a:r>
            <a:rPr lang="de-DE" sz="1000" baseline="0"/>
            <a:t> Akh</a:t>
          </a:r>
          <a:endParaRPr lang="de-DE" sz="1000"/>
        </a:p>
      </xdr:txBody>
    </xdr:sp>
    <xdr:clientData/>
  </xdr:twoCellAnchor>
  <xdr:twoCellAnchor>
    <xdr:from>
      <xdr:col>15</xdr:col>
      <xdr:colOff>162296</xdr:colOff>
      <xdr:row>1</xdr:row>
      <xdr:rowOff>0</xdr:rowOff>
    </xdr:from>
    <xdr:to>
      <xdr:col>22</xdr:col>
      <xdr:colOff>0</xdr:colOff>
      <xdr:row>2</xdr:row>
      <xdr:rowOff>17813</xdr:rowOff>
    </xdr:to>
    <xdr:sp macro="" textlink="">
      <xdr:nvSpPr>
        <xdr:cNvPr id="16" name="Rectangle 45">
          <a:hlinkClick xmlns:r="http://schemas.openxmlformats.org/officeDocument/2006/relationships" r:id="rId1"/>
        </xdr:cNvPr>
        <xdr:cNvSpPr>
          <a:spLocks noChangeArrowheads="1"/>
        </xdr:cNvSpPr>
      </xdr:nvSpPr>
      <xdr:spPr bwMode="auto">
        <a:xfrm>
          <a:off x="8315696" y="29391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217714</xdr:colOff>
      <xdr:row>8</xdr:row>
      <xdr:rowOff>15075</xdr:rowOff>
    </xdr:from>
    <xdr:ext cx="1839686" cy="298800"/>
    <xdr:sp macro="" textlink="">
      <xdr:nvSpPr>
        <xdr:cNvPr id="17" name="Textfeld 16">
          <a:hlinkClick xmlns:r="http://schemas.openxmlformats.org/officeDocument/2006/relationships" r:id="rId2"/>
        </xdr:cNvPr>
        <xdr:cNvSpPr txBox="1"/>
      </xdr:nvSpPr>
      <xdr:spPr>
        <a:xfrm>
          <a:off x="8371114" y="1767675"/>
          <a:ext cx="1839686"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17</xdr:col>
      <xdr:colOff>0</xdr:colOff>
      <xdr:row>4</xdr:row>
      <xdr:rowOff>158400</xdr:rowOff>
    </xdr:from>
    <xdr:ext cx="1817914" cy="298800"/>
    <xdr:sp macro="" textlink="">
      <xdr:nvSpPr>
        <xdr:cNvPr id="3" name="Textfeld 2">
          <a:hlinkClick xmlns:r="http://schemas.openxmlformats.org/officeDocument/2006/relationships" r:id="rId1"/>
        </xdr:cNvPr>
        <xdr:cNvSpPr txBox="1"/>
      </xdr:nvSpPr>
      <xdr:spPr>
        <a:xfrm>
          <a:off x="7903029" y="1018371"/>
          <a:ext cx="1817914"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17</xdr:col>
      <xdr:colOff>0</xdr:colOff>
      <xdr:row>1</xdr:row>
      <xdr:rowOff>27708</xdr:rowOff>
    </xdr:from>
    <xdr:to>
      <xdr:col>25</xdr:col>
      <xdr:colOff>135577</xdr:colOff>
      <xdr:row>2</xdr:row>
      <xdr:rowOff>0</xdr:rowOff>
    </xdr:to>
    <xdr:sp macro="" textlink="">
      <xdr:nvSpPr>
        <xdr:cNvPr id="4" name="Rectangle 45">
          <a:hlinkClick xmlns:r="http://schemas.openxmlformats.org/officeDocument/2006/relationships" r:id="rId2"/>
        </xdr:cNvPr>
        <xdr:cNvSpPr>
          <a:spLocks noChangeArrowheads="1"/>
        </xdr:cNvSpPr>
      </xdr:nvSpPr>
      <xdr:spPr bwMode="auto">
        <a:xfrm>
          <a:off x="7924800" y="193963"/>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xdr:col>
      <xdr:colOff>353683</xdr:colOff>
      <xdr:row>14</xdr:row>
      <xdr:rowOff>0</xdr:rowOff>
    </xdr:from>
    <xdr:to>
      <xdr:col>13</xdr:col>
      <xdr:colOff>388189</xdr:colOff>
      <xdr:row>14</xdr:row>
      <xdr:rowOff>0</xdr:rowOff>
    </xdr:to>
    <xdr:sp macro="" textlink="">
      <xdr:nvSpPr>
        <xdr:cNvPr id="2" name="Line 1"/>
        <xdr:cNvSpPr>
          <a:spLocks noChangeShapeType="1"/>
        </xdr:cNvSpPr>
      </xdr:nvSpPr>
      <xdr:spPr bwMode="auto">
        <a:xfrm>
          <a:off x="2753983" y="2346960"/>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13</xdr:row>
      <xdr:rowOff>0</xdr:rowOff>
    </xdr:from>
    <xdr:to>
      <xdr:col>5</xdr:col>
      <xdr:colOff>353683</xdr:colOff>
      <xdr:row>14</xdr:row>
      <xdr:rowOff>0</xdr:rowOff>
    </xdr:to>
    <xdr:sp macro="" textlink="">
      <xdr:nvSpPr>
        <xdr:cNvPr id="3" name="Line 2"/>
        <xdr:cNvSpPr>
          <a:spLocks noChangeShapeType="1"/>
        </xdr:cNvSpPr>
      </xdr:nvSpPr>
      <xdr:spPr bwMode="auto">
        <a:xfrm flipV="1">
          <a:off x="4354183"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12</xdr:row>
      <xdr:rowOff>181155</xdr:rowOff>
    </xdr:from>
    <xdr:to>
      <xdr:col>3</xdr:col>
      <xdr:colOff>345057</xdr:colOff>
      <xdr:row>14</xdr:row>
      <xdr:rowOff>0</xdr:rowOff>
    </xdr:to>
    <xdr:sp macro="" textlink="">
      <xdr:nvSpPr>
        <xdr:cNvPr id="4" name="Line 3"/>
        <xdr:cNvSpPr>
          <a:spLocks noChangeShapeType="1"/>
        </xdr:cNvSpPr>
      </xdr:nvSpPr>
      <xdr:spPr bwMode="auto">
        <a:xfrm flipV="1">
          <a:off x="2745357"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13</xdr:row>
      <xdr:rowOff>8626</xdr:rowOff>
    </xdr:from>
    <xdr:to>
      <xdr:col>7</xdr:col>
      <xdr:colOff>345057</xdr:colOff>
      <xdr:row>14</xdr:row>
      <xdr:rowOff>0</xdr:rowOff>
    </xdr:to>
    <xdr:sp macro="" textlink="">
      <xdr:nvSpPr>
        <xdr:cNvPr id="5" name="Line 4"/>
        <xdr:cNvSpPr>
          <a:spLocks noChangeShapeType="1"/>
        </xdr:cNvSpPr>
      </xdr:nvSpPr>
      <xdr:spPr bwMode="auto">
        <a:xfrm flipV="1">
          <a:off x="5945757" y="2187946"/>
          <a:ext cx="0" cy="15901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13</xdr:row>
      <xdr:rowOff>0</xdr:rowOff>
    </xdr:from>
    <xdr:to>
      <xdr:col>9</xdr:col>
      <xdr:colOff>362309</xdr:colOff>
      <xdr:row>14</xdr:row>
      <xdr:rowOff>8626</xdr:rowOff>
    </xdr:to>
    <xdr:sp macro="" textlink="">
      <xdr:nvSpPr>
        <xdr:cNvPr id="6" name="Line 5"/>
        <xdr:cNvSpPr>
          <a:spLocks noChangeShapeType="1"/>
        </xdr:cNvSpPr>
      </xdr:nvSpPr>
      <xdr:spPr bwMode="auto">
        <a:xfrm flipV="1">
          <a:off x="7563209" y="2179320"/>
          <a:ext cx="0" cy="17626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12</xdr:row>
      <xdr:rowOff>181155</xdr:rowOff>
    </xdr:from>
    <xdr:to>
      <xdr:col>11</xdr:col>
      <xdr:colOff>353683</xdr:colOff>
      <xdr:row>14</xdr:row>
      <xdr:rowOff>0</xdr:rowOff>
    </xdr:to>
    <xdr:sp macro="" textlink="">
      <xdr:nvSpPr>
        <xdr:cNvPr id="7" name="Line 6"/>
        <xdr:cNvSpPr>
          <a:spLocks noChangeShapeType="1"/>
        </xdr:cNvSpPr>
      </xdr:nvSpPr>
      <xdr:spPr bwMode="auto">
        <a:xfrm flipV="1">
          <a:off x="9154783" y="2177595"/>
          <a:ext cx="0" cy="16936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327804</xdr:colOff>
      <xdr:row>13</xdr:row>
      <xdr:rowOff>0</xdr:rowOff>
    </xdr:from>
    <xdr:to>
      <xdr:col>13</xdr:col>
      <xdr:colOff>327804</xdr:colOff>
      <xdr:row>14</xdr:row>
      <xdr:rowOff>0</xdr:rowOff>
    </xdr:to>
    <xdr:sp macro="" textlink="">
      <xdr:nvSpPr>
        <xdr:cNvPr id="8" name="Line 7"/>
        <xdr:cNvSpPr>
          <a:spLocks noChangeShapeType="1"/>
        </xdr:cNvSpPr>
      </xdr:nvSpPr>
      <xdr:spPr bwMode="auto">
        <a:xfrm flipV="1">
          <a:off x="10729104"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181155</xdr:colOff>
      <xdr:row>14</xdr:row>
      <xdr:rowOff>0</xdr:rowOff>
    </xdr:from>
    <xdr:to>
      <xdr:col>8</xdr:col>
      <xdr:colOff>181155</xdr:colOff>
      <xdr:row>16</xdr:row>
      <xdr:rowOff>77638</xdr:rowOff>
    </xdr:to>
    <xdr:sp macro="" textlink="">
      <xdr:nvSpPr>
        <xdr:cNvPr id="9" name="Line 8"/>
        <xdr:cNvSpPr>
          <a:spLocks noChangeShapeType="1"/>
        </xdr:cNvSpPr>
      </xdr:nvSpPr>
      <xdr:spPr bwMode="auto">
        <a:xfrm>
          <a:off x="6581955" y="2346960"/>
          <a:ext cx="0" cy="4129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14</xdr:row>
      <xdr:rowOff>0</xdr:rowOff>
    </xdr:from>
    <xdr:to>
      <xdr:col>15</xdr:col>
      <xdr:colOff>362309</xdr:colOff>
      <xdr:row>14</xdr:row>
      <xdr:rowOff>0</xdr:rowOff>
    </xdr:to>
    <xdr:sp macro="" textlink="">
      <xdr:nvSpPr>
        <xdr:cNvPr id="10" name="Line 9"/>
        <xdr:cNvSpPr>
          <a:spLocks noChangeShapeType="1"/>
        </xdr:cNvSpPr>
      </xdr:nvSpPr>
      <xdr:spPr bwMode="auto">
        <a:xfrm>
          <a:off x="2753983" y="2346960"/>
          <a:ext cx="960982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370936</xdr:colOff>
      <xdr:row>16</xdr:row>
      <xdr:rowOff>77638</xdr:rowOff>
    </xdr:from>
    <xdr:to>
      <xdr:col>13</xdr:col>
      <xdr:colOff>388189</xdr:colOff>
      <xdr:row>16</xdr:row>
      <xdr:rowOff>77638</xdr:rowOff>
    </xdr:to>
    <xdr:sp macro="" textlink="">
      <xdr:nvSpPr>
        <xdr:cNvPr id="11" name="Line 10"/>
        <xdr:cNvSpPr>
          <a:spLocks noChangeShapeType="1"/>
        </xdr:cNvSpPr>
      </xdr:nvSpPr>
      <xdr:spPr bwMode="auto">
        <a:xfrm>
          <a:off x="2771236" y="2759878"/>
          <a:ext cx="801825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16</xdr:row>
      <xdr:rowOff>77638</xdr:rowOff>
    </xdr:from>
    <xdr:to>
      <xdr:col>13</xdr:col>
      <xdr:colOff>388189</xdr:colOff>
      <xdr:row>16</xdr:row>
      <xdr:rowOff>181155</xdr:rowOff>
    </xdr:to>
    <xdr:sp macro="" textlink="">
      <xdr:nvSpPr>
        <xdr:cNvPr id="12" name="Line 11"/>
        <xdr:cNvSpPr>
          <a:spLocks noChangeShapeType="1"/>
        </xdr:cNvSpPr>
      </xdr:nvSpPr>
      <xdr:spPr bwMode="auto">
        <a:xfrm>
          <a:off x="1078948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362309</xdr:colOff>
      <xdr:row>16</xdr:row>
      <xdr:rowOff>86264</xdr:rowOff>
    </xdr:from>
    <xdr:to>
      <xdr:col>11</xdr:col>
      <xdr:colOff>362309</xdr:colOff>
      <xdr:row>16</xdr:row>
      <xdr:rowOff>181155</xdr:rowOff>
    </xdr:to>
    <xdr:sp macro="" textlink="">
      <xdr:nvSpPr>
        <xdr:cNvPr id="13" name="Line 12"/>
        <xdr:cNvSpPr>
          <a:spLocks noChangeShapeType="1"/>
        </xdr:cNvSpPr>
      </xdr:nvSpPr>
      <xdr:spPr bwMode="auto">
        <a:xfrm>
          <a:off x="9163409" y="2768504"/>
          <a:ext cx="0" cy="7965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362309</xdr:colOff>
      <xdr:row>16</xdr:row>
      <xdr:rowOff>77638</xdr:rowOff>
    </xdr:from>
    <xdr:to>
      <xdr:col>9</xdr:col>
      <xdr:colOff>362309</xdr:colOff>
      <xdr:row>16</xdr:row>
      <xdr:rowOff>181155</xdr:rowOff>
    </xdr:to>
    <xdr:sp macro="" textlink="">
      <xdr:nvSpPr>
        <xdr:cNvPr id="14" name="Line 13"/>
        <xdr:cNvSpPr>
          <a:spLocks noChangeShapeType="1"/>
        </xdr:cNvSpPr>
      </xdr:nvSpPr>
      <xdr:spPr bwMode="auto">
        <a:xfrm>
          <a:off x="7563209" y="2759878"/>
          <a:ext cx="0" cy="882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353683</xdr:colOff>
      <xdr:row>16</xdr:row>
      <xdr:rowOff>77638</xdr:rowOff>
    </xdr:from>
    <xdr:to>
      <xdr:col>7</xdr:col>
      <xdr:colOff>353683</xdr:colOff>
      <xdr:row>17</xdr:row>
      <xdr:rowOff>0</xdr:rowOff>
    </xdr:to>
    <xdr:sp macro="" textlink="">
      <xdr:nvSpPr>
        <xdr:cNvPr id="15" name="Line 14"/>
        <xdr:cNvSpPr>
          <a:spLocks noChangeShapeType="1"/>
        </xdr:cNvSpPr>
      </xdr:nvSpPr>
      <xdr:spPr bwMode="auto">
        <a:xfrm>
          <a:off x="59543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353683</xdr:colOff>
      <xdr:row>16</xdr:row>
      <xdr:rowOff>77638</xdr:rowOff>
    </xdr:from>
    <xdr:to>
      <xdr:col>5</xdr:col>
      <xdr:colOff>353683</xdr:colOff>
      <xdr:row>17</xdr:row>
      <xdr:rowOff>0</xdr:rowOff>
    </xdr:to>
    <xdr:sp macro="" textlink="">
      <xdr:nvSpPr>
        <xdr:cNvPr id="16" name="Line 15"/>
        <xdr:cNvSpPr>
          <a:spLocks noChangeShapeType="1"/>
        </xdr:cNvSpPr>
      </xdr:nvSpPr>
      <xdr:spPr bwMode="auto">
        <a:xfrm>
          <a:off x="43541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16</xdr:row>
      <xdr:rowOff>77638</xdr:rowOff>
    </xdr:from>
    <xdr:to>
      <xdr:col>3</xdr:col>
      <xdr:colOff>353683</xdr:colOff>
      <xdr:row>17</xdr:row>
      <xdr:rowOff>0</xdr:rowOff>
    </xdr:to>
    <xdr:sp macro="" textlink="">
      <xdr:nvSpPr>
        <xdr:cNvPr id="17" name="Line 16"/>
        <xdr:cNvSpPr>
          <a:spLocks noChangeShapeType="1"/>
        </xdr:cNvSpPr>
      </xdr:nvSpPr>
      <xdr:spPr bwMode="auto">
        <a:xfrm>
          <a:off x="2753983" y="2759878"/>
          <a:ext cx="0" cy="9000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94891</xdr:rowOff>
    </xdr:from>
    <xdr:to>
      <xdr:col>13</xdr:col>
      <xdr:colOff>388189</xdr:colOff>
      <xdr:row>21</xdr:row>
      <xdr:rowOff>94891</xdr:rowOff>
    </xdr:to>
    <xdr:sp macro="" textlink="">
      <xdr:nvSpPr>
        <xdr:cNvPr id="18" name="Line 17"/>
        <xdr:cNvSpPr>
          <a:spLocks noChangeShapeType="1"/>
        </xdr:cNvSpPr>
      </xdr:nvSpPr>
      <xdr:spPr bwMode="auto">
        <a:xfrm>
          <a:off x="2753983" y="3615331"/>
          <a:ext cx="803550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388189</xdr:colOff>
      <xdr:row>21</xdr:row>
      <xdr:rowOff>0</xdr:rowOff>
    </xdr:from>
    <xdr:to>
      <xdr:col>13</xdr:col>
      <xdr:colOff>388189</xdr:colOff>
      <xdr:row>21</xdr:row>
      <xdr:rowOff>103517</xdr:rowOff>
    </xdr:to>
    <xdr:sp macro="" textlink="">
      <xdr:nvSpPr>
        <xdr:cNvPr id="19" name="Line 18"/>
        <xdr:cNvSpPr>
          <a:spLocks noChangeShapeType="1"/>
        </xdr:cNvSpPr>
      </xdr:nvSpPr>
      <xdr:spPr bwMode="auto">
        <a:xfrm flipV="1">
          <a:off x="10789489" y="3520440"/>
          <a:ext cx="0" cy="1035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353683</xdr:colOff>
      <xdr:row>21</xdr:row>
      <xdr:rowOff>0</xdr:rowOff>
    </xdr:from>
    <xdr:to>
      <xdr:col>11</xdr:col>
      <xdr:colOff>353683</xdr:colOff>
      <xdr:row>21</xdr:row>
      <xdr:rowOff>94891</xdr:rowOff>
    </xdr:to>
    <xdr:sp macro="" textlink="">
      <xdr:nvSpPr>
        <xdr:cNvPr id="20" name="Line 19"/>
        <xdr:cNvSpPr>
          <a:spLocks noChangeShapeType="1"/>
        </xdr:cNvSpPr>
      </xdr:nvSpPr>
      <xdr:spPr bwMode="auto">
        <a:xfrm flipV="1">
          <a:off x="91547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20</xdr:row>
      <xdr:rowOff>181155</xdr:rowOff>
    </xdr:from>
    <xdr:to>
      <xdr:col>9</xdr:col>
      <xdr:colOff>345057</xdr:colOff>
      <xdr:row>21</xdr:row>
      <xdr:rowOff>94891</xdr:rowOff>
    </xdr:to>
    <xdr:sp macro="" textlink="">
      <xdr:nvSpPr>
        <xdr:cNvPr id="21" name="Line 20"/>
        <xdr:cNvSpPr>
          <a:spLocks noChangeShapeType="1"/>
        </xdr:cNvSpPr>
      </xdr:nvSpPr>
      <xdr:spPr bwMode="auto">
        <a:xfrm flipV="1">
          <a:off x="7545957" y="3518715"/>
          <a:ext cx="0" cy="9661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345057</xdr:colOff>
      <xdr:row>21</xdr:row>
      <xdr:rowOff>0</xdr:rowOff>
    </xdr:from>
    <xdr:to>
      <xdr:col>7</xdr:col>
      <xdr:colOff>345057</xdr:colOff>
      <xdr:row>21</xdr:row>
      <xdr:rowOff>94891</xdr:rowOff>
    </xdr:to>
    <xdr:sp macro="" textlink="">
      <xdr:nvSpPr>
        <xdr:cNvPr id="22" name="Line 21"/>
        <xdr:cNvSpPr>
          <a:spLocks noChangeShapeType="1"/>
        </xdr:cNvSpPr>
      </xdr:nvSpPr>
      <xdr:spPr bwMode="auto">
        <a:xfrm flipV="1">
          <a:off x="5945757"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21</xdr:row>
      <xdr:rowOff>0</xdr:rowOff>
    </xdr:from>
    <xdr:to>
      <xdr:col>3</xdr:col>
      <xdr:colOff>353683</xdr:colOff>
      <xdr:row>21</xdr:row>
      <xdr:rowOff>94891</xdr:rowOff>
    </xdr:to>
    <xdr:sp macro="" textlink="">
      <xdr:nvSpPr>
        <xdr:cNvPr id="23" name="Line 22"/>
        <xdr:cNvSpPr>
          <a:spLocks noChangeShapeType="1"/>
        </xdr:cNvSpPr>
      </xdr:nvSpPr>
      <xdr:spPr bwMode="auto">
        <a:xfrm flipV="1">
          <a:off x="2753983" y="3520440"/>
          <a:ext cx="0" cy="9489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353683</xdr:colOff>
      <xdr:row>24</xdr:row>
      <xdr:rowOff>69011</xdr:rowOff>
    </xdr:from>
    <xdr:to>
      <xdr:col>9</xdr:col>
      <xdr:colOff>345057</xdr:colOff>
      <xdr:row>24</xdr:row>
      <xdr:rowOff>69011</xdr:rowOff>
    </xdr:to>
    <xdr:sp macro="" textlink="">
      <xdr:nvSpPr>
        <xdr:cNvPr id="24" name="Line 23"/>
        <xdr:cNvSpPr>
          <a:spLocks noChangeShapeType="1"/>
        </xdr:cNvSpPr>
      </xdr:nvSpPr>
      <xdr:spPr bwMode="auto">
        <a:xfrm>
          <a:off x="821769" y="7558382"/>
          <a:ext cx="302848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345057</xdr:colOff>
      <xdr:row>24</xdr:row>
      <xdr:rowOff>69011</xdr:rowOff>
    </xdr:from>
    <xdr:to>
      <xdr:col>3</xdr:col>
      <xdr:colOff>345057</xdr:colOff>
      <xdr:row>25</xdr:row>
      <xdr:rowOff>0</xdr:rowOff>
    </xdr:to>
    <xdr:sp macro="" textlink="">
      <xdr:nvSpPr>
        <xdr:cNvPr id="25" name="Line 24"/>
        <xdr:cNvSpPr>
          <a:spLocks noChangeShapeType="1"/>
        </xdr:cNvSpPr>
      </xdr:nvSpPr>
      <xdr:spPr bwMode="auto">
        <a:xfrm>
          <a:off x="27453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345057</xdr:colOff>
      <xdr:row>21</xdr:row>
      <xdr:rowOff>0</xdr:rowOff>
    </xdr:from>
    <xdr:to>
      <xdr:col>5</xdr:col>
      <xdr:colOff>345057</xdr:colOff>
      <xdr:row>24</xdr:row>
      <xdr:rowOff>181155</xdr:rowOff>
    </xdr:to>
    <xdr:sp macro="" textlink="">
      <xdr:nvSpPr>
        <xdr:cNvPr id="30" name="Line 29"/>
        <xdr:cNvSpPr>
          <a:spLocks noChangeShapeType="1"/>
        </xdr:cNvSpPr>
      </xdr:nvSpPr>
      <xdr:spPr bwMode="auto">
        <a:xfrm>
          <a:off x="4345557" y="3520440"/>
          <a:ext cx="0" cy="668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362309</xdr:colOff>
      <xdr:row>24</xdr:row>
      <xdr:rowOff>69011</xdr:rowOff>
    </xdr:from>
    <xdr:to>
      <xdr:col>7</xdr:col>
      <xdr:colOff>362309</xdr:colOff>
      <xdr:row>25</xdr:row>
      <xdr:rowOff>0</xdr:rowOff>
    </xdr:to>
    <xdr:sp macro="" textlink="">
      <xdr:nvSpPr>
        <xdr:cNvPr id="31" name="Line 30"/>
        <xdr:cNvSpPr>
          <a:spLocks noChangeShapeType="1"/>
        </xdr:cNvSpPr>
      </xdr:nvSpPr>
      <xdr:spPr bwMode="auto">
        <a:xfrm>
          <a:off x="5963009"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362309</xdr:colOff>
      <xdr:row>13</xdr:row>
      <xdr:rowOff>0</xdr:rowOff>
    </xdr:from>
    <xdr:to>
      <xdr:col>15</xdr:col>
      <xdr:colOff>362309</xdr:colOff>
      <xdr:row>14</xdr:row>
      <xdr:rowOff>0</xdr:rowOff>
    </xdr:to>
    <xdr:sp macro="" textlink="">
      <xdr:nvSpPr>
        <xdr:cNvPr id="32" name="Line 34"/>
        <xdr:cNvSpPr>
          <a:spLocks noChangeShapeType="1"/>
        </xdr:cNvSpPr>
      </xdr:nvSpPr>
      <xdr:spPr bwMode="auto">
        <a:xfrm flipV="1">
          <a:off x="12363809" y="2179320"/>
          <a:ext cx="0" cy="1676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345057</xdr:colOff>
      <xdr:row>24</xdr:row>
      <xdr:rowOff>69011</xdr:rowOff>
    </xdr:from>
    <xdr:to>
      <xdr:col>9</xdr:col>
      <xdr:colOff>345057</xdr:colOff>
      <xdr:row>25</xdr:row>
      <xdr:rowOff>0</xdr:rowOff>
    </xdr:to>
    <xdr:sp macro="" textlink="">
      <xdr:nvSpPr>
        <xdr:cNvPr id="36" name="Line 30"/>
        <xdr:cNvSpPr>
          <a:spLocks noChangeShapeType="1"/>
        </xdr:cNvSpPr>
      </xdr:nvSpPr>
      <xdr:spPr bwMode="auto">
        <a:xfrm>
          <a:off x="7545957" y="4092371"/>
          <a:ext cx="0" cy="986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2</xdr:col>
      <xdr:colOff>16577</xdr:colOff>
      <xdr:row>32</xdr:row>
      <xdr:rowOff>920827</xdr:rowOff>
    </xdr:from>
    <xdr:ext cx="1518249" cy="276045"/>
    <xdr:pic>
      <xdr:nvPicPr>
        <xdr:cNvPr id="37" name="Grafik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942" y="11445392"/>
          <a:ext cx="1518249" cy="276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25879</xdr:colOff>
      <xdr:row>43</xdr:row>
      <xdr:rowOff>103517</xdr:rowOff>
    </xdr:from>
    <xdr:ext cx="5748068" cy="1052423"/>
    <xdr:pic>
      <xdr:nvPicPr>
        <xdr:cNvPr id="38" name="Grafik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6079" y="8820797"/>
          <a:ext cx="5748068" cy="1052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759740</xdr:colOff>
      <xdr:row>1</xdr:row>
      <xdr:rowOff>70757</xdr:rowOff>
    </xdr:from>
    <xdr:to>
      <xdr:col>19</xdr:col>
      <xdr:colOff>0</xdr:colOff>
      <xdr:row>2</xdr:row>
      <xdr:rowOff>0</xdr:rowOff>
    </xdr:to>
    <xdr:sp macro="" textlink="">
      <xdr:nvSpPr>
        <xdr:cNvPr id="34" name="Rectangle 40">
          <a:hlinkClick xmlns:r="http://schemas.openxmlformats.org/officeDocument/2006/relationships" r:id="rId3"/>
        </xdr:cNvPr>
        <xdr:cNvSpPr>
          <a:spLocks noChangeArrowheads="1"/>
        </xdr:cNvSpPr>
      </xdr:nvSpPr>
      <xdr:spPr bwMode="auto">
        <a:xfrm>
          <a:off x="7868111" y="1578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21</xdr:col>
      <xdr:colOff>778824</xdr:colOff>
      <xdr:row>1</xdr:row>
      <xdr:rowOff>0</xdr:rowOff>
    </xdr:from>
    <xdr:to>
      <xdr:col>29</xdr:col>
      <xdr:colOff>0</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8024751" y="290945"/>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21</xdr:col>
      <xdr:colOff>747157</xdr:colOff>
      <xdr:row>4</xdr:row>
      <xdr:rowOff>158400</xdr:rowOff>
    </xdr:from>
    <xdr:ext cx="1778329" cy="298800"/>
    <xdr:sp macro="" textlink="">
      <xdr:nvSpPr>
        <xdr:cNvPr id="5" name="Textfeld 4">
          <a:hlinkClick xmlns:r="http://schemas.openxmlformats.org/officeDocument/2006/relationships" r:id="rId2"/>
        </xdr:cNvPr>
        <xdr:cNvSpPr txBox="1"/>
      </xdr:nvSpPr>
      <xdr:spPr>
        <a:xfrm>
          <a:off x="7975271" y="1040143"/>
          <a:ext cx="1778329"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274122</xdr:colOff>
      <xdr:row>1</xdr:row>
      <xdr:rowOff>235528</xdr:rowOff>
    </xdr:to>
    <xdr:sp macro="" textlink="">
      <xdr:nvSpPr>
        <xdr:cNvPr id="3" name="Rectangle 45">
          <a:hlinkClick xmlns:r="http://schemas.openxmlformats.org/officeDocument/2006/relationships" r:id="rId1"/>
        </xdr:cNvPr>
        <xdr:cNvSpPr>
          <a:spLocks noChangeArrowheads="1"/>
        </xdr:cNvSpPr>
      </xdr:nvSpPr>
      <xdr:spPr bwMode="auto">
        <a:xfrm>
          <a:off x="3934691" y="193964"/>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4" name="Textfeld 3">
          <a:hlinkClick xmlns:r="http://schemas.openxmlformats.org/officeDocument/2006/relationships" r:id="rId2"/>
        </xdr:cNvPr>
        <xdr:cNvSpPr txBox="1"/>
      </xdr:nvSpPr>
      <xdr:spPr>
        <a:xfrm>
          <a:off x="6137564" y="19396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5" name="Rectangle 45">
          <a:hlinkClick xmlns:r="http://schemas.openxmlformats.org/officeDocument/2006/relationships" r:id="rId1"/>
        </xdr:cNvPr>
        <xdr:cNvSpPr>
          <a:spLocks noChangeArrowheads="1"/>
        </xdr:cNvSpPr>
      </xdr:nvSpPr>
      <xdr:spPr bwMode="auto">
        <a:xfrm>
          <a:off x="3829050" y="196850"/>
          <a:ext cx="17219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6" name="Textfeld 5">
          <a:hlinkClick xmlns:r="http://schemas.openxmlformats.org/officeDocument/2006/relationships" r:id="rId2"/>
        </xdr:cNvPr>
        <xdr:cNvSpPr txBox="1"/>
      </xdr:nvSpPr>
      <xdr:spPr>
        <a:xfrm>
          <a:off x="600075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7" name="Rectangle 45">
          <a:hlinkClick xmlns:r="http://schemas.openxmlformats.org/officeDocument/2006/relationships" r:id="rId1"/>
        </xdr:cNvPr>
        <xdr:cNvSpPr>
          <a:spLocks noChangeArrowheads="1"/>
        </xdr:cNvSpPr>
      </xdr:nvSpPr>
      <xdr:spPr bwMode="auto">
        <a:xfrm>
          <a:off x="3810000" y="196850"/>
          <a:ext cx="17981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8" name="Textfeld 7">
          <a:hlinkClick xmlns:r="http://schemas.openxmlformats.org/officeDocument/2006/relationships" r:id="rId2"/>
        </xdr:cNvPr>
        <xdr:cNvSpPr txBox="1"/>
      </xdr:nvSpPr>
      <xdr:spPr>
        <a:xfrm>
          <a:off x="609600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twoCellAnchor>
    <xdr:from>
      <xdr:col>5</xdr:col>
      <xdr:colOff>0</xdr:colOff>
      <xdr:row>1</xdr:row>
      <xdr:rowOff>0</xdr:rowOff>
    </xdr:from>
    <xdr:to>
      <xdr:col>7</xdr:col>
      <xdr:colOff>274122</xdr:colOff>
      <xdr:row>1</xdr:row>
      <xdr:rowOff>235528</xdr:rowOff>
    </xdr:to>
    <xdr:sp macro="" textlink="">
      <xdr:nvSpPr>
        <xdr:cNvPr id="9" name="Rectangle 45">
          <a:hlinkClick xmlns:r="http://schemas.openxmlformats.org/officeDocument/2006/relationships" r:id="rId1"/>
        </xdr:cNvPr>
        <xdr:cNvSpPr>
          <a:spLocks noChangeArrowheads="1"/>
        </xdr:cNvSpPr>
      </xdr:nvSpPr>
      <xdr:spPr bwMode="auto">
        <a:xfrm>
          <a:off x="3810000" y="196850"/>
          <a:ext cx="1798122"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8</xdr:col>
      <xdr:colOff>0</xdr:colOff>
      <xdr:row>1</xdr:row>
      <xdr:rowOff>0</xdr:rowOff>
    </xdr:from>
    <xdr:ext cx="1774371" cy="298800"/>
    <xdr:sp macro="" textlink="">
      <xdr:nvSpPr>
        <xdr:cNvPr id="10" name="Textfeld 9">
          <a:hlinkClick xmlns:r="http://schemas.openxmlformats.org/officeDocument/2006/relationships" r:id="rId2"/>
        </xdr:cNvPr>
        <xdr:cNvSpPr txBox="1"/>
      </xdr:nvSpPr>
      <xdr:spPr>
        <a:xfrm>
          <a:off x="6096000" y="19685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16</xdr:col>
      <xdr:colOff>486146</xdr:colOff>
      <xdr:row>3</xdr:row>
      <xdr:rowOff>50222</xdr:rowOff>
    </xdr:from>
    <xdr:to>
      <xdr:col>19</xdr:col>
      <xdr:colOff>0</xdr:colOff>
      <xdr:row>4</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1649446" y="1040822"/>
          <a:ext cx="1742704" cy="235528"/>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16</xdr:col>
      <xdr:colOff>454479</xdr:colOff>
      <xdr:row>4</xdr:row>
      <xdr:rowOff>329850</xdr:rowOff>
    </xdr:from>
    <xdr:ext cx="1774371" cy="298800"/>
    <xdr:sp macro="" textlink="">
      <xdr:nvSpPr>
        <xdr:cNvPr id="4" name="Textfeld 3">
          <a:hlinkClick xmlns:r="http://schemas.openxmlformats.org/officeDocument/2006/relationships" r:id="rId2"/>
        </xdr:cNvPr>
        <xdr:cNvSpPr txBox="1"/>
      </xdr:nvSpPr>
      <xdr:spPr>
        <a:xfrm>
          <a:off x="11617779" y="160620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17</xdr:col>
      <xdr:colOff>830531</xdr:colOff>
      <xdr:row>1</xdr:row>
      <xdr:rowOff>31419</xdr:rowOff>
    </xdr:from>
    <xdr:to>
      <xdr:col>20</xdr:col>
      <xdr:colOff>0</xdr:colOff>
      <xdr:row>2</xdr:row>
      <xdr:rowOff>0</xdr:rowOff>
    </xdr:to>
    <xdr:sp macro="" textlink="">
      <xdr:nvSpPr>
        <xdr:cNvPr id="3" name="Rectangle 45">
          <a:hlinkClick xmlns:r="http://schemas.openxmlformats.org/officeDocument/2006/relationships" r:id="rId1"/>
        </xdr:cNvPr>
        <xdr:cNvSpPr>
          <a:spLocks noChangeArrowheads="1"/>
        </xdr:cNvSpPr>
      </xdr:nvSpPr>
      <xdr:spPr bwMode="auto">
        <a:xfrm>
          <a:off x="10682102" y="227362"/>
          <a:ext cx="1716727" cy="240724"/>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17</xdr:col>
      <xdr:colOff>772887</xdr:colOff>
      <xdr:row>3</xdr:row>
      <xdr:rowOff>0</xdr:rowOff>
    </xdr:from>
    <xdr:ext cx="1774371" cy="298800"/>
    <xdr:sp macro="" textlink="">
      <xdr:nvSpPr>
        <xdr:cNvPr id="5" name="Textfeld 4">
          <a:hlinkClick xmlns:r="http://schemas.openxmlformats.org/officeDocument/2006/relationships" r:id="rId2"/>
        </xdr:cNvPr>
        <xdr:cNvSpPr txBox="1"/>
      </xdr:nvSpPr>
      <xdr:spPr>
        <a:xfrm>
          <a:off x="10624458" y="631371"/>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9</xdr:col>
      <xdr:colOff>142293</xdr:colOff>
      <xdr:row>38</xdr:row>
      <xdr:rowOff>9044</xdr:rowOff>
    </xdr:from>
    <xdr:to>
      <xdr:col>14</xdr:col>
      <xdr:colOff>501226</xdr:colOff>
      <xdr:row>56</xdr:row>
      <xdr:rowOff>17788</xdr:rowOff>
    </xdr:to>
    <xdr:sp macro="" textlink="">
      <xdr:nvSpPr>
        <xdr:cNvPr id="3" name="Rectangle 15"/>
        <xdr:cNvSpPr>
          <a:spLocks noChangeArrowheads="1"/>
        </xdr:cNvSpPr>
      </xdr:nvSpPr>
      <xdr:spPr bwMode="auto">
        <a:xfrm>
          <a:off x="4609518" y="7600469"/>
          <a:ext cx="3549808" cy="3085319"/>
        </a:xfrm>
        <a:prstGeom prst="rect">
          <a:avLst/>
        </a:prstGeom>
        <a:solidFill>
          <a:schemeClr val="bg1">
            <a:lumMod val="85000"/>
          </a:schemeClr>
        </a:solidFill>
        <a:ln w="9525">
          <a:noFill/>
          <a:miter lim="800000"/>
          <a:headEnd/>
          <a:tailEnd/>
        </a:ln>
      </xdr:spPr>
      <xdr:txBody>
        <a:bodyPr vertOverflow="clip" wrap="square" lIns="27432" tIns="22860" rIns="0" bIns="0" anchor="t" upright="1"/>
        <a:lstStyle/>
        <a:p>
          <a:pPr algn="l" rtl="0">
            <a:defRPr sz="1000"/>
          </a:pPr>
          <a:r>
            <a:rPr lang="de-DE" sz="1000" b="1" i="0" u="none" strike="noStrike" baseline="0">
              <a:solidFill>
                <a:srgbClr val="000000"/>
              </a:solidFill>
              <a:latin typeface="Arial"/>
              <a:cs typeface="Arial"/>
            </a:rPr>
            <a:t>Nachbaugebühr = generell 50 % der Züchterlizenzgebühr</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Für die einzelnen Fruchtarten gelten folgende Kriterien</a:t>
          </a:r>
        </a:p>
        <a:p>
          <a:pPr algn="l" rtl="0">
            <a:defRPr sz="1000"/>
          </a:pPr>
          <a:r>
            <a:rPr lang="de-DE" sz="1000" b="1" i="0" u="none" strike="noStrike" baseline="0">
              <a:solidFill>
                <a:srgbClr val="000000"/>
              </a:solidFill>
              <a:latin typeface="Arial"/>
              <a:cs typeface="Arial"/>
            </a:rPr>
            <a:t>- Kartoffeln: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bis</a:t>
          </a:r>
          <a:r>
            <a:rPr lang="de-DE" sz="1000" b="1" i="0" u="none" strike="noStrike" baseline="0">
              <a:solidFill>
                <a:srgbClr val="000000"/>
              </a:solidFill>
              <a:latin typeface="Arial"/>
              <a:cs typeface="Arial"/>
            </a:rPr>
            <a:t> 5 ha Kartoffelanbau</a:t>
          </a:r>
          <a:endParaRPr lang="de-DE" sz="1000" b="0" i="0" u="none" strike="noStrike" baseline="0">
            <a:solidFill>
              <a:srgbClr val="000000"/>
            </a:solidFill>
            <a:latin typeface="Arial"/>
            <a:cs typeface="Arial"/>
          </a:endParaRPr>
        </a:p>
        <a:p>
          <a:pPr algn="l" rtl="0">
            <a:defRPr sz="1000"/>
          </a:pPr>
          <a:r>
            <a:rPr lang="de-DE" sz="1000" b="1" i="0" u="none" strike="noStrike" baseline="0">
              <a:solidFill>
                <a:srgbClr val="000000"/>
              </a:solidFill>
              <a:latin typeface="Arial"/>
              <a:cs typeface="Arial"/>
            </a:rPr>
            <a:t>- Getreide und Grobleguminosen: </a:t>
          </a: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  gesamtbetriebliche Ackerfläche kleiner als der für das</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jeweilige Bundesland bzw. die jeweilige Erzeugungsregion     im Rahmen der GAP-Reform festgelegte Schwellenwert</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  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Quelle:</a:t>
          </a:r>
        </a:p>
        <a:p>
          <a:pPr algn="l" rtl="0">
            <a:defRPr sz="1000"/>
          </a:pPr>
          <a:r>
            <a:rPr lang="de-DE" sz="1000" b="0" i="0" u="none" strike="noStrike" baseline="0">
              <a:solidFill>
                <a:srgbClr val="000000"/>
              </a:solidFill>
              <a:latin typeface="Arial"/>
              <a:cs typeface="Arial"/>
            </a:rPr>
            <a:t>Saatgut-Treuhandverwaltungs GmbH</a:t>
          </a:r>
        </a:p>
        <a:p>
          <a:pPr algn="l" rtl="0">
            <a:defRPr sz="1000"/>
          </a:pPr>
          <a:r>
            <a:rPr lang="de-DE" sz="1000" b="0" i="0" u="none" strike="noStrike" baseline="0">
              <a:solidFill>
                <a:srgbClr val="000000"/>
              </a:solidFill>
              <a:latin typeface="Arial"/>
              <a:cs typeface="Arial"/>
            </a:rPr>
            <a:t>www.stv-bonn.de/                         Stand 11/2017</a:t>
          </a:r>
        </a:p>
      </xdr:txBody>
    </xdr:sp>
    <xdr:clientData/>
  </xdr:twoCellAnchor>
  <xdr:twoCellAnchor>
    <xdr:from>
      <xdr:col>15</xdr:col>
      <xdr:colOff>0</xdr:colOff>
      <xdr:row>1</xdr:row>
      <xdr:rowOff>58633</xdr:rowOff>
    </xdr:from>
    <xdr:to>
      <xdr:col>17</xdr:col>
      <xdr:colOff>29825</xdr:colOff>
      <xdr:row>3</xdr:row>
      <xdr:rowOff>0</xdr:rowOff>
    </xdr:to>
    <xdr:sp macro="" textlink="">
      <xdr:nvSpPr>
        <xdr:cNvPr id="5" name="Rectangle 45">
          <a:hlinkClick xmlns:r="http://schemas.openxmlformats.org/officeDocument/2006/relationships" r:id="rId1"/>
        </xdr:cNvPr>
        <xdr:cNvSpPr>
          <a:spLocks noChangeArrowheads="1"/>
        </xdr:cNvSpPr>
      </xdr:nvSpPr>
      <xdr:spPr bwMode="auto">
        <a:xfrm>
          <a:off x="8120743" y="265462"/>
          <a:ext cx="1727996"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5</xdr:row>
      <xdr:rowOff>0</xdr:rowOff>
    </xdr:from>
    <xdr:ext cx="1774371" cy="298800"/>
    <xdr:sp macro="" textlink="">
      <xdr:nvSpPr>
        <xdr:cNvPr id="6" name="Textfeld 5">
          <a:hlinkClick xmlns:r="http://schemas.openxmlformats.org/officeDocument/2006/relationships" r:id="rId2"/>
        </xdr:cNvPr>
        <xdr:cNvSpPr txBox="1"/>
      </xdr:nvSpPr>
      <xdr:spPr>
        <a:xfrm>
          <a:off x="8120743" y="642257"/>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9</xdr:col>
      <xdr:colOff>552104</xdr:colOff>
      <xdr:row>11</xdr:row>
      <xdr:rowOff>92382</xdr:rowOff>
    </xdr:from>
    <xdr:to>
      <xdr:col>14</xdr:col>
      <xdr:colOff>327835</xdr:colOff>
      <xdr:row>32</xdr:row>
      <xdr:rowOff>94899</xdr:rowOff>
    </xdr:to>
    <xdr:sp macro="" textlink="">
      <xdr:nvSpPr>
        <xdr:cNvPr id="2" name="Rectangle 15"/>
        <xdr:cNvSpPr>
          <a:spLocks noChangeArrowheads="1"/>
        </xdr:cNvSpPr>
      </xdr:nvSpPr>
      <xdr:spPr bwMode="auto">
        <a:xfrm>
          <a:off x="7753004" y="1936422"/>
          <a:ext cx="3776231" cy="3522957"/>
        </a:xfrm>
        <a:prstGeom prst="rect">
          <a:avLst/>
        </a:prstGeom>
        <a:solidFill>
          <a:schemeClr val="bg1">
            <a:lumMod val="95000"/>
          </a:schemeClr>
        </a:solidFill>
        <a:ln w="9525">
          <a:noFill/>
          <a:miter lim="800000"/>
          <a:headEnd/>
          <a:tailEnd/>
        </a:ln>
      </xdr:spPr>
      <xdr:txBody>
        <a:bodyPr vertOverflow="clip" wrap="square" lIns="27432" tIns="22860" rIns="0" bIns="0" anchor="t" upright="1"/>
        <a:lstStyle/>
        <a:p>
          <a:pPr algn="ctr" rtl="0">
            <a:lnSpc>
              <a:spcPts val="1100"/>
            </a:lnSpc>
            <a:defRPr sz="1000"/>
          </a:pPr>
          <a:r>
            <a:rPr lang="de-DE" sz="1000" b="1" i="0" u="none" strike="noStrike" baseline="0">
              <a:solidFill>
                <a:srgbClr val="000000"/>
              </a:solidFill>
              <a:latin typeface="Arial"/>
              <a:cs typeface="Arial"/>
            </a:rPr>
            <a:t>Nachbaugebühr: </a:t>
          </a:r>
        </a:p>
        <a:p>
          <a:pPr algn="ctr" rtl="0">
            <a:lnSpc>
              <a:spcPts val="1000"/>
            </a:lnSpc>
            <a:defRPr sz="1000"/>
          </a:pPr>
          <a:r>
            <a:rPr lang="de-DE" sz="1000" b="1" i="0" u="none" strike="noStrike" baseline="0">
              <a:solidFill>
                <a:srgbClr val="000000"/>
              </a:solidFill>
              <a:latin typeface="Arial"/>
              <a:cs typeface="Arial"/>
            </a:rPr>
            <a:t>generell 50 % der Züchterlizenzgebühr</a:t>
          </a:r>
        </a:p>
        <a:p>
          <a:pPr algn="ctr" rtl="0">
            <a:lnSpc>
              <a:spcPts val="1100"/>
            </a:lnSpc>
            <a:defRPr sz="1000"/>
          </a:pPr>
          <a:r>
            <a:rPr lang="de-DE" sz="1000" b="1" i="0" u="none" strike="noStrike" baseline="0">
              <a:solidFill>
                <a:srgbClr val="000000"/>
              </a:solidFill>
              <a:latin typeface="Arial"/>
              <a:cs typeface="Arial"/>
            </a:rPr>
            <a:t>(</a:t>
          </a:r>
          <a:r>
            <a:rPr lang="de-DE" sz="1000" b="0" i="0" u="none" strike="noStrike" baseline="0">
              <a:solidFill>
                <a:srgbClr val="000000"/>
              </a:solidFill>
              <a:latin typeface="Arial"/>
              <a:cs typeface="Arial"/>
            </a:rPr>
            <a:t>siehe untenstehende Tabelle)</a:t>
          </a: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Sonderregelung für</a:t>
          </a:r>
          <a:r>
            <a:rPr lang="de-DE" sz="1000" b="1" i="0" u="none" strike="noStrike" baseline="0">
              <a:solidFill>
                <a:srgbClr val="000000"/>
              </a:solidFill>
              <a:latin typeface="Arial"/>
              <a:cs typeface="Arial"/>
            </a:rPr>
            <a:t> Kleinlandwirte: </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Kleinlandwirte für Getreide und Grobleguminosen sowie Kleinlandwirte für Kartoffeln sind gesetzlich von der Nachbaugebührenpflicht, nicht aber von der Auskunftspflicht befreit. </a:t>
          </a:r>
        </a:p>
        <a:p>
          <a:pPr algn="ctr" rtl="0">
            <a:lnSpc>
              <a:spcPts val="1000"/>
            </a:lnSpc>
            <a:defRPr sz="1000"/>
          </a:pPr>
          <a:r>
            <a:rPr lang="de-DE" sz="1000" b="0" i="0" u="none" strike="noStrike" baseline="0">
              <a:solidFill>
                <a:srgbClr val="000000"/>
              </a:solidFill>
              <a:latin typeface="Arial"/>
              <a:cs typeface="Arial"/>
            </a:rPr>
            <a:t>Für die einzelnen Fruchtarten gelten folgende Kriterien:</a:t>
          </a:r>
        </a:p>
        <a:p>
          <a:pPr algn="ctr" rtl="0">
            <a:lnSpc>
              <a:spcPts val="1000"/>
            </a:lnSpc>
            <a:defRPr sz="1000"/>
          </a:pPr>
          <a:r>
            <a:rPr lang="de-DE" sz="1000" b="1" i="0" u="none" strike="noStrike" baseline="0">
              <a:solidFill>
                <a:srgbClr val="000000"/>
              </a:solidFill>
              <a:latin typeface="Arial"/>
              <a:cs typeface="Arial"/>
            </a:rPr>
            <a:t>Kartoffeln </a:t>
          </a:r>
          <a:endParaRPr lang="de-DE" sz="1000" b="0" i="0" u="none" strike="noStrike" baseline="0">
            <a:solidFill>
              <a:srgbClr val="000000"/>
            </a:solidFill>
            <a:latin typeface="Arial"/>
            <a:cs typeface="Arial"/>
          </a:endParaRPr>
        </a:p>
        <a:p>
          <a:pPr algn="ctr" rtl="0">
            <a:lnSpc>
              <a:spcPts val="1000"/>
            </a:lnSpc>
            <a:defRPr sz="1000"/>
          </a:pPr>
          <a:r>
            <a:rPr lang="de-DE" sz="1000" b="0" i="0" u="none" strike="noStrike" baseline="0">
              <a:solidFill>
                <a:srgbClr val="000000"/>
              </a:solidFill>
              <a:latin typeface="Arial"/>
              <a:cs typeface="Arial"/>
            </a:rPr>
            <a:t>Als Kleinlandwirt gilt der Landwirt, der bis</a:t>
          </a:r>
          <a:r>
            <a:rPr lang="de-DE" sz="1000" b="1" i="0" u="none" strike="noStrike" baseline="0">
              <a:solidFill>
                <a:srgbClr val="000000"/>
              </a:solidFill>
              <a:latin typeface="Arial"/>
              <a:cs typeface="Arial"/>
            </a:rPr>
            <a:t> 5 ha Kartoffeln</a:t>
          </a:r>
          <a:r>
            <a:rPr lang="de-DE" sz="1000" b="0" i="0" u="none" strike="noStrike" baseline="0">
              <a:solidFill>
                <a:srgbClr val="000000"/>
              </a:solidFill>
              <a:latin typeface="Arial"/>
              <a:cs typeface="Arial"/>
            </a:rPr>
            <a:t> anbaut.</a:t>
          </a:r>
        </a:p>
        <a:p>
          <a:pPr algn="ctr" rtl="0">
            <a:lnSpc>
              <a:spcPts val="1100"/>
            </a:lnSpc>
            <a:defRPr sz="1000"/>
          </a:pPr>
          <a:endParaRPr lang="de-DE" sz="1000" b="0" i="0" u="none" strike="noStrike" baseline="0">
            <a:solidFill>
              <a:srgbClr val="000000"/>
            </a:solidFill>
            <a:latin typeface="Arial"/>
            <a:cs typeface="Arial"/>
          </a:endParaRPr>
        </a:p>
        <a:p>
          <a:pPr algn="ctr" rtl="0">
            <a:lnSpc>
              <a:spcPts val="1000"/>
            </a:lnSpc>
            <a:defRPr sz="1000"/>
          </a:pPr>
          <a:r>
            <a:rPr lang="de-DE" sz="1000" b="1" i="0" u="none" strike="noStrike" baseline="0">
              <a:solidFill>
                <a:srgbClr val="000000"/>
              </a:solidFill>
              <a:latin typeface="Arial"/>
              <a:cs typeface="Arial"/>
            </a:rPr>
            <a:t>Getreide und Grobleguminosen </a:t>
          </a:r>
          <a:endParaRPr lang="de-DE" sz="1000" b="0" i="0" u="none" strike="noStrike" baseline="0">
            <a:solidFill>
              <a:srgbClr val="000000"/>
            </a:solidFill>
            <a:latin typeface="Arial"/>
            <a:cs typeface="Arial"/>
          </a:endParaRPr>
        </a:p>
        <a:p>
          <a:pPr algn="ctr" rtl="0">
            <a:lnSpc>
              <a:spcPts val="1100"/>
            </a:lnSpc>
            <a:defRPr sz="1000"/>
          </a:pPr>
          <a:r>
            <a:rPr lang="de-DE" sz="1000" b="0" i="0" u="none" strike="noStrike" baseline="0">
              <a:solidFill>
                <a:srgbClr val="000000"/>
              </a:solidFill>
              <a:latin typeface="Arial"/>
              <a:cs typeface="Arial"/>
            </a:rPr>
            <a:t>Als Kleinlandwirt gilt der Landwirt, der eine gesamtbetriebliche Ackerfläche bewirtschaftet, die kleiner ist als der für das jeweilige Bundesland bzw. die jeweilige Erzeugungsregion im Rahmen der GAP-Reform festgelegte Schwellenwert</a:t>
          </a:r>
        </a:p>
        <a:p>
          <a:pPr algn="ctr" rtl="0">
            <a:lnSpc>
              <a:spcPts val="1000"/>
            </a:lnSpc>
            <a:defRPr sz="1000"/>
          </a:pPr>
          <a:r>
            <a:rPr lang="de-DE" sz="1000" b="0" i="0" u="none" strike="noStrike" baseline="0">
              <a:solidFill>
                <a:srgbClr val="000000"/>
              </a:solidFill>
              <a:latin typeface="Arial"/>
              <a:cs typeface="Arial"/>
            </a:rPr>
            <a:t>Baden-Württemberg: </a:t>
          </a:r>
          <a:r>
            <a:rPr lang="de-DE" sz="1000" b="1" i="0" u="none" strike="noStrike" baseline="0">
              <a:solidFill>
                <a:srgbClr val="000000"/>
              </a:solidFill>
              <a:latin typeface="Arial"/>
              <a:cs typeface="Arial"/>
            </a:rPr>
            <a:t>20,26 ha</a:t>
          </a:r>
          <a:endParaRPr lang="de-DE" sz="1000" b="0" i="0" u="none" strike="noStrike" baseline="0">
            <a:solidFill>
              <a:srgbClr val="000000"/>
            </a:solidFill>
            <a:latin typeface="Arial"/>
            <a:cs typeface="Arial"/>
          </a:endParaRPr>
        </a:p>
        <a:p>
          <a:pPr algn="ctr" rtl="0">
            <a:lnSpc>
              <a:spcPts val="1000"/>
            </a:lnSpc>
            <a:defRPr sz="1000"/>
          </a:pPr>
          <a:endParaRPr lang="de-DE" sz="1000" b="0" i="0" u="none" strike="noStrike" baseline="0">
            <a:solidFill>
              <a:srgbClr val="000000"/>
            </a:solidFill>
            <a:latin typeface="Arial"/>
            <a:cs typeface="Arial"/>
          </a:endParaRPr>
        </a:p>
        <a:p>
          <a:pPr algn="ctr" rtl="0">
            <a:lnSpc>
              <a:spcPts val="700"/>
            </a:lnSpc>
            <a:defRPr sz="1000"/>
          </a:pPr>
          <a:r>
            <a:rPr lang="de-DE" sz="800" b="0" i="0" u="none" strike="noStrike" baseline="0">
              <a:solidFill>
                <a:srgbClr val="000000"/>
              </a:solidFill>
              <a:latin typeface="Arial"/>
              <a:cs typeface="Arial"/>
            </a:rPr>
            <a:t>Quelle: Saatgut-Treuhandverwaltungs GmbH</a:t>
          </a:r>
        </a:p>
        <a:p>
          <a:pPr algn="ctr" rtl="0">
            <a:lnSpc>
              <a:spcPts val="700"/>
            </a:lnSpc>
            <a:defRPr sz="1000"/>
          </a:pPr>
          <a:r>
            <a:rPr lang="de-DE" sz="800" b="0" i="0" u="none" strike="noStrike" baseline="0">
              <a:solidFill>
                <a:srgbClr val="000000"/>
              </a:solidFill>
              <a:latin typeface="Arial"/>
              <a:cs typeface="Arial"/>
            </a:rPr>
            <a:t> www.stv-bonn.de/ (Stand: 03/2015).</a:t>
          </a:r>
        </a:p>
      </xdr:txBody>
    </xdr:sp>
    <xdr:clientData/>
  </xdr:twoCellAnchor>
  <xdr:twoCellAnchor>
    <xdr:from>
      <xdr:col>15</xdr:col>
      <xdr:colOff>0</xdr:colOff>
      <xdr:row>1</xdr:row>
      <xdr:rowOff>0</xdr:rowOff>
    </xdr:from>
    <xdr:to>
      <xdr:col>16</xdr:col>
      <xdr:colOff>571549</xdr:colOff>
      <xdr:row>1</xdr:row>
      <xdr:rowOff>235281</xdr:rowOff>
    </xdr:to>
    <xdr:sp macro="" textlink="">
      <xdr:nvSpPr>
        <xdr:cNvPr id="4" name="Rectangle 45">
          <a:hlinkClick xmlns:r="http://schemas.openxmlformats.org/officeDocument/2006/relationships" r:id="rId1"/>
        </xdr:cNvPr>
        <xdr:cNvSpPr>
          <a:spLocks noChangeArrowheads="1"/>
        </xdr:cNvSpPr>
      </xdr:nvSpPr>
      <xdr:spPr bwMode="auto">
        <a:xfrm>
          <a:off x="8298180" y="106680"/>
          <a:ext cx="1729789" cy="235281"/>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15</xdr:col>
      <xdr:colOff>0</xdr:colOff>
      <xdr:row>3</xdr:row>
      <xdr:rowOff>66960</xdr:rowOff>
    </xdr:from>
    <xdr:ext cx="1774371" cy="298800"/>
    <xdr:sp macro="" textlink="">
      <xdr:nvSpPr>
        <xdr:cNvPr id="6" name="Textfeld 5">
          <a:hlinkClick xmlns:r="http://schemas.openxmlformats.org/officeDocument/2006/relationships" r:id="rId2"/>
        </xdr:cNvPr>
        <xdr:cNvSpPr txBox="1"/>
      </xdr:nvSpPr>
      <xdr:spPr>
        <a:xfrm>
          <a:off x="8298180" y="554640"/>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2</xdr:col>
      <xdr:colOff>0</xdr:colOff>
      <xdr:row>1</xdr:row>
      <xdr:rowOff>0</xdr:rowOff>
    </xdr:from>
    <xdr:to>
      <xdr:col>5</xdr:col>
      <xdr:colOff>208351</xdr:colOff>
      <xdr:row>1</xdr:row>
      <xdr:rowOff>230927</xdr:rowOff>
    </xdr:to>
    <xdr:sp macro="" textlink="">
      <xdr:nvSpPr>
        <xdr:cNvPr id="3" name="Rectangle 45">
          <a:hlinkClick xmlns:r="http://schemas.openxmlformats.org/officeDocument/2006/relationships" r:id="rId1"/>
        </xdr:cNvPr>
        <xdr:cNvSpPr>
          <a:spLocks noChangeArrowheads="1"/>
        </xdr:cNvSpPr>
      </xdr:nvSpPr>
      <xdr:spPr bwMode="auto">
        <a:xfrm>
          <a:off x="3124200" y="163286"/>
          <a:ext cx="1721465" cy="230927"/>
        </a:xfrm>
        <a:prstGeom prst="rect">
          <a:avLst/>
        </a:prstGeom>
        <a:solidFill>
          <a:srgbClr val="99FF99"/>
        </a:solidFill>
        <a:ln w="9525">
          <a:noFill/>
          <a:miter lim="800000"/>
          <a:headEnd/>
          <a:tailEnd/>
        </a:ln>
      </xdr:spPr>
      <xdr:txBody>
        <a:bodyPr vertOverflow="clip" wrap="square" lIns="27432" tIns="22860" rIns="27432" bIns="22860"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2</xdr:col>
      <xdr:colOff>0</xdr:colOff>
      <xdr:row>2</xdr:row>
      <xdr:rowOff>0</xdr:rowOff>
    </xdr:from>
    <xdr:ext cx="1774371" cy="298800"/>
    <xdr:sp macro="" textlink="">
      <xdr:nvSpPr>
        <xdr:cNvPr id="4" name="Textfeld 3">
          <a:hlinkClick xmlns:r="http://schemas.openxmlformats.org/officeDocument/2006/relationships" r:id="rId2"/>
        </xdr:cNvPr>
        <xdr:cNvSpPr txBox="1"/>
      </xdr:nvSpPr>
      <xdr:spPr>
        <a:xfrm>
          <a:off x="3124200" y="446314"/>
          <a:ext cx="1774371" cy="298800"/>
        </a:xfrm>
        <a:prstGeom prst="rect">
          <a:avLst/>
        </a:prstGeom>
        <a:solidFill>
          <a:srgbClr val="99FF99"/>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400" b="0" i="0" u="none" strike="noStrike">
              <a:solidFill>
                <a:sysClr val="windowText" lastClr="000000"/>
              </a:solidFill>
              <a:effectLst/>
              <a:latin typeface="Arial" panose="020B0604020202020204" pitchFamily="34" charset="0"/>
              <a:ea typeface="+mn-ea"/>
              <a:cs typeface="Arial" panose="020B0604020202020204" pitchFamily="34" charset="0"/>
              <a:hlinkClick xmlns:r="http://schemas.openxmlformats.org/officeDocument/2006/relationships" r:id=""/>
            </a:rPr>
            <a:t>zur Kostenrechnung</a:t>
          </a:r>
          <a:r>
            <a:rPr lang="de-DE" sz="1400" b="0" u="none">
              <a:solidFill>
                <a:sysClr val="windowText" lastClr="000000"/>
              </a:solidFill>
              <a:latin typeface="Arial" panose="020B0604020202020204" pitchFamily="34" charset="0"/>
              <a:cs typeface="Arial" panose="020B0604020202020204" pitchFamily="34" charset="0"/>
            </a:rPr>
            <a:t> </a:t>
          </a:r>
        </a:p>
      </xdr:txBody>
    </xdr:sp>
    <xdr:clientData/>
  </xdr:oneCellAnchor>
</xdr:wsDr>
</file>

<file path=xl/drawings/drawing27.xml><?xml version="1.0" encoding="utf-8"?>
<xdr:wsDr xmlns:xdr="http://schemas.openxmlformats.org/drawingml/2006/spreadsheetDrawing" xmlns:a="http://schemas.openxmlformats.org/drawingml/2006/main">
  <xdr:twoCellAnchor>
    <xdr:from>
      <xdr:col>0</xdr:col>
      <xdr:colOff>0</xdr:colOff>
      <xdr:row>177</xdr:row>
      <xdr:rowOff>0</xdr:rowOff>
    </xdr:from>
    <xdr:to>
      <xdr:col>17</xdr:col>
      <xdr:colOff>914400</xdr:colOff>
      <xdr:row>223</xdr:row>
      <xdr:rowOff>93519</xdr:rowOff>
    </xdr:to>
    <xdr:graphicFrame macro="">
      <xdr:nvGraphicFramePr>
        <xdr:cNvPr id="2"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41564</xdr:colOff>
      <xdr:row>146</xdr:row>
      <xdr:rowOff>76929</xdr:rowOff>
    </xdr:from>
    <xdr:to>
      <xdr:col>17</xdr:col>
      <xdr:colOff>609599</xdr:colOff>
      <xdr:row>169</xdr:row>
      <xdr:rowOff>103910</xdr:rowOff>
    </xdr:to>
    <xdr:graphicFrame macro="">
      <xdr:nvGraphicFramePr>
        <xdr:cNvPr id="3" name="Diagramm 1" descr="kostendeckung"/>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250165</xdr:colOff>
      <xdr:row>0</xdr:row>
      <xdr:rowOff>0</xdr:rowOff>
    </xdr:from>
    <xdr:to>
      <xdr:col>5</xdr:col>
      <xdr:colOff>1449237</xdr:colOff>
      <xdr:row>0</xdr:row>
      <xdr:rowOff>215660</xdr:rowOff>
    </xdr:to>
    <xdr:sp macro="" textlink="">
      <xdr:nvSpPr>
        <xdr:cNvPr id="4" name="Rectangle 40">
          <a:hlinkClick xmlns:r="http://schemas.openxmlformats.org/officeDocument/2006/relationships" r:id="rId3"/>
        </xdr:cNvPr>
        <xdr:cNvSpPr>
          <a:spLocks noChangeArrowheads="1"/>
        </xdr:cNvSpPr>
      </xdr:nvSpPr>
      <xdr:spPr bwMode="auto">
        <a:xfrm>
          <a:off x="2650465" y="0"/>
          <a:ext cx="2151572" cy="1699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twoCellAnchor>
    <xdr:from>
      <xdr:col>25</xdr:col>
      <xdr:colOff>36394</xdr:colOff>
      <xdr:row>0</xdr:row>
      <xdr:rowOff>51913</xdr:rowOff>
    </xdr:from>
    <xdr:to>
      <xdr:col>28</xdr:col>
      <xdr:colOff>689512</xdr:colOff>
      <xdr:row>4</xdr:row>
      <xdr:rowOff>41564</xdr:rowOff>
    </xdr:to>
    <xdr:sp macro="" textlink="">
      <xdr:nvSpPr>
        <xdr:cNvPr id="5" name="Textfeld 4"/>
        <xdr:cNvSpPr txBox="1"/>
      </xdr:nvSpPr>
      <xdr:spPr>
        <a:xfrm>
          <a:off x="21386249" y="51913"/>
          <a:ext cx="3063808" cy="710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de-DE" sz="1100" b="1">
              <a:solidFill>
                <a:srgbClr val="FF0000"/>
              </a:solidFill>
              <a:latin typeface="Arial" panose="020B0604020202020204" pitchFamily="34" charset="0"/>
              <a:cs typeface="Arial" panose="020B0604020202020204" pitchFamily="34" charset="0"/>
            </a:rPr>
            <a:t>Gelbe Felder anklicken und Kultur bzw. Bewirtschaftungsintensität über Schaltfläche wählen!</a:t>
          </a:r>
        </a:p>
      </xdr:txBody>
    </xdr:sp>
    <xdr:clientData/>
  </xdr:twoCellAnchor>
</xdr:wsDr>
</file>

<file path=xl/drawings/drawing28.xml><?xml version="1.0" encoding="utf-8"?>
<c:userShapes xmlns:c="http://schemas.openxmlformats.org/drawingml/2006/chart">
  <cdr:relSizeAnchor xmlns:cdr="http://schemas.openxmlformats.org/drawingml/2006/chartDrawing">
    <cdr:from>
      <cdr:x>0.38949</cdr:x>
      <cdr:y>0.03465</cdr:y>
    </cdr:from>
    <cdr:to>
      <cdr:x>0.71693</cdr:x>
      <cdr:y>0.11004</cdr:y>
    </cdr:to>
    <cdr:sp macro="" textlink="">
      <cdr:nvSpPr>
        <cdr:cNvPr id="2" name="Textfeld 1"/>
        <cdr:cNvSpPr txBox="1"/>
      </cdr:nvSpPr>
      <cdr:spPr>
        <a:xfrm xmlns:a="http://schemas.openxmlformats.org/drawingml/2006/main">
          <a:off x="5574225" y="207818"/>
          <a:ext cx="4686298" cy="4522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2400"/>
            <a:t>Deckungsbeiträge</a:t>
          </a:r>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7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7410" name="Check Box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7411" name="Check Box 3" hidden="1">
              <a:extLst>
                <a:ext uri="{63B3BB69-23CF-44E3-9099-C40C66FF867C}">
                  <a14:compatExt spid="_x0000_s1741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B6DC5FB-BE8E-4E91-804C-D94A72A2863B}" type="TxLink">
            <a:rPr lang="de-DE" sz="1100"/>
            <a:pPr algn="l"/>
            <a:t>1.613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45A9AC-1D17-470B-94C7-7E0C7B5241E1}" type="TxLink">
            <a:rPr lang="de-DE" sz="1100"/>
            <a:pPr algn="l"/>
            <a:t>1.859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3E9E8F3-3B4D-4696-A3BA-A2D1C70FD7F8}" type="TxLink">
            <a:rPr lang="de-DE" sz="1100"/>
            <a:pPr algn="l"/>
            <a:t>2.231 </a:t>
          </a:fld>
          <a:endParaRPr lang="de-DE" sz="1100"/>
        </a:p>
      </xdr:txBody>
    </xdr:sp>
    <xdr:clientData/>
  </xdr:twoCellAnchor>
  <xdr:twoCellAnchor>
    <xdr:from>
      <xdr:col>1</xdr:col>
      <xdr:colOff>51758</xdr:colOff>
      <xdr:row>0</xdr:row>
      <xdr:rowOff>0</xdr:rowOff>
    </xdr:from>
    <xdr:to>
      <xdr:col>3</xdr:col>
      <xdr:colOff>396839</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51858"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1</xdr:row>
      <xdr:rowOff>114300</xdr:rowOff>
    </xdr:from>
    <xdr:to>
      <xdr:col>14</xdr:col>
      <xdr:colOff>13146</xdr:colOff>
      <xdr:row>2</xdr:row>
      <xdr:rowOff>0</xdr:rowOff>
    </xdr:to>
    <xdr:sp macro="" textlink="">
      <xdr:nvSpPr>
        <xdr:cNvPr id="4" name="Rectangle 40">
          <a:hlinkClick xmlns:r="http://schemas.openxmlformats.org/officeDocument/2006/relationships" r:id="rId1"/>
        </xdr:cNvPr>
        <xdr:cNvSpPr>
          <a:spLocks noChangeArrowheads="1"/>
        </xdr:cNvSpPr>
      </xdr:nvSpPr>
      <xdr:spPr bwMode="auto">
        <a:xfrm>
          <a:off x="8832850" y="203200"/>
          <a:ext cx="1048196"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oneCellAnchor>
    <xdr:from>
      <xdr:col>1</xdr:col>
      <xdr:colOff>482600</xdr:colOff>
      <xdr:row>2</xdr:row>
      <xdr:rowOff>31750</xdr:rowOff>
    </xdr:from>
    <xdr:ext cx="4122219" cy="280205"/>
    <xdr:sp macro="" textlink="">
      <xdr:nvSpPr>
        <xdr:cNvPr id="2" name="Textfeld 1"/>
        <xdr:cNvSpPr txBox="1"/>
      </xdr:nvSpPr>
      <xdr:spPr>
        <a:xfrm>
          <a:off x="596900" y="501650"/>
          <a:ext cx="4122219"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200" b="1">
              <a:solidFill>
                <a:srgbClr val="FF0000"/>
              </a:solidFill>
            </a:rPr>
            <a:t>Die Kulturen sind über das x und Dropdownmenü auswählbar</a:t>
          </a:r>
        </a:p>
      </xdr:txBody>
    </xdr:sp>
    <xdr:clientData/>
  </xdr:oneCellAnchor>
</xdr:wsDr>
</file>

<file path=xl/drawings/drawing3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123825</xdr:colOff>
          <xdr:row>3</xdr:row>
          <xdr:rowOff>9525</xdr:rowOff>
        </xdr:from>
        <xdr:to>
          <xdr:col>12</xdr:col>
          <xdr:colOff>381000</xdr:colOff>
          <xdr:row>3</xdr:row>
          <xdr:rowOff>238125</xdr:rowOff>
        </xdr:to>
        <xdr:sp macro="" textlink="">
          <xdr:nvSpPr>
            <xdr:cNvPr id="18433" name="Check Box 1" hidden="1">
              <a:extLst>
                <a:ext uri="{63B3BB69-23CF-44E3-9099-C40C66FF867C}">
                  <a14:compatExt spid="_x0000_s1843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2</xdr:row>
          <xdr:rowOff>38100</xdr:rowOff>
        </xdr:from>
        <xdr:to>
          <xdr:col>12</xdr:col>
          <xdr:colOff>390525</xdr:colOff>
          <xdr:row>3</xdr:row>
          <xdr:rowOff>0</xdr:rowOff>
        </xdr:to>
        <xdr:sp macro="" textlink="">
          <xdr:nvSpPr>
            <xdr:cNvPr id="18434" name="Check Box 2" hidden="1">
              <a:extLst>
                <a:ext uri="{63B3BB69-23CF-44E3-9099-C40C66FF867C}">
                  <a14:compatExt spid="_x0000_s1843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9525</xdr:rowOff>
    </xdr:from>
    <xdr:to>
      <xdr:col>9</xdr:col>
      <xdr:colOff>532448</xdr:colOff>
      <xdr:row>0</xdr:row>
      <xdr:rowOff>200024</xdr:rowOff>
    </xdr:to>
    <xdr:sp macro="" textlink="$J$1">
      <xdr:nvSpPr>
        <xdr:cNvPr id="5" name="Rechteck 4"/>
        <xdr:cNvSpPr/>
      </xdr:nvSpPr>
      <xdr:spPr bwMode="auto">
        <a:xfrm>
          <a:off x="7296150" y="9525"/>
          <a:ext cx="437198"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2CD942A-C2DD-4682-B609-4280C24FA565}" type="TxLink">
            <a:rPr lang="de-DE" sz="1100"/>
            <a:pPr algn="l"/>
            <a:t>624 </a:t>
          </a:fld>
          <a:endParaRPr lang="de-DE" sz="1100"/>
        </a:p>
      </xdr:txBody>
    </xdr:sp>
    <xdr:clientData/>
  </xdr:twoCellAnchor>
  <xdr:twoCellAnchor>
    <xdr:from>
      <xdr:col>12</xdr:col>
      <xdr:colOff>66675</xdr:colOff>
      <xdr:row>0</xdr:row>
      <xdr:rowOff>19050</xdr:rowOff>
    </xdr:from>
    <xdr:to>
      <xdr:col>12</xdr:col>
      <xdr:colOff>512795</xdr:colOff>
      <xdr:row>0</xdr:row>
      <xdr:rowOff>209549</xdr:rowOff>
    </xdr:to>
    <xdr:sp macro="" textlink="$M$1">
      <xdr:nvSpPr>
        <xdr:cNvPr id="6" name="Rechteck 5"/>
        <xdr:cNvSpPr/>
      </xdr:nvSpPr>
      <xdr:spPr bwMode="auto">
        <a:xfrm>
          <a:off x="9667875" y="19050"/>
          <a:ext cx="446120" cy="1523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A0CC4B-EC41-4B8D-8B92-34E681A3A8E9}" type="TxLink">
            <a:rPr lang="de-DE" sz="1100"/>
            <a:pPr algn="l"/>
            <a:t>844 </a:t>
          </a:fld>
          <a:endParaRPr lang="de-DE" sz="1100"/>
        </a:p>
      </xdr:txBody>
    </xdr:sp>
    <xdr:clientData/>
  </xdr:twoCellAnchor>
  <xdr:twoCellAnchor>
    <xdr:from>
      <xdr:col>15</xdr:col>
      <xdr:colOff>95250</xdr:colOff>
      <xdr:row>0</xdr:row>
      <xdr:rowOff>28575</xdr:rowOff>
    </xdr:from>
    <xdr:to>
      <xdr:col>15</xdr:col>
      <xdr:colOff>532448</xdr:colOff>
      <xdr:row>0</xdr:row>
      <xdr:rowOff>219074</xdr:rowOff>
    </xdr:to>
    <xdr:sp macro="" textlink="$P$1">
      <xdr:nvSpPr>
        <xdr:cNvPr id="7" name="Rechteck 6"/>
        <xdr:cNvSpPr/>
      </xdr:nvSpPr>
      <xdr:spPr bwMode="auto">
        <a:xfrm>
          <a:off x="12096750"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38D8F0D-94BE-4E79-B0D0-A2B570C0253E}" type="TxLink">
            <a:rPr lang="de-DE" sz="1100"/>
            <a:pPr algn="l"/>
            <a:t>1.083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12</xdr:col>
          <xdr:colOff>533400</xdr:colOff>
          <xdr:row>4</xdr:row>
          <xdr:rowOff>0</xdr:rowOff>
        </xdr:to>
        <xdr:sp macro="" textlink="">
          <xdr:nvSpPr>
            <xdr:cNvPr id="21505" name="Check Box 1" hidden="1">
              <a:extLst>
                <a:ext uri="{63B3BB69-23CF-44E3-9099-C40C66FF867C}">
                  <a14:compatExt spid="_x0000_s2150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12</xdr:col>
          <xdr:colOff>533400</xdr:colOff>
          <xdr:row>3</xdr:row>
          <xdr:rowOff>0</xdr:rowOff>
        </xdr:to>
        <xdr:sp macro="" textlink="">
          <xdr:nvSpPr>
            <xdr:cNvPr id="21506" name="Check Box 2" hidden="1">
              <a:extLst>
                <a:ext uri="{63B3BB69-23CF-44E3-9099-C40C66FF867C}">
                  <a14:compatExt spid="_x0000_s2150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5C8EB5-2074-48D9-9CEA-E39B22D9C1A4}" type="TxLink">
            <a:rPr lang="de-DE" sz="1100"/>
            <a:pPr algn="l"/>
            <a:t>730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F3EFDEC-A8B0-44FF-8341-92DA0D637E7C}" type="TxLink">
            <a:rPr lang="de-DE" sz="1100"/>
            <a:pPr algn="l"/>
            <a:t>884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981DABD-7809-438B-B941-F33C88E579CC}" type="TxLink">
            <a:rPr lang="de-DE" sz="1100"/>
            <a:pPr algn="l"/>
            <a:t>1.027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2529" name="Check Box 1" hidden="1">
              <a:extLst>
                <a:ext uri="{63B3BB69-23CF-44E3-9099-C40C66FF867C}">
                  <a14:compatExt spid="_x0000_s2252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2530" name="Check Box 2" hidden="1">
              <a:extLst>
                <a:ext uri="{63B3BB69-23CF-44E3-9099-C40C66FF867C}">
                  <a14:compatExt spid="_x0000_s2253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A998C1C-3AD4-4B25-880C-9F9C7E31A285}" type="TxLink">
            <a:rPr lang="de-DE" sz="1100"/>
            <a:pPr algn="l"/>
            <a:t>676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6EC12F-18AC-4DAE-A59A-212C83256C7B}" type="TxLink">
            <a:rPr lang="de-DE" sz="1100"/>
            <a:pPr algn="l"/>
            <a:t>887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C6D02E1-2BE2-4F84-B5B0-124997783942}" type="TxLink">
            <a:rPr lang="de-DE" sz="1100"/>
            <a:pPr algn="l"/>
            <a:t>1.093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3">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3553" name="Check Box 1" hidden="1">
              <a:extLst>
                <a:ext uri="{63B3BB69-23CF-44E3-9099-C40C66FF867C}">
                  <a14:compatExt spid="_x0000_s235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CF4ECC-D4A6-45DA-904E-F284EB464984}" type="TxLink">
            <a:rPr lang="de-DE" sz="1100"/>
            <a:pPr algn="l"/>
            <a:t>487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0AA2D-81FF-4722-9D3D-7271E51F416E}" type="TxLink">
            <a:rPr lang="de-DE" sz="1100"/>
            <a:pPr algn="l"/>
            <a:t>689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209BE61-56A5-42D8-A99F-DA354F78462F}" type="TxLink">
            <a:rPr lang="de-DE" sz="1100"/>
            <a:pPr algn="l"/>
            <a:t>866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4577" name="Check Box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4578" name="Check Box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DD2390-1BD8-4579-82C5-C250D400F66A}" type="TxLink">
            <a:rPr lang="de-DE" sz="1100"/>
            <a:pPr algn="l"/>
            <a:t>341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34422-DC64-493C-9E46-3C13F30E4AEA}" type="TxLink">
            <a:rPr lang="de-DE" sz="1100"/>
            <a:pPr algn="l"/>
            <a:t>461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FDCDD42-D388-48F7-8374-2C16E078A058}" type="TxLink">
            <a:rPr lang="de-DE" sz="1100"/>
            <a:pPr algn="l"/>
            <a:t>607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5FE8A2-F80C-48D1-AA18-1C3ECF924E1E}" type="TxLink">
            <a:rPr lang="de-DE" sz="1100"/>
            <a:pPr algn="l"/>
            <a:t>860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F46F05-CD8C-477B-A484-08876FA31E6A}" type="TxLink">
            <a:rPr lang="de-DE" sz="1100"/>
            <a:pPr algn="l"/>
            <a:t>926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C71A580-DC96-4805-B067-ADF9C7D16A47}" type="TxLink">
            <a:rPr lang="de-DE" sz="1100"/>
            <a:pPr algn="l"/>
            <a:t>1.230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6625" name="Check Box 1" hidden="1">
              <a:extLst>
                <a:ext uri="{63B3BB69-23CF-44E3-9099-C40C66FF867C}">
                  <a14:compatExt spid="_x0000_s266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6626" name="Check Box 2" hidden="1">
              <a:extLst>
                <a:ext uri="{63B3BB69-23CF-44E3-9099-C40C66FF867C}">
                  <a14:compatExt spid="_x0000_s266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6EB1F9B-F98B-4BC8-8D85-443351A0C548}" type="TxLink">
            <a:rPr lang="de-DE" sz="1100"/>
            <a:pPr algn="l"/>
            <a:t>485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77473BC-0291-4870-BC33-B523552F9E53}" type="TxLink">
            <a:rPr lang="de-DE" sz="1100"/>
            <a:pPr algn="l"/>
            <a:t>620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74A8758-AB0C-422D-BC72-2CC6EAB6AFD6}" type="TxLink">
            <a:rPr lang="de-DE" sz="1100"/>
            <a:pPr algn="l"/>
            <a:t>754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7649" name="Check Box 1" hidden="1">
              <a:extLst>
                <a:ext uri="{63B3BB69-23CF-44E3-9099-C40C66FF867C}">
                  <a14:compatExt spid="_x0000_s27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7650" name="Check Box 2" hidden="1">
              <a:extLst>
                <a:ext uri="{63B3BB69-23CF-44E3-9099-C40C66FF867C}">
                  <a14:compatExt spid="_x0000_s276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ACECE7A-31E4-4DD6-9333-4D713C90B407}" type="TxLink">
            <a:rPr lang="de-DE" sz="1100"/>
            <a:pPr algn="l"/>
            <a:t>838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65520B4-7888-4112-9179-799F3BD9D224}" type="TxLink">
            <a:rPr lang="de-DE" sz="1100"/>
            <a:pPr algn="l"/>
            <a:t>1.070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084D6A-D274-4031-9746-73129768C0B9}" type="TxLink">
            <a:rPr lang="de-DE" sz="1100"/>
            <a:pPr algn="l"/>
            <a:t>1.302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0</xdr:rowOff>
        </xdr:from>
        <xdr:to>
          <xdr:col>13</xdr:col>
          <xdr:colOff>0</xdr:colOff>
          <xdr:row>3</xdr:row>
          <xdr:rowOff>209550</xdr:rowOff>
        </xdr:to>
        <xdr:sp macro="" textlink="">
          <xdr:nvSpPr>
            <xdr:cNvPr id="28673" name="Check Box 1" hidden="1">
              <a:extLst>
                <a:ext uri="{63B3BB69-23CF-44E3-9099-C40C66FF867C}">
                  <a14:compatExt spid="_x0000_s286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0</xdr:rowOff>
        </xdr:from>
        <xdr:to>
          <xdr:col>13</xdr:col>
          <xdr:colOff>0</xdr:colOff>
          <xdr:row>2</xdr:row>
          <xdr:rowOff>238125</xdr:rowOff>
        </xdr:to>
        <xdr:sp macro="" textlink="">
          <xdr:nvSpPr>
            <xdr:cNvPr id="28674" name="Check Box 2" hidden="1">
              <a:extLst>
                <a:ext uri="{63B3BB69-23CF-44E3-9099-C40C66FF867C}">
                  <a14:compatExt spid="_x0000_s286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650572-05EB-40ED-9CB7-206705300A30}" type="TxLink">
            <a:rPr lang="de-DE" sz="1100"/>
            <a:pPr algn="l"/>
            <a:t>661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55A008-529F-4DDA-A12B-D477CAE6374D}" type="TxLink">
            <a:rPr lang="de-DE" sz="1100"/>
            <a:pPr algn="l"/>
            <a:t>797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9BA46F6-76D5-4F26-98D3-1CBAD5FFAE18}" type="TxLink">
            <a:rPr lang="de-DE" sz="1100"/>
            <a:pPr algn="l"/>
            <a:t>949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66463E-99B4-49BC-9CA8-9B243E23DDA3}" type="TxLink">
            <a:rPr lang="de-DE" sz="1100"/>
            <a:pPr algn="l"/>
            <a:t>895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E3E9714-6ACD-4CE5-87E0-4DBC9C232BA1}" type="TxLink">
            <a:rPr lang="de-DE" sz="1100"/>
            <a:pPr algn="l"/>
            <a:t>1.197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ACF9B1-9E2C-4149-8A6F-2575C46A6C65}" type="TxLink">
            <a:rPr lang="de-DE" sz="1100"/>
            <a:pPr algn="l"/>
            <a:t>1.500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8626</xdr:colOff>
      <xdr:row>5</xdr:row>
      <xdr:rowOff>86264</xdr:rowOff>
    </xdr:from>
    <xdr:to>
      <xdr:col>11</xdr:col>
      <xdr:colOff>733245</xdr:colOff>
      <xdr:row>40</xdr:row>
      <xdr:rowOff>112143</xdr:rowOff>
    </xdr:to>
    <xdr:graphicFrame macro="">
      <xdr:nvGraphicFramePr>
        <xdr:cNvPr id="2"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846826</xdr:colOff>
      <xdr:row>1</xdr:row>
      <xdr:rowOff>81643</xdr:rowOff>
    </xdr:from>
    <xdr:to>
      <xdr:col>18</xdr:col>
      <xdr:colOff>0</xdr:colOff>
      <xdr:row>2</xdr:row>
      <xdr:rowOff>0</xdr:rowOff>
    </xdr:to>
    <xdr:sp macro="" textlink="">
      <xdr:nvSpPr>
        <xdr:cNvPr id="4" name="Rectangle 40">
          <a:hlinkClick xmlns:r="http://schemas.openxmlformats.org/officeDocument/2006/relationships" r:id="rId2"/>
        </xdr:cNvPr>
        <xdr:cNvSpPr>
          <a:spLocks noChangeArrowheads="1"/>
        </xdr:cNvSpPr>
      </xdr:nvSpPr>
      <xdr:spPr bwMode="auto">
        <a:xfrm>
          <a:off x="10317397" y="2449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38100</xdr:rowOff>
        </xdr:from>
        <xdr:to>
          <xdr:col>13</xdr:col>
          <xdr:colOff>0</xdr:colOff>
          <xdr:row>4</xdr:row>
          <xdr:rowOff>0</xdr:rowOff>
        </xdr:to>
        <xdr:sp macro="" textlink="">
          <xdr:nvSpPr>
            <xdr:cNvPr id="29697" name="Check Box 1" hidden="1">
              <a:extLst>
                <a:ext uri="{63B3BB69-23CF-44E3-9099-C40C66FF867C}">
                  <a14:compatExt spid="_x0000_s296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9698" name="Check Box 2" hidden="1">
              <a:extLst>
                <a:ext uri="{63B3BB69-23CF-44E3-9099-C40C66FF867C}">
                  <a14:compatExt spid="_x0000_s296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11E4C88-CD4D-4620-859D-DF86171F1938}" type="TxLink">
            <a:rPr lang="de-DE" sz="1100"/>
            <a:pPr algn="l"/>
            <a:t>720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E0C38D-77E8-42BE-80E5-494A42083403}" type="TxLink">
            <a:rPr lang="de-DE" sz="1100"/>
            <a:pPr algn="l"/>
            <a:t>1.104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670DE4-99AE-48F1-956E-E259473048B9}" type="TxLink">
            <a:rPr lang="de-DE" sz="1100"/>
            <a:pPr algn="l"/>
            <a:t>1.233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B4D85B4-ABD4-46F6-A0D1-184C16D0E4E5}" type="TxLink">
            <a:rPr lang="de-DE" sz="1100"/>
            <a:pPr algn="l"/>
            <a:t>381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39AD07C-A24C-424D-ABBA-4B84F6A1E356}" type="TxLink">
            <a:rPr lang="de-DE" sz="1100"/>
            <a:pPr algn="l"/>
            <a:t>434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5BAF5E-DD7F-42C5-903B-4FDD9C31FA80}" type="TxLink">
            <a:rPr lang="de-DE" sz="1100"/>
            <a:pPr algn="l"/>
            <a:t>487 </a:t>
          </a:fld>
          <a:endParaRPr lang="de-DE" sz="1100"/>
        </a:p>
      </xdr:txBody>
    </xdr:sp>
    <xdr:clientData/>
  </xdr:twoCellAnchor>
  <xdr:oneCellAnchor>
    <xdr:from>
      <xdr:col>32</xdr:col>
      <xdr:colOff>609600</xdr:colOff>
      <xdr:row>15</xdr:row>
      <xdr:rowOff>161925</xdr:rowOff>
    </xdr:from>
    <xdr:ext cx="5738723" cy="3560769"/>
    <xdr:pic>
      <xdr:nvPicPr>
        <xdr:cNvPr id="6" name="Grafik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3181350"/>
          <a:ext cx="5738723" cy="3560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0</xdr:colOff>
      <xdr:row>0</xdr:row>
      <xdr:rowOff>0</xdr:rowOff>
    </xdr:from>
    <xdr:to>
      <xdr:col>3</xdr:col>
      <xdr:colOff>345081</xdr:colOff>
      <xdr:row>0</xdr:row>
      <xdr:rowOff>266700</xdr:rowOff>
    </xdr:to>
    <xdr:sp macro="" textlink="">
      <xdr:nvSpPr>
        <xdr:cNvPr id="7" name="Rectangle 40">
          <a:hlinkClick xmlns:r="http://schemas.openxmlformats.org/officeDocument/2006/relationships" r:id="rId3"/>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4EC69AA-B4B9-4EEE-8E2A-540536C3E0C0}" type="TxLink">
            <a:rPr lang="de-DE" sz="1100"/>
            <a:pPr algn="l"/>
            <a:t>938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7B0CA88-9974-4844-B0BB-BEB2B5CF02FE}" type="TxLink">
            <a:rPr lang="de-DE" sz="1100"/>
            <a:pPr algn="l"/>
            <a:t>1.301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DF025B-C2AB-4F14-8C6A-59F09EBECAAE}" type="TxLink">
            <a:rPr lang="de-DE" sz="1100"/>
            <a:pPr algn="l"/>
            <a:t>1.692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138367C-4FEA-47D2-AC80-84BA1C70FB8B}" type="TxLink">
            <a:rPr lang="de-DE" sz="1100"/>
            <a:pPr algn="l"/>
            <a:t>429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BBDAB21-FBA3-46B2-A278-229A6164CE72}" type="TxLink">
            <a:rPr lang="de-DE" sz="1100"/>
            <a:pPr algn="l"/>
            <a:t>590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9A456DB-D07A-41C5-AB80-AE0F3CD04CA8}" type="TxLink">
            <a:rPr lang="de-DE" sz="1100"/>
            <a:pPr algn="l"/>
            <a:t>779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965469-86B4-4589-84C9-C01CBB8916E8}" type="TxLink">
            <a:rPr lang="de-DE" sz="1100"/>
            <a:pPr algn="l"/>
            <a:t>546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E23DACC-FADE-4122-8AE7-3FC0BE4C0FFB}" type="TxLink">
            <a:rPr lang="de-DE" sz="1100"/>
            <a:pPr algn="l"/>
            <a:t>854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7BC55A5-2639-444A-8F8F-9C0E4C1620D6}" type="TxLink">
            <a:rPr lang="de-DE" sz="1100"/>
            <a:pPr algn="l"/>
            <a:t>1.162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7494DF-9E29-4719-884E-268162F1FFD7}" type="TxLink">
            <a:rPr lang="de-DE" sz="1100"/>
            <a:pPr algn="l"/>
            <a:t>30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5F8D660-1663-4CFB-9777-9046E39645EC}" type="TxLink">
            <a:rPr lang="de-DE" sz="1100"/>
            <a:pPr algn="l"/>
            <a:t>114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BF5C7D-86BA-4FBE-89C4-D5F171F25477}" type="TxLink">
            <a:rPr lang="de-DE" sz="1100"/>
            <a:pPr algn="l"/>
            <a:t>198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FA9427A-B657-4C9E-9F42-BCBBB114EECD}" type="TxLink">
            <a:rPr lang="de-DE" sz="1100"/>
            <a:pPr algn="l"/>
            <a:t>471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C063F1-7DD5-4C4E-BB62-A465DE3CE65F}" type="TxLink">
            <a:rPr lang="de-DE" sz="1100"/>
            <a:pPr algn="l"/>
            <a:t>827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762B10D-4490-4EC4-8AF1-16AFB8A0B78F}" type="TxLink">
            <a:rPr lang="de-DE" sz="1100"/>
            <a:pPr algn="l"/>
            <a:t>1.181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9B5747E-D4B3-43AB-BB5A-72A70686FCC8}" type="TxLink">
            <a:rPr lang="de-DE" sz="1100"/>
            <a:pPr algn="l"/>
            <a:t>381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61FCE4-D23C-46DC-8C98-25C8C6201FFC}" type="TxLink">
            <a:rPr lang="de-DE" sz="1100"/>
            <a:pPr algn="l"/>
            <a:t>731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1D1D298-9F20-4991-A84E-740E44A68124}" type="TxLink">
            <a:rPr lang="de-DE" sz="1100"/>
            <a:pPr algn="l"/>
            <a:t>1.079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2">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469757-9973-48AB-A76C-892732736B70}" type="TxLink">
            <a:rPr lang="de-DE" sz="1100"/>
            <a:pPr algn="l"/>
            <a:t>38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F0E464-5CBF-4B4D-A410-2FD671303E06}" type="TxLink">
            <a:rPr lang="de-DE" sz="1100"/>
            <a:pPr algn="l"/>
            <a:t>373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A5432-97C3-457E-AF62-33A8404477FA}" type="TxLink">
            <a:rPr lang="de-DE" sz="1100"/>
            <a:pPr algn="l"/>
            <a:t>709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3070C33-9CB1-49C8-A34F-D8666328513B}" type="TxLink">
            <a:rPr lang="de-DE" sz="1100"/>
            <a:pPr algn="l"/>
            <a:t>385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B44D53F-8913-47B7-9783-443A108DDAD0}" type="TxLink">
            <a:rPr lang="de-DE" sz="1100"/>
            <a:pPr algn="l"/>
            <a:t>705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0B9D8F9-05BC-4FAC-A618-9685999EA84E}" type="TxLink">
            <a:rPr lang="de-DE" sz="1100"/>
            <a:pPr algn="l"/>
            <a:t>976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55417</xdr:colOff>
      <xdr:row>4</xdr:row>
      <xdr:rowOff>221673</xdr:rowOff>
    </xdr:from>
    <xdr:to>
      <xdr:col>23</xdr:col>
      <xdr:colOff>626918</xdr:colOff>
      <xdr:row>24</xdr:row>
      <xdr:rowOff>90550</xdr:rowOff>
    </xdr:to>
    <xdr:graphicFrame macro="">
      <xdr:nvGraphicFramePr>
        <xdr:cNvPr id="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574682</xdr:colOff>
      <xdr:row>2</xdr:row>
      <xdr:rowOff>0</xdr:rowOff>
    </xdr:from>
    <xdr:to>
      <xdr:col>14</xdr:col>
      <xdr:colOff>0</xdr:colOff>
      <xdr:row>3</xdr:row>
      <xdr:rowOff>70757</xdr:rowOff>
    </xdr:to>
    <xdr:sp macro="" textlink="">
      <xdr:nvSpPr>
        <xdr:cNvPr id="4" name="Rectangle 40">
          <a:hlinkClick xmlns:r="http://schemas.openxmlformats.org/officeDocument/2006/relationships" r:id="rId2"/>
        </xdr:cNvPr>
        <xdr:cNvSpPr>
          <a:spLocks noChangeArrowheads="1"/>
        </xdr:cNvSpPr>
      </xdr:nvSpPr>
      <xdr:spPr bwMode="auto">
        <a:xfrm>
          <a:off x="8651882"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C46BAD4-1D7F-4CBA-AE0A-96A914FB065D}" type="TxLink">
            <a:rPr lang="de-DE" sz="1100"/>
            <a:pPr algn="l"/>
            <a:t>7.546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4F0D2F-61DE-45C2-94BF-901DEF5417D1}" type="TxLink">
            <a:rPr lang="de-DE" sz="1100"/>
            <a:pPr algn="l"/>
            <a:t>10.268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1718E9D-3A8C-4972-A322-1E19DF49C62A}" type="TxLink">
            <a:rPr lang="de-DE" sz="1100"/>
            <a:pPr algn="l"/>
            <a:t>12.990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oneCellAnchor>
    <xdr:from>
      <xdr:col>7</xdr:col>
      <xdr:colOff>381000</xdr:colOff>
      <xdr:row>14</xdr:row>
      <xdr:rowOff>66040</xdr:rowOff>
    </xdr:from>
    <xdr:ext cx="152400" cy="106680"/>
    <xdr:sp macro="" textlink="">
      <xdr:nvSpPr>
        <xdr:cNvPr id="7" name="Check Box 27" hidden="1">
          <a:extLst>
            <a:ext uri="{63B3BB69-23CF-44E3-9099-C40C66FF867C}">
              <a14:compatExt xmlns:a14="http://schemas.microsoft.com/office/drawing/2010/main" spid="_x0000_s85019"/>
            </a:ext>
          </a:extLst>
        </xdr:cNvPr>
        <xdr:cNvSpPr/>
      </xdr:nvSpPr>
      <xdr:spPr>
        <a:xfrm>
          <a:off x="5981700" y="2413000"/>
          <a:ext cx="152400" cy="106680"/>
        </a:xfrm>
        <a:prstGeom prst="rect">
          <a:avLst/>
        </a:prstGeom>
      </xdr:spPr>
    </xdr:sp>
    <xdr:clientData fPrintsWithSheet="0"/>
  </xdr:oneCellAnchor>
  <xdr:oneCellAnchor>
    <xdr:from>
      <xdr:col>7</xdr:col>
      <xdr:colOff>381000</xdr:colOff>
      <xdr:row>15</xdr:row>
      <xdr:rowOff>71120</xdr:rowOff>
    </xdr:from>
    <xdr:ext cx="152400" cy="106680"/>
    <xdr:sp macro="" textlink="">
      <xdr:nvSpPr>
        <xdr:cNvPr id="8" name="Check Box 28" hidden="1">
          <a:extLst>
            <a:ext uri="{63B3BB69-23CF-44E3-9099-C40C66FF867C}">
              <a14:compatExt xmlns:a14="http://schemas.microsoft.com/office/drawing/2010/main" spid="_x0000_s85020"/>
            </a:ext>
          </a:extLst>
        </xdr:cNvPr>
        <xdr:cNvSpPr/>
      </xdr:nvSpPr>
      <xdr:spPr>
        <a:xfrm>
          <a:off x="5981700" y="2585720"/>
          <a:ext cx="152400" cy="106680"/>
        </a:xfrm>
        <a:prstGeom prst="rect">
          <a:avLst/>
        </a:prstGeom>
      </xdr:spPr>
    </xdr:sp>
    <xdr:clientData fPrintsWithSheet="0"/>
  </xdr:oneCellAnchor>
  <xdr:oneCellAnchor>
    <xdr:from>
      <xdr:col>10</xdr:col>
      <xdr:colOff>381000</xdr:colOff>
      <xdr:row>13</xdr:row>
      <xdr:rowOff>53340</xdr:rowOff>
    </xdr:from>
    <xdr:ext cx="144780" cy="121920"/>
    <xdr:sp macro="" textlink="">
      <xdr:nvSpPr>
        <xdr:cNvPr id="9" name="Check Box 29" hidden="1">
          <a:extLst>
            <a:ext uri="{63B3BB69-23CF-44E3-9099-C40C66FF867C}">
              <a14:compatExt xmlns:a14="http://schemas.microsoft.com/office/drawing/2010/main" spid="_x0000_s85021"/>
            </a:ext>
          </a:extLst>
        </xdr:cNvPr>
        <xdr:cNvSpPr/>
      </xdr:nvSpPr>
      <xdr:spPr>
        <a:xfrm>
          <a:off x="8382000" y="2232660"/>
          <a:ext cx="144780" cy="121920"/>
        </a:xfrm>
        <a:prstGeom prst="rect">
          <a:avLst/>
        </a:prstGeom>
      </xdr:spPr>
    </xdr:sp>
    <xdr:clientData fPrintsWithSheet="0"/>
  </xdr:oneCellAnchor>
  <xdr:oneCellAnchor>
    <xdr:from>
      <xdr:col>13</xdr:col>
      <xdr:colOff>373380</xdr:colOff>
      <xdr:row>16</xdr:row>
      <xdr:rowOff>68580</xdr:rowOff>
    </xdr:from>
    <xdr:ext cx="144780" cy="106680"/>
    <xdr:sp macro="" textlink="">
      <xdr:nvSpPr>
        <xdr:cNvPr id="10" name="Check Box 30" hidden="1">
          <a:extLst>
            <a:ext uri="{63B3BB69-23CF-44E3-9099-C40C66FF867C}">
              <a14:compatExt xmlns:a14="http://schemas.microsoft.com/office/drawing/2010/main" spid="_x0000_s85022"/>
            </a:ext>
          </a:extLst>
        </xdr:cNvPr>
        <xdr:cNvSpPr/>
      </xdr:nvSpPr>
      <xdr:spPr>
        <a:xfrm>
          <a:off x="10774680" y="2750820"/>
          <a:ext cx="144780" cy="106680"/>
        </a:xfrm>
        <a:prstGeom prst="rect">
          <a:avLst/>
        </a:prstGeom>
      </xdr:spPr>
    </xdr:sp>
    <xdr:clientData fPrintsWithSheet="0"/>
  </xdr:oneCellAnchor>
  <xdr:oneCellAnchor>
    <xdr:from>
      <xdr:col>13</xdr:col>
      <xdr:colOff>373380</xdr:colOff>
      <xdr:row>13</xdr:row>
      <xdr:rowOff>53340</xdr:rowOff>
    </xdr:from>
    <xdr:ext cx="144780" cy="121920"/>
    <xdr:sp macro="" textlink="">
      <xdr:nvSpPr>
        <xdr:cNvPr id="11" name="Check Box 31" hidden="1">
          <a:extLst>
            <a:ext uri="{63B3BB69-23CF-44E3-9099-C40C66FF867C}">
              <a14:compatExt xmlns:a14="http://schemas.microsoft.com/office/drawing/2010/main" spid="_x0000_s85023"/>
            </a:ext>
          </a:extLst>
        </xdr:cNvPr>
        <xdr:cNvSpPr/>
      </xdr:nvSpPr>
      <xdr:spPr>
        <a:xfrm>
          <a:off x="10774680" y="2232660"/>
          <a:ext cx="144780" cy="121920"/>
        </a:xfrm>
        <a:prstGeom prst="rect">
          <a:avLst/>
        </a:prstGeom>
      </xdr:spPr>
    </xdr:sp>
    <xdr:clientData fPrintsWithSheet="0"/>
  </xdr:oneCellAnchor>
</xdr:wsDr>
</file>

<file path=xl/drawings/drawing51.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3" name="Rechteck 2"/>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10F1E7D-7945-4C4F-894F-2C0867A946B1}" type="TxLink">
            <a:rPr lang="de-DE" sz="1100"/>
            <a:pPr algn="l"/>
            <a:t>8.542 </a:t>
          </a:fld>
          <a:endParaRPr lang="de-DE" sz="1100"/>
        </a:p>
      </xdr:txBody>
    </xdr:sp>
    <xdr:clientData/>
  </xdr:twoCellAnchor>
  <xdr:twoCellAnchor>
    <xdr:from>
      <xdr:col>12</xdr:col>
      <xdr:colOff>66675</xdr:colOff>
      <xdr:row>0</xdr:row>
      <xdr:rowOff>9525</xdr:rowOff>
    </xdr:from>
    <xdr:to>
      <xdr:col>12</xdr:col>
      <xdr:colOff>521542</xdr:colOff>
      <xdr:row>0</xdr:row>
      <xdr:rowOff>200024</xdr:rowOff>
    </xdr:to>
    <xdr:sp macro="" textlink="$M$1">
      <xdr:nvSpPr>
        <xdr:cNvPr id="4" name="Rechteck 3"/>
        <xdr:cNvSpPr/>
      </xdr:nvSpPr>
      <xdr:spPr bwMode="auto">
        <a:xfrm>
          <a:off x="9667875" y="9525"/>
          <a:ext cx="45486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978DC1F-C102-43DF-ABE4-F21979C0D8E7}" type="TxLink">
            <a:rPr lang="de-DE" sz="1100"/>
            <a:pPr algn="l"/>
            <a:t>11.270 </a:t>
          </a:fld>
          <a:endParaRPr lang="de-DE" sz="1100"/>
        </a:p>
      </xdr:txBody>
    </xdr:sp>
    <xdr:clientData/>
  </xdr:twoCellAnchor>
  <xdr:twoCellAnchor>
    <xdr:from>
      <xdr:col>15</xdr:col>
      <xdr:colOff>85725</xdr:colOff>
      <xdr:row>0</xdr:row>
      <xdr:rowOff>0</xdr:rowOff>
    </xdr:from>
    <xdr:to>
      <xdr:col>15</xdr:col>
      <xdr:colOff>531495</xdr:colOff>
      <xdr:row>0</xdr:row>
      <xdr:rowOff>190499</xdr:rowOff>
    </xdr:to>
    <xdr:sp macro="" textlink="$P$1">
      <xdr:nvSpPr>
        <xdr:cNvPr id="5" name="Rechteck 4"/>
        <xdr:cNvSpPr/>
      </xdr:nvSpPr>
      <xdr:spPr bwMode="auto">
        <a:xfrm>
          <a:off x="12087225" y="0"/>
          <a:ext cx="44577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6FB2E4-063C-4F46-9074-FB2343375EF4}" type="TxLink">
            <a:rPr lang="de-DE" sz="1100"/>
            <a:pPr algn="l"/>
            <a:t>13.985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C3F7571-27CA-466D-A76F-23290295E13D}" type="TxLink">
            <a:rPr lang="de-DE" sz="1100"/>
            <a:pPr algn="l"/>
            <a:t>3.837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6650353-7041-49F0-A2EC-B947385358FD}" type="TxLink">
            <a:rPr lang="de-DE" sz="1100"/>
            <a:pPr algn="l"/>
            <a:t>3.831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D0A1E5B-8BA3-43AE-9D12-823D3944639D}" type="TxLink">
            <a:rPr lang="de-DE" sz="1100"/>
            <a:pPr algn="l"/>
            <a:t>4.703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4">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C77EE0-ED41-4671-97E6-1B609D433B0F}" type="TxLink">
            <a:rPr lang="de-DE" sz="1100"/>
            <a:pPr algn="l"/>
            <a:t>3.806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936BE-06C7-4717-970B-528832A47747}" type="TxLink">
            <a:rPr lang="de-DE" sz="1100"/>
            <a:pPr algn="l"/>
            <a:t>4.894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0E1F2-C89E-4A07-A3D4-0A7717257CC4}" type="TxLink">
            <a:rPr lang="de-DE" sz="1100"/>
            <a:pPr algn="l"/>
            <a:t>5.957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9525</xdr:colOff>
          <xdr:row>4</xdr:row>
          <xdr:rowOff>0</xdr:rowOff>
        </xdr:to>
        <xdr:sp macro="" textlink="">
          <xdr:nvSpPr>
            <xdr:cNvPr id="19457" name="Check Box 1" hidden="1">
              <a:extLst>
                <a:ext uri="{63B3BB69-23CF-44E3-9099-C40C66FF867C}">
                  <a14:compatExt spid="_x0000_s19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9525</xdr:colOff>
          <xdr:row>3</xdr:row>
          <xdr:rowOff>0</xdr:rowOff>
        </xdr:to>
        <xdr:sp macro="" textlink="">
          <xdr:nvSpPr>
            <xdr:cNvPr id="19458" name="Check Box 2" hidden="1">
              <a:extLst>
                <a:ext uri="{63B3BB69-23CF-44E3-9099-C40C66FF867C}">
                  <a14:compatExt spid="_x0000_s19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95250</xdr:colOff>
      <xdr:row>0</xdr:row>
      <xdr:rowOff>38100</xdr:rowOff>
    </xdr:from>
    <xdr:to>
      <xdr:col>9</xdr:col>
      <xdr:colOff>532448</xdr:colOff>
      <xdr:row>0</xdr:row>
      <xdr:rowOff>220316</xdr:rowOff>
    </xdr:to>
    <xdr:sp macro="" textlink="$J$1">
      <xdr:nvSpPr>
        <xdr:cNvPr id="5" name="Rechteck 4"/>
        <xdr:cNvSpPr/>
      </xdr:nvSpPr>
      <xdr:spPr bwMode="auto">
        <a:xfrm>
          <a:off x="729615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4D34810-6BE8-4944-AA47-A9008B4DF225}" type="TxLink">
            <a:rPr lang="de-DE" sz="1100"/>
            <a:pPr algn="l"/>
            <a:t>690 </a:t>
          </a:fld>
          <a:endParaRPr lang="de-DE" sz="1100"/>
        </a:p>
      </xdr:txBody>
    </xdr:sp>
    <xdr:clientData/>
  </xdr:twoCellAnchor>
  <xdr:twoCellAnchor>
    <xdr:from>
      <xdr:col>12</xdr:col>
      <xdr:colOff>122926</xdr:colOff>
      <xdr:row>0</xdr:row>
      <xdr:rowOff>47625</xdr:rowOff>
    </xdr:from>
    <xdr:to>
      <xdr:col>13</xdr:col>
      <xdr:colOff>9549</xdr:colOff>
      <xdr:row>0</xdr:row>
      <xdr:rowOff>238124</xdr:rowOff>
    </xdr:to>
    <xdr:sp macro="" textlink="$M$1">
      <xdr:nvSpPr>
        <xdr:cNvPr id="6" name="Rechteck 5"/>
        <xdr:cNvSpPr/>
      </xdr:nvSpPr>
      <xdr:spPr bwMode="auto">
        <a:xfrm>
          <a:off x="9724126" y="47625"/>
          <a:ext cx="686723" cy="1219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4D939E0-D93A-4BCA-A7AE-6043F9698F79}" type="TxLink">
            <a:rPr lang="de-DE" sz="1100"/>
            <a:pPr algn="l"/>
            <a:t>947 </a:t>
          </a:fld>
          <a:endParaRPr lang="de-DE" sz="1100"/>
        </a:p>
      </xdr:txBody>
    </xdr:sp>
    <xdr:clientData/>
  </xdr:twoCellAnchor>
  <xdr:twoCellAnchor>
    <xdr:from>
      <xdr:col>15</xdr:col>
      <xdr:colOff>85725</xdr:colOff>
      <xdr:row>0</xdr:row>
      <xdr:rowOff>28575</xdr:rowOff>
    </xdr:from>
    <xdr:to>
      <xdr:col>15</xdr:col>
      <xdr:colOff>522923</xdr:colOff>
      <xdr:row>0</xdr:row>
      <xdr:rowOff>219074</xdr:rowOff>
    </xdr:to>
    <xdr:sp macro="" textlink="$P$1">
      <xdr:nvSpPr>
        <xdr:cNvPr id="7" name="Rechteck 6"/>
        <xdr:cNvSpPr/>
      </xdr:nvSpPr>
      <xdr:spPr bwMode="auto">
        <a:xfrm>
          <a:off x="120872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3875F1D-7968-46F5-B5F4-884BA64C4F8F}" type="TxLink">
            <a:rPr lang="de-DE" sz="1100"/>
            <a:pPr algn="l"/>
            <a:t>1.209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285750</xdr:colOff>
          <xdr:row>3</xdr:row>
          <xdr:rowOff>19050</xdr:rowOff>
        </xdr:from>
        <xdr:to>
          <xdr:col>13</xdr:col>
          <xdr:colOff>0</xdr:colOff>
          <xdr:row>4</xdr:row>
          <xdr:rowOff>0</xdr:rowOff>
        </xdr:to>
        <xdr:sp macro="" textlink="">
          <xdr:nvSpPr>
            <xdr:cNvPr id="20481" name="Check Box 1" hidden="1">
              <a:extLst>
                <a:ext uri="{63B3BB69-23CF-44E3-9099-C40C66FF867C}">
                  <a14:compatExt spid="_x0000_s2048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285750</xdr:colOff>
          <xdr:row>2</xdr:row>
          <xdr:rowOff>47625</xdr:rowOff>
        </xdr:from>
        <xdr:to>
          <xdr:col>13</xdr:col>
          <xdr:colOff>0</xdr:colOff>
          <xdr:row>3</xdr:row>
          <xdr:rowOff>0</xdr:rowOff>
        </xdr:to>
        <xdr:sp macro="" textlink="">
          <xdr:nvSpPr>
            <xdr:cNvPr id="20482" name="Check Box 2" hidden="1">
              <a:extLst>
                <a:ext uri="{63B3BB69-23CF-44E3-9099-C40C66FF867C}">
                  <a14:compatExt spid="_x0000_s2048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113401</xdr:colOff>
      <xdr:row>0</xdr:row>
      <xdr:rowOff>28575</xdr:rowOff>
    </xdr:from>
    <xdr:to>
      <xdr:col>10</xdr:col>
      <xdr:colOff>24</xdr:colOff>
      <xdr:row>0</xdr:row>
      <xdr:rowOff>219074</xdr:rowOff>
    </xdr:to>
    <xdr:sp macro="" textlink="$J$1">
      <xdr:nvSpPr>
        <xdr:cNvPr id="5" name="Rechteck 4"/>
        <xdr:cNvSpPr/>
      </xdr:nvSpPr>
      <xdr:spPr bwMode="auto">
        <a:xfrm>
          <a:off x="7314301" y="28575"/>
          <a:ext cx="68672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17865C4-0540-4E35-90FE-A0716531103E}" type="TxLink">
            <a:rPr lang="de-DE" sz="1100"/>
            <a:pPr algn="l"/>
            <a:t>756 </a:t>
          </a:fld>
          <a:endParaRPr lang="de-DE" sz="1100"/>
        </a:p>
      </xdr:txBody>
    </xdr:sp>
    <xdr:clientData/>
  </xdr:twoCellAnchor>
  <xdr:twoCellAnchor>
    <xdr:from>
      <xdr:col>12</xdr:col>
      <xdr:colOff>85725</xdr:colOff>
      <xdr:row>0</xdr:row>
      <xdr:rowOff>28575</xdr:rowOff>
    </xdr:from>
    <xdr:to>
      <xdr:col>12</xdr:col>
      <xdr:colOff>522923</xdr:colOff>
      <xdr:row>0</xdr:row>
      <xdr:rowOff>219074</xdr:rowOff>
    </xdr:to>
    <xdr:sp macro="" textlink="$M$1">
      <xdr:nvSpPr>
        <xdr:cNvPr id="6" name="Rechteck 5"/>
        <xdr:cNvSpPr/>
      </xdr:nvSpPr>
      <xdr:spPr bwMode="auto">
        <a:xfrm>
          <a:off x="9686925" y="28575"/>
          <a:ext cx="437198"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6274531-B2A8-4812-B314-E1247F1C76A1}" type="TxLink">
            <a:rPr lang="de-DE" sz="1100"/>
            <a:pPr algn="l"/>
            <a:t>947 </a:t>
          </a:fld>
          <a:endParaRPr lang="de-DE" sz="1100"/>
        </a:p>
      </xdr:txBody>
    </xdr:sp>
    <xdr:clientData/>
  </xdr:twoCellAnchor>
  <xdr:twoCellAnchor>
    <xdr:from>
      <xdr:col>15</xdr:col>
      <xdr:colOff>76200</xdr:colOff>
      <xdr:row>0</xdr:row>
      <xdr:rowOff>38100</xdr:rowOff>
    </xdr:from>
    <xdr:to>
      <xdr:col>15</xdr:col>
      <xdr:colOff>513398</xdr:colOff>
      <xdr:row>0</xdr:row>
      <xdr:rowOff>220316</xdr:rowOff>
    </xdr:to>
    <xdr:sp macro="" textlink="$P$1">
      <xdr:nvSpPr>
        <xdr:cNvPr id="7" name="Rechteck 6"/>
        <xdr:cNvSpPr/>
      </xdr:nvSpPr>
      <xdr:spPr bwMode="auto">
        <a:xfrm>
          <a:off x="12077700" y="38100"/>
          <a:ext cx="437198" cy="128876"/>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1197029-D7EF-4325-90FF-13FD2EA06502}" type="TxLink">
            <a:rPr lang="de-DE" sz="1100"/>
            <a:pPr algn="l"/>
            <a:t>1.137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9">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600AC25-4842-4083-9510-E02B468153AE}" type="TxLink">
            <a:rPr lang="de-DE" sz="1100"/>
            <a:pPr algn="l"/>
            <a:t>555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798115-7329-47A3-949B-E2C3BE1AF56A}" type="TxLink">
            <a:rPr lang="de-DE" sz="1100"/>
            <a:pPr algn="l"/>
            <a:t>692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98EBFC4-0DEC-4719-91D7-8842FD9E870B}" type="TxLink">
            <a:rPr lang="de-DE" sz="1100"/>
            <a:pPr algn="l"/>
            <a:t>829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54A77F6-FCCF-416F-8001-AA7C1C688F5B}" type="TxLink">
            <a:rPr lang="de-DE" sz="1100"/>
            <a:pPr algn="l"/>
            <a:t>896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A259E80-A7F9-47E4-A1B2-E95C6F3CB853}" type="TxLink">
            <a:rPr lang="de-DE" sz="1100"/>
            <a:pPr algn="l"/>
            <a:t>896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32B69FE-F1C4-4834-B73C-3FFDB67030E7}" type="TxLink">
            <a:rPr lang="de-DE" sz="1100"/>
            <a:pPr algn="l"/>
            <a:t>896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0">
          <a:hlinkClick xmlns:r="http://schemas.openxmlformats.org/officeDocument/2006/relationships" r:id="rId1"/>
        </xdr:cNvPr>
        <xdr:cNvSpPr>
          <a:spLocks noChangeArrowheads="1"/>
        </xdr:cNvSpPr>
      </xdr:nvSpPr>
      <xdr:spPr bwMode="auto">
        <a:xfrm>
          <a:off x="3267075" y="9525"/>
          <a:ext cx="1628775" cy="16002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DC6D685-8D8D-4140-B2AF-15198878C16A}"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4" name="Rechteck 3"/>
        <xdr:cNvSpPr/>
      </xdr:nvSpPr>
      <xdr:spPr bwMode="auto">
        <a:xfrm>
          <a:off x="9667875" y="9525"/>
          <a:ext cx="446120"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DB0259A-F851-493D-A6AC-5F93CB0AC772}"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5" name="Rechteck 4"/>
        <xdr:cNvSpPr/>
      </xdr:nvSpPr>
      <xdr:spPr bwMode="auto">
        <a:xfrm>
          <a:off x="12087225" y="0"/>
          <a:ext cx="4371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9DDA3A1-8F59-4B11-A4EF-31CA6CA966FF}" type="TxLink">
            <a:rPr lang="de-DE" sz="1100" b="0" i="0" u="none" strike="noStrike">
              <a:solidFill>
                <a:srgbClr val="000000"/>
              </a:solidFill>
              <a:latin typeface="Arial"/>
              <a:cs typeface="Arial"/>
            </a:rPr>
            <a:pPr algn="l"/>
            <a:t>298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 y="0"/>
          <a:ext cx="1945281" cy="16764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4</xdr:col>
      <xdr:colOff>66675</xdr:colOff>
      <xdr:row>0</xdr:row>
      <xdr:rowOff>9525</xdr:rowOff>
    </xdr:from>
    <xdr:to>
      <xdr:col>6</xdr:col>
      <xdr:colOff>95250</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2146935" y="9525"/>
          <a:ext cx="1468755" cy="266700"/>
        </a:xfrm>
        <a:prstGeom prst="rect">
          <a:avLst/>
        </a:prstGeom>
        <a:solidFill>
          <a:schemeClr val="tx2">
            <a:lumMod val="20000"/>
            <a:lumOff val="80000"/>
          </a:schemeClr>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180975</xdr:colOff>
          <xdr:row>2</xdr:row>
          <xdr:rowOff>247650</xdr:rowOff>
        </xdr:from>
        <xdr:to>
          <xdr:col>13</xdr:col>
          <xdr:colOff>19050</xdr:colOff>
          <xdr:row>4</xdr:row>
          <xdr:rowOff>57150</xdr:rowOff>
        </xdr:to>
        <xdr:sp macro="" textlink="">
          <xdr:nvSpPr>
            <xdr:cNvPr id="191489" name="Check Box 1" hidden="1">
              <a:extLst>
                <a:ext uri="{63B3BB69-23CF-44E3-9099-C40C66FF867C}">
                  <a14:compatExt spid="_x0000_s191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1</xdr:row>
          <xdr:rowOff>257175</xdr:rowOff>
        </xdr:from>
        <xdr:to>
          <xdr:col>13</xdr:col>
          <xdr:colOff>9525</xdr:colOff>
          <xdr:row>3</xdr:row>
          <xdr:rowOff>19050</xdr:rowOff>
        </xdr:to>
        <xdr:sp macro="" textlink="">
          <xdr:nvSpPr>
            <xdr:cNvPr id="191490" name="Check Box 2" hidden="1">
              <a:extLst>
                <a:ext uri="{63B3BB69-23CF-44E3-9099-C40C66FF867C}">
                  <a14:compatExt spid="_x0000_s191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5" name="Rechteck 4"/>
        <xdr:cNvSpPr/>
      </xdr:nvSpPr>
      <xdr:spPr bwMode="auto">
        <a:xfrm>
          <a:off x="550836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E030E34-C928-4F16-96BA-CE0FC3715C5C}" type="TxLink">
            <a:rPr lang="de-DE" sz="1100" b="0" i="0" u="none" strike="noStrike">
              <a:solidFill>
                <a:srgbClr val="000000"/>
              </a:solidFill>
              <a:latin typeface="Arial"/>
              <a:cs typeface="Arial"/>
            </a:rPr>
            <a:pPr algn="l"/>
            <a:t>0 </a:t>
          </a:fld>
          <a:endParaRPr lang="de-DE" sz="1100"/>
        </a:p>
      </xdr:txBody>
    </xdr:sp>
    <xdr:clientData/>
  </xdr:twoCellAnchor>
  <xdr:twoCellAnchor>
    <xdr:from>
      <xdr:col>12</xdr:col>
      <xdr:colOff>66675</xdr:colOff>
      <xdr:row>0</xdr:row>
      <xdr:rowOff>9525</xdr:rowOff>
    </xdr:from>
    <xdr:to>
      <xdr:col>12</xdr:col>
      <xdr:colOff>512795</xdr:colOff>
      <xdr:row>0</xdr:row>
      <xdr:rowOff>200024</xdr:rowOff>
    </xdr:to>
    <xdr:sp macro="" textlink="$M$1">
      <xdr:nvSpPr>
        <xdr:cNvPr id="6" name="Rechteck 5"/>
        <xdr:cNvSpPr/>
      </xdr:nvSpPr>
      <xdr:spPr bwMode="auto">
        <a:xfrm>
          <a:off x="7168515" y="9525"/>
          <a:ext cx="4461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8F635ED-755D-4430-8ADA-2D4F6A69C9F3}" type="TxLink">
            <a:rPr lang="de-DE" sz="1100" b="0" i="0" u="none" strike="noStrike">
              <a:solidFill>
                <a:srgbClr val="000000"/>
              </a:solidFill>
              <a:latin typeface="Arial"/>
              <a:cs typeface="Arial"/>
            </a:rPr>
            <a:pPr algn="l"/>
            <a:t>0 </a:t>
          </a:fld>
          <a:endParaRPr lang="de-DE" sz="1100"/>
        </a:p>
      </xdr:txBody>
    </xdr:sp>
    <xdr:clientData/>
  </xdr:twoCellAnchor>
  <xdr:twoCellAnchor>
    <xdr:from>
      <xdr:col>15</xdr:col>
      <xdr:colOff>85725</xdr:colOff>
      <xdr:row>0</xdr:row>
      <xdr:rowOff>0</xdr:rowOff>
    </xdr:from>
    <xdr:to>
      <xdr:col>15</xdr:col>
      <xdr:colOff>522923</xdr:colOff>
      <xdr:row>0</xdr:row>
      <xdr:rowOff>190499</xdr:rowOff>
    </xdr:to>
    <xdr:sp macro="" textlink="$P$1">
      <xdr:nvSpPr>
        <xdr:cNvPr id="7" name="Rechteck 6"/>
        <xdr:cNvSpPr/>
      </xdr:nvSpPr>
      <xdr:spPr bwMode="auto">
        <a:xfrm>
          <a:off x="8894445" y="0"/>
          <a:ext cx="437198"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4BDA16C-2216-4F65-9CCB-C8DA313FDFC6}" type="TxLink">
            <a:rPr lang="de-DE" sz="1100" b="0" i="0" u="none" strike="noStrike">
              <a:solidFill>
                <a:srgbClr val="000000"/>
              </a:solidFill>
              <a:latin typeface="Arial"/>
              <a:cs typeface="Arial"/>
            </a:rPr>
            <a:pPr algn="l"/>
            <a:t>0 </a:t>
          </a:fld>
          <a:endParaRPr lang="de-DE" sz="1100"/>
        </a:p>
      </xdr:txBody>
    </xdr:sp>
    <xdr:clientData/>
  </xdr:twoCellAnchor>
  <xdr:twoCellAnchor>
    <xdr:from>
      <xdr:col>1</xdr:col>
      <xdr:colOff>0</xdr:colOff>
      <xdr:row>0</xdr:row>
      <xdr:rowOff>0</xdr:rowOff>
    </xdr:from>
    <xdr:to>
      <xdr:col>3</xdr:col>
      <xdr:colOff>345081</xdr:colOff>
      <xdr:row>0</xdr:row>
      <xdr:rowOff>266700</xdr:rowOff>
    </xdr:to>
    <xdr:sp macro="" textlink="">
      <xdr:nvSpPr>
        <xdr:cNvPr id="8" name="Rectangle 40">
          <a:hlinkClick xmlns:r="http://schemas.openxmlformats.org/officeDocument/2006/relationships" r:id="rId2"/>
        </xdr:cNvPr>
        <xdr:cNvSpPr>
          <a:spLocks noChangeArrowheads="1"/>
        </xdr:cNvSpPr>
      </xdr:nvSpPr>
      <xdr:spPr bwMode="auto">
        <a:xfrm>
          <a:off x="114300" y="0"/>
          <a:ext cx="1602381" cy="266700"/>
        </a:xfrm>
        <a:prstGeom prst="rect">
          <a:avLst/>
        </a:prstGeom>
        <a:solidFill>
          <a:srgbClr val="B4FA6E"/>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wsDr>
</file>

<file path=xl/drawings/drawing6.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60.xml><?xml version="1.0" encoding="utf-8"?>
<xdr:wsDr xmlns:xdr="http://schemas.openxmlformats.org/drawingml/2006/spreadsheetDrawing" xmlns:a="http://schemas.openxmlformats.org/drawingml/2006/main">
  <xdr:twoCellAnchor>
    <xdr:from>
      <xdr:col>0</xdr:col>
      <xdr:colOff>114300</xdr:colOff>
      <xdr:row>51</xdr:row>
      <xdr:rowOff>45720</xdr:rowOff>
    </xdr:from>
    <xdr:to>
      <xdr:col>11</xdr:col>
      <xdr:colOff>502920</xdr:colOff>
      <xdr:row>79</xdr:row>
      <xdr:rowOff>60960</xdr:rowOff>
    </xdr:to>
    <xdr:graphicFrame macro="">
      <xdr:nvGraphicFramePr>
        <xdr:cNvPr id="2" name="Diagramm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106680</xdr:colOff>
      <xdr:row>27</xdr:row>
      <xdr:rowOff>121920</xdr:rowOff>
    </xdr:from>
    <xdr:to>
      <xdr:col>11</xdr:col>
      <xdr:colOff>449580</xdr:colOff>
      <xdr:row>51</xdr:row>
      <xdr:rowOff>160020</xdr:rowOff>
    </xdr:to>
    <xdr:graphicFrame macro="">
      <xdr:nvGraphicFramePr>
        <xdr:cNvPr id="3" name="Diagram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xdr:colOff>
      <xdr:row>2</xdr:row>
      <xdr:rowOff>7620</xdr:rowOff>
    </xdr:from>
    <xdr:to>
      <xdr:col>11</xdr:col>
      <xdr:colOff>548640</xdr:colOff>
      <xdr:row>25</xdr:row>
      <xdr:rowOff>121920</xdr:rowOff>
    </xdr:to>
    <xdr:graphicFrame macro="">
      <xdr:nvGraphicFramePr>
        <xdr:cNvPr id="4" name="Diagram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9524</xdr:colOff>
      <xdr:row>1</xdr:row>
      <xdr:rowOff>0</xdr:rowOff>
    </xdr:from>
    <xdr:to>
      <xdr:col>2</xdr:col>
      <xdr:colOff>759330</xdr:colOff>
      <xdr:row>1</xdr:row>
      <xdr:rowOff>276225</xdr:rowOff>
    </xdr:to>
    <xdr:sp macro="" textlink="">
      <xdr:nvSpPr>
        <xdr:cNvPr id="5" name="Rectangle 17">
          <a:hlinkClick xmlns:r="http://schemas.openxmlformats.org/officeDocument/2006/relationships" r:id="rId4"/>
        </xdr:cNvPr>
        <xdr:cNvSpPr>
          <a:spLocks noChangeArrowheads="1"/>
        </xdr:cNvSpPr>
      </xdr:nvSpPr>
      <xdr:spPr bwMode="auto">
        <a:xfrm>
          <a:off x="802004" y="167640"/>
          <a:ext cx="1542286" cy="169545"/>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1</xdr:col>
      <xdr:colOff>370936</xdr:colOff>
      <xdr:row>27</xdr:row>
      <xdr:rowOff>25879</xdr:rowOff>
    </xdr:from>
    <xdr:to>
      <xdr:col>2</xdr:col>
      <xdr:colOff>181128</xdr:colOff>
      <xdr:row>28</xdr:row>
      <xdr:rowOff>42815</xdr:rowOff>
    </xdr:to>
    <xdr:sp macro="" textlink="">
      <xdr:nvSpPr>
        <xdr:cNvPr id="6" name="Textfeld 5"/>
        <xdr:cNvSpPr txBox="1"/>
      </xdr:nvSpPr>
      <xdr:spPr>
        <a:xfrm>
          <a:off x="1163416" y="4552159"/>
          <a:ext cx="602672" cy="1845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t>€/ha</a:t>
          </a:r>
        </a:p>
      </xdr:txBody>
    </xdr:sp>
    <xdr:clientData/>
  </xdr:twoCellAnchor>
</xdr:wsDr>
</file>

<file path=xl/drawings/drawing61.xml><?xml version="1.0" encoding="utf-8"?>
<c:userShapes xmlns:c="http://schemas.openxmlformats.org/drawingml/2006/chart">
  <cdr:relSizeAnchor xmlns:cdr="http://schemas.openxmlformats.org/drawingml/2006/chartDrawing">
    <cdr:from>
      <cdr:x>0.00099</cdr:x>
      <cdr:y>0.00888</cdr:y>
    </cdr:from>
    <cdr:to>
      <cdr:x>0.00608</cdr:x>
      <cdr:y>0.017</cdr:y>
    </cdr:to>
    <cdr:sp macro="" textlink="">
      <cdr:nvSpPr>
        <cdr:cNvPr id="4" name="Text 16"/>
        <cdr:cNvSpPr txBox="1">
          <a:spLocks xmlns:a="http://schemas.openxmlformats.org/drawingml/2006/main" noChangeArrowheads="1"/>
        </cdr:cNvSpPr>
      </cdr:nvSpPr>
      <cdr:spPr bwMode="auto">
        <a:xfrm xmlns:a="http://schemas.openxmlformats.org/drawingml/2006/main" flipH="1">
          <a:off x="0" y="50034"/>
          <a:ext cx="50958" cy="45719"/>
        </a:xfrm>
        <a:prstGeom xmlns:a="http://schemas.openxmlformats.org/drawingml/2006/main" prst="rect">
          <a:avLst/>
        </a:prstGeom>
        <a:solidFill xmlns:a="http://schemas.openxmlformats.org/drawingml/2006/main">
          <a:srgbClr val="FFFFFF"/>
        </a:solidFill>
        <a:ln xmlns:a="http://schemas.openxmlformats.org/drawingml/2006/main">
          <a:noFill/>
        </a:ln>
        <a:extLst xmlns:a="http://schemas.openxmlformats.org/drawingml/2006/main"/>
      </cdr:spPr>
      <cdr:txBody>
        <a:bodyPr xmlns:a="http://schemas.openxmlformats.org/drawingml/2006/main" wrap="square" lIns="36576" tIns="27432" rIns="0" bIns="0" anchor="t" upright="1"/>
        <a:lstStyle xmlns:a="http://schemas.openxmlformats.org/drawingml/2006/main"/>
        <a:p xmlns:a="http://schemas.openxmlformats.org/drawingml/2006/main">
          <a:endParaRPr lang="de-DE"/>
        </a:p>
      </cdr:txBody>
    </cdr:sp>
  </cdr:relSizeAnchor>
</c:userShapes>
</file>

<file path=xl/drawings/drawing6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3" name="Rechteck 2"/>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B7FFA65-D425-4488-A4CF-9BE7DFAB421A}" type="TxLink">
            <a:rPr lang="de-DE" sz="1100"/>
            <a:pPr algn="l"/>
            <a:t>515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4" name="Rechteck 3"/>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29444F6-955B-4A94-A0CA-16E46F09B18B}" type="TxLink">
            <a:rPr lang="de-DE" sz="1100"/>
            <a:pPr algn="l"/>
            <a:t>692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5" name="Rechteck 4"/>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845966D-85A1-4473-AE49-3FA9C922BF86}" type="TxLink">
            <a:rPr lang="de-DE" sz="1100"/>
            <a:pPr algn="l"/>
            <a:t>869 </a:t>
          </a:fld>
          <a:endParaRPr lang="de-DE" sz="1100"/>
        </a:p>
      </xdr:txBody>
    </xdr:sp>
    <xdr:clientData/>
  </xdr:twoCellAnchor>
  <xdr:twoCellAnchor>
    <xdr:from>
      <xdr:col>4</xdr:col>
      <xdr:colOff>0</xdr:colOff>
      <xdr:row>0</xdr:row>
      <xdr:rowOff>0</xdr:rowOff>
    </xdr:from>
    <xdr:to>
      <xdr:col>6</xdr:col>
      <xdr:colOff>28575</xdr:colOff>
      <xdr:row>0</xdr:row>
      <xdr:rowOff>266700</xdr:rowOff>
    </xdr:to>
    <xdr:sp macro="" textlink="">
      <xdr:nvSpPr>
        <xdr:cNvPr id="6" name="Rectangle 29">
          <a:hlinkClick xmlns:r="http://schemas.openxmlformats.org/officeDocument/2006/relationships" r:id="rId2"/>
        </xdr:cNvPr>
        <xdr:cNvSpPr>
          <a:spLocks noChangeArrowheads="1"/>
        </xdr:cNvSpPr>
      </xdr:nvSpPr>
      <xdr:spPr bwMode="auto">
        <a:xfrm>
          <a:off x="3200400" y="0"/>
          <a:ext cx="1628775" cy="16764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16</xdr:col>
      <xdr:colOff>57150</xdr:colOff>
      <xdr:row>44</xdr:row>
      <xdr:rowOff>0</xdr:rowOff>
    </xdr:from>
    <xdr:to>
      <xdr:col>16</xdr:col>
      <xdr:colOff>1677953</xdr:colOff>
      <xdr:row>52</xdr:row>
      <xdr:rowOff>114300</xdr:rowOff>
    </xdr:to>
    <xdr:sp macro="" textlink="">
      <xdr:nvSpPr>
        <xdr:cNvPr id="7" name="Textfeld 6"/>
        <xdr:cNvSpPr txBox="1"/>
      </xdr:nvSpPr>
      <xdr:spPr>
        <a:xfrm>
          <a:off x="12858750" y="7376160"/>
          <a:ext cx="74450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!c</a:t>
          </a:r>
          <a:endParaRPr lang="de-DE" sz="1200" b="1">
            <a:solidFill>
              <a:srgbClr val="FF0000"/>
            </a:solidFill>
          </a:endParaRPr>
        </a:p>
      </xdr:txBody>
    </xdr:sp>
    <xdr:clientData/>
  </xdr:twoCellAnchor>
  <xdr:twoCellAnchor>
    <xdr:from>
      <xdr:col>16</xdr:col>
      <xdr:colOff>66675</xdr:colOff>
      <xdr:row>59</xdr:row>
      <xdr:rowOff>9525</xdr:rowOff>
    </xdr:from>
    <xdr:to>
      <xdr:col>16</xdr:col>
      <xdr:colOff>1702798</xdr:colOff>
      <xdr:row>66</xdr:row>
      <xdr:rowOff>247650</xdr:rowOff>
    </xdr:to>
    <xdr:sp macro="" textlink="">
      <xdr:nvSpPr>
        <xdr:cNvPr id="8" name="Textfeld 7"/>
        <xdr:cNvSpPr txBox="1"/>
      </xdr:nvSpPr>
      <xdr:spPr>
        <a:xfrm>
          <a:off x="12868275" y="9900285"/>
          <a:ext cx="736963" cy="132778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91081</xdr:colOff>
      <xdr:row>24</xdr:row>
      <xdr:rowOff>25879</xdr:rowOff>
    </xdr:from>
    <xdr:to>
      <xdr:col>16</xdr:col>
      <xdr:colOff>1739656</xdr:colOff>
      <xdr:row>32</xdr:row>
      <xdr:rowOff>71168</xdr:rowOff>
    </xdr:to>
    <xdr:sp macro="" textlink="">
      <xdr:nvSpPr>
        <xdr:cNvPr id="9" name="Textfeld 8"/>
        <xdr:cNvSpPr txBox="1"/>
      </xdr:nvSpPr>
      <xdr:spPr>
        <a:xfrm>
          <a:off x="12892681" y="4049239"/>
          <a:ext cx="711315" cy="1386409"/>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D6CEEC-FF40-49FB-8381-E174CBA413C7}" type="TxLink">
            <a:rPr lang="de-DE" sz="1100"/>
            <a:pPr algn="l"/>
            <a:t>882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1ECB5FD-C7D5-4C37-8218-138F121660D5}" type="TxLink">
            <a:rPr lang="de-DE" sz="1100"/>
            <a:pPr algn="l"/>
            <a:t>1.003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811F73E-7A0E-489C-872D-17ED2690B09D}" type="TxLink">
            <a:rPr lang="de-DE" sz="1100"/>
            <a:pPr algn="l"/>
            <a:t>1.125 </a:t>
          </a:fld>
          <a:endParaRPr lang="de-DE" sz="1100"/>
        </a:p>
      </xdr:txBody>
    </xdr:sp>
    <xdr:clientData/>
  </xdr:twoCellAnchor>
  <xdr:twoCellAnchor>
    <xdr:from>
      <xdr:col>16</xdr:col>
      <xdr:colOff>113401</xdr:colOff>
      <xdr:row>44</xdr:row>
      <xdr:rowOff>0</xdr:rowOff>
    </xdr:from>
    <xdr:to>
      <xdr:col>16</xdr:col>
      <xdr:colOff>1716134</xdr:colOff>
      <xdr:row>52</xdr:row>
      <xdr:rowOff>114300</xdr:rowOff>
    </xdr:to>
    <xdr:sp macro="" textlink="">
      <xdr:nvSpPr>
        <xdr:cNvPr id="7" name="Textfeld 6"/>
        <xdr:cNvSpPr txBox="1"/>
      </xdr:nvSpPr>
      <xdr:spPr>
        <a:xfrm>
          <a:off x="12915001" y="737616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8" name="Textfeld 7"/>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99885</xdr:colOff>
      <xdr:row>24</xdr:row>
      <xdr:rowOff>9080</xdr:rowOff>
    </xdr:from>
    <xdr:to>
      <xdr:col>16</xdr:col>
      <xdr:colOff>1744498</xdr:colOff>
      <xdr:row>32</xdr:row>
      <xdr:rowOff>43472</xdr:rowOff>
    </xdr:to>
    <xdr:sp macro="" textlink="">
      <xdr:nvSpPr>
        <xdr:cNvPr id="9" name="Textfeld 8"/>
        <xdr:cNvSpPr txBox="1"/>
      </xdr:nvSpPr>
      <xdr:spPr>
        <a:xfrm>
          <a:off x="12901485" y="4032440"/>
          <a:ext cx="699733"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E2468D4-24B5-489E-BF5B-3C2E4D6A64D4}" type="TxLink">
            <a:rPr lang="de-DE" sz="1100"/>
            <a:pPr algn="l"/>
            <a:t>791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EBABA8F-3B60-4ABD-BE71-3B17541682DD}" type="TxLink">
            <a:rPr lang="de-DE" sz="1100"/>
            <a:pPr algn="l"/>
            <a:t>968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5A751A3-F747-407D-8C7F-7B0AC75DCC9F}" type="TxLink">
            <a:rPr lang="de-DE" sz="1100"/>
            <a:pPr algn="l"/>
            <a:t>1.145 </a:t>
          </a:fld>
          <a:endParaRPr lang="de-DE" sz="1100"/>
        </a:p>
      </xdr:txBody>
    </xdr:sp>
    <xdr:clientData/>
  </xdr:twoCellAnchor>
  <xdr:twoCellAnchor>
    <xdr:from>
      <xdr:col>16</xdr:col>
      <xdr:colOff>158115</xdr:colOff>
      <xdr:row>44</xdr:row>
      <xdr:rowOff>9525</xdr:rowOff>
    </xdr:from>
    <xdr:to>
      <xdr:col>16</xdr:col>
      <xdr:colOff>1780381</xdr:colOff>
      <xdr:row>52</xdr:row>
      <xdr:rowOff>123825</xdr:rowOff>
    </xdr:to>
    <xdr:sp macro="" textlink="">
      <xdr:nvSpPr>
        <xdr:cNvPr id="7" name="Textfeld 6"/>
        <xdr:cNvSpPr txBox="1"/>
      </xdr:nvSpPr>
      <xdr:spPr>
        <a:xfrm>
          <a:off x="12959715" y="7385685"/>
          <a:ext cx="63928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8" name="Textfeld 7"/>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108965</xdr:colOff>
      <xdr:row>24</xdr:row>
      <xdr:rowOff>9081</xdr:rowOff>
    </xdr:from>
    <xdr:to>
      <xdr:col>16</xdr:col>
      <xdr:colOff>1753860</xdr:colOff>
      <xdr:row>32</xdr:row>
      <xdr:rowOff>43473</xdr:rowOff>
    </xdr:to>
    <xdr:sp macro="" textlink="">
      <xdr:nvSpPr>
        <xdr:cNvPr id="9" name="Textfeld 8"/>
        <xdr:cNvSpPr txBox="1"/>
      </xdr:nvSpPr>
      <xdr:spPr>
        <a:xfrm>
          <a:off x="12910565" y="4032441"/>
          <a:ext cx="692395" cy="13755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128641</xdr:colOff>
      <xdr:row>0</xdr:row>
      <xdr:rowOff>30480</xdr:rowOff>
    </xdr:from>
    <xdr:to>
      <xdr:col>10</xdr:col>
      <xdr:colOff>15264</xdr:colOff>
      <xdr:row>0</xdr:row>
      <xdr:rowOff>220979</xdr:rowOff>
    </xdr:to>
    <xdr:sp macro="" textlink="$J$1">
      <xdr:nvSpPr>
        <xdr:cNvPr id="4" name="Rechteck 3"/>
        <xdr:cNvSpPr/>
      </xdr:nvSpPr>
      <xdr:spPr bwMode="auto">
        <a:xfrm>
          <a:off x="5432161" y="3048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3FD1453-EF47-4B17-85DD-AC824B4BA7DE}" type="TxLink">
            <a:rPr lang="de-DE" sz="1100"/>
            <a:pPr algn="l"/>
            <a:t>829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DCF6DF9-D82B-448B-9EC0-641DB0C15B05}" type="TxLink">
            <a:rPr lang="de-DE" sz="1100"/>
            <a:pPr algn="l"/>
            <a:t>950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7D386BF-C6EE-45A4-9D56-B660B733F007}" type="TxLink">
            <a:rPr lang="de-DE" sz="1100"/>
            <a:pPr algn="l"/>
            <a:t>1.072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66675</xdr:colOff>
      <xdr:row>60</xdr:row>
      <xdr:rowOff>0</xdr:rowOff>
    </xdr:from>
    <xdr:to>
      <xdr:col>16</xdr:col>
      <xdr:colOff>1702798</xdr:colOff>
      <xdr:row>68</xdr:row>
      <xdr:rowOff>1905</xdr:rowOff>
    </xdr:to>
    <xdr:sp macro="" textlink="">
      <xdr:nvSpPr>
        <xdr:cNvPr id="8" name="Textfeld 7"/>
        <xdr:cNvSpPr txBox="1"/>
      </xdr:nvSpPr>
      <xdr:spPr>
        <a:xfrm>
          <a:off x="12868275" y="10058400"/>
          <a:ext cx="7369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73956</xdr:colOff>
      <xdr:row>25</xdr:row>
      <xdr:rowOff>10931</xdr:rowOff>
    </xdr:from>
    <xdr:to>
      <xdr:col>16</xdr:col>
      <xdr:colOff>1726491</xdr:colOff>
      <xdr:row>33</xdr:row>
      <xdr:rowOff>83523</xdr:rowOff>
    </xdr:to>
    <xdr:sp macro="" textlink="">
      <xdr:nvSpPr>
        <xdr:cNvPr id="9" name="Textfeld 8"/>
        <xdr:cNvSpPr txBox="1"/>
      </xdr:nvSpPr>
      <xdr:spPr>
        <a:xfrm>
          <a:off x="12875556" y="4201931"/>
          <a:ext cx="722895" cy="141371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baseline="0">
              <a:solidFill>
                <a:srgbClr val="FF0000"/>
              </a:solidFill>
            </a:rPr>
            <a:t>N- Bindung der Leguminosen  wird als negative Abfuhr in kg je t FM dargestellt.</a:t>
          </a:r>
        </a:p>
        <a:p>
          <a:pPr>
            <a:lnSpc>
              <a:spcPts val="1400"/>
            </a:lnSpc>
          </a:pPr>
          <a:r>
            <a:rPr lang="de-DE" sz="1200" b="1" baseline="0">
              <a:solidFill>
                <a:srgbClr val="FF0000"/>
              </a:solidFill>
            </a:rPr>
            <a:t>Der Abschlag kg je ha stellt die Auswaschungsverluste dar.</a:t>
          </a:r>
          <a:endParaRPr lang="de-DE" sz="1200" b="1">
            <a:solidFill>
              <a:srgbClr val="FF0000"/>
            </a:solidFill>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95250</xdr:colOff>
      <xdr:row>0</xdr:row>
      <xdr:rowOff>9525</xdr:rowOff>
    </xdr:from>
    <xdr:to>
      <xdr:col>9</xdr:col>
      <xdr:colOff>526853</xdr:colOff>
      <xdr:row>0</xdr:row>
      <xdr:rowOff>200024</xdr:rowOff>
    </xdr:to>
    <xdr:sp macro="" textlink="$J$1">
      <xdr:nvSpPr>
        <xdr:cNvPr id="4" name="Rechteck 3"/>
        <xdr:cNvSpPr/>
      </xdr:nvSpPr>
      <xdr:spPr bwMode="auto">
        <a:xfrm>
          <a:off x="7296150" y="9525"/>
          <a:ext cx="43160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54870D9-642F-48CA-912F-D09F6E80205D}" type="TxLink">
            <a:rPr lang="de-DE" sz="1100"/>
            <a:pPr algn="l"/>
            <a:t>1.459 </a:t>
          </a:fld>
          <a:endParaRPr lang="de-DE" sz="1100"/>
        </a:p>
      </xdr:txBody>
    </xdr:sp>
    <xdr:clientData/>
  </xdr:twoCellAnchor>
  <xdr:twoCellAnchor>
    <xdr:from>
      <xdr:col>12</xdr:col>
      <xdr:colOff>66675</xdr:colOff>
      <xdr:row>0</xdr:row>
      <xdr:rowOff>19050</xdr:rowOff>
    </xdr:from>
    <xdr:to>
      <xdr:col>12</xdr:col>
      <xdr:colOff>497512</xdr:colOff>
      <xdr:row>0</xdr:row>
      <xdr:rowOff>206250</xdr:rowOff>
    </xdr:to>
    <xdr:sp macro="" textlink="$M$1">
      <xdr:nvSpPr>
        <xdr:cNvPr id="5" name="Rechteck 4"/>
        <xdr:cNvSpPr/>
      </xdr:nvSpPr>
      <xdr:spPr bwMode="auto">
        <a:xfrm>
          <a:off x="9667875" y="19050"/>
          <a:ext cx="430837" cy="149100"/>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AB6034D-C4F4-4DBF-950A-E06EDC46405F}" type="TxLink">
            <a:rPr lang="de-DE" sz="1100"/>
            <a:pPr algn="l"/>
            <a:t>1.900 </a:t>
          </a:fld>
          <a:endParaRPr lang="de-DE" sz="1100"/>
        </a:p>
      </xdr:txBody>
    </xdr:sp>
    <xdr:clientData/>
  </xdr:twoCellAnchor>
  <xdr:twoCellAnchor>
    <xdr:from>
      <xdr:col>15</xdr:col>
      <xdr:colOff>95250</xdr:colOff>
      <xdr:row>0</xdr:row>
      <xdr:rowOff>28575</xdr:rowOff>
    </xdr:from>
    <xdr:to>
      <xdr:col>15</xdr:col>
      <xdr:colOff>526853</xdr:colOff>
      <xdr:row>0</xdr:row>
      <xdr:rowOff>219074</xdr:rowOff>
    </xdr:to>
    <xdr:sp macro="" textlink="$P$1">
      <xdr:nvSpPr>
        <xdr:cNvPr id="6" name="Rechteck 5"/>
        <xdr:cNvSpPr/>
      </xdr:nvSpPr>
      <xdr:spPr bwMode="auto">
        <a:xfrm>
          <a:off x="12096750" y="28575"/>
          <a:ext cx="431603" cy="13715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7E94E8A-CB8D-40C8-AC2A-DB5081274EC6}" type="TxLink">
            <a:rPr lang="de-DE" sz="1100"/>
            <a:pPr algn="l"/>
            <a:t>2.781 </a:t>
          </a:fld>
          <a:endParaRPr lang="de-DE" sz="1100"/>
        </a:p>
      </xdr:txBody>
    </xdr:sp>
    <xdr:clientData/>
  </xdr:twoCellAnchor>
  <xdr:twoCellAnchor>
    <xdr:from>
      <xdr:col>16</xdr:col>
      <xdr:colOff>160020</xdr:colOff>
      <xdr:row>45</xdr:row>
      <xdr:rowOff>0</xdr:rowOff>
    </xdr:from>
    <xdr:to>
      <xdr:col>16</xdr:col>
      <xdr:colOff>1797425</xdr:colOff>
      <xdr:row>53</xdr:row>
      <xdr:rowOff>114300</xdr:rowOff>
    </xdr:to>
    <xdr:sp macro="" textlink="">
      <xdr:nvSpPr>
        <xdr:cNvPr id="7" name="Textfeld 6"/>
        <xdr:cNvSpPr txBox="1"/>
      </xdr:nvSpPr>
      <xdr:spPr>
        <a:xfrm>
          <a:off x="12961620" y="7543800"/>
          <a:ext cx="639185"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60</xdr:row>
      <xdr:rowOff>0</xdr:rowOff>
    </xdr:from>
    <xdr:to>
      <xdr:col>16</xdr:col>
      <xdr:colOff>1677953</xdr:colOff>
      <xdr:row>68</xdr:row>
      <xdr:rowOff>1905</xdr:rowOff>
    </xdr:to>
    <xdr:sp macro="" textlink="">
      <xdr:nvSpPr>
        <xdr:cNvPr id="8" name="Textfeld 7"/>
        <xdr:cNvSpPr txBox="1"/>
      </xdr:nvSpPr>
      <xdr:spPr>
        <a:xfrm>
          <a:off x="12858750" y="1005840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3</xdr:row>
          <xdr:rowOff>9525</xdr:rowOff>
        </xdr:from>
        <xdr:to>
          <xdr:col>12</xdr:col>
          <xdr:colOff>400050</xdr:colOff>
          <xdr:row>3</xdr:row>
          <xdr:rowOff>238125</xdr:rowOff>
        </xdr:to>
        <xdr:sp macro="" textlink="">
          <xdr:nvSpPr>
            <xdr:cNvPr id="70671" name="Check Box 15" hidden="1">
              <a:extLst>
                <a:ext uri="{63B3BB69-23CF-44E3-9099-C40C66FF867C}">
                  <a14:compatExt spid="_x0000_s706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2</xdr:row>
          <xdr:rowOff>47625</xdr:rowOff>
        </xdr:from>
        <xdr:to>
          <xdr:col>12</xdr:col>
          <xdr:colOff>428625</xdr:colOff>
          <xdr:row>3</xdr:row>
          <xdr:rowOff>9525</xdr:rowOff>
        </xdr:to>
        <xdr:sp macro="" textlink="">
          <xdr:nvSpPr>
            <xdr:cNvPr id="70672" name="Check Box 16" hidden="1">
              <a:extLst>
                <a:ext uri="{63B3BB69-23CF-44E3-9099-C40C66FF867C}">
                  <a14:compatExt spid="_x0000_s706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7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7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3392CE58-6E41-4EE6-B750-03C74169A29D}" type="TxLink">
            <a:rPr lang="de-DE" sz="1100">
              <a:solidFill>
                <a:schemeClr val="dk1"/>
              </a:solidFill>
              <a:latin typeface="+mn-lt"/>
              <a:ea typeface="+mn-ea"/>
              <a:cs typeface="+mn-cs"/>
            </a:rPr>
            <a:pPr marL="0" indent="0" algn="l"/>
            <a:t>1.338 </a:t>
          </a:fld>
          <a:endParaRPr lang="de-DE" sz="1100">
            <a:solidFill>
              <a:schemeClr val="dk1"/>
            </a:solidFill>
            <a:latin typeface="+mn-lt"/>
            <a:ea typeface="+mn-ea"/>
            <a:cs typeface="+mn-cs"/>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541F33-8A21-4DA4-BC43-4DF6F263C60E}" type="TxLink">
            <a:rPr lang="de-DE" sz="1100"/>
            <a:pPr algn="l"/>
            <a:t>1.760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C82BDE-97AA-4A08-BF1B-BB18D27A07D6}" type="TxLink">
            <a:rPr lang="de-DE" sz="1100"/>
            <a:pPr algn="l"/>
            <a:t>2.984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371475</xdr:colOff>
          <xdr:row>3</xdr:row>
          <xdr:rowOff>209550</xdr:rowOff>
        </xdr:to>
        <xdr:sp macro="" textlink="">
          <xdr:nvSpPr>
            <xdr:cNvPr id="69648" name="Check Box 16" hidden="1">
              <a:extLst>
                <a:ext uri="{63B3BB69-23CF-44E3-9099-C40C66FF867C}">
                  <a14:compatExt spid="_x0000_s696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2</xdr:row>
          <xdr:rowOff>9525</xdr:rowOff>
        </xdr:from>
        <xdr:to>
          <xdr:col>12</xdr:col>
          <xdr:colOff>381000</xdr:colOff>
          <xdr:row>2</xdr:row>
          <xdr:rowOff>247650</xdr:rowOff>
        </xdr:to>
        <xdr:sp macro="" textlink="">
          <xdr:nvSpPr>
            <xdr:cNvPr id="69649" name="Check Box 17" hidden="1">
              <a:extLst>
                <a:ext uri="{63B3BB69-23CF-44E3-9099-C40C66FF867C}">
                  <a14:compatExt spid="_x0000_s696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104775</xdr:colOff>
      <xdr:row>44</xdr:row>
      <xdr:rowOff>0</xdr:rowOff>
    </xdr:from>
    <xdr:to>
      <xdr:col>16</xdr:col>
      <xdr:colOff>1717904</xdr:colOff>
      <xdr:row>52</xdr:row>
      <xdr:rowOff>114300</xdr:rowOff>
    </xdr:to>
    <xdr:sp macro="" textlink="">
      <xdr:nvSpPr>
        <xdr:cNvPr id="9" name="Textfeld 8"/>
        <xdr:cNvSpPr txBox="1"/>
      </xdr:nvSpPr>
      <xdr:spPr>
        <a:xfrm>
          <a:off x="12906375" y="7376160"/>
          <a:ext cx="6987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59</xdr:row>
      <xdr:rowOff>0</xdr:rowOff>
    </xdr:from>
    <xdr:to>
      <xdr:col>16</xdr:col>
      <xdr:colOff>1704138</xdr:colOff>
      <xdr:row>66</xdr:row>
      <xdr:rowOff>238125</xdr:rowOff>
    </xdr:to>
    <xdr:sp macro="" textlink="">
      <xdr:nvSpPr>
        <xdr:cNvPr id="10" name="Textfeld 9"/>
        <xdr:cNvSpPr txBox="1"/>
      </xdr:nvSpPr>
      <xdr:spPr>
        <a:xfrm>
          <a:off x="12877800" y="989076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1" name="Rechteck 10"/>
        <xdr:cNvSpPr/>
      </xdr:nvSpPr>
      <xdr:spPr bwMode="auto">
        <a:xfrm>
          <a:off x="729043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29444F6-955B-4A94-A0CA-16E46F09B18B}" type="TxLink">
            <a:rPr lang="de-DE" sz="1100">
              <a:solidFill>
                <a:schemeClr val="dk1"/>
              </a:solidFill>
              <a:latin typeface="+mn-lt"/>
              <a:ea typeface="+mn-ea"/>
              <a:cs typeface="+mn-cs"/>
            </a:rPr>
            <a:pPr marL="0" indent="0" algn="l"/>
            <a:t>1.760 </a:t>
          </a:fld>
          <a:endParaRPr lang="de-DE" sz="1100">
            <a:solidFill>
              <a:schemeClr val="dk1"/>
            </a:solidFill>
            <a:latin typeface="+mn-lt"/>
            <a:ea typeface="+mn-ea"/>
            <a:cs typeface="+mn-cs"/>
          </a:endParaRPr>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2" name="Rechteck 11"/>
        <xdr:cNvSpPr/>
      </xdr:nvSpPr>
      <xdr:spPr bwMode="auto">
        <a:xfrm>
          <a:off x="896112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marL="0" indent="0" algn="l"/>
          <a:fld id="{7845966D-85A1-4473-AE49-3FA9C922BF86}" type="TxLink">
            <a:rPr lang="de-DE" sz="1100">
              <a:solidFill>
                <a:schemeClr val="dk1"/>
              </a:solidFill>
              <a:latin typeface="+mn-lt"/>
              <a:ea typeface="+mn-ea"/>
              <a:cs typeface="+mn-cs"/>
            </a:rPr>
            <a:pPr marL="0" indent="0" algn="l"/>
            <a:t>2.984 </a:t>
          </a:fld>
          <a:endParaRPr lang="de-DE" sz="1100">
            <a:solidFill>
              <a:schemeClr val="dk1"/>
            </a:solidFill>
            <a:latin typeface="+mn-lt"/>
            <a:ea typeface="+mn-ea"/>
            <a:cs typeface="+mn-cs"/>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9772A9A-9DD7-4B81-808C-3B799CAC1CC1}" type="TxLink">
            <a:rPr lang="de-DE" sz="1100"/>
            <a:pPr algn="l"/>
            <a:t>987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0A904B5-F21D-401C-A68E-36F4445BE98A}" type="TxLink">
            <a:rPr lang="de-DE" sz="1100"/>
            <a:pPr algn="l"/>
            <a:t>1.330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8FDA42B-B96E-425E-9220-35B072BF6C76}" type="TxLink">
            <a:rPr lang="de-DE" sz="1100"/>
            <a:pPr algn="l"/>
            <a:t>1.722 </a:t>
          </a:fld>
          <a:endParaRPr lang="de-DE" sz="1100"/>
        </a:p>
      </xdr:txBody>
    </xdr:sp>
    <xdr:clientData/>
  </xdr:twoCellAnchor>
  <xdr:twoCellAnchor>
    <xdr:from>
      <xdr:col>16</xdr:col>
      <xdr:colOff>141976</xdr:colOff>
      <xdr:row>45</xdr:row>
      <xdr:rowOff>0</xdr:rowOff>
    </xdr:from>
    <xdr:to>
      <xdr:col>16</xdr:col>
      <xdr:colOff>1744175</xdr:colOff>
      <xdr:row>53</xdr:row>
      <xdr:rowOff>114300</xdr:rowOff>
    </xdr:to>
    <xdr:sp macro="" textlink="">
      <xdr:nvSpPr>
        <xdr:cNvPr id="7" name="Textfeld 6"/>
        <xdr:cNvSpPr txBox="1"/>
      </xdr:nvSpPr>
      <xdr:spPr>
        <a:xfrm>
          <a:off x="12943576" y="7543800"/>
          <a:ext cx="65731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85725</xdr:colOff>
      <xdr:row>60</xdr:row>
      <xdr:rowOff>0</xdr:rowOff>
    </xdr:from>
    <xdr:to>
      <xdr:col>16</xdr:col>
      <xdr:colOff>1705799</xdr:colOff>
      <xdr:row>68</xdr:row>
      <xdr:rowOff>1905</xdr:rowOff>
    </xdr:to>
    <xdr:sp macro="" textlink="">
      <xdr:nvSpPr>
        <xdr:cNvPr id="8" name="Textfeld 7"/>
        <xdr:cNvSpPr txBox="1"/>
      </xdr:nvSpPr>
      <xdr:spPr>
        <a:xfrm>
          <a:off x="12887325" y="10058400"/>
          <a:ext cx="713294"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114300</xdr:colOff>
          <xdr:row>2</xdr:row>
          <xdr:rowOff>257175</xdr:rowOff>
        </xdr:from>
        <xdr:to>
          <xdr:col>12</xdr:col>
          <xdr:colOff>381000</xdr:colOff>
          <xdr:row>3</xdr:row>
          <xdr:rowOff>209550</xdr:rowOff>
        </xdr:to>
        <xdr:sp macro="" textlink="">
          <xdr:nvSpPr>
            <xdr:cNvPr id="71695" name="Check Box 15" hidden="1">
              <a:extLst>
                <a:ext uri="{63B3BB69-23CF-44E3-9099-C40C66FF867C}">
                  <a14:compatExt spid="_x0000_s716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38100</xdr:rowOff>
        </xdr:from>
        <xdr:to>
          <xdr:col>12</xdr:col>
          <xdr:colOff>419100</xdr:colOff>
          <xdr:row>3</xdr:row>
          <xdr:rowOff>9525</xdr:rowOff>
        </xdr:to>
        <xdr:sp macro="" textlink="">
          <xdr:nvSpPr>
            <xdr:cNvPr id="71696" name="Check Box 16" hidden="1">
              <a:extLst>
                <a:ext uri="{63B3BB69-23CF-44E3-9099-C40C66FF867C}">
                  <a14:compatExt spid="_x0000_s716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18ABE6F-8959-4A88-8B57-0E0BF4757860}" type="TxLink">
            <a:rPr lang="de-DE" sz="1100"/>
            <a:pPr algn="l"/>
            <a:t>1.235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BE6CC9AC-8125-461C-AC9C-67527C353662}" type="TxLink">
            <a:rPr lang="de-DE" sz="1100"/>
            <a:pPr algn="l"/>
            <a:t>1.661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EAB785-3866-43DA-9C5D-0DAF6D308A7E}" type="TxLink">
            <a:rPr lang="de-DE" sz="1100"/>
            <a:pPr algn="l"/>
            <a:t>2.086 </a:t>
          </a:fld>
          <a:endParaRPr lang="de-DE" sz="1100"/>
        </a:p>
      </xdr:txBody>
    </xdr:sp>
    <xdr:clientData/>
  </xdr:twoCellAnchor>
  <xdr:twoCellAnchor>
    <xdr:from>
      <xdr:col>16</xdr:col>
      <xdr:colOff>142875</xdr:colOff>
      <xdr:row>45</xdr:row>
      <xdr:rowOff>0</xdr:rowOff>
    </xdr:from>
    <xdr:to>
      <xdr:col>16</xdr:col>
      <xdr:colOff>1780491</xdr:colOff>
      <xdr:row>53</xdr:row>
      <xdr:rowOff>114300</xdr:rowOff>
    </xdr:to>
    <xdr:sp macro="" textlink="">
      <xdr:nvSpPr>
        <xdr:cNvPr id="7" name="Textfeld 6"/>
        <xdr:cNvSpPr txBox="1"/>
      </xdr:nvSpPr>
      <xdr:spPr>
        <a:xfrm>
          <a:off x="12944475" y="7543800"/>
          <a:ext cx="654636"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1705872</xdr:colOff>
      <xdr:row>68</xdr:row>
      <xdr:rowOff>1905</xdr:rowOff>
    </xdr:to>
    <xdr:sp macro="" textlink="">
      <xdr:nvSpPr>
        <xdr:cNvPr id="8" name="Textfeld 7"/>
        <xdr:cNvSpPr txBox="1"/>
      </xdr:nvSpPr>
      <xdr:spPr>
        <a:xfrm>
          <a:off x="12877800" y="10058400"/>
          <a:ext cx="722892"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247650</xdr:rowOff>
        </xdr:from>
        <xdr:to>
          <xdr:col>12</xdr:col>
          <xdr:colOff>371475</xdr:colOff>
          <xdr:row>3</xdr:row>
          <xdr:rowOff>200025</xdr:rowOff>
        </xdr:to>
        <xdr:sp macro="" textlink="">
          <xdr:nvSpPr>
            <xdr:cNvPr id="72719" name="Check Box 15" hidden="1">
              <a:extLst>
                <a:ext uri="{63B3BB69-23CF-44E3-9099-C40C66FF867C}">
                  <a14:compatExt spid="_x0000_s727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2</xdr:row>
          <xdr:rowOff>38100</xdr:rowOff>
        </xdr:from>
        <xdr:to>
          <xdr:col>12</xdr:col>
          <xdr:colOff>381000</xdr:colOff>
          <xdr:row>3</xdr:row>
          <xdr:rowOff>9525</xdr:rowOff>
        </xdr:to>
        <xdr:sp macro="" textlink="">
          <xdr:nvSpPr>
            <xdr:cNvPr id="72720" name="Check Box 16" hidden="1">
              <a:extLst>
                <a:ext uri="{63B3BB69-23CF-44E3-9099-C40C66FF867C}">
                  <a14:compatExt spid="_x0000_s727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60387</xdr:colOff>
      <xdr:row>24</xdr:row>
      <xdr:rowOff>25876</xdr:rowOff>
    </xdr:from>
    <xdr:to>
      <xdr:col>10</xdr:col>
      <xdr:colOff>0</xdr:colOff>
      <xdr:row>24</xdr:row>
      <xdr:rowOff>2044461</xdr:rowOff>
    </xdr:to>
    <xdr:sp macro="" textlink="">
      <xdr:nvSpPr>
        <xdr:cNvPr id="2" name="Textfeld 1"/>
        <xdr:cNvSpPr txBox="1"/>
      </xdr:nvSpPr>
      <xdr:spPr>
        <a:xfrm>
          <a:off x="60387" y="4049236"/>
          <a:ext cx="7940613" cy="1440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0" fontAlgn="base" hangingPunct="0"/>
          <a:r>
            <a:rPr lang="de-DE" sz="1100" baseline="0">
              <a:solidFill>
                <a:schemeClr val="dk1"/>
              </a:solidFill>
              <a:effectLst/>
              <a:latin typeface="+mn-lt"/>
              <a:ea typeface="+mn-ea"/>
              <a:cs typeface="+mn-cs"/>
            </a:rPr>
            <a:t>GLÖZ-Standsards ab neuer GAP-Förderperiode 2023 bis 2027</a:t>
          </a:r>
        </a:p>
        <a:p>
          <a:pPr rtl="0" eaLnBrk="0" fontAlgn="base" hangingPunct="0"/>
          <a:endParaRPr lang="de-DE">
            <a:effectLst/>
          </a:endParaRPr>
        </a:p>
        <a:p>
          <a:pPr rtl="0" eaLnBrk="0" fontAlgn="base" latinLnBrk="0" hangingPunct="0"/>
          <a:r>
            <a:rPr lang="de-DE" sz="1100" b="1">
              <a:solidFill>
                <a:schemeClr val="dk1"/>
              </a:solidFill>
              <a:effectLst/>
              <a:latin typeface="+mn-lt"/>
              <a:ea typeface="+mn-ea"/>
              <a:cs typeface="+mn-cs"/>
            </a:rPr>
            <a:t>GLÖZ 1: Erhaltung von Dauergrünland</a:t>
          </a:r>
          <a:endParaRPr lang="de-DE">
            <a:effectLst/>
          </a:endParaRPr>
        </a:p>
        <a:p>
          <a:pPr rtl="0" eaLnBrk="0" fontAlgn="base" latinLnBrk="0" hangingPunct="0"/>
          <a:r>
            <a:rPr lang="de-DE" sz="1100" b="1">
              <a:solidFill>
                <a:schemeClr val="dk1"/>
              </a:solidFill>
              <a:effectLst/>
              <a:latin typeface="+mn-lt"/>
              <a:ea typeface="+mn-ea"/>
              <a:cs typeface="+mn-cs"/>
            </a:rPr>
            <a:t>GLÖZ 2: Schutz von Mooren und Feuchtgebieten</a:t>
          </a:r>
          <a:endParaRPr lang="de-DE">
            <a:effectLst/>
          </a:endParaRPr>
        </a:p>
        <a:p>
          <a:pPr rtl="0" eaLnBrk="0" fontAlgn="base" latinLnBrk="0" hangingPunct="0"/>
          <a:r>
            <a:rPr lang="de-DE" sz="1100" b="1">
              <a:solidFill>
                <a:schemeClr val="dk1"/>
              </a:solidFill>
              <a:effectLst/>
              <a:latin typeface="+mn-lt"/>
              <a:ea typeface="+mn-ea"/>
              <a:cs typeface="+mn-cs"/>
            </a:rPr>
            <a:t>GLÖZ 3: Verbot des Abbrennens von Stoppelfeldern</a:t>
          </a:r>
          <a:endParaRPr lang="de-DE">
            <a:effectLst/>
          </a:endParaRPr>
        </a:p>
        <a:p>
          <a:pPr rtl="0" eaLnBrk="0" fontAlgn="base" latinLnBrk="0" hangingPunct="0"/>
          <a:r>
            <a:rPr lang="de-DE" sz="1100" b="1">
              <a:solidFill>
                <a:schemeClr val="dk1"/>
              </a:solidFill>
              <a:effectLst/>
              <a:latin typeface="+mn-lt"/>
              <a:ea typeface="+mn-ea"/>
              <a:cs typeface="+mn-cs"/>
            </a:rPr>
            <a:t>GLÖZ 4: Pufferstreifen entlang von Wasserläufen</a:t>
          </a:r>
          <a:endParaRPr lang="de-DE">
            <a:effectLst/>
          </a:endParaRPr>
        </a:p>
        <a:p>
          <a:pPr rtl="0" eaLnBrk="0" fontAlgn="base" latinLnBrk="0" hangingPunct="0"/>
          <a:r>
            <a:rPr lang="de-DE" sz="1100" b="1">
              <a:solidFill>
                <a:schemeClr val="dk1"/>
              </a:solidFill>
              <a:effectLst/>
              <a:latin typeface="+mn-lt"/>
              <a:ea typeface="+mn-ea"/>
              <a:cs typeface="+mn-cs"/>
            </a:rPr>
            <a:t>GLÖZ 5: Begrenzung von Erosion</a:t>
          </a:r>
          <a:endParaRPr lang="de-DE">
            <a:effectLst/>
          </a:endParaRPr>
        </a:p>
        <a:p>
          <a:pPr rtl="0" eaLnBrk="0" fontAlgn="base" latinLnBrk="0" hangingPunct="0"/>
          <a:r>
            <a:rPr lang="de-DE" sz="1100" b="1">
              <a:solidFill>
                <a:schemeClr val="dk1"/>
              </a:solidFill>
              <a:effectLst/>
              <a:latin typeface="+mn-lt"/>
              <a:ea typeface="+mn-ea"/>
              <a:cs typeface="+mn-cs"/>
            </a:rPr>
            <a:t>GLÖZ 6: Mindestbodenbedeckung in sensibelsten Zeiten</a:t>
          </a:r>
          <a:endParaRPr lang="de-DE">
            <a:effectLst/>
          </a:endParaRPr>
        </a:p>
        <a:p>
          <a:pPr rtl="0" eaLnBrk="0" fontAlgn="base" latinLnBrk="0" hangingPunct="0"/>
          <a:r>
            <a:rPr lang="de-DE" sz="1100" b="1">
              <a:solidFill>
                <a:schemeClr val="dk1"/>
              </a:solidFill>
              <a:effectLst/>
              <a:latin typeface="+mn-lt"/>
              <a:ea typeface="+mn-ea"/>
              <a:cs typeface="+mn-cs"/>
            </a:rPr>
            <a:t>GLÖZ 7: Fruchtwechsel auf Ackerland</a:t>
          </a:r>
          <a:endParaRPr lang="de-DE">
            <a:effectLst/>
          </a:endParaRPr>
        </a:p>
        <a:p>
          <a:pPr rtl="0" eaLnBrk="0" fontAlgn="base" latinLnBrk="0" hangingPunct="0"/>
          <a:r>
            <a:rPr lang="de-DE" sz="1100" b="1">
              <a:solidFill>
                <a:schemeClr val="dk1"/>
              </a:solidFill>
              <a:effectLst/>
              <a:latin typeface="+mn-lt"/>
              <a:ea typeface="+mn-ea"/>
              <a:cs typeface="+mn-cs"/>
            </a:rPr>
            <a:t>GLÖZ 8: Mindestanteil nichtproduktiver Flächen sowie Beseitigungsverbot von Landschaftselementen</a:t>
          </a:r>
          <a:endParaRPr lang="de-DE">
            <a:effectLst/>
          </a:endParaRPr>
        </a:p>
        <a:p>
          <a:pPr rtl="0" eaLnBrk="0" fontAlgn="base" latinLnBrk="0" hangingPunct="0"/>
          <a:r>
            <a:rPr lang="de-DE" sz="1100" b="1">
              <a:solidFill>
                <a:schemeClr val="dk1"/>
              </a:solidFill>
              <a:effectLst/>
              <a:latin typeface="+mn-lt"/>
              <a:ea typeface="+mn-ea"/>
              <a:cs typeface="+mn-cs"/>
            </a:rPr>
            <a:t>GLÖZ 9: Erhaltung von umweltsensiblem Dauergrünland</a:t>
          </a:r>
          <a:endParaRPr lang="de-DE">
            <a:effectLst/>
          </a:endParaRPr>
        </a:p>
        <a:p>
          <a:pPr marL="0" marR="0" indent="0" defTabSz="914400" rtl="0" eaLnBrk="1" fontAlgn="auto" latinLnBrk="0" hangingPunct="1">
            <a:lnSpc>
              <a:spcPct val="100000"/>
            </a:lnSpc>
            <a:spcBef>
              <a:spcPts val="0"/>
            </a:spcBef>
            <a:spcAft>
              <a:spcPts val="0"/>
            </a:spcAft>
            <a:buClrTx/>
            <a:buSzTx/>
            <a:buFontTx/>
            <a:buNone/>
            <a:tabLst/>
            <a:defRPr/>
          </a:pPr>
          <a:endParaRPr lang="de-DE" sz="800" b="1">
            <a:solidFill>
              <a:schemeClr val="dk1"/>
            </a:solidFill>
            <a:effectLst/>
            <a:latin typeface="Arial" panose="020B0604020202020204" pitchFamily="34" charset="0"/>
            <a:ea typeface="+mn-ea"/>
            <a:cs typeface="Arial" panose="020B0604020202020204" pitchFamily="34" charset="0"/>
          </a:endParaRPr>
        </a:p>
        <a:p>
          <a:pPr marL="0" marR="0" indent="0" defTabSz="914400" rtl="0" eaLnBrk="1" fontAlgn="auto" latinLnBrk="0" hangingPunct="1">
            <a:lnSpc>
              <a:spcPct val="100000"/>
            </a:lnSpc>
            <a:spcBef>
              <a:spcPts val="0"/>
            </a:spcBef>
            <a:spcAft>
              <a:spcPts val="0"/>
            </a:spcAft>
            <a:buClrTx/>
            <a:buSzTx/>
            <a:buFontTx/>
            <a:buNone/>
            <a:tabLst/>
            <a:defRPr/>
          </a:pPr>
          <a:r>
            <a:rPr lang="de-DE" sz="800" b="1">
              <a:solidFill>
                <a:schemeClr val="dk1"/>
              </a:solidFill>
              <a:effectLst/>
              <a:latin typeface="Arial" panose="020B0604020202020204" pitchFamily="34" charset="0"/>
              <a:ea typeface="+mn-ea"/>
              <a:cs typeface="Arial" panose="020B0604020202020204" pitchFamily="34" charset="0"/>
            </a:rPr>
            <a:t>      </a:t>
          </a:r>
          <a:endParaRPr lang="de-DE" sz="1100">
            <a:latin typeface="Arial" panose="020B0604020202020204" pitchFamily="34" charset="0"/>
            <a:cs typeface="Arial" panose="020B0604020202020204" pitchFamily="34" charset="0"/>
          </a:endParaRPr>
        </a:p>
      </xdr:txBody>
    </xdr:sp>
    <xdr:clientData/>
  </xdr:twoCellAnchor>
  <xdr:twoCellAnchor>
    <xdr:from>
      <xdr:col>10</xdr:col>
      <xdr:colOff>387926</xdr:colOff>
      <xdr:row>4</xdr:row>
      <xdr:rowOff>207818</xdr:rowOff>
    </xdr:from>
    <xdr:to>
      <xdr:col>24</xdr:col>
      <xdr:colOff>124691</xdr:colOff>
      <xdr:row>24</xdr:row>
      <xdr:rowOff>734291</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14</xdr:col>
      <xdr:colOff>13146</xdr:colOff>
      <xdr:row>2</xdr:row>
      <xdr:rowOff>266700</xdr:rowOff>
    </xdr:to>
    <xdr:sp macro="" textlink="">
      <xdr:nvSpPr>
        <xdr:cNvPr id="6" name="Rectangle 40">
          <a:hlinkClick xmlns:r="http://schemas.openxmlformats.org/officeDocument/2006/relationships" r:id="rId2"/>
        </xdr:cNvPr>
        <xdr:cNvSpPr>
          <a:spLocks noChangeArrowheads="1"/>
        </xdr:cNvSpPr>
      </xdr:nvSpPr>
      <xdr:spPr bwMode="auto">
        <a:xfrm>
          <a:off x="8001000" y="272143"/>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endParaRPr lang="de-DE" sz="1400" b="1" i="0" u="sng" strike="noStrike" baseline="0">
            <a:solidFill>
              <a:srgbClr val="000000"/>
            </a:solidFill>
            <a:latin typeface="Arial"/>
            <a:cs typeface="Arial"/>
          </a:endParaRPr>
        </a:p>
      </xdr:txBody>
    </xdr:sp>
    <xdr:clientData fPrintsWithSheet="0"/>
  </xdr:twoCellAnchor>
  <xdr:oneCellAnchor>
    <xdr:from>
      <xdr:col>12</xdr:col>
      <xdr:colOff>787400</xdr:colOff>
      <xdr:row>24</xdr:row>
      <xdr:rowOff>1435100</xdr:rowOff>
    </xdr:from>
    <xdr:ext cx="184731" cy="264560"/>
    <xdr:sp macro="" textlink="">
      <xdr:nvSpPr>
        <xdr:cNvPr id="3" name="Textfeld 2"/>
        <xdr:cNvSpPr txBox="1"/>
      </xdr:nvSpPr>
      <xdr:spPr>
        <a:xfrm>
          <a:off x="8801100" y="7759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7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a:pPr algn="l"/>
            <a:t>1.084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a:pPr algn="l"/>
            <a:t>1.413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a:pPr algn="l"/>
            <a:t>1.757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12915001" y="7543800"/>
          <a:ext cx="68833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12896850" y="10058400"/>
          <a:ext cx="70648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285750</xdr:colOff>
          <xdr:row>3</xdr:row>
          <xdr:rowOff>209550</xdr:rowOff>
        </xdr:to>
        <xdr:sp macro="" textlink="">
          <xdr:nvSpPr>
            <xdr:cNvPr id="73743" name="Check Box 15" hidden="1">
              <a:extLst>
                <a:ext uri="{63B3BB69-23CF-44E3-9099-C40C66FF867C}">
                  <a14:compatExt spid="_x0000_s737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19050</xdr:rowOff>
        </xdr:to>
        <xdr:sp macro="" textlink="">
          <xdr:nvSpPr>
            <xdr:cNvPr id="73744" name="Check Box 16" hidden="1">
              <a:extLst>
                <a:ext uri="{63B3BB69-23CF-44E3-9099-C40C66FF867C}">
                  <a14:compatExt spid="_x0000_s737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F5DD3FDA-EEBC-4215-BD48-AA0285CB9304}" type="TxLink">
            <a:rPr lang="de-DE" sz="1100"/>
            <a:pPr algn="l"/>
            <a:t>1.185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AB32FF9-4928-4608-B788-6890BEA30F05}" type="TxLink">
            <a:rPr lang="de-DE" sz="1100"/>
            <a:pPr algn="l"/>
            <a:t>1.546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5FC7A-CFD8-46D7-9623-324A478B8CCD}" type="TxLink">
            <a:rPr lang="de-DE" sz="1100"/>
            <a:pPr algn="l"/>
            <a:t>1.907 </a:t>
          </a:fld>
          <a:endParaRPr lang="de-DE" sz="1100"/>
        </a:p>
      </xdr:txBody>
    </xdr:sp>
    <xdr:clientData/>
  </xdr:twoCellAnchor>
  <xdr:twoCellAnchor>
    <xdr:from>
      <xdr:col>16</xdr:col>
      <xdr:colOff>128641</xdr:colOff>
      <xdr:row>45</xdr:row>
      <xdr:rowOff>0</xdr:rowOff>
    </xdr:from>
    <xdr:to>
      <xdr:col>16</xdr:col>
      <xdr:colOff>1743750</xdr:colOff>
      <xdr:row>53</xdr:row>
      <xdr:rowOff>114300</xdr:rowOff>
    </xdr:to>
    <xdr:sp macro="" textlink="">
      <xdr:nvSpPr>
        <xdr:cNvPr id="7" name="Textfeld 6"/>
        <xdr:cNvSpPr txBox="1"/>
      </xdr:nvSpPr>
      <xdr:spPr>
        <a:xfrm>
          <a:off x="12930241" y="754380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76200</xdr:colOff>
      <xdr:row>60</xdr:row>
      <xdr:rowOff>0</xdr:rowOff>
    </xdr:from>
    <xdr:to>
      <xdr:col>16</xdr:col>
      <xdr:colOff>1704138</xdr:colOff>
      <xdr:row>68</xdr:row>
      <xdr:rowOff>1905</xdr:rowOff>
    </xdr:to>
    <xdr:sp macro="" textlink="">
      <xdr:nvSpPr>
        <xdr:cNvPr id="8" name="Textfeld 7"/>
        <xdr:cNvSpPr txBox="1"/>
      </xdr:nvSpPr>
      <xdr:spPr>
        <a:xfrm>
          <a:off x="12877800" y="10058400"/>
          <a:ext cx="72115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19050</xdr:rowOff>
        </xdr:from>
        <xdr:to>
          <xdr:col>12</xdr:col>
          <xdr:colOff>266700</xdr:colOff>
          <xdr:row>4</xdr:row>
          <xdr:rowOff>0</xdr:rowOff>
        </xdr:to>
        <xdr:sp macro="" textlink="">
          <xdr:nvSpPr>
            <xdr:cNvPr id="74767" name="Check Box 15" hidden="1">
              <a:extLst>
                <a:ext uri="{63B3BB69-23CF-44E3-9099-C40C66FF867C}">
                  <a14:compatExt spid="_x0000_s747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2</xdr:row>
          <xdr:rowOff>38100</xdr:rowOff>
        </xdr:from>
        <xdr:to>
          <xdr:col>12</xdr:col>
          <xdr:colOff>285750</xdr:colOff>
          <xdr:row>3</xdr:row>
          <xdr:rowOff>0</xdr:rowOff>
        </xdr:to>
        <xdr:sp macro="" textlink="">
          <xdr:nvSpPr>
            <xdr:cNvPr id="74768" name="Check Box 16" hidden="1">
              <a:extLst>
                <a:ext uri="{63B3BB69-23CF-44E3-9099-C40C66FF867C}">
                  <a14:compatExt spid="_x0000_s747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180975" y="9525"/>
          <a:ext cx="1452614" cy="26670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2143125" y="9525"/>
          <a:ext cx="1438275" cy="26670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5561701" y="0"/>
          <a:ext cx="43907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E378DC-95B6-415A-A600-AAE8C02014BB}" type="TxLink">
            <a:rPr lang="de-DE" sz="1100" b="0" i="0" u="none" strike="noStrike">
              <a:solidFill>
                <a:srgbClr val="000000"/>
              </a:solidFill>
              <a:latin typeface="Arial"/>
              <a:cs typeface="Arial"/>
            </a:rPr>
            <a:pPr algn="l"/>
            <a:t>1.047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717232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6504DFB3-944C-42C9-8FF9-17CFE1BF5855}" type="TxLink">
            <a:rPr lang="de-DE" sz="1100" b="0" i="0" u="none" strike="noStrike">
              <a:solidFill>
                <a:srgbClr val="000000"/>
              </a:solidFill>
              <a:latin typeface="Arial"/>
              <a:cs typeface="Arial"/>
            </a:rPr>
            <a:pPr algn="l"/>
            <a:t>1.280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885444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2F7182E-929F-4066-BE5B-276FACA9DF88}" type="TxLink">
            <a:rPr lang="de-DE" sz="1100" b="0" i="0" u="none" strike="noStrike">
              <a:solidFill>
                <a:srgbClr val="000000"/>
              </a:solidFill>
              <a:latin typeface="Arial"/>
              <a:cs typeface="Arial"/>
            </a:rPr>
            <a:pPr algn="l"/>
            <a:t>1.620 </a:t>
          </a:fld>
          <a:endParaRPr lang="de-DE" sz="1100"/>
        </a:p>
      </xdr:txBody>
    </xdr:sp>
    <xdr:clientData/>
  </xdr:twoCellAnchor>
  <xdr:twoCellAnchor>
    <xdr:from>
      <xdr:col>16</xdr:col>
      <xdr:colOff>113401</xdr:colOff>
      <xdr:row>45</xdr:row>
      <xdr:rowOff>0</xdr:rowOff>
    </xdr:from>
    <xdr:to>
      <xdr:col>16</xdr:col>
      <xdr:colOff>1716134</xdr:colOff>
      <xdr:row>53</xdr:row>
      <xdr:rowOff>114300</xdr:rowOff>
    </xdr:to>
    <xdr:sp macro="" textlink="">
      <xdr:nvSpPr>
        <xdr:cNvPr id="7" name="Textfeld 6"/>
        <xdr:cNvSpPr txBox="1"/>
      </xdr:nvSpPr>
      <xdr:spPr>
        <a:xfrm>
          <a:off x="9428851" y="8020050"/>
          <a:ext cx="160273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95250</xdr:colOff>
      <xdr:row>60</xdr:row>
      <xdr:rowOff>0</xdr:rowOff>
    </xdr:from>
    <xdr:to>
      <xdr:col>16</xdr:col>
      <xdr:colOff>1731373</xdr:colOff>
      <xdr:row>68</xdr:row>
      <xdr:rowOff>1905</xdr:rowOff>
    </xdr:to>
    <xdr:sp macro="" textlink="">
      <xdr:nvSpPr>
        <xdr:cNvPr id="8" name="Textfeld 7"/>
        <xdr:cNvSpPr txBox="1"/>
      </xdr:nvSpPr>
      <xdr:spPr>
        <a:xfrm>
          <a:off x="9410700" y="11220450"/>
          <a:ext cx="1636123" cy="16402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133350</xdr:colOff>
          <xdr:row>2</xdr:row>
          <xdr:rowOff>257175</xdr:rowOff>
        </xdr:from>
        <xdr:to>
          <xdr:col>12</xdr:col>
          <xdr:colOff>295275</xdr:colOff>
          <xdr:row>3</xdr:row>
          <xdr:rowOff>219075</xdr:rowOff>
        </xdr:to>
        <xdr:sp macro="" textlink="">
          <xdr:nvSpPr>
            <xdr:cNvPr id="228353" name="Check Box 1" hidden="1">
              <a:extLst>
                <a:ext uri="{63B3BB69-23CF-44E3-9099-C40C66FF867C}">
                  <a14:compatExt spid="_x0000_s2283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xdr:row>
          <xdr:rowOff>57150</xdr:rowOff>
        </xdr:from>
        <xdr:to>
          <xdr:col>12</xdr:col>
          <xdr:colOff>419100</xdr:colOff>
          <xdr:row>3</xdr:row>
          <xdr:rowOff>28575</xdr:rowOff>
        </xdr:to>
        <xdr:sp macro="" textlink="">
          <xdr:nvSpPr>
            <xdr:cNvPr id="228354" name="Check Box 2" hidden="1">
              <a:extLst>
                <a:ext uri="{63B3BB69-23CF-44E3-9099-C40C66FF867C}">
                  <a14:compatExt spid="_x0000_s2283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2252480-00F9-4F2A-8C71-0BAF9A281C0A}" type="TxLink">
            <a:rPr lang="de-DE" sz="1100"/>
            <a:pPr algn="l"/>
            <a:t>1.289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273386-A5B6-4795-A526-2D46110DF394}" type="TxLink">
            <a:rPr lang="de-DE" sz="1100"/>
            <a:pPr algn="l"/>
            <a:t>1.690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6629730-3D8B-40E3-8B74-A92BC915F0A2}" type="TxLink">
            <a:rPr lang="de-DE" sz="1100"/>
            <a:pPr algn="l"/>
            <a:t>2.052 </a:t>
          </a:fld>
          <a:endParaRPr lang="de-DE" sz="1100"/>
        </a:p>
      </xdr:txBody>
    </xdr:sp>
    <xdr:clientData/>
  </xdr:twoCellAnchor>
  <xdr:twoCellAnchor>
    <xdr:from>
      <xdr:col>16</xdr:col>
      <xdr:colOff>76200</xdr:colOff>
      <xdr:row>45</xdr:row>
      <xdr:rowOff>0</xdr:rowOff>
    </xdr:from>
    <xdr:to>
      <xdr:col>16</xdr:col>
      <xdr:colOff>1704138</xdr:colOff>
      <xdr:row>53</xdr:row>
      <xdr:rowOff>114300</xdr:rowOff>
    </xdr:to>
    <xdr:sp macro="" textlink="">
      <xdr:nvSpPr>
        <xdr:cNvPr id="7" name="Textfeld 6"/>
        <xdr:cNvSpPr txBox="1"/>
      </xdr:nvSpPr>
      <xdr:spPr>
        <a:xfrm>
          <a:off x="12877800" y="7543800"/>
          <a:ext cx="72115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z.B. ein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113401</xdr:colOff>
      <xdr:row>60</xdr:row>
      <xdr:rowOff>0</xdr:rowOff>
    </xdr:from>
    <xdr:to>
      <xdr:col>16</xdr:col>
      <xdr:colOff>1716134</xdr:colOff>
      <xdr:row>68</xdr:row>
      <xdr:rowOff>1905</xdr:rowOff>
    </xdr:to>
    <xdr:sp macro="" textlink="">
      <xdr:nvSpPr>
        <xdr:cNvPr id="8" name="Textfeld 7"/>
        <xdr:cNvSpPr txBox="1"/>
      </xdr:nvSpPr>
      <xdr:spPr>
        <a:xfrm>
          <a:off x="12915001" y="1005840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0</xdr:colOff>
          <xdr:row>3</xdr:row>
          <xdr:rowOff>28575</xdr:rowOff>
        </xdr:from>
        <xdr:to>
          <xdr:col>12</xdr:col>
          <xdr:colOff>266700</xdr:colOff>
          <xdr:row>4</xdr:row>
          <xdr:rowOff>9525</xdr:rowOff>
        </xdr:to>
        <xdr:sp macro="" textlink="">
          <xdr:nvSpPr>
            <xdr:cNvPr id="75791" name="Check Box 15" hidden="1">
              <a:extLst>
                <a:ext uri="{63B3BB69-23CF-44E3-9099-C40C66FF867C}">
                  <a14:compatExt spid="_x0000_s757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xdr:row>
          <xdr:rowOff>38100</xdr:rowOff>
        </xdr:from>
        <xdr:to>
          <xdr:col>12</xdr:col>
          <xdr:colOff>295275</xdr:colOff>
          <xdr:row>3</xdr:row>
          <xdr:rowOff>0</xdr:rowOff>
        </xdr:to>
        <xdr:sp macro="" textlink="">
          <xdr:nvSpPr>
            <xdr:cNvPr id="75792" name="Check Box 16" hidden="1">
              <a:extLst>
                <a:ext uri="{63B3BB69-23CF-44E3-9099-C40C66FF867C}">
                  <a14:compatExt spid="_x0000_s757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a:pPr algn="l"/>
            <a:t>1.439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a:pPr algn="l"/>
            <a:t>1.937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a:pPr algn="l"/>
            <a:t>2.374 </a:t>
          </a:fld>
          <a:endParaRPr lang="de-DE" sz="1100"/>
        </a:p>
      </xdr:txBody>
    </xdr:sp>
    <xdr:clientData/>
  </xdr:twoCellAnchor>
  <xdr:twoCellAnchor>
    <xdr:from>
      <xdr:col>16</xdr:col>
      <xdr:colOff>95250</xdr:colOff>
      <xdr:row>60</xdr:row>
      <xdr:rowOff>19050</xdr:rowOff>
    </xdr:from>
    <xdr:to>
      <xdr:col>16</xdr:col>
      <xdr:colOff>1731373</xdr:colOff>
      <xdr:row>67</xdr:row>
      <xdr:rowOff>188595</xdr:rowOff>
    </xdr:to>
    <xdr:sp macro="" textlink="">
      <xdr:nvSpPr>
        <xdr:cNvPr id="7" name="Textfeld 6"/>
        <xdr:cNvSpPr txBox="1"/>
      </xdr:nvSpPr>
      <xdr:spPr>
        <a:xfrm>
          <a:off x="12896850" y="10077450"/>
          <a:ext cx="706483" cy="132016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45</xdr:row>
      <xdr:rowOff>0</xdr:rowOff>
    </xdr:from>
    <xdr:to>
      <xdr:col>16</xdr:col>
      <xdr:colOff>1705943</xdr:colOff>
      <xdr:row>53</xdr:row>
      <xdr:rowOff>114300</xdr:rowOff>
    </xdr:to>
    <xdr:sp macro="" textlink="">
      <xdr:nvSpPr>
        <xdr:cNvPr id="8" name="Textfeld 7"/>
        <xdr:cNvSpPr txBox="1"/>
      </xdr:nvSpPr>
      <xdr:spPr>
        <a:xfrm>
          <a:off x="12877800" y="754380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1">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2">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96149</xdr:colOff>
      <xdr:row>0</xdr:row>
      <xdr:rowOff>0</xdr:rowOff>
    </xdr:from>
    <xdr:to>
      <xdr:col>9</xdr:col>
      <xdr:colOff>529247</xdr:colOff>
      <xdr:row>0</xdr:row>
      <xdr:rowOff>190499</xdr:rowOff>
    </xdr:to>
    <xdr:sp macro="" textlink="$J$1">
      <xdr:nvSpPr>
        <xdr:cNvPr id="4" name="Rechteck 3"/>
        <xdr:cNvSpPr/>
      </xdr:nvSpPr>
      <xdr:spPr bwMode="auto">
        <a:xfrm>
          <a:off x="7297049" y="0"/>
          <a:ext cx="433098"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EFDEF62-540C-4B7B-AAB9-DC2AEE27BDFC}" type="TxLink">
            <a:rPr lang="de-DE" sz="1100"/>
            <a:pPr algn="l"/>
            <a:t>1.371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C8BF282-3E5F-40B5-9178-59037FD03C0F}" type="TxLink">
            <a:rPr lang="de-DE" sz="1100"/>
            <a:pPr algn="l"/>
            <a:t>1.754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D983B85-6655-4F71-AF4F-6A501F89B056}" type="TxLink">
            <a:rPr lang="de-DE" sz="1100"/>
            <a:pPr algn="l"/>
            <a:t>2.293 </a:t>
          </a:fld>
          <a:endParaRPr lang="de-DE" sz="1100"/>
        </a:p>
      </xdr:txBody>
    </xdr:sp>
    <xdr:clientData/>
  </xdr:twoCellAnchor>
  <xdr:twoCellAnchor>
    <xdr:from>
      <xdr:col>16</xdr:col>
      <xdr:colOff>128641</xdr:colOff>
      <xdr:row>58</xdr:row>
      <xdr:rowOff>180975</xdr:rowOff>
    </xdr:from>
    <xdr:to>
      <xdr:col>16</xdr:col>
      <xdr:colOff>1743750</xdr:colOff>
      <xdr:row>66</xdr:row>
      <xdr:rowOff>228600</xdr:rowOff>
    </xdr:to>
    <xdr:sp macro="" textlink="">
      <xdr:nvSpPr>
        <xdr:cNvPr id="7" name="Textfeld 6"/>
        <xdr:cNvSpPr txBox="1"/>
      </xdr:nvSpPr>
      <xdr:spPr>
        <a:xfrm>
          <a:off x="12930241" y="9888855"/>
          <a:ext cx="670229"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95250</xdr:colOff>
      <xdr:row>44</xdr:row>
      <xdr:rowOff>0</xdr:rowOff>
    </xdr:from>
    <xdr:to>
      <xdr:col>16</xdr:col>
      <xdr:colOff>1731373</xdr:colOff>
      <xdr:row>52</xdr:row>
      <xdr:rowOff>114300</xdr:rowOff>
    </xdr:to>
    <xdr:sp macro="" textlink="">
      <xdr:nvSpPr>
        <xdr:cNvPr id="8" name="Textfeld 7"/>
        <xdr:cNvSpPr txBox="1"/>
      </xdr:nvSpPr>
      <xdr:spPr>
        <a:xfrm>
          <a:off x="12896850" y="7376160"/>
          <a:ext cx="70648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1.371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1.754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2.293 </a:t>
          </a:fld>
          <a:endParaRPr lang="de-DE" sz="1100"/>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a:pPr algn="l"/>
            <a:t>1.159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641B01F-322B-4FE1-A7A3-8D8F2128754E}" type="TxLink">
            <a:rPr lang="de-DE" sz="1100"/>
            <a:pPr algn="l"/>
            <a:t>1.541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323B29-357B-4E0D-B010-CDB006050567}" type="TxLink">
            <a:rPr lang="de-DE" sz="1100"/>
            <a:pPr algn="l"/>
            <a:t>1.907 </a:t>
          </a:fld>
          <a:endParaRPr lang="de-DE" sz="1100"/>
        </a:p>
      </xdr:txBody>
    </xdr:sp>
    <xdr:clientData/>
  </xdr:twoCellAnchor>
  <xdr:twoCellAnchor>
    <xdr:from>
      <xdr:col>16</xdr:col>
      <xdr:colOff>113401</xdr:colOff>
      <xdr:row>59</xdr:row>
      <xdr:rowOff>0</xdr:rowOff>
    </xdr:from>
    <xdr:to>
      <xdr:col>16</xdr:col>
      <xdr:colOff>1716134</xdr:colOff>
      <xdr:row>66</xdr:row>
      <xdr:rowOff>238125</xdr:rowOff>
    </xdr:to>
    <xdr:sp macro="" textlink="">
      <xdr:nvSpPr>
        <xdr:cNvPr id="7" name="Textfeld 6"/>
        <xdr:cNvSpPr txBox="1"/>
      </xdr:nvSpPr>
      <xdr:spPr>
        <a:xfrm>
          <a:off x="12915001" y="9890760"/>
          <a:ext cx="68833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2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76200</xdr:colOff>
      <xdr:row>44</xdr:row>
      <xdr:rowOff>0</xdr:rowOff>
    </xdr:from>
    <xdr:to>
      <xdr:col>16</xdr:col>
      <xdr:colOff>1705943</xdr:colOff>
      <xdr:row>52</xdr:row>
      <xdr:rowOff>114300</xdr:rowOff>
    </xdr:to>
    <xdr:sp macro="" textlink="">
      <xdr:nvSpPr>
        <xdr:cNvPr id="8" name="Textfeld 7"/>
        <xdr:cNvSpPr txBox="1"/>
      </xdr:nvSpPr>
      <xdr:spPr>
        <a:xfrm>
          <a:off x="12877800" y="7376160"/>
          <a:ext cx="722963"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1.159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0" name="Rechteck 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1.541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1" name="Rechteck 1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1.907 </a:t>
          </a:fld>
          <a:endParaRPr lang="de-DE" sz="1100"/>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a:pPr algn="l"/>
            <a:t>1.914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a:pPr algn="l"/>
            <a:t>2.263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43280294-AD3C-4B24-B0E6-B78CEFBEA484}" type="TxLink">
            <a:rPr lang="de-DE" sz="1100"/>
            <a:pPr algn="l"/>
            <a:t>2.550 </a:t>
          </a:fld>
          <a:endParaRPr lang="de-DE" sz="1100"/>
        </a:p>
      </xdr:txBody>
    </xdr:sp>
    <xdr:clientData/>
  </xdr:twoCellAnchor>
  <xdr:twoCellAnchor>
    <xdr:from>
      <xdr:col>16</xdr:col>
      <xdr:colOff>66675</xdr:colOff>
      <xdr:row>69</xdr:row>
      <xdr:rowOff>163830</xdr:rowOff>
    </xdr:from>
    <xdr:to>
      <xdr:col>16</xdr:col>
      <xdr:colOff>1702798</xdr:colOff>
      <xdr:row>72</xdr:row>
      <xdr:rowOff>114354</xdr:rowOff>
    </xdr:to>
    <xdr:sp macro="" textlink="">
      <xdr:nvSpPr>
        <xdr:cNvPr id="7" name="Textfeld 6"/>
        <xdr:cNvSpPr txBox="1"/>
      </xdr:nvSpPr>
      <xdr:spPr>
        <a:xfrm>
          <a:off x="12868275" y="11730990"/>
          <a:ext cx="736963" cy="453444"/>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1743750</xdr:colOff>
      <xdr:row>52</xdr:row>
      <xdr:rowOff>114300</xdr:rowOff>
    </xdr:to>
    <xdr:sp macro="" textlink="">
      <xdr:nvSpPr>
        <xdr:cNvPr id="8" name="Textfeld 7"/>
        <xdr:cNvSpPr txBox="1"/>
      </xdr:nvSpPr>
      <xdr:spPr>
        <a:xfrm>
          <a:off x="12930241" y="7376160"/>
          <a:ext cx="670229"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57150</xdr:colOff>
      <xdr:row>59</xdr:row>
      <xdr:rowOff>0</xdr:rowOff>
    </xdr:from>
    <xdr:to>
      <xdr:col>16</xdr:col>
      <xdr:colOff>1677953</xdr:colOff>
      <xdr:row>66</xdr:row>
      <xdr:rowOff>238125</xdr:rowOff>
    </xdr:to>
    <xdr:sp macro="" textlink="">
      <xdr:nvSpPr>
        <xdr:cNvPr id="9" name="Textfeld 8"/>
        <xdr:cNvSpPr txBox="1"/>
      </xdr:nvSpPr>
      <xdr:spPr>
        <a:xfrm>
          <a:off x="12858750" y="9890760"/>
          <a:ext cx="74450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1.914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1.914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2.263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3" name="Rechteck 1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2.550 </a:t>
          </a:fld>
          <a:endParaRPr lang="de-DE" sz="1100"/>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a:pPr algn="l"/>
            <a:t>971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77CC096-59C3-45B6-B7FE-6B91D7671DB1}" type="TxLink">
            <a:rPr lang="de-DE" sz="1100"/>
            <a:pPr algn="l"/>
            <a:t>1.386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a:pPr algn="l"/>
            <a:t>1.766 </a:t>
          </a:fld>
          <a:endParaRPr lang="de-DE" sz="1100"/>
        </a:p>
      </xdr:txBody>
    </xdr:sp>
    <xdr:clientData/>
  </xdr:twoCellAnchor>
  <xdr:twoCellAnchor>
    <xdr:from>
      <xdr:col>16</xdr:col>
      <xdr:colOff>114300</xdr:colOff>
      <xdr:row>44</xdr:row>
      <xdr:rowOff>167640</xdr:rowOff>
    </xdr:from>
    <xdr:to>
      <xdr:col>16</xdr:col>
      <xdr:colOff>1744043</xdr:colOff>
      <xdr:row>53</xdr:row>
      <xdr:rowOff>91440</xdr:rowOff>
    </xdr:to>
    <xdr:sp macro="" textlink="">
      <xdr:nvSpPr>
        <xdr:cNvPr id="7" name="Textfeld 6"/>
        <xdr:cNvSpPr txBox="1"/>
      </xdr:nvSpPr>
      <xdr:spPr>
        <a:xfrm>
          <a:off x="9258300" y="7940040"/>
          <a:ext cx="1629743" cy="163830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1629743</xdr:colOff>
      <xdr:row>68</xdr:row>
      <xdr:rowOff>1905</xdr:rowOff>
    </xdr:to>
    <xdr:sp macro="" textlink="">
      <xdr:nvSpPr>
        <xdr:cNvPr id="8" name="Textfeld 7"/>
        <xdr:cNvSpPr txBox="1"/>
      </xdr:nvSpPr>
      <xdr:spPr>
        <a:xfrm>
          <a:off x="12801600" y="10058400"/>
          <a:ext cx="799163"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9" name="Rechteck 8"/>
        <xdr:cNvSpPr/>
      </xdr:nvSpPr>
      <xdr:spPr bwMode="auto">
        <a:xfrm>
          <a:off x="561805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971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971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1.386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4" name="Rechteck 13"/>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1.386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5" name="Rechteck 14"/>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1.766 </a:t>
          </a:fld>
          <a:endParaRPr lang="de-DE" sz="1100"/>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a:pPr algn="l"/>
            <a:t>6.229 </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E7CEE86-0D9F-4FB9-B1FA-FA48BA506D6D}" type="TxLink">
            <a:rPr lang="de-DE" sz="1100"/>
            <a:pPr algn="l"/>
            <a:t>8.434 </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371DCB8-22F7-48AB-B816-E4AEADA2C759}" type="TxLink">
            <a:rPr lang="de-DE" sz="1100"/>
            <a:pPr algn="l"/>
            <a:t>10.640 </a:t>
          </a:fld>
          <a:endParaRPr lang="de-DE" sz="1100"/>
        </a:p>
      </xdr:txBody>
    </xdr:sp>
    <xdr:clientData/>
  </xdr:twoCellAnchor>
  <xdr:twoCellAnchor>
    <xdr:from>
      <xdr:col>16</xdr:col>
      <xdr:colOff>97155</xdr:colOff>
      <xdr:row>44</xdr:row>
      <xdr:rowOff>9525</xdr:rowOff>
    </xdr:from>
    <xdr:to>
      <xdr:col>16</xdr:col>
      <xdr:colOff>1718023</xdr:colOff>
      <xdr:row>52</xdr:row>
      <xdr:rowOff>123825</xdr:rowOff>
    </xdr:to>
    <xdr:sp macro="" textlink="">
      <xdr:nvSpPr>
        <xdr:cNvPr id="7" name="Textfeld 6"/>
        <xdr:cNvSpPr txBox="1"/>
      </xdr:nvSpPr>
      <xdr:spPr>
        <a:xfrm>
          <a:off x="12898755" y="7385685"/>
          <a:ext cx="7064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96256</xdr:colOff>
      <xdr:row>58</xdr:row>
      <xdr:rowOff>180975</xdr:rowOff>
    </xdr:from>
    <xdr:to>
      <xdr:col>16</xdr:col>
      <xdr:colOff>1716051</xdr:colOff>
      <xdr:row>66</xdr:row>
      <xdr:rowOff>228600</xdr:rowOff>
    </xdr:to>
    <xdr:sp macro="" textlink="">
      <xdr:nvSpPr>
        <xdr:cNvPr id="8" name="Textfeld 7"/>
        <xdr:cNvSpPr txBox="1"/>
      </xdr:nvSpPr>
      <xdr:spPr>
        <a:xfrm>
          <a:off x="12897856" y="9888855"/>
          <a:ext cx="705395"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1" name="Rechteck 10"/>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6.229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5" name="Rechteck 14"/>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8.434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6" name="Rechteck 15"/>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8.434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8" name="Rechteck 17"/>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10.640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9" name="Rechteck 18"/>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10.640 </a:t>
          </a:fld>
          <a:endParaRPr lang="de-DE"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0.68599</cdr:x>
      <cdr:y>0.08559</cdr:y>
    </cdr:from>
    <cdr:to>
      <cdr:x>0.93212</cdr:x>
      <cdr:y>0.33292</cdr:y>
    </cdr:to>
    <cdr:sp macro="" textlink="">
      <cdr:nvSpPr>
        <cdr:cNvPr id="2" name="Textfeld 1"/>
        <cdr:cNvSpPr txBox="1"/>
      </cdr:nvSpPr>
      <cdr:spPr>
        <a:xfrm xmlns:a="http://schemas.openxmlformats.org/drawingml/2006/main">
          <a:off x="6098876" y="345057"/>
          <a:ext cx="2182483" cy="9834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a:p>
      </cdr:txBody>
    </cdr:sp>
  </cdr:relSizeAnchor>
</c:userShapes>
</file>

<file path=xl/drawings/drawing80.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CC5B516-9161-4BAC-8192-7E8D8B05583C}" type="TxLink">
            <a:rPr lang="de-DE" sz="1100"/>
            <a:pPr algn="l"/>
            <a:t>#NV</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681CC32-00D6-4088-B1AD-3F13E4E17351}" type="TxLink">
            <a:rPr lang="de-DE" sz="1100"/>
            <a:pPr algn="l"/>
            <a:t>#NV</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31A9700-F9E2-4794-BB5C-E93CA6762A02}" type="TxLink">
            <a:rPr lang="de-DE" sz="1100"/>
            <a:pPr algn="l"/>
            <a:t>#NV</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0" name="Check Box 16" hidden="1">
              <a:extLst>
                <a:ext uri="{63B3BB69-23CF-44E3-9099-C40C66FF867C}">
                  <a14:compatExt spid="_x0000_s1034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41" name="Check Box 17" hidden="1">
              <a:extLst>
                <a:ext uri="{63B3BB69-23CF-44E3-9099-C40C66FF867C}">
                  <a14:compatExt spid="_x0000_s1034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42" name="Check Box 18" hidden="1">
              <a:extLst>
                <a:ext uri="{63B3BB69-23CF-44E3-9099-C40C66FF867C}">
                  <a14:compatExt spid="_x0000_s1034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43" name="Check Box 19" hidden="1">
              <a:extLst>
                <a:ext uri="{63B3BB69-23CF-44E3-9099-C40C66FF867C}">
                  <a14:compatExt spid="_x0000_s1034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44" name="Check Box 20" hidden="1">
              <a:extLst>
                <a:ext uri="{63B3BB69-23CF-44E3-9099-C40C66FF867C}">
                  <a14:compatExt spid="_x0000_s1034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45" name="Check Box 21" hidden="1">
              <a:extLst>
                <a:ext uri="{63B3BB69-23CF-44E3-9099-C40C66FF867C}">
                  <a14:compatExt spid="_x0000_s1034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46" name="Check Box 22" hidden="1">
              <a:extLst>
                <a:ext uri="{63B3BB69-23CF-44E3-9099-C40C66FF867C}">
                  <a14:compatExt spid="_x0000_s1034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47" name="Check Box 23" hidden="1">
              <a:extLst>
                <a:ext uri="{63B3BB69-23CF-44E3-9099-C40C66FF867C}">
                  <a14:compatExt spid="_x0000_s1034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48" name="Check Box 24" hidden="1">
              <a:extLst>
                <a:ext uri="{63B3BB69-23CF-44E3-9099-C40C66FF867C}">
                  <a14:compatExt spid="_x0000_s1034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49" name="Check Box 25" hidden="1">
              <a:extLst>
                <a:ext uri="{63B3BB69-23CF-44E3-9099-C40C66FF867C}">
                  <a14:compatExt spid="_x0000_s1034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0" name="Check Box 26" hidden="1">
              <a:extLst>
                <a:ext uri="{63B3BB69-23CF-44E3-9099-C40C66FF867C}">
                  <a14:compatExt spid="_x0000_s1034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51" name="Check Box 27" hidden="1">
              <a:extLst>
                <a:ext uri="{63B3BB69-23CF-44E3-9099-C40C66FF867C}">
                  <a14:compatExt spid="_x0000_s1034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52" name="Check Box 28" hidden="1">
              <a:extLst>
                <a:ext uri="{63B3BB69-23CF-44E3-9099-C40C66FF867C}">
                  <a14:compatExt spid="_x0000_s10345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53" name="Check Box 29" hidden="1">
              <a:extLst>
                <a:ext uri="{63B3BB69-23CF-44E3-9099-C40C66FF867C}">
                  <a14:compatExt spid="_x0000_s10345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54" name="Check Box 30" hidden="1">
              <a:extLst>
                <a:ext uri="{63B3BB69-23CF-44E3-9099-C40C66FF867C}">
                  <a14:compatExt spid="_x0000_s10345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55" name="Check Box 31" hidden="1">
              <a:extLst>
                <a:ext uri="{63B3BB69-23CF-44E3-9099-C40C66FF867C}">
                  <a14:compatExt spid="_x0000_s10345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56" name="Check Box 32" hidden="1">
              <a:extLst>
                <a:ext uri="{63B3BB69-23CF-44E3-9099-C40C66FF867C}">
                  <a14:compatExt spid="_x0000_s10345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57" name="Check Box 33" hidden="1">
              <a:extLst>
                <a:ext uri="{63B3BB69-23CF-44E3-9099-C40C66FF867C}">
                  <a14:compatExt spid="_x0000_s1034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25" name="Textfeld 24"/>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26" name="Textfeld 25"/>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73504</xdr:colOff>
      <xdr:row>55</xdr:row>
      <xdr:rowOff>181156</xdr:rowOff>
    </xdr:from>
    <xdr:to>
      <xdr:col>17</xdr:col>
      <xdr:colOff>24357</xdr:colOff>
      <xdr:row>62</xdr:row>
      <xdr:rowOff>159487</xdr:rowOff>
    </xdr:to>
    <xdr:sp macro="" textlink="">
      <xdr:nvSpPr>
        <xdr:cNvPr id="27" name="Textfeld 26"/>
        <xdr:cNvSpPr txBox="1"/>
      </xdr:nvSpPr>
      <xdr:spPr>
        <a:xfrm>
          <a:off x="12875104" y="9386116"/>
          <a:ext cx="750953" cy="1167051"/>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3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3458" name="Check Box 34" hidden="1">
              <a:extLst>
                <a:ext uri="{63B3BB69-23CF-44E3-9099-C40C66FF867C}">
                  <a14:compatExt spid="_x0000_s1034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3459" name="Check Box 35" hidden="1">
              <a:extLst>
                <a:ext uri="{63B3BB69-23CF-44E3-9099-C40C66FF867C}">
                  <a14:compatExt spid="_x0000_s10345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3460" name="Check Box 36" hidden="1">
              <a:extLst>
                <a:ext uri="{63B3BB69-23CF-44E3-9099-C40C66FF867C}">
                  <a14:compatExt spid="_x0000_s1034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3461" name="Check Box 37" hidden="1">
              <a:extLst>
                <a:ext uri="{63B3BB69-23CF-44E3-9099-C40C66FF867C}">
                  <a14:compatExt spid="_x0000_s1034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3462" name="Check Box 38" hidden="1">
              <a:extLst>
                <a:ext uri="{63B3BB69-23CF-44E3-9099-C40C66FF867C}">
                  <a14:compatExt spid="_x0000_s1034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3463" name="Check Box 39" hidden="1">
              <a:extLst>
                <a:ext uri="{63B3BB69-23CF-44E3-9099-C40C66FF867C}">
                  <a14:compatExt spid="_x0000_s1034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3464" name="Check Box 40" hidden="1">
              <a:extLst>
                <a:ext uri="{63B3BB69-23CF-44E3-9099-C40C66FF867C}">
                  <a14:compatExt spid="_x0000_s103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3465" name="Check Box 41" hidden="1">
              <a:extLst>
                <a:ext uri="{63B3BB69-23CF-44E3-9099-C40C66FF867C}">
                  <a14:compatExt spid="_x0000_s103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3466" name="Check Box 42" hidden="1">
              <a:extLst>
                <a:ext uri="{63B3BB69-23CF-44E3-9099-C40C66FF867C}">
                  <a14:compatExt spid="_x0000_s103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16</xdr:col>
      <xdr:colOff>66675</xdr:colOff>
      <xdr:row>69</xdr:row>
      <xdr:rowOff>163830</xdr:rowOff>
    </xdr:from>
    <xdr:to>
      <xdr:col>16</xdr:col>
      <xdr:colOff>1679804</xdr:colOff>
      <xdr:row>72</xdr:row>
      <xdr:rowOff>114348</xdr:rowOff>
    </xdr:to>
    <xdr:sp macro="" textlink="">
      <xdr:nvSpPr>
        <xdr:cNvPr id="37" name="Textfeld 36"/>
        <xdr:cNvSpPr txBox="1"/>
      </xdr:nvSpPr>
      <xdr:spPr>
        <a:xfrm>
          <a:off x="12868275" y="11730990"/>
          <a:ext cx="736829" cy="453438"/>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Sonstige Kosten bitte hier eingeben !</a:t>
          </a:r>
        </a:p>
      </xdr:txBody>
    </xdr:sp>
    <xdr:clientData/>
  </xdr:twoCellAnchor>
  <xdr:twoCellAnchor>
    <xdr:from>
      <xdr:col>16</xdr:col>
      <xdr:colOff>128641</xdr:colOff>
      <xdr:row>44</xdr:row>
      <xdr:rowOff>0</xdr:rowOff>
    </xdr:from>
    <xdr:to>
      <xdr:col>16</xdr:col>
      <xdr:colOff>1761003</xdr:colOff>
      <xdr:row>52</xdr:row>
      <xdr:rowOff>114300</xdr:rowOff>
    </xdr:to>
    <xdr:sp macro="" textlink="">
      <xdr:nvSpPr>
        <xdr:cNvPr id="38" name="Textfeld 37"/>
        <xdr:cNvSpPr txBox="1"/>
      </xdr:nvSpPr>
      <xdr:spPr>
        <a:xfrm>
          <a:off x="12930241" y="7376160"/>
          <a:ext cx="672242"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69012</xdr:colOff>
      <xdr:row>64</xdr:row>
      <xdr:rowOff>164909</xdr:rowOff>
    </xdr:from>
    <xdr:to>
      <xdr:col>17</xdr:col>
      <xdr:colOff>10306</xdr:colOff>
      <xdr:row>68</xdr:row>
      <xdr:rowOff>77681</xdr:rowOff>
    </xdr:to>
    <xdr:sp macro="" textlink="">
      <xdr:nvSpPr>
        <xdr:cNvPr id="39" name="Textfeld 38"/>
        <xdr:cNvSpPr txBox="1"/>
      </xdr:nvSpPr>
      <xdr:spPr>
        <a:xfrm>
          <a:off x="12870612" y="10893869"/>
          <a:ext cx="741394" cy="583332"/>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Bei Linsentrocknung bitte nur WG (%) mit geraden Dezimalzahlen eingeben.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139279</xdr:colOff>
      <xdr:row>0</xdr:row>
      <xdr:rowOff>8626</xdr:rowOff>
    </xdr:from>
    <xdr:to>
      <xdr:col>10</xdr:col>
      <xdr:colOff>25902</xdr:colOff>
      <xdr:row>0</xdr:row>
      <xdr:rowOff>199125</xdr:rowOff>
    </xdr:to>
    <xdr:sp macro="" textlink="$J$1">
      <xdr:nvSpPr>
        <xdr:cNvPr id="4" name="Rechteck 3"/>
        <xdr:cNvSpPr/>
      </xdr:nvSpPr>
      <xdr:spPr bwMode="auto">
        <a:xfrm>
          <a:off x="7340179" y="8626"/>
          <a:ext cx="686723"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a:pPr algn="l"/>
            <a:t>729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C27CD1D-EBB0-4AEB-9CC3-2033649C5F70}" type="TxLink">
            <a:rPr lang="de-DE" sz="1100"/>
            <a:pPr algn="l"/>
            <a:t>1.305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3FE0CC6-924F-4C2E-9406-8B876B193678}" type="TxLink">
            <a:rPr lang="de-DE" sz="1100"/>
            <a:pPr algn="l"/>
            <a:t>1.735 </a:t>
          </a:fld>
          <a:endParaRPr lang="de-DE" sz="1100"/>
        </a:p>
      </xdr:txBody>
    </xdr:sp>
    <xdr:clientData/>
  </xdr:twoCellAnchor>
  <xdr:twoCellAnchor>
    <xdr:from>
      <xdr:col>16</xdr:col>
      <xdr:colOff>0</xdr:colOff>
      <xdr:row>44</xdr:row>
      <xdr:rowOff>0</xdr:rowOff>
    </xdr:from>
    <xdr:to>
      <xdr:col>16</xdr:col>
      <xdr:colOff>1604388</xdr:colOff>
      <xdr:row>52</xdr:row>
      <xdr:rowOff>114300</xdr:rowOff>
    </xdr:to>
    <xdr:sp macro="" textlink="">
      <xdr:nvSpPr>
        <xdr:cNvPr id="7" name="Textfeld 6"/>
        <xdr:cNvSpPr txBox="1"/>
      </xdr:nvSpPr>
      <xdr:spPr>
        <a:xfrm>
          <a:off x="12801600" y="737616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9" name="Rechteck 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729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0" name="Rechteck 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729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729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2" name="Rechteck 1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1.305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3" name="Rechteck 12"/>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1.305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14" name="Rechteck 1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1.735 </a:t>
          </a:fld>
          <a:endParaRPr lang="de-DE" sz="1100"/>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30">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31">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A247C1-F68D-4DC9-BDE1-B7C588DF108D}" type="TxLink">
            <a:rPr lang="de-DE" sz="1100"/>
            <a:pPr algn="l"/>
            <a:t>415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209C0E0-9E24-496B-9570-A186B92D2930}" type="TxLink">
            <a:rPr lang="de-DE" sz="1100"/>
            <a:pPr algn="l"/>
            <a:t>454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A5D55EB-1559-41DE-AB6A-05A6711BF3DD}" type="TxLink">
            <a:rPr lang="de-DE" sz="1100"/>
            <a:pPr algn="l"/>
            <a:t>493 </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12</xdr:col>
          <xdr:colOff>161925</xdr:colOff>
          <xdr:row>2</xdr:row>
          <xdr:rowOff>76200</xdr:rowOff>
        </xdr:from>
        <xdr:to>
          <xdr:col>12</xdr:col>
          <xdr:colOff>285750</xdr:colOff>
          <xdr:row>2</xdr:row>
          <xdr:rowOff>190500</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xdr:row>
          <xdr:rowOff>76200</xdr:rowOff>
        </xdr:from>
        <xdr:to>
          <xdr:col>12</xdr:col>
          <xdr:colOff>295275</xdr:colOff>
          <xdr:row>3</xdr:row>
          <xdr:rowOff>171450</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3" name="Rechteck 12"/>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4" name="Rechteck 13"/>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7" name="Rechteck 16"/>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415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20" name="Rechteck 19"/>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415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454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2" name="Rechteck 21"/>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454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493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4" name="Rechteck 23"/>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493 </a:t>
          </a:fld>
          <a:endParaRPr lang="de-DE"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7E14F3F-DDF8-4F83-A947-7C7D10971889}" type="TxLink">
            <a:rPr lang="de-DE" sz="1100"/>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9457A45-16EB-4FC7-8464-C8D984E130BF}" type="TxLink">
            <a:rPr lang="de-DE" sz="1100"/>
            <a:pPr algn="l"/>
            <a:t>-127 </a:t>
          </a:fld>
          <a:endParaRPr lang="de-DE" sz="1100"/>
        </a:p>
      </xdr:txBody>
    </xdr:sp>
    <xdr:clientData/>
  </xdr:twoCellAnchor>
  <xdr:twoCellAnchor>
    <xdr:from>
      <xdr:col>16</xdr:col>
      <xdr:colOff>0</xdr:colOff>
      <xdr:row>45</xdr:row>
      <xdr:rowOff>0</xdr:rowOff>
    </xdr:from>
    <xdr:to>
      <xdr:col>16</xdr:col>
      <xdr:colOff>1604388</xdr:colOff>
      <xdr:row>53</xdr:row>
      <xdr:rowOff>114300</xdr:rowOff>
    </xdr:to>
    <xdr:sp macro="" textlink="">
      <xdr:nvSpPr>
        <xdr:cNvPr id="7" name="Textfeld 6"/>
        <xdr:cNvSpPr txBox="1"/>
      </xdr:nvSpPr>
      <xdr:spPr>
        <a:xfrm>
          <a:off x="12801600" y="7543800"/>
          <a:ext cx="796668"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0</xdr:colOff>
      <xdr:row>60</xdr:row>
      <xdr:rowOff>0</xdr:rowOff>
    </xdr:from>
    <xdr:to>
      <xdr:col>16</xdr:col>
      <xdr:colOff>1604388</xdr:colOff>
      <xdr:row>68</xdr:row>
      <xdr:rowOff>1905</xdr:rowOff>
    </xdr:to>
    <xdr:sp macro="" textlink="">
      <xdr:nvSpPr>
        <xdr:cNvPr id="8" name="Textfeld 7"/>
        <xdr:cNvSpPr txBox="1"/>
      </xdr:nvSpPr>
      <xdr:spPr>
        <a:xfrm>
          <a:off x="12801600" y="10058400"/>
          <a:ext cx="796668" cy="134302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xdr:col>
      <xdr:colOff>94565</xdr:colOff>
      <xdr:row>15</xdr:row>
      <xdr:rowOff>93345</xdr:rowOff>
    </xdr:from>
    <xdr:to>
      <xdr:col>7</xdr:col>
      <xdr:colOff>9525</xdr:colOff>
      <xdr:row>16</xdr:row>
      <xdr:rowOff>128853</xdr:rowOff>
    </xdr:to>
    <xdr:sp macro="" textlink="">
      <xdr:nvSpPr>
        <xdr:cNvPr id="9" name="Textfeld 8"/>
        <xdr:cNvSpPr txBox="1"/>
      </xdr:nvSpPr>
      <xdr:spPr>
        <a:xfrm>
          <a:off x="208865" y="3490595"/>
          <a:ext cx="3991660" cy="226008"/>
        </a:xfrm>
        <a:prstGeom prst="rect">
          <a:avLst/>
        </a:prstGeom>
        <a:solidFill>
          <a:schemeClr val="accent3">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rgbClr val="FF0000"/>
              </a:solidFill>
              <a:latin typeface="Arial Narrow" panose="020B0606020202030204" pitchFamily="34" charset="0"/>
            </a:rPr>
            <a:t>keine gleichzeitige</a:t>
          </a:r>
          <a:r>
            <a:rPr lang="de-DE" sz="1100" b="1" baseline="0">
              <a:solidFill>
                <a:srgbClr val="FF0000"/>
              </a:solidFill>
              <a:latin typeface="Arial Narrow" panose="020B0606020202030204" pitchFamily="34" charset="0"/>
            </a:rPr>
            <a:t> Auszahlung von D 2 auf der selben Fläche mgl.!</a:t>
          </a:r>
          <a:endParaRPr lang="de-DE" sz="1100" b="1">
            <a:solidFill>
              <a:srgbClr val="FF0000"/>
            </a:solidFill>
            <a:latin typeface="Arial Narrow" panose="020B0606020202030204" pitchFamily="34" charset="0"/>
          </a:endParaRPr>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0" name="Rechteck 9"/>
        <xdr:cNvSpPr/>
      </xdr:nvSpPr>
      <xdr:spPr bwMode="auto">
        <a:xfrm>
          <a:off x="5592181" y="0"/>
          <a:ext cx="49622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1" name="Rechteck 10"/>
        <xdr:cNvSpPr/>
      </xdr:nvSpPr>
      <xdr:spPr bwMode="auto">
        <a:xfrm>
          <a:off x="5592181" y="0"/>
          <a:ext cx="49622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2" name="Rechteck 11"/>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3" name="Rechteck 12"/>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4" name="Rechteck 13"/>
        <xdr:cNvSpPr/>
      </xdr:nvSpPr>
      <xdr:spPr bwMode="auto">
        <a:xfrm>
          <a:off x="5618059" y="8626"/>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6" name="Rechteck 15"/>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-127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92181" y="0"/>
          <a:ext cx="49622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8" name="Rechteck 17"/>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19" name="Rechteck 18"/>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0" name="Rechteck 19"/>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-127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1" name="Rechteck 20"/>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-127 </a:t>
          </a:fld>
          <a:endParaRPr lang="de-DE" sz="1100"/>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19">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0">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AE2B34B-9210-48AD-A8FA-4785C2454D1B}" type="TxLink">
            <a:rPr lang="de-DE" sz="1100"/>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0806CC5-035B-46EB-90BB-89C255712499}" type="TxLink">
            <a:rPr lang="de-DE" sz="1100"/>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337CC1D-1BF8-4221-9390-A63F2B965360}" type="TxLink">
            <a:rPr lang="de-DE" sz="1100"/>
            <a:pPr algn="l"/>
            <a:t>-326 </a:t>
          </a:fld>
          <a:endParaRPr lang="de-DE" sz="1100"/>
        </a:p>
      </xdr:txBody>
    </xdr:sp>
    <xdr:clientData/>
  </xdr:twoCellAnchor>
  <xdr:twoCellAnchor>
    <xdr:from>
      <xdr:col>16</xdr:col>
      <xdr:colOff>52815</xdr:colOff>
      <xdr:row>45</xdr:row>
      <xdr:rowOff>0</xdr:rowOff>
    </xdr:from>
    <xdr:to>
      <xdr:col>16</xdr:col>
      <xdr:colOff>1665809</xdr:colOff>
      <xdr:row>53</xdr:row>
      <xdr:rowOff>114300</xdr:rowOff>
    </xdr:to>
    <xdr:sp macro="" textlink="">
      <xdr:nvSpPr>
        <xdr:cNvPr id="7" name="Textfeld 6"/>
        <xdr:cNvSpPr txBox="1"/>
      </xdr:nvSpPr>
      <xdr:spPr>
        <a:xfrm>
          <a:off x="12854415" y="7543800"/>
          <a:ext cx="744314" cy="1455420"/>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a:solidFill>
                <a:srgbClr val="FF0000"/>
              </a:solidFill>
            </a:rPr>
            <a:t>Zusätzliche Arbeitsgänge oder z.B. ein anderes Düngeverfahren können direkt</a:t>
          </a:r>
          <a:r>
            <a:rPr lang="de-DE" sz="1200" b="1" baseline="0">
              <a:solidFill>
                <a:srgbClr val="FF0000"/>
              </a:solidFill>
            </a:rPr>
            <a:t> in den dunkelgelben Dropdown Feldern ausgewähl werden !</a:t>
          </a:r>
          <a:endParaRPr lang="de-DE" sz="1200" b="1">
            <a:solidFill>
              <a:srgbClr val="FF0000"/>
            </a:solidFill>
          </a:endParaRPr>
        </a:p>
      </xdr:txBody>
    </xdr:sp>
    <xdr:clientData/>
  </xdr:twoCellAnchor>
  <xdr:twoCellAnchor>
    <xdr:from>
      <xdr:col>16</xdr:col>
      <xdr:colOff>52815</xdr:colOff>
      <xdr:row>60</xdr:row>
      <xdr:rowOff>8802</xdr:rowOff>
    </xdr:from>
    <xdr:to>
      <xdr:col>16</xdr:col>
      <xdr:colOff>1665809</xdr:colOff>
      <xdr:row>68</xdr:row>
      <xdr:rowOff>3087</xdr:rowOff>
    </xdr:to>
    <xdr:sp macro="" textlink="">
      <xdr:nvSpPr>
        <xdr:cNvPr id="8" name="Textfeld 7"/>
        <xdr:cNvSpPr txBox="1"/>
      </xdr:nvSpPr>
      <xdr:spPr>
        <a:xfrm>
          <a:off x="12854415" y="10067202"/>
          <a:ext cx="744314" cy="13354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400"/>
            </a:lnSpc>
          </a:pPr>
          <a:r>
            <a:rPr lang="de-DE" sz="1200" b="1">
              <a:solidFill>
                <a:srgbClr val="FF0000"/>
              </a:solidFill>
            </a:rPr>
            <a:t>Der</a:t>
          </a:r>
          <a:r>
            <a:rPr lang="de-DE" sz="1200" b="1" baseline="0">
              <a:solidFill>
                <a:srgbClr val="FF0000"/>
              </a:solidFill>
            </a:rPr>
            <a:t> Arbeitszeitenzuschlag stellt eine Pauschale dar und deckt zusätzliche Zeiten für Organisation, Kontrolle und Verwaltung ab.</a:t>
          </a:r>
          <a:endParaRPr lang="de-DE" sz="1200" b="1">
            <a:solidFill>
              <a:srgbClr val="FF0000"/>
            </a:solidFill>
          </a:endParaRPr>
        </a:p>
      </xdr:txBody>
    </xdr:sp>
    <xdr:clientData/>
  </xdr:twoCellAnchor>
  <xdr:twoCellAnchor>
    <xdr:from>
      <xdr:col>16</xdr:col>
      <xdr:colOff>77638</xdr:colOff>
      <xdr:row>25</xdr:row>
      <xdr:rowOff>8627</xdr:rowOff>
    </xdr:from>
    <xdr:to>
      <xdr:col>16</xdr:col>
      <xdr:colOff>1715075</xdr:colOff>
      <xdr:row>30</xdr:row>
      <xdr:rowOff>43132</xdr:rowOff>
    </xdr:to>
    <xdr:sp macro="" textlink="">
      <xdr:nvSpPr>
        <xdr:cNvPr id="10" name="Textfeld 9"/>
        <xdr:cNvSpPr txBox="1"/>
      </xdr:nvSpPr>
      <xdr:spPr>
        <a:xfrm>
          <a:off x="12879238" y="4199627"/>
          <a:ext cx="723037" cy="8727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1400"/>
            </a:lnSpc>
          </a:pPr>
          <a:r>
            <a:rPr lang="de-DE" sz="1200" b="1" baseline="0">
              <a:solidFill>
                <a:srgbClr val="FF0000"/>
              </a:solidFill>
            </a:rPr>
            <a:t>N- Bindung bei Begrünungs zwischenfrüchten mit Leguminosen    laut NÄBI (LEL 2014)</a:t>
          </a:r>
          <a:endParaRPr lang="de-DE" sz="1200" b="1">
            <a:solidFill>
              <a:srgbClr val="FF0000"/>
            </a:solidFill>
          </a:endParaRPr>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1" name="Rechteck 10"/>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BD5E55E-4C92-4816-90AD-74C43BDAAF95}"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21</xdr:colOff>
      <xdr:row>0</xdr:row>
      <xdr:rowOff>190499</xdr:rowOff>
    </xdr:to>
    <xdr:sp macro="" textlink="$J$1">
      <xdr:nvSpPr>
        <xdr:cNvPr id="12" name="Rechteck 11"/>
        <xdr:cNvSpPr/>
      </xdr:nvSpPr>
      <xdr:spPr bwMode="auto">
        <a:xfrm>
          <a:off x="5531221" y="0"/>
          <a:ext cx="435260"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F23F267-748F-422A-BD05-40E252D1F9AF}"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22</xdr:colOff>
      <xdr:row>0</xdr:row>
      <xdr:rowOff>190499</xdr:rowOff>
    </xdr:to>
    <xdr:sp macro="" textlink="$J$1">
      <xdr:nvSpPr>
        <xdr:cNvPr id="13" name="Rechteck 12"/>
        <xdr:cNvSpPr/>
      </xdr:nvSpPr>
      <xdr:spPr bwMode="auto">
        <a:xfrm>
          <a:off x="5531221" y="0"/>
          <a:ext cx="435261"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B039D22-8E65-4EED-9F23-8469EBA652D1}" type="TxLink">
            <a:rPr lang="de-DE" sz="1100" b="1"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4" name="Rechteck 13"/>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5" name="Rechteck 14"/>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4B074C3-ADC1-45CD-BBEA-AB7CA16C492E}"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139279</xdr:colOff>
      <xdr:row>0</xdr:row>
      <xdr:rowOff>8626</xdr:rowOff>
    </xdr:from>
    <xdr:to>
      <xdr:col>10</xdr:col>
      <xdr:colOff>25902</xdr:colOff>
      <xdr:row>0</xdr:row>
      <xdr:rowOff>199125</xdr:rowOff>
    </xdr:to>
    <xdr:sp macro="" textlink="$J$1">
      <xdr:nvSpPr>
        <xdr:cNvPr id="16" name="Rechteck 15"/>
        <xdr:cNvSpPr/>
      </xdr:nvSpPr>
      <xdr:spPr bwMode="auto">
        <a:xfrm>
          <a:off x="5557099" y="8626"/>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CD914CC1-5AA0-4CA4-A54A-08D43985443D}"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7" name="Rechteck 16"/>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3E05C471-95ED-4FDC-A35B-982267C8AECD}"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8" name="Rechteck 17"/>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70787CFF-6B4E-4F77-AE81-64728B0AC077}" type="TxLink">
            <a:rPr lang="de-DE" sz="1100" b="0" i="0" u="none" strike="noStrike">
              <a:solidFill>
                <a:srgbClr val="FF0000"/>
              </a:solidFill>
              <a:latin typeface="Arial"/>
              <a:cs typeface="Arial"/>
            </a:rPr>
            <a:pPr algn="l"/>
            <a:t>-326 </a:t>
          </a:fld>
          <a:endParaRPr lang="de-DE" sz="1100"/>
        </a:p>
      </xdr:txBody>
    </xdr:sp>
    <xdr:clientData/>
  </xdr:twoCellAnchor>
  <xdr:twoCellAnchor>
    <xdr:from>
      <xdr:col>9</xdr:col>
      <xdr:colOff>113401</xdr:colOff>
      <xdr:row>0</xdr:row>
      <xdr:rowOff>0</xdr:rowOff>
    </xdr:from>
    <xdr:to>
      <xdr:col>10</xdr:col>
      <xdr:colOff>24</xdr:colOff>
      <xdr:row>0</xdr:row>
      <xdr:rowOff>190499</xdr:rowOff>
    </xdr:to>
    <xdr:sp macro="" textlink="$J$1">
      <xdr:nvSpPr>
        <xdr:cNvPr id="19" name="Rechteck 18"/>
        <xdr:cNvSpPr/>
      </xdr:nvSpPr>
      <xdr:spPr bwMode="auto">
        <a:xfrm>
          <a:off x="5531221" y="0"/>
          <a:ext cx="435263"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A8061C3-DF3A-4693-83CE-69DF7ADDE7D1}"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0" name="Rechteck 19"/>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544E428-B32A-45B5-8444-A9087B809FD3}"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21" name="Rechteck 20"/>
        <xdr:cNvSpPr/>
      </xdr:nvSpPr>
      <xdr:spPr bwMode="auto">
        <a:xfrm>
          <a:off x="7130415" y="9525"/>
          <a:ext cx="430837"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9281762-0542-4666-9377-E7FBFBA042D4}"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2" name="Rechteck 21"/>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5A4CC60-02D3-4D52-809D-7CC379AF48EC}" type="TxLink">
            <a:rPr lang="de-DE" sz="1100" b="0" i="0" u="none" strike="noStrike">
              <a:solidFill>
                <a:srgbClr val="FF0000"/>
              </a:solidFill>
              <a:latin typeface="Arial"/>
              <a:cs typeface="Arial"/>
            </a:rPr>
            <a:pPr algn="l"/>
            <a:t>-326 </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23" name="Rechteck 22"/>
        <xdr:cNvSpPr/>
      </xdr:nvSpPr>
      <xdr:spPr bwMode="auto">
        <a:xfrm>
          <a:off x="8801100" y="0"/>
          <a:ext cx="441195" cy="19049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E81822A-4958-4962-A4B4-ABC0667F4F04}" type="TxLink">
            <a:rPr lang="de-DE" sz="1100" b="0" i="0" u="none" strike="noStrike">
              <a:solidFill>
                <a:srgbClr val="FF0000"/>
              </a:solidFill>
              <a:latin typeface="Arial"/>
              <a:cs typeface="Arial"/>
            </a:rPr>
            <a:pPr algn="l"/>
            <a:t>-326 </a:t>
          </a:fld>
          <a:endParaRPr lang="de-DE" sz="1100"/>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3">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4">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21</xdr:colOff>
      <xdr:row>0</xdr:row>
      <xdr:rowOff>190499</xdr:rowOff>
    </xdr:to>
    <xdr:sp macro="" textlink="$J$1">
      <xdr:nvSpPr>
        <xdr:cNvPr id="4" name="Rechteck 3"/>
        <xdr:cNvSpPr/>
      </xdr:nvSpPr>
      <xdr:spPr bwMode="auto">
        <a:xfrm>
          <a:off x="7314301" y="0"/>
          <a:ext cx="686720"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A444D0D-9E55-429B-96E4-D335D0024BFB}"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9928AD20-82C3-48E3-AE42-51CCC8C86D0B}" type="TxLink">
            <a:rPr lang="de-DE" sz="1100"/>
            <a:pPr algn="l"/>
            <a:t>#BEZUG!</a:t>
          </a:fld>
          <a:endParaRPr lang="de-DE" sz="1100"/>
        </a:p>
      </xdr:txBody>
    </xdr:sp>
    <xdr:clientData/>
  </xdr:twoCellAnchor>
  <xdr:twoCellAnchor>
    <xdr:from>
      <xdr:col>15</xdr:col>
      <xdr:colOff>91440</xdr:colOff>
      <xdr:row>0</xdr:row>
      <xdr:rowOff>0</xdr:rowOff>
    </xdr:from>
    <xdr:to>
      <xdr:col>15</xdr:col>
      <xdr:colOff>526637</xdr:colOff>
      <xdr:row>0</xdr:row>
      <xdr:rowOff>190499</xdr:rowOff>
    </xdr:to>
    <xdr:sp macro="" textlink="$P$1">
      <xdr:nvSpPr>
        <xdr:cNvPr id="6" name="Rechteck 5"/>
        <xdr:cNvSpPr/>
      </xdr:nvSpPr>
      <xdr:spPr bwMode="auto">
        <a:xfrm>
          <a:off x="12092940" y="0"/>
          <a:ext cx="43519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DA098A6B-7A9C-4759-A95D-08CE54A77EE3}"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17</xdr:col>
          <xdr:colOff>752475</xdr:colOff>
          <xdr:row>1</xdr:row>
          <xdr:rowOff>247650</xdr:rowOff>
        </xdr:from>
        <xdr:to>
          <xdr:col>30</xdr:col>
          <xdr:colOff>257175</xdr:colOff>
          <xdr:row>2</xdr:row>
          <xdr:rowOff>171450</xdr:rowOff>
        </xdr:to>
        <xdr:sp macro="" textlink="">
          <xdr:nvSpPr>
            <xdr:cNvPr id="104464" name="Check Box 16" hidden="1">
              <a:extLst>
                <a:ext uri="{63B3BB69-23CF-44E3-9099-C40C66FF867C}">
                  <a14:compatExt spid="_x0000_s1044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1</xdr:row>
          <xdr:rowOff>57150</xdr:rowOff>
        </xdr:from>
        <xdr:to>
          <xdr:col>30</xdr:col>
          <xdr:colOff>257175</xdr:colOff>
          <xdr:row>1</xdr:row>
          <xdr:rowOff>285750</xdr:rowOff>
        </xdr:to>
        <xdr:sp macro="" textlink="">
          <xdr:nvSpPr>
            <xdr:cNvPr id="104465" name="Check Box 17" hidden="1">
              <a:extLst>
                <a:ext uri="{63B3BB69-23CF-44E3-9099-C40C66FF867C}">
                  <a14:compatExt spid="_x0000_s1044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4466" name="Check Box 18" hidden="1">
              <a:extLst>
                <a:ext uri="{63B3BB69-23CF-44E3-9099-C40C66FF867C}">
                  <a14:compatExt spid="_x0000_s1044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4467" name="Check Box 19" hidden="1">
              <a:extLst>
                <a:ext uri="{63B3BB69-23CF-44E3-9099-C40C66FF867C}">
                  <a14:compatExt spid="_x0000_s1044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4468" name="Check Box 20" hidden="1">
              <a:extLst>
                <a:ext uri="{63B3BB69-23CF-44E3-9099-C40C66FF867C}">
                  <a14:compatExt spid="_x0000_s1044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4469" name="Check Box 21" hidden="1">
              <a:extLst>
                <a:ext uri="{63B3BB69-23CF-44E3-9099-C40C66FF867C}">
                  <a14:compatExt spid="_x0000_s1044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4470" name="Check Box 22" hidden="1">
              <a:extLst>
                <a:ext uri="{63B3BB69-23CF-44E3-9099-C40C66FF867C}">
                  <a14:compatExt spid="_x0000_s1044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4471" name="Check Box 23" hidden="1">
              <a:extLst>
                <a:ext uri="{63B3BB69-23CF-44E3-9099-C40C66FF867C}">
                  <a14:compatExt spid="_x0000_s1044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4472" name="Check Box 24" hidden="1">
              <a:extLst>
                <a:ext uri="{63B3BB69-23CF-44E3-9099-C40C66FF867C}">
                  <a14:compatExt spid="_x0000_s1044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4473" name="Check Box 25" hidden="1">
              <a:extLst>
                <a:ext uri="{63B3BB69-23CF-44E3-9099-C40C66FF867C}">
                  <a14:compatExt spid="_x0000_s1044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4474" name="Check Box 26" hidden="1">
              <a:extLst>
                <a:ext uri="{63B3BB69-23CF-44E3-9099-C40C66FF867C}">
                  <a14:compatExt spid="_x0000_s1044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4475" name="Check Box 27" hidden="1">
              <a:extLst>
                <a:ext uri="{63B3BB69-23CF-44E3-9099-C40C66FF867C}">
                  <a14:compatExt spid="_x0000_s1044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4476" name="Check Box 28" hidden="1">
              <a:extLst>
                <a:ext uri="{63B3BB69-23CF-44E3-9099-C40C66FF867C}">
                  <a14:compatExt spid="_x0000_s10447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4477" name="Check Box 29" hidden="1">
              <a:extLst>
                <a:ext uri="{63B3BB69-23CF-44E3-9099-C40C66FF867C}">
                  <a14:compatExt spid="_x0000_s10447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4478" name="Check Box 30" hidden="1">
              <a:extLst>
                <a:ext uri="{63B3BB69-23CF-44E3-9099-C40C66FF867C}">
                  <a14:compatExt spid="_x0000_s10447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4479" name="Check Box 31" hidden="1">
              <a:extLst>
                <a:ext uri="{63B3BB69-23CF-44E3-9099-C40C66FF867C}">
                  <a14:compatExt spid="_x0000_s10447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6.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1B2D45C6-2AE8-435C-A703-5AFF6F59048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CD37F-B876-4507-A9B0-A0539E77C3A7}"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1F0EE87-5A59-44B5-ABB5-3D83DA65C28C}"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266700</xdr:colOff>
          <xdr:row>1</xdr:row>
          <xdr:rowOff>257175</xdr:rowOff>
        </xdr:from>
        <xdr:to>
          <xdr:col>18</xdr:col>
          <xdr:colOff>523875</xdr:colOff>
          <xdr:row>2</xdr:row>
          <xdr:rowOff>180975</xdr:rowOff>
        </xdr:to>
        <xdr:sp macro="" textlink="">
          <xdr:nvSpPr>
            <xdr:cNvPr id="105488" name="Check Box 16" hidden="1">
              <a:extLst>
                <a:ext uri="{63B3BB69-23CF-44E3-9099-C40C66FF867C}">
                  <a14:compatExt spid="_x0000_s10548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247650</xdr:colOff>
          <xdr:row>1</xdr:row>
          <xdr:rowOff>57150</xdr:rowOff>
        </xdr:from>
        <xdr:to>
          <xdr:col>18</xdr:col>
          <xdr:colOff>514350</xdr:colOff>
          <xdr:row>1</xdr:row>
          <xdr:rowOff>295275</xdr:rowOff>
        </xdr:to>
        <xdr:sp macro="" textlink="">
          <xdr:nvSpPr>
            <xdr:cNvPr id="105489" name="Check Box 17" hidden="1">
              <a:extLst>
                <a:ext uri="{63B3BB69-23CF-44E3-9099-C40C66FF867C}">
                  <a14:compatExt spid="_x0000_s10548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105187</xdr:colOff>
      <xdr:row>11</xdr:row>
      <xdr:rowOff>34505</xdr:rowOff>
    </xdr:to>
    <xdr:sp macro="" textlink="">
      <xdr:nvSpPr>
        <xdr:cNvPr id="9" name="Textfeld 8"/>
        <xdr:cNvSpPr txBox="1"/>
      </xdr:nvSpPr>
      <xdr:spPr>
        <a:xfrm>
          <a:off x="12801600" y="167640"/>
          <a:ext cx="905287"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5490" name="Check Box 18" hidden="1">
              <a:extLst>
                <a:ext uri="{63B3BB69-23CF-44E3-9099-C40C66FF867C}">
                  <a14:compatExt spid="_x0000_s10549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5491" name="Check Box 19" hidden="1">
              <a:extLst>
                <a:ext uri="{63B3BB69-23CF-44E3-9099-C40C66FF867C}">
                  <a14:compatExt spid="_x0000_s10549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5492" name="Check Box 20" hidden="1">
              <a:extLst>
                <a:ext uri="{63B3BB69-23CF-44E3-9099-C40C66FF867C}">
                  <a14:compatExt spid="_x0000_s10549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5493" name="Check Box 21" hidden="1">
              <a:extLst>
                <a:ext uri="{63B3BB69-23CF-44E3-9099-C40C66FF867C}">
                  <a14:compatExt spid="_x0000_s10549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5494" name="Check Box 22" hidden="1">
              <a:extLst>
                <a:ext uri="{63B3BB69-23CF-44E3-9099-C40C66FF867C}">
                  <a14:compatExt spid="_x0000_s10549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5495" name="Check Box 23" hidden="1">
              <a:extLst>
                <a:ext uri="{63B3BB69-23CF-44E3-9099-C40C66FF867C}">
                  <a14:compatExt spid="_x0000_s10549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5496" name="Check Box 24" hidden="1">
              <a:extLst>
                <a:ext uri="{63B3BB69-23CF-44E3-9099-C40C66FF867C}">
                  <a14:compatExt spid="_x0000_s10549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5497" name="Check Box 25" hidden="1">
              <a:extLst>
                <a:ext uri="{63B3BB69-23CF-44E3-9099-C40C66FF867C}">
                  <a14:compatExt spid="_x0000_s10549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5498" name="Check Box 26" hidden="1">
              <a:extLst>
                <a:ext uri="{63B3BB69-23CF-44E3-9099-C40C66FF867C}">
                  <a14:compatExt spid="_x0000_s10549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5499" name="Check Box 27" hidden="1">
              <a:extLst>
                <a:ext uri="{63B3BB69-23CF-44E3-9099-C40C66FF867C}">
                  <a14:compatExt spid="_x0000_s10549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5500" name="Check Box 28" hidden="1">
              <a:extLst>
                <a:ext uri="{63B3BB69-23CF-44E3-9099-C40C66FF867C}">
                  <a14:compatExt spid="_x0000_s1055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5501" name="Check Box 29" hidden="1">
              <a:extLst>
                <a:ext uri="{63B3BB69-23CF-44E3-9099-C40C66FF867C}">
                  <a14:compatExt spid="_x0000_s10550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5502" name="Check Box 30" hidden="1">
              <a:extLst>
                <a:ext uri="{63B3BB69-23CF-44E3-9099-C40C66FF867C}">
                  <a14:compatExt spid="_x0000_s10550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5503" name="Check Box 31" hidden="1">
              <a:extLst>
                <a:ext uri="{63B3BB69-23CF-44E3-9099-C40C66FF867C}">
                  <a14:compatExt spid="_x0000_s10550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B17D3CD-C7E4-40ED-910B-866D930A3686}"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CBB7DB3-3D0F-4E08-9D85-ECB23DC92E05}"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5FA2D681-A9AF-4E4A-83FB-ADEFD6AE3942}"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6512" name="Check Box 16" hidden="1">
              <a:extLst>
                <a:ext uri="{63B3BB69-23CF-44E3-9099-C40C66FF867C}">
                  <a14:compatExt spid="_x0000_s10651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6513" name="Check Box 17" hidden="1">
              <a:extLst>
                <a:ext uri="{63B3BB69-23CF-44E3-9099-C40C66FF867C}">
                  <a14:compatExt spid="_x0000_s10651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6514" name="Check Box 18" hidden="1">
              <a:extLst>
                <a:ext uri="{63B3BB69-23CF-44E3-9099-C40C66FF867C}">
                  <a14:compatExt spid="_x0000_s10651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6515" name="Check Box 19" hidden="1">
              <a:extLst>
                <a:ext uri="{63B3BB69-23CF-44E3-9099-C40C66FF867C}">
                  <a14:compatExt spid="_x0000_s10651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6516" name="Check Box 20" hidden="1">
              <a:extLst>
                <a:ext uri="{63B3BB69-23CF-44E3-9099-C40C66FF867C}">
                  <a14:compatExt spid="_x0000_s10651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6517" name="Check Box 21" hidden="1">
              <a:extLst>
                <a:ext uri="{63B3BB69-23CF-44E3-9099-C40C66FF867C}">
                  <a14:compatExt spid="_x0000_s10651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6518" name="Check Box 22" hidden="1">
              <a:extLst>
                <a:ext uri="{63B3BB69-23CF-44E3-9099-C40C66FF867C}">
                  <a14:compatExt spid="_x0000_s10651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6519" name="Check Box 23" hidden="1">
              <a:extLst>
                <a:ext uri="{63B3BB69-23CF-44E3-9099-C40C66FF867C}">
                  <a14:compatExt spid="_x0000_s10651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6520" name="Check Box 24" hidden="1">
              <a:extLst>
                <a:ext uri="{63B3BB69-23CF-44E3-9099-C40C66FF867C}">
                  <a14:compatExt spid="_x0000_s10652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6521" name="Check Box 25" hidden="1">
              <a:extLst>
                <a:ext uri="{63B3BB69-23CF-44E3-9099-C40C66FF867C}">
                  <a14:compatExt spid="_x0000_s10652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6522" name="Check Box 26" hidden="1">
              <a:extLst>
                <a:ext uri="{63B3BB69-23CF-44E3-9099-C40C66FF867C}">
                  <a14:compatExt spid="_x0000_s10652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6523" name="Check Box 27" hidden="1">
              <a:extLst>
                <a:ext uri="{63B3BB69-23CF-44E3-9099-C40C66FF867C}">
                  <a14:compatExt spid="_x0000_s10652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6524" name="Check Box 28" hidden="1">
              <a:extLst>
                <a:ext uri="{63B3BB69-23CF-44E3-9099-C40C66FF867C}">
                  <a14:compatExt spid="_x0000_s10652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6525" name="Check Box 29" hidden="1">
              <a:extLst>
                <a:ext uri="{63B3BB69-23CF-44E3-9099-C40C66FF867C}">
                  <a14:compatExt spid="_x0000_s10652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6526" name="Check Box 30" hidden="1">
              <a:extLst>
                <a:ext uri="{63B3BB69-23CF-44E3-9099-C40C66FF867C}">
                  <a14:compatExt spid="_x0000_s10652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6527" name="Check Box 31" hidden="1">
              <a:extLst>
                <a:ext uri="{63B3BB69-23CF-44E3-9099-C40C66FF867C}">
                  <a14:compatExt spid="_x0000_s10652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7">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8">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24</xdr:colOff>
      <xdr:row>0</xdr:row>
      <xdr:rowOff>190499</xdr:rowOff>
    </xdr:to>
    <xdr:sp macro="" textlink="$J$1">
      <xdr:nvSpPr>
        <xdr:cNvPr id="4" name="Rechteck 3"/>
        <xdr:cNvSpPr/>
      </xdr:nvSpPr>
      <xdr:spPr bwMode="auto">
        <a:xfrm>
          <a:off x="7314301" y="0"/>
          <a:ext cx="686723"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08836FBA-0ADF-4640-AF2D-937D6F414352}" type="TxLink">
            <a:rPr lang="de-DE" sz="1100"/>
            <a:pPr algn="l"/>
            <a:t>#BEZUG!</a:t>
          </a:fld>
          <a:endParaRPr lang="de-DE" sz="1100"/>
        </a:p>
      </xdr:txBody>
    </xdr:sp>
    <xdr:clientData/>
  </xdr:twoCellAnchor>
  <xdr:twoCellAnchor>
    <xdr:from>
      <xdr:col>12</xdr:col>
      <xdr:colOff>66675</xdr:colOff>
      <xdr:row>0</xdr:row>
      <xdr:rowOff>9525</xdr:rowOff>
    </xdr:from>
    <xdr:to>
      <xdr:col>12</xdr:col>
      <xdr:colOff>497512</xdr:colOff>
      <xdr:row>0</xdr:row>
      <xdr:rowOff>200024</xdr:rowOff>
    </xdr:to>
    <xdr:sp macro="" textlink="$M$1">
      <xdr:nvSpPr>
        <xdr:cNvPr id="5" name="Rechteck 4"/>
        <xdr:cNvSpPr/>
      </xdr:nvSpPr>
      <xdr:spPr bwMode="auto">
        <a:xfrm>
          <a:off x="9667875" y="9525"/>
          <a:ext cx="430837"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88F263CE-B290-41ED-90E1-D7A89C271046}" type="TxLink">
            <a:rPr lang="de-DE" sz="1100"/>
            <a:pPr algn="l"/>
            <a:t>#BEZUG!</a:t>
          </a:fld>
          <a:endParaRPr lang="de-DE" sz="1100"/>
        </a:p>
      </xdr:txBody>
    </xdr:sp>
    <xdr:clientData/>
  </xdr:twoCellAnchor>
  <xdr:twoCellAnchor>
    <xdr:from>
      <xdr:col>15</xdr:col>
      <xdr:colOff>91440</xdr:colOff>
      <xdr:row>0</xdr:row>
      <xdr:rowOff>0</xdr:rowOff>
    </xdr:from>
    <xdr:to>
      <xdr:col>15</xdr:col>
      <xdr:colOff>532635</xdr:colOff>
      <xdr:row>0</xdr:row>
      <xdr:rowOff>190499</xdr:rowOff>
    </xdr:to>
    <xdr:sp macro="" textlink="$P$1">
      <xdr:nvSpPr>
        <xdr:cNvPr id="6" name="Rechteck 5"/>
        <xdr:cNvSpPr/>
      </xdr:nvSpPr>
      <xdr:spPr bwMode="auto">
        <a:xfrm>
          <a:off x="12092940" y="0"/>
          <a:ext cx="441195"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29F1BC9B-CF74-4BC4-8AED-47B5B709B416}"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466725</xdr:colOff>
          <xdr:row>2</xdr:row>
          <xdr:rowOff>180975</xdr:rowOff>
        </xdr:to>
        <xdr:sp macro="" textlink="">
          <xdr:nvSpPr>
            <xdr:cNvPr id="107536" name="Check Box 16" hidden="1">
              <a:extLst>
                <a:ext uri="{63B3BB69-23CF-44E3-9099-C40C66FF867C}">
                  <a14:compatExt spid="_x0000_s10753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200025</xdr:colOff>
          <xdr:row>1</xdr:row>
          <xdr:rowOff>57150</xdr:rowOff>
        </xdr:from>
        <xdr:to>
          <xdr:col>18</xdr:col>
          <xdr:colOff>466725</xdr:colOff>
          <xdr:row>1</xdr:row>
          <xdr:rowOff>295275</xdr:rowOff>
        </xdr:to>
        <xdr:sp macro="" textlink="">
          <xdr:nvSpPr>
            <xdr:cNvPr id="107537" name="Check Box 17" hidden="1">
              <a:extLst>
                <a:ext uri="{63B3BB69-23CF-44E3-9099-C40C66FF867C}">
                  <a14:compatExt spid="_x0000_s10753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7538" name="Check Box 18" hidden="1">
              <a:extLst>
                <a:ext uri="{63B3BB69-23CF-44E3-9099-C40C66FF867C}">
                  <a14:compatExt spid="_x0000_s10753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7539" name="Check Box 19" hidden="1">
              <a:extLst>
                <a:ext uri="{63B3BB69-23CF-44E3-9099-C40C66FF867C}">
                  <a14:compatExt spid="_x0000_s10753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7540" name="Check Box 20" hidden="1">
              <a:extLst>
                <a:ext uri="{63B3BB69-23CF-44E3-9099-C40C66FF867C}">
                  <a14:compatExt spid="_x0000_s10754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7541" name="Check Box 21" hidden="1">
              <a:extLst>
                <a:ext uri="{63B3BB69-23CF-44E3-9099-C40C66FF867C}">
                  <a14:compatExt spid="_x0000_s10754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7542" name="Check Box 22" hidden="1">
              <a:extLst>
                <a:ext uri="{63B3BB69-23CF-44E3-9099-C40C66FF867C}">
                  <a14:compatExt spid="_x0000_s10754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7543" name="Check Box 23" hidden="1">
              <a:extLst>
                <a:ext uri="{63B3BB69-23CF-44E3-9099-C40C66FF867C}">
                  <a14:compatExt spid="_x0000_s10754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7544" name="Check Box 24" hidden="1">
              <a:extLst>
                <a:ext uri="{63B3BB69-23CF-44E3-9099-C40C66FF867C}">
                  <a14:compatExt spid="_x0000_s10754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7545" name="Check Box 25" hidden="1">
              <a:extLst>
                <a:ext uri="{63B3BB69-23CF-44E3-9099-C40C66FF867C}">
                  <a14:compatExt spid="_x0000_s10754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7546" name="Check Box 26" hidden="1">
              <a:extLst>
                <a:ext uri="{63B3BB69-23CF-44E3-9099-C40C66FF867C}">
                  <a14:compatExt spid="_x0000_s10754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7547" name="Check Box 27" hidden="1">
              <a:extLst>
                <a:ext uri="{63B3BB69-23CF-44E3-9099-C40C66FF867C}">
                  <a14:compatExt spid="_x0000_s10754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7548" name="Check Box 28" hidden="1">
              <a:extLst>
                <a:ext uri="{63B3BB69-23CF-44E3-9099-C40C66FF867C}">
                  <a14:compatExt spid="_x0000_s10754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7549" name="Check Box 29" hidden="1">
              <a:extLst>
                <a:ext uri="{63B3BB69-23CF-44E3-9099-C40C66FF867C}">
                  <a14:compatExt spid="_x0000_s10754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7550" name="Check Box 30" hidden="1">
              <a:extLst>
                <a:ext uri="{63B3BB69-23CF-44E3-9099-C40C66FF867C}">
                  <a14:compatExt spid="_x0000_s10755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7551" name="Check Box 31" hidden="1">
              <a:extLst>
                <a:ext uri="{63B3BB69-23CF-44E3-9099-C40C66FF867C}">
                  <a14:compatExt spid="_x0000_s10755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1</xdr:col>
      <xdr:colOff>66675</xdr:colOff>
      <xdr:row>0</xdr:row>
      <xdr:rowOff>9525</xdr:rowOff>
    </xdr:from>
    <xdr:to>
      <xdr:col>3</xdr:col>
      <xdr:colOff>261989</xdr:colOff>
      <xdr:row>0</xdr:row>
      <xdr:rowOff>276225</xdr:rowOff>
    </xdr:to>
    <xdr:sp macro="" textlink="">
      <xdr:nvSpPr>
        <xdr:cNvPr id="2" name="Rectangle 28">
          <a:hlinkClick xmlns:r="http://schemas.openxmlformats.org/officeDocument/2006/relationships" r:id="rId1"/>
        </xdr:cNvPr>
        <xdr:cNvSpPr>
          <a:spLocks noChangeArrowheads="1"/>
        </xdr:cNvSpPr>
      </xdr:nvSpPr>
      <xdr:spPr bwMode="auto">
        <a:xfrm>
          <a:off x="866775" y="9525"/>
          <a:ext cx="1795514" cy="160020"/>
        </a:xfrm>
        <a:prstGeom prst="rect">
          <a:avLst/>
        </a:prstGeom>
        <a:solidFill>
          <a:srgbClr val="F6CD72"/>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Inhaltsverzeichnis</a:t>
          </a:r>
        </a:p>
      </xdr:txBody>
    </xdr:sp>
    <xdr:clientData fPrintsWithSheet="0"/>
  </xdr:twoCellAnchor>
  <xdr:twoCellAnchor>
    <xdr:from>
      <xdr:col>4</xdr:col>
      <xdr:colOff>66675</xdr:colOff>
      <xdr:row>0</xdr:row>
      <xdr:rowOff>9525</xdr:rowOff>
    </xdr:from>
    <xdr:to>
      <xdr:col>6</xdr:col>
      <xdr:colOff>95250</xdr:colOff>
      <xdr:row>0</xdr:row>
      <xdr:rowOff>276225</xdr:rowOff>
    </xdr:to>
    <xdr:sp macro="" textlink="">
      <xdr:nvSpPr>
        <xdr:cNvPr id="3" name="Rectangle 29">
          <a:hlinkClick xmlns:r="http://schemas.openxmlformats.org/officeDocument/2006/relationships" r:id="rId2"/>
        </xdr:cNvPr>
        <xdr:cNvSpPr>
          <a:spLocks noChangeArrowheads="1"/>
        </xdr:cNvSpPr>
      </xdr:nvSpPr>
      <xdr:spPr bwMode="auto">
        <a:xfrm>
          <a:off x="3267075" y="9525"/>
          <a:ext cx="1628775" cy="160020"/>
        </a:xfrm>
        <a:prstGeom prst="rect">
          <a:avLst/>
        </a:prstGeom>
        <a:solidFill>
          <a:srgbClr val="A6CAF0"/>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DE" sz="1200" b="1" i="0" u="sng" strike="noStrike" baseline="0">
              <a:solidFill>
                <a:srgbClr val="000000"/>
              </a:solidFill>
              <a:latin typeface="Arial"/>
              <a:cs typeface="Arial"/>
            </a:rPr>
            <a:t>Kostenrechnung</a:t>
          </a:r>
        </a:p>
      </xdr:txBody>
    </xdr:sp>
    <xdr:clientData fPrintsWithSheet="0"/>
  </xdr:twoCellAnchor>
  <xdr:twoCellAnchor>
    <xdr:from>
      <xdr:col>9</xdr:col>
      <xdr:colOff>113401</xdr:colOff>
      <xdr:row>0</xdr:row>
      <xdr:rowOff>0</xdr:rowOff>
    </xdr:from>
    <xdr:to>
      <xdr:col>10</xdr:col>
      <xdr:colOff>22</xdr:colOff>
      <xdr:row>0</xdr:row>
      <xdr:rowOff>190499</xdr:rowOff>
    </xdr:to>
    <xdr:sp macro="" textlink="$J$1">
      <xdr:nvSpPr>
        <xdr:cNvPr id="4" name="Rechteck 3"/>
        <xdr:cNvSpPr/>
      </xdr:nvSpPr>
      <xdr:spPr bwMode="auto">
        <a:xfrm>
          <a:off x="7314301" y="0"/>
          <a:ext cx="686721"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00B2714-770E-4DEB-871A-758080ABA5B8}" type="TxLink">
            <a:rPr lang="de-DE" sz="1100"/>
            <a:pPr algn="l"/>
            <a:t>#BEZUG!</a:t>
          </a:fld>
          <a:endParaRPr lang="de-DE" sz="1100"/>
        </a:p>
      </xdr:txBody>
    </xdr:sp>
    <xdr:clientData/>
  </xdr:twoCellAnchor>
  <xdr:twoCellAnchor>
    <xdr:from>
      <xdr:col>12</xdr:col>
      <xdr:colOff>66675</xdr:colOff>
      <xdr:row>0</xdr:row>
      <xdr:rowOff>9525</xdr:rowOff>
    </xdr:from>
    <xdr:to>
      <xdr:col>12</xdr:col>
      <xdr:colOff>517287</xdr:colOff>
      <xdr:row>0</xdr:row>
      <xdr:rowOff>200024</xdr:rowOff>
    </xdr:to>
    <xdr:sp macro="" textlink="$M$1">
      <xdr:nvSpPr>
        <xdr:cNvPr id="5" name="Rechteck 4"/>
        <xdr:cNvSpPr/>
      </xdr:nvSpPr>
      <xdr:spPr bwMode="auto">
        <a:xfrm>
          <a:off x="9667875" y="9525"/>
          <a:ext cx="450612" cy="16001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A4CCEC1A-2387-4B2C-968F-3C00153DD1C1}" type="TxLink">
            <a:rPr lang="de-DE" sz="1100"/>
            <a:pPr algn="l"/>
            <a:t>#BEZUG!</a:t>
          </a:fld>
          <a:endParaRPr lang="de-DE" sz="1100"/>
        </a:p>
      </xdr:txBody>
    </xdr:sp>
    <xdr:clientData/>
  </xdr:twoCellAnchor>
  <xdr:twoCellAnchor>
    <xdr:from>
      <xdr:col>15</xdr:col>
      <xdr:colOff>91440</xdr:colOff>
      <xdr:row>0</xdr:row>
      <xdr:rowOff>0</xdr:rowOff>
    </xdr:from>
    <xdr:to>
      <xdr:col>15</xdr:col>
      <xdr:colOff>533217</xdr:colOff>
      <xdr:row>0</xdr:row>
      <xdr:rowOff>190499</xdr:rowOff>
    </xdr:to>
    <xdr:sp macro="" textlink="$P$1">
      <xdr:nvSpPr>
        <xdr:cNvPr id="6" name="Rechteck 5"/>
        <xdr:cNvSpPr/>
      </xdr:nvSpPr>
      <xdr:spPr bwMode="auto">
        <a:xfrm>
          <a:off x="12092940" y="0"/>
          <a:ext cx="441777" cy="167639"/>
        </a:xfrm>
        <a:prstGeom prst="rect">
          <a:avLst/>
        </a:prstGeom>
        <a:ln>
          <a:headEnd type="none" w="med" len="med"/>
          <a:tailEnd type="none" w="med" len="med"/>
        </a:ln>
        <a:extLst/>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ctr" anchorCtr="1" upright="1"/>
        <a:lstStyle/>
        <a:p>
          <a:pPr algn="l"/>
          <a:fld id="{E548B608-AA48-40A2-9C42-A5692FCB178A}" type="TxLink">
            <a:rPr lang="de-DE" sz="1100"/>
            <a:pPr algn="l"/>
            <a:t>#BEZUG!</a:t>
          </a:fld>
          <a:endParaRPr lang="de-DE" sz="1100"/>
        </a:p>
      </xdr:txBody>
    </xdr:sp>
    <xdr:clientData/>
  </xdr:twoCellAnchor>
  <mc:AlternateContent xmlns:mc="http://schemas.openxmlformats.org/markup-compatibility/2006">
    <mc:Choice xmlns:a14="http://schemas.microsoft.com/office/drawing/2010/main" Requires="a14">
      <xdr:twoCellAnchor editAs="oneCell">
        <xdr:from>
          <xdr:col>18</xdr:col>
          <xdr:colOff>209550</xdr:colOff>
          <xdr:row>1</xdr:row>
          <xdr:rowOff>257175</xdr:rowOff>
        </xdr:from>
        <xdr:to>
          <xdr:col>18</xdr:col>
          <xdr:colOff>476250</xdr:colOff>
          <xdr:row>2</xdr:row>
          <xdr:rowOff>180975</xdr:rowOff>
        </xdr:to>
        <xdr:sp macro="" textlink="">
          <xdr:nvSpPr>
            <xdr:cNvPr id="108560" name="Check Box 16" hidden="1">
              <a:extLst>
                <a:ext uri="{63B3BB69-23CF-44E3-9099-C40C66FF867C}">
                  <a14:compatExt spid="_x0000_s10856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xdr:row>
          <xdr:rowOff>57150</xdr:rowOff>
        </xdr:from>
        <xdr:to>
          <xdr:col>18</xdr:col>
          <xdr:colOff>476250</xdr:colOff>
          <xdr:row>1</xdr:row>
          <xdr:rowOff>295275</xdr:rowOff>
        </xdr:to>
        <xdr:sp macro="" textlink="">
          <xdr:nvSpPr>
            <xdr:cNvPr id="108561" name="Check Box 17" hidden="1">
              <a:extLst>
                <a:ext uri="{63B3BB69-23CF-44E3-9099-C40C66FF867C}">
                  <a14:compatExt spid="_x0000_s10856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0</xdr:colOff>
      <xdr:row>1</xdr:row>
      <xdr:rowOff>0</xdr:rowOff>
    </xdr:from>
    <xdr:to>
      <xdr:col>17</xdr:col>
      <xdr:colOff>105188</xdr:colOff>
      <xdr:row>11</xdr:row>
      <xdr:rowOff>34505</xdr:rowOff>
    </xdr:to>
    <xdr:sp macro="" textlink="">
      <xdr:nvSpPr>
        <xdr:cNvPr id="9" name="Textfeld 8"/>
        <xdr:cNvSpPr txBox="1"/>
      </xdr:nvSpPr>
      <xdr:spPr>
        <a:xfrm>
          <a:off x="12801600" y="167640"/>
          <a:ext cx="905288" cy="1710905"/>
        </a:xfrm>
        <a:prstGeom prst="rect">
          <a:avLst/>
        </a:prstGeom>
        <a:solidFill>
          <a:schemeClr val="accent3">
            <a:lumMod val="60000"/>
            <a:lumOff val="4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lang="de-DE" sz="1200" b="1">
              <a:solidFill>
                <a:srgbClr val="FF0000"/>
              </a:solidFill>
            </a:rPr>
            <a:t>Achtung:</a:t>
          </a:r>
          <a:r>
            <a:rPr lang="de-DE" sz="1200" b="1" baseline="0">
              <a:solidFill>
                <a:srgbClr val="FF0000"/>
              </a:solidFill>
            </a:rPr>
            <a:t> bei den Testfrüchten müssen Trocknungs und Konservierungskosten sowie Hagelversicherung an die gewählte Kultur angepassst und aus den jew. Datenblättern ausgewählt werden !!</a:t>
          </a:r>
          <a:endParaRPr lang="de-DE" sz="1200" b="1">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171450</xdr:colOff>
          <xdr:row>13</xdr:row>
          <xdr:rowOff>57150</xdr:rowOff>
        </xdr:from>
        <xdr:to>
          <xdr:col>10</xdr:col>
          <xdr:colOff>390525</xdr:colOff>
          <xdr:row>14</xdr:row>
          <xdr:rowOff>47625</xdr:rowOff>
        </xdr:to>
        <xdr:sp macro="" textlink="">
          <xdr:nvSpPr>
            <xdr:cNvPr id="108562" name="Check Box 18" hidden="1">
              <a:extLst>
                <a:ext uri="{63B3BB69-23CF-44E3-9099-C40C66FF867C}">
                  <a14:compatExt spid="_x0000_s10856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38100</xdr:rowOff>
        </xdr:from>
        <xdr:to>
          <xdr:col>10</xdr:col>
          <xdr:colOff>390525</xdr:colOff>
          <xdr:row>14</xdr:row>
          <xdr:rowOff>180975</xdr:rowOff>
        </xdr:to>
        <xdr:sp macro="" textlink="">
          <xdr:nvSpPr>
            <xdr:cNvPr id="108563" name="Check Box 19" hidden="1">
              <a:extLst>
                <a:ext uri="{63B3BB69-23CF-44E3-9099-C40C66FF867C}">
                  <a14:compatExt spid="_x0000_s10856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14</xdr:row>
          <xdr:rowOff>171450</xdr:rowOff>
        </xdr:from>
        <xdr:to>
          <xdr:col>10</xdr:col>
          <xdr:colOff>390525</xdr:colOff>
          <xdr:row>15</xdr:row>
          <xdr:rowOff>123825</xdr:rowOff>
        </xdr:to>
        <xdr:sp macro="" textlink="">
          <xdr:nvSpPr>
            <xdr:cNvPr id="108564" name="Check Box 20" hidden="1">
              <a:extLst>
                <a:ext uri="{63B3BB69-23CF-44E3-9099-C40C66FF867C}">
                  <a14:compatExt spid="_x0000_s10856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15</xdr:row>
          <xdr:rowOff>152400</xdr:rowOff>
        </xdr:from>
        <xdr:to>
          <xdr:col>10</xdr:col>
          <xdr:colOff>381000</xdr:colOff>
          <xdr:row>16</xdr:row>
          <xdr:rowOff>114300</xdr:rowOff>
        </xdr:to>
        <xdr:sp macro="" textlink="">
          <xdr:nvSpPr>
            <xdr:cNvPr id="108565" name="Check Box 21" hidden="1">
              <a:extLst>
                <a:ext uri="{63B3BB69-23CF-44E3-9099-C40C66FF867C}">
                  <a14:compatExt spid="_x0000_s10856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13</xdr:row>
          <xdr:rowOff>38100</xdr:rowOff>
        </xdr:from>
        <xdr:to>
          <xdr:col>7</xdr:col>
          <xdr:colOff>361950</xdr:colOff>
          <xdr:row>14</xdr:row>
          <xdr:rowOff>19050</xdr:rowOff>
        </xdr:to>
        <xdr:sp macro="" textlink="">
          <xdr:nvSpPr>
            <xdr:cNvPr id="108566" name="Check Box 22" hidden="1">
              <a:extLst>
                <a:ext uri="{63B3BB69-23CF-44E3-9099-C40C66FF867C}">
                  <a14:compatExt spid="_x0000_s108566"/>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14</xdr:row>
          <xdr:rowOff>47625</xdr:rowOff>
        </xdr:from>
        <xdr:to>
          <xdr:col>7</xdr:col>
          <xdr:colOff>352425</xdr:colOff>
          <xdr:row>15</xdr:row>
          <xdr:rowOff>0</xdr:rowOff>
        </xdr:to>
        <xdr:sp macro="" textlink="">
          <xdr:nvSpPr>
            <xdr:cNvPr id="108567" name="Check Box 23" hidden="1">
              <a:extLst>
                <a:ext uri="{63B3BB69-23CF-44E3-9099-C40C66FF867C}">
                  <a14:compatExt spid="_x0000_s108567"/>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15</xdr:row>
          <xdr:rowOff>38100</xdr:rowOff>
        </xdr:from>
        <xdr:to>
          <xdr:col>7</xdr:col>
          <xdr:colOff>361950</xdr:colOff>
          <xdr:row>15</xdr:row>
          <xdr:rowOff>180975</xdr:rowOff>
        </xdr:to>
        <xdr:sp macro="" textlink="">
          <xdr:nvSpPr>
            <xdr:cNvPr id="108568" name="Check Box 24" hidden="1">
              <a:extLst>
                <a:ext uri="{63B3BB69-23CF-44E3-9099-C40C66FF867C}">
                  <a14:compatExt spid="_x0000_s108568"/>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161925</xdr:colOff>
          <xdr:row>16</xdr:row>
          <xdr:rowOff>38100</xdr:rowOff>
        </xdr:from>
        <xdr:to>
          <xdr:col>7</xdr:col>
          <xdr:colOff>390525</xdr:colOff>
          <xdr:row>16</xdr:row>
          <xdr:rowOff>180975</xdr:rowOff>
        </xdr:to>
        <xdr:sp macro="" textlink="">
          <xdr:nvSpPr>
            <xdr:cNvPr id="108569" name="Check Box 25" hidden="1">
              <a:extLst>
                <a:ext uri="{63B3BB69-23CF-44E3-9099-C40C66FF867C}">
                  <a14:compatExt spid="_x0000_s108569"/>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13</xdr:row>
          <xdr:rowOff>57150</xdr:rowOff>
        </xdr:from>
        <xdr:to>
          <xdr:col>13</xdr:col>
          <xdr:colOff>400050</xdr:colOff>
          <xdr:row>14</xdr:row>
          <xdr:rowOff>47625</xdr:rowOff>
        </xdr:to>
        <xdr:sp macro="" textlink="">
          <xdr:nvSpPr>
            <xdr:cNvPr id="108570" name="Check Box 26" hidden="1">
              <a:extLst>
                <a:ext uri="{63B3BB69-23CF-44E3-9099-C40C66FF867C}">
                  <a14:compatExt spid="_x0000_s10857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14</xdr:row>
          <xdr:rowOff>38100</xdr:rowOff>
        </xdr:from>
        <xdr:to>
          <xdr:col>13</xdr:col>
          <xdr:colOff>400050</xdr:colOff>
          <xdr:row>14</xdr:row>
          <xdr:rowOff>180975</xdr:rowOff>
        </xdr:to>
        <xdr:sp macro="" textlink="">
          <xdr:nvSpPr>
            <xdr:cNvPr id="108571" name="Check Box 27" hidden="1">
              <a:extLst>
                <a:ext uri="{63B3BB69-23CF-44E3-9099-C40C66FF867C}">
                  <a14:compatExt spid="_x0000_s108571"/>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15</xdr:row>
          <xdr:rowOff>19050</xdr:rowOff>
        </xdr:from>
        <xdr:to>
          <xdr:col>13</xdr:col>
          <xdr:colOff>400050</xdr:colOff>
          <xdr:row>15</xdr:row>
          <xdr:rowOff>171450</xdr:rowOff>
        </xdr:to>
        <xdr:sp macro="" textlink="">
          <xdr:nvSpPr>
            <xdr:cNvPr id="108572" name="Check Box 28" hidden="1">
              <a:extLst>
                <a:ext uri="{63B3BB69-23CF-44E3-9099-C40C66FF867C}">
                  <a14:compatExt spid="_x0000_s108572"/>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180975</xdr:colOff>
          <xdr:row>16</xdr:row>
          <xdr:rowOff>19050</xdr:rowOff>
        </xdr:from>
        <xdr:to>
          <xdr:col>13</xdr:col>
          <xdr:colOff>400050</xdr:colOff>
          <xdr:row>16</xdr:row>
          <xdr:rowOff>171450</xdr:rowOff>
        </xdr:to>
        <xdr:sp macro="" textlink="">
          <xdr:nvSpPr>
            <xdr:cNvPr id="108573" name="Check Box 29" hidden="1">
              <a:extLst>
                <a:ext uri="{63B3BB69-23CF-44E3-9099-C40C66FF867C}">
                  <a14:compatExt spid="_x0000_s108573"/>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xdr:row>
          <xdr:rowOff>104775</xdr:rowOff>
        </xdr:from>
        <xdr:to>
          <xdr:col>12</xdr:col>
          <xdr:colOff>219075</xdr:colOff>
          <xdr:row>2</xdr:row>
          <xdr:rowOff>257175</xdr:rowOff>
        </xdr:to>
        <xdr:sp macro="" textlink="">
          <xdr:nvSpPr>
            <xdr:cNvPr id="108574" name="Check Box 30" hidden="1">
              <a:extLst>
                <a:ext uri="{63B3BB69-23CF-44E3-9099-C40C66FF867C}">
                  <a14:compatExt spid="_x0000_s108574"/>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3</xdr:row>
          <xdr:rowOff>57150</xdr:rowOff>
        </xdr:from>
        <xdr:to>
          <xdr:col>12</xdr:col>
          <xdr:colOff>228600</xdr:colOff>
          <xdr:row>3</xdr:row>
          <xdr:rowOff>209550</xdr:rowOff>
        </xdr:to>
        <xdr:sp macro="" textlink="">
          <xdr:nvSpPr>
            <xdr:cNvPr id="108575" name="Check Box 31" hidden="1">
              <a:extLst>
                <a:ext uri="{63B3BB69-23CF-44E3-9099-C40C66FF867C}">
                  <a14:compatExt spid="_x0000_s108575"/>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26324</xdr:colOff>
      <xdr:row>24</xdr:row>
      <xdr:rowOff>495301</xdr:rowOff>
    </xdr:from>
    <xdr:to>
      <xdr:col>19</xdr:col>
      <xdr:colOff>95250</xdr:colOff>
      <xdr:row>39</xdr:row>
      <xdr:rowOff>9525</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835939</xdr:colOff>
      <xdr:row>3</xdr:row>
      <xdr:rowOff>0</xdr:rowOff>
    </xdr:from>
    <xdr:to>
      <xdr:col>22</xdr:col>
      <xdr:colOff>0</xdr:colOff>
      <xdr:row>4</xdr:row>
      <xdr:rowOff>48986</xdr:rowOff>
    </xdr:to>
    <xdr:sp macro="" textlink="">
      <xdr:nvSpPr>
        <xdr:cNvPr id="5" name="Rectangle 40">
          <a:hlinkClick xmlns:r="http://schemas.openxmlformats.org/officeDocument/2006/relationships" r:id="rId2"/>
        </xdr:cNvPr>
        <xdr:cNvSpPr>
          <a:spLocks noChangeArrowheads="1"/>
        </xdr:cNvSpPr>
      </xdr:nvSpPr>
      <xdr:spPr bwMode="auto">
        <a:xfrm>
          <a:off x="10339168" y="283029"/>
          <a:ext cx="1624232" cy="266700"/>
        </a:xfrm>
        <a:prstGeom prst="rect">
          <a:avLst/>
        </a:prstGeom>
        <a:solidFill>
          <a:srgbClr val="99FF99"/>
        </a:solidFill>
        <a:ln w="9525">
          <a:noFill/>
          <a:miter lim="800000"/>
          <a:headEnd/>
          <a:tailEnd/>
        </a:ln>
      </xdr:spPr>
      <xdr:txBody>
        <a:bodyPr vertOverflow="clip" wrap="square" lIns="36576" tIns="27432" rIns="36576" bIns="27432" anchor="ctr" upright="1"/>
        <a:lstStyle/>
        <a:p>
          <a:pPr algn="ctr" rtl="0">
            <a:defRPr sz="1000"/>
          </a:pPr>
          <a:r>
            <a:rPr lang="de-DE" sz="1400" b="1" i="0" u="sng" strike="noStrike" baseline="0">
              <a:solidFill>
                <a:srgbClr val="000000"/>
              </a:solidFill>
              <a:latin typeface="Arial"/>
              <a:cs typeface="Arial"/>
            </a:rPr>
            <a:t>Inhaltsverzeichnis</a:t>
          </a:r>
        </a:p>
      </xdr:txBody>
    </xdr:sp>
    <xdr:clientData fPrint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7.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14.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14.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omments" Target="../comments7.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landwirtschaft-bw.info/pb/MLR.LEL-SG,Lde/Startseite/Unsere+Themen/Pflanze" TargetMode="External"/><Relationship Id="rId1" Type="http://schemas.openxmlformats.org/officeDocument/2006/relationships/hyperlink" Target="https://www.landwirtschaft-bw.info/pb/MLR.LEL-SG,Lde/Startseite/Unsere+Themen/Pflanzenbau"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mments" Target="../comments18.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33.xml"/><Relationship Id="rId4" Type="http://schemas.openxmlformats.org/officeDocument/2006/relationships/ctrlProp" Target="../ctrlProps/ctrlProp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39.xml"/><Relationship Id="rId4" Type="http://schemas.openxmlformats.org/officeDocument/2006/relationships/ctrlProp" Target="../ctrlProps/ctrlProp38.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41.xml"/><Relationship Id="rId4" Type="http://schemas.openxmlformats.org/officeDocument/2006/relationships/ctrlProp" Target="../ctrlProps/ctrlProp4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43.xml"/><Relationship Id="rId4" Type="http://schemas.openxmlformats.org/officeDocument/2006/relationships/ctrlProp" Target="../ctrlProps/ctrlProp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45.xml"/><Relationship Id="rId4" Type="http://schemas.openxmlformats.org/officeDocument/2006/relationships/ctrlProp" Target="../ctrlProps/ctrlProp4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47.xml"/><Relationship Id="rId4" Type="http://schemas.openxmlformats.org/officeDocument/2006/relationships/ctrlProp" Target="../ctrlProps/ctrlProp4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49.xml"/><Relationship Id="rId4" Type="http://schemas.openxmlformats.org/officeDocument/2006/relationships/ctrlProp" Target="../ctrlProps/ctrlProp4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40.xml"/><Relationship Id="rId1" Type="http://schemas.openxmlformats.org/officeDocument/2006/relationships/printerSettings" Target="../printerSettings/printerSettings40.bin"/><Relationship Id="rId5" Type="http://schemas.openxmlformats.org/officeDocument/2006/relationships/ctrlProp" Target="../ctrlProps/ctrlProp51.xml"/><Relationship Id="rId4" Type="http://schemas.openxmlformats.org/officeDocument/2006/relationships/ctrlProp" Target="../ctrlProps/ctrlProp50.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2.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4.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6.xml"/><Relationship Id="rId1" Type="http://schemas.openxmlformats.org/officeDocument/2006/relationships/printerSettings" Target="../printerSettings/printerSettings46.bin"/><Relationship Id="rId4" Type="http://schemas.openxmlformats.org/officeDocument/2006/relationships/comments" Target="../comments2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7.xml"/><Relationship Id="rId1" Type="http://schemas.openxmlformats.org/officeDocument/2006/relationships/printerSettings" Target="../printerSettings/printerSettings47.bin"/><Relationship Id="rId4"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8.xml"/><Relationship Id="rId1" Type="http://schemas.openxmlformats.org/officeDocument/2006/relationships/printerSettings" Target="../printerSettings/printerSettings48.bin"/><Relationship Id="rId4" Type="http://schemas.openxmlformats.org/officeDocument/2006/relationships/comments" Target="../comments2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0.xml"/><Relationship Id="rId1" Type="http://schemas.openxmlformats.org/officeDocument/2006/relationships/printerSettings" Target="../printerSettings/printerSettings50.bin"/><Relationship Id="rId4" Type="http://schemas.openxmlformats.org/officeDocument/2006/relationships/comments" Target="../comments24.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1.xml"/><Relationship Id="rId1" Type="http://schemas.openxmlformats.org/officeDocument/2006/relationships/printerSettings" Target="../printerSettings/printerSettings51.bin"/><Relationship Id="rId4" Type="http://schemas.openxmlformats.org/officeDocument/2006/relationships/comments" Target="../comments25.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2.xml"/><Relationship Id="rId1" Type="http://schemas.openxmlformats.org/officeDocument/2006/relationships/printerSettings" Target="../printerSettings/printerSettings52.bin"/><Relationship Id="rId4" Type="http://schemas.openxmlformats.org/officeDocument/2006/relationships/comments" Target="../comments26.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53.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4.xml"/><Relationship Id="rId1" Type="http://schemas.openxmlformats.org/officeDocument/2006/relationships/printerSettings" Target="../printerSettings/printerSettings54.bin"/><Relationship Id="rId5" Type="http://schemas.openxmlformats.org/officeDocument/2006/relationships/ctrlProp" Target="../ctrlProps/ctrlProp53.xml"/><Relationship Id="rId4" Type="http://schemas.openxmlformats.org/officeDocument/2006/relationships/ctrlProp" Target="../ctrlProps/ctrlProp5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5.xml"/><Relationship Id="rId1" Type="http://schemas.openxmlformats.org/officeDocument/2006/relationships/printerSettings" Target="../printerSettings/printerSettings55.bin"/><Relationship Id="rId5" Type="http://schemas.openxmlformats.org/officeDocument/2006/relationships/ctrlProp" Target="../ctrlProps/ctrlProp55.xml"/><Relationship Id="rId4" Type="http://schemas.openxmlformats.org/officeDocument/2006/relationships/ctrlProp" Target="../ctrlProps/ctrlProp54.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7.xml"/><Relationship Id="rId1" Type="http://schemas.openxmlformats.org/officeDocument/2006/relationships/printerSettings" Target="../printerSettings/printerSettings57.bin"/><Relationship Id="rId4" Type="http://schemas.openxmlformats.org/officeDocument/2006/relationships/comments" Target="../comments2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8.xml"/><Relationship Id="rId1" Type="http://schemas.openxmlformats.org/officeDocument/2006/relationships/printerSettings" Target="../printerSettings/printerSettings58.bin"/><Relationship Id="rId4" Type="http://schemas.openxmlformats.org/officeDocument/2006/relationships/comments" Target="../comments2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9.xml"/><Relationship Id="rId1" Type="http://schemas.openxmlformats.org/officeDocument/2006/relationships/printerSettings" Target="../printerSettings/printerSettings59.bin"/><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62.xml"/><Relationship Id="rId1" Type="http://schemas.openxmlformats.org/officeDocument/2006/relationships/printerSettings" Target="../printerSettings/printerSettings61.bin"/><Relationship Id="rId4" Type="http://schemas.openxmlformats.org/officeDocument/2006/relationships/comments" Target="../comments3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63.xml"/><Relationship Id="rId1" Type="http://schemas.openxmlformats.org/officeDocument/2006/relationships/printerSettings" Target="../printerSettings/printerSettings62.bin"/><Relationship Id="rId4" Type="http://schemas.openxmlformats.org/officeDocument/2006/relationships/comments" Target="../comments3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64.xml"/><Relationship Id="rId1" Type="http://schemas.openxmlformats.org/officeDocument/2006/relationships/printerSettings" Target="../printerSettings/printerSettings63.bin"/><Relationship Id="rId4" Type="http://schemas.openxmlformats.org/officeDocument/2006/relationships/comments" Target="../comments32.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65.xml"/><Relationship Id="rId1" Type="http://schemas.openxmlformats.org/officeDocument/2006/relationships/printerSettings" Target="../printerSettings/printerSettings64.bin"/><Relationship Id="rId4" Type="http://schemas.openxmlformats.org/officeDocument/2006/relationships/comments" Target="../comments33.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66.xml"/><Relationship Id="rId1" Type="http://schemas.openxmlformats.org/officeDocument/2006/relationships/printerSettings" Target="../printerSettings/printerSettings65.bin"/><Relationship Id="rId5" Type="http://schemas.openxmlformats.org/officeDocument/2006/relationships/ctrlProp" Target="../ctrlProps/ctrlProp59.xml"/><Relationship Id="rId4" Type="http://schemas.openxmlformats.org/officeDocument/2006/relationships/ctrlProp" Target="../ctrlProps/ctrlProp58.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67.xml"/><Relationship Id="rId1" Type="http://schemas.openxmlformats.org/officeDocument/2006/relationships/printerSettings" Target="../printerSettings/printerSettings66.bin"/><Relationship Id="rId5" Type="http://schemas.openxmlformats.org/officeDocument/2006/relationships/ctrlProp" Target="../ctrlProps/ctrlProp61.xml"/><Relationship Id="rId4" Type="http://schemas.openxmlformats.org/officeDocument/2006/relationships/ctrlProp" Target="../ctrlProps/ctrlProp60.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68.xml"/><Relationship Id="rId1" Type="http://schemas.openxmlformats.org/officeDocument/2006/relationships/printerSettings" Target="../printerSettings/printerSettings67.bin"/><Relationship Id="rId5" Type="http://schemas.openxmlformats.org/officeDocument/2006/relationships/ctrlProp" Target="../ctrlProps/ctrlProp63.xml"/><Relationship Id="rId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69.xml"/><Relationship Id="rId1" Type="http://schemas.openxmlformats.org/officeDocument/2006/relationships/printerSettings" Target="../printerSettings/printerSettings68.bin"/><Relationship Id="rId5" Type="http://schemas.openxmlformats.org/officeDocument/2006/relationships/ctrlProp" Target="../ctrlProps/ctrlProp65.xml"/><Relationship Id="rId4" Type="http://schemas.openxmlformats.org/officeDocument/2006/relationships/ctrlProp" Target="../ctrlProps/ctrlProp6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70.xml"/><Relationship Id="rId1" Type="http://schemas.openxmlformats.org/officeDocument/2006/relationships/printerSettings" Target="../printerSettings/printerSettings69.bin"/><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71.xml"/><Relationship Id="rId1" Type="http://schemas.openxmlformats.org/officeDocument/2006/relationships/printerSettings" Target="../printerSettings/printerSettings70.bin"/><Relationship Id="rId5" Type="http://schemas.openxmlformats.org/officeDocument/2006/relationships/ctrlProp" Target="../ctrlProps/ctrlProp69.xml"/><Relationship Id="rId4" Type="http://schemas.openxmlformats.org/officeDocument/2006/relationships/ctrlProp" Target="../ctrlProps/ctrlProp6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72.xml"/><Relationship Id="rId1" Type="http://schemas.openxmlformats.org/officeDocument/2006/relationships/printerSettings" Target="../printerSettings/printerSettings71.bin"/><Relationship Id="rId5" Type="http://schemas.openxmlformats.org/officeDocument/2006/relationships/ctrlProp" Target="../ctrlProps/ctrlProp71.xml"/><Relationship Id="rId4" Type="http://schemas.openxmlformats.org/officeDocument/2006/relationships/ctrlProp" Target="../ctrlProps/ctrlProp70.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73.xml"/><Relationship Id="rId1" Type="http://schemas.openxmlformats.org/officeDocument/2006/relationships/printerSettings" Target="../printerSettings/printerSettings72.bin"/><Relationship Id="rId5" Type="http://schemas.openxmlformats.org/officeDocument/2006/relationships/ctrlProp" Target="../ctrlProps/ctrlProp73.xml"/><Relationship Id="rId4" Type="http://schemas.openxmlformats.org/officeDocument/2006/relationships/ctrlProp" Target="../ctrlProps/ctrlProp72.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18" Type="http://schemas.openxmlformats.org/officeDocument/2006/relationships/ctrlProp" Target="../ctrlProps/ctrlProp88.xml"/><Relationship Id="rId26" Type="http://schemas.openxmlformats.org/officeDocument/2006/relationships/ctrlProp" Target="../ctrlProps/ctrlProp96.xml"/><Relationship Id="rId3" Type="http://schemas.openxmlformats.org/officeDocument/2006/relationships/vmlDrawing" Target="../drawings/vmlDrawing56.vml"/><Relationship Id="rId21" Type="http://schemas.openxmlformats.org/officeDocument/2006/relationships/ctrlProp" Target="../ctrlProps/ctrlProp91.xml"/><Relationship Id="rId7" Type="http://schemas.openxmlformats.org/officeDocument/2006/relationships/ctrlProp" Target="../ctrlProps/ctrlProp77.xml"/><Relationship Id="rId12" Type="http://schemas.openxmlformats.org/officeDocument/2006/relationships/ctrlProp" Target="../ctrlProps/ctrlProp82.xml"/><Relationship Id="rId17" Type="http://schemas.openxmlformats.org/officeDocument/2006/relationships/ctrlProp" Target="../ctrlProps/ctrlProp87.xml"/><Relationship Id="rId25" Type="http://schemas.openxmlformats.org/officeDocument/2006/relationships/ctrlProp" Target="../ctrlProps/ctrlProp95.xml"/><Relationship Id="rId2" Type="http://schemas.openxmlformats.org/officeDocument/2006/relationships/drawing" Target="../drawings/drawing80.xml"/><Relationship Id="rId16" Type="http://schemas.openxmlformats.org/officeDocument/2006/relationships/ctrlProp" Target="../ctrlProps/ctrlProp86.xml"/><Relationship Id="rId20" Type="http://schemas.openxmlformats.org/officeDocument/2006/relationships/ctrlProp" Target="../ctrlProps/ctrlProp90.xml"/><Relationship Id="rId29" Type="http://schemas.openxmlformats.org/officeDocument/2006/relationships/ctrlProp" Target="../ctrlProps/ctrlProp99.xml"/><Relationship Id="rId1" Type="http://schemas.openxmlformats.org/officeDocument/2006/relationships/printerSettings" Target="../printerSettings/printerSettings79.bin"/><Relationship Id="rId6" Type="http://schemas.openxmlformats.org/officeDocument/2006/relationships/ctrlProp" Target="../ctrlProps/ctrlProp76.xml"/><Relationship Id="rId11" Type="http://schemas.openxmlformats.org/officeDocument/2006/relationships/ctrlProp" Target="../ctrlProps/ctrlProp81.xml"/><Relationship Id="rId24" Type="http://schemas.openxmlformats.org/officeDocument/2006/relationships/ctrlProp" Target="../ctrlProps/ctrlProp94.xml"/><Relationship Id="rId5" Type="http://schemas.openxmlformats.org/officeDocument/2006/relationships/ctrlProp" Target="../ctrlProps/ctrlProp75.xml"/><Relationship Id="rId15" Type="http://schemas.openxmlformats.org/officeDocument/2006/relationships/ctrlProp" Target="../ctrlProps/ctrlProp85.xml"/><Relationship Id="rId23" Type="http://schemas.openxmlformats.org/officeDocument/2006/relationships/ctrlProp" Target="../ctrlProps/ctrlProp93.xml"/><Relationship Id="rId28" Type="http://schemas.openxmlformats.org/officeDocument/2006/relationships/ctrlProp" Target="../ctrlProps/ctrlProp98.xml"/><Relationship Id="rId10" Type="http://schemas.openxmlformats.org/officeDocument/2006/relationships/ctrlProp" Target="../ctrlProps/ctrlProp80.xml"/><Relationship Id="rId19" Type="http://schemas.openxmlformats.org/officeDocument/2006/relationships/ctrlProp" Target="../ctrlProps/ctrlProp89.xml"/><Relationship Id="rId31" Type="http://schemas.openxmlformats.org/officeDocument/2006/relationships/comments" Target="../comments34.xml"/><Relationship Id="rId4" Type="http://schemas.openxmlformats.org/officeDocument/2006/relationships/ctrlProp" Target="../ctrlProps/ctrlProp74.xml"/><Relationship Id="rId9" Type="http://schemas.openxmlformats.org/officeDocument/2006/relationships/ctrlProp" Target="../ctrlProps/ctrlProp79.xml"/><Relationship Id="rId14" Type="http://schemas.openxmlformats.org/officeDocument/2006/relationships/ctrlProp" Target="../ctrlProps/ctrlProp84.xml"/><Relationship Id="rId22" Type="http://schemas.openxmlformats.org/officeDocument/2006/relationships/ctrlProp" Target="../ctrlProps/ctrlProp92.xml"/><Relationship Id="rId27" Type="http://schemas.openxmlformats.org/officeDocument/2006/relationships/ctrlProp" Target="../ctrlProps/ctrlProp97.xml"/><Relationship Id="rId30" Type="http://schemas.openxmlformats.org/officeDocument/2006/relationships/ctrlProp" Target="../ctrlProps/ctrlProp100.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82.xml"/><Relationship Id="rId1" Type="http://schemas.openxmlformats.org/officeDocument/2006/relationships/printerSettings" Target="../printerSettings/printerSettings81.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58.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85.xml"/><Relationship Id="rId16" Type="http://schemas.openxmlformats.org/officeDocument/2006/relationships/ctrlProp" Target="../ctrlProps/ctrlProp115.xml"/><Relationship Id="rId20" Type="http://schemas.openxmlformats.org/officeDocument/2006/relationships/comments" Target="../comments35.xml"/><Relationship Id="rId1" Type="http://schemas.openxmlformats.org/officeDocument/2006/relationships/printerSettings" Target="../printerSettings/printerSettings84.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_rels/sheet87.xml.rels><?xml version="1.0" encoding="UTF-8" standalone="yes"?>
<Relationships xmlns="http://schemas.openxmlformats.org/package/2006/relationships"><Relationship Id="rId8" Type="http://schemas.openxmlformats.org/officeDocument/2006/relationships/ctrlProp" Target="../ctrlProps/ctrlProp123.xml"/><Relationship Id="rId13" Type="http://schemas.openxmlformats.org/officeDocument/2006/relationships/ctrlProp" Target="../ctrlProps/ctrlProp128.xml"/><Relationship Id="rId18" Type="http://schemas.openxmlformats.org/officeDocument/2006/relationships/ctrlProp" Target="../ctrlProps/ctrlProp133.xml"/><Relationship Id="rId3" Type="http://schemas.openxmlformats.org/officeDocument/2006/relationships/vmlDrawing" Target="../drawings/vmlDrawing59.vml"/><Relationship Id="rId7" Type="http://schemas.openxmlformats.org/officeDocument/2006/relationships/ctrlProp" Target="../ctrlProps/ctrlProp122.xml"/><Relationship Id="rId12" Type="http://schemas.openxmlformats.org/officeDocument/2006/relationships/ctrlProp" Target="../ctrlProps/ctrlProp127.xml"/><Relationship Id="rId17" Type="http://schemas.openxmlformats.org/officeDocument/2006/relationships/ctrlProp" Target="../ctrlProps/ctrlProp132.xml"/><Relationship Id="rId2" Type="http://schemas.openxmlformats.org/officeDocument/2006/relationships/drawing" Target="../drawings/drawing86.xml"/><Relationship Id="rId16" Type="http://schemas.openxmlformats.org/officeDocument/2006/relationships/ctrlProp" Target="../ctrlProps/ctrlProp131.xml"/><Relationship Id="rId20" Type="http://schemas.openxmlformats.org/officeDocument/2006/relationships/comments" Target="../comments36.xml"/><Relationship Id="rId1" Type="http://schemas.openxmlformats.org/officeDocument/2006/relationships/printerSettings" Target="../printerSettings/printerSettings85.bin"/><Relationship Id="rId6" Type="http://schemas.openxmlformats.org/officeDocument/2006/relationships/ctrlProp" Target="../ctrlProps/ctrlProp121.xml"/><Relationship Id="rId11" Type="http://schemas.openxmlformats.org/officeDocument/2006/relationships/ctrlProp" Target="../ctrlProps/ctrlProp126.xml"/><Relationship Id="rId5" Type="http://schemas.openxmlformats.org/officeDocument/2006/relationships/ctrlProp" Target="../ctrlProps/ctrlProp120.xml"/><Relationship Id="rId15" Type="http://schemas.openxmlformats.org/officeDocument/2006/relationships/ctrlProp" Target="../ctrlProps/ctrlProp130.xml"/><Relationship Id="rId10" Type="http://schemas.openxmlformats.org/officeDocument/2006/relationships/ctrlProp" Target="../ctrlProps/ctrlProp125.xml"/><Relationship Id="rId19" Type="http://schemas.openxmlformats.org/officeDocument/2006/relationships/ctrlProp" Target="../ctrlProps/ctrlProp134.xml"/><Relationship Id="rId4" Type="http://schemas.openxmlformats.org/officeDocument/2006/relationships/ctrlProp" Target="../ctrlProps/ctrlProp119.xml"/><Relationship Id="rId9" Type="http://schemas.openxmlformats.org/officeDocument/2006/relationships/ctrlProp" Target="../ctrlProps/ctrlProp124.xml"/><Relationship Id="rId14" Type="http://schemas.openxmlformats.org/officeDocument/2006/relationships/ctrlProp" Target="../ctrlProps/ctrlProp129.xml"/></Relationships>
</file>

<file path=xl/worksheets/_rels/sheet88.xml.rels><?xml version="1.0" encoding="UTF-8" standalone="yes"?>
<Relationships xmlns="http://schemas.openxmlformats.org/package/2006/relationships"><Relationship Id="rId8" Type="http://schemas.openxmlformats.org/officeDocument/2006/relationships/ctrlProp" Target="../ctrlProps/ctrlProp139.xml"/><Relationship Id="rId13" Type="http://schemas.openxmlformats.org/officeDocument/2006/relationships/ctrlProp" Target="../ctrlProps/ctrlProp144.xml"/><Relationship Id="rId18" Type="http://schemas.openxmlformats.org/officeDocument/2006/relationships/ctrlProp" Target="../ctrlProps/ctrlProp149.xml"/><Relationship Id="rId3" Type="http://schemas.openxmlformats.org/officeDocument/2006/relationships/vmlDrawing" Target="../drawings/vmlDrawing60.vml"/><Relationship Id="rId7" Type="http://schemas.openxmlformats.org/officeDocument/2006/relationships/ctrlProp" Target="../ctrlProps/ctrlProp138.xml"/><Relationship Id="rId12" Type="http://schemas.openxmlformats.org/officeDocument/2006/relationships/ctrlProp" Target="../ctrlProps/ctrlProp143.xml"/><Relationship Id="rId17" Type="http://schemas.openxmlformats.org/officeDocument/2006/relationships/ctrlProp" Target="../ctrlProps/ctrlProp148.xml"/><Relationship Id="rId2" Type="http://schemas.openxmlformats.org/officeDocument/2006/relationships/drawing" Target="../drawings/drawing87.xml"/><Relationship Id="rId16" Type="http://schemas.openxmlformats.org/officeDocument/2006/relationships/ctrlProp" Target="../ctrlProps/ctrlProp147.xml"/><Relationship Id="rId20" Type="http://schemas.openxmlformats.org/officeDocument/2006/relationships/comments" Target="../comments37.xml"/><Relationship Id="rId1" Type="http://schemas.openxmlformats.org/officeDocument/2006/relationships/printerSettings" Target="../printerSettings/printerSettings86.bin"/><Relationship Id="rId6" Type="http://schemas.openxmlformats.org/officeDocument/2006/relationships/ctrlProp" Target="../ctrlProps/ctrlProp137.xml"/><Relationship Id="rId11" Type="http://schemas.openxmlformats.org/officeDocument/2006/relationships/ctrlProp" Target="../ctrlProps/ctrlProp142.xml"/><Relationship Id="rId5" Type="http://schemas.openxmlformats.org/officeDocument/2006/relationships/ctrlProp" Target="../ctrlProps/ctrlProp136.xml"/><Relationship Id="rId15" Type="http://schemas.openxmlformats.org/officeDocument/2006/relationships/ctrlProp" Target="../ctrlProps/ctrlProp146.xml"/><Relationship Id="rId10" Type="http://schemas.openxmlformats.org/officeDocument/2006/relationships/ctrlProp" Target="../ctrlProps/ctrlProp141.xml"/><Relationship Id="rId19" Type="http://schemas.openxmlformats.org/officeDocument/2006/relationships/ctrlProp" Target="../ctrlProps/ctrlProp150.xml"/><Relationship Id="rId4" Type="http://schemas.openxmlformats.org/officeDocument/2006/relationships/ctrlProp" Target="../ctrlProps/ctrlProp135.xml"/><Relationship Id="rId9" Type="http://schemas.openxmlformats.org/officeDocument/2006/relationships/ctrlProp" Target="../ctrlProps/ctrlProp140.xml"/><Relationship Id="rId14" Type="http://schemas.openxmlformats.org/officeDocument/2006/relationships/ctrlProp" Target="../ctrlProps/ctrlProp145.xml"/></Relationships>
</file>

<file path=xl/worksheets/_rels/sheet89.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3" Type="http://schemas.openxmlformats.org/officeDocument/2006/relationships/vmlDrawing" Target="../drawings/vmlDrawing61.v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 Type="http://schemas.openxmlformats.org/officeDocument/2006/relationships/drawing" Target="../drawings/drawing88.xml"/><Relationship Id="rId16" Type="http://schemas.openxmlformats.org/officeDocument/2006/relationships/ctrlProp" Target="../ctrlProps/ctrlProp163.xml"/><Relationship Id="rId20" Type="http://schemas.openxmlformats.org/officeDocument/2006/relationships/comments" Target="../comments38.xml"/><Relationship Id="rId1" Type="http://schemas.openxmlformats.org/officeDocument/2006/relationships/printerSettings" Target="../printerSettings/printerSettings87.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9.bin"/><Relationship Id="rId5" Type="http://schemas.openxmlformats.org/officeDocument/2006/relationships/comments" Target="../comments2.xml"/><Relationship Id="rId4" Type="http://schemas.openxmlformats.org/officeDocument/2006/relationships/ctrlProp" Target="../ctrlProps/ctrlProp1.xml"/></Relationships>
</file>

<file path=xl/worksheets/_rels/sheet90.xml.rels><?xml version="1.0" encoding="UTF-8" standalone="yes"?>
<Relationships xmlns="http://schemas.openxmlformats.org/package/2006/relationships"><Relationship Id="rId8" Type="http://schemas.openxmlformats.org/officeDocument/2006/relationships/ctrlProp" Target="../ctrlProps/ctrlProp171.xml"/><Relationship Id="rId13" Type="http://schemas.openxmlformats.org/officeDocument/2006/relationships/ctrlProp" Target="../ctrlProps/ctrlProp176.xml"/><Relationship Id="rId18" Type="http://schemas.openxmlformats.org/officeDocument/2006/relationships/ctrlProp" Target="../ctrlProps/ctrlProp181.xml"/><Relationship Id="rId3" Type="http://schemas.openxmlformats.org/officeDocument/2006/relationships/vmlDrawing" Target="../drawings/vmlDrawing62.vml"/><Relationship Id="rId7" Type="http://schemas.openxmlformats.org/officeDocument/2006/relationships/ctrlProp" Target="../ctrlProps/ctrlProp170.xml"/><Relationship Id="rId12" Type="http://schemas.openxmlformats.org/officeDocument/2006/relationships/ctrlProp" Target="../ctrlProps/ctrlProp175.xml"/><Relationship Id="rId17" Type="http://schemas.openxmlformats.org/officeDocument/2006/relationships/ctrlProp" Target="../ctrlProps/ctrlProp180.xml"/><Relationship Id="rId2" Type="http://schemas.openxmlformats.org/officeDocument/2006/relationships/drawing" Target="../drawings/drawing89.xml"/><Relationship Id="rId16" Type="http://schemas.openxmlformats.org/officeDocument/2006/relationships/ctrlProp" Target="../ctrlProps/ctrlProp179.xml"/><Relationship Id="rId20" Type="http://schemas.openxmlformats.org/officeDocument/2006/relationships/comments" Target="../comments39.xml"/><Relationship Id="rId1" Type="http://schemas.openxmlformats.org/officeDocument/2006/relationships/printerSettings" Target="../printerSettings/printerSettings88.bin"/><Relationship Id="rId6" Type="http://schemas.openxmlformats.org/officeDocument/2006/relationships/ctrlProp" Target="../ctrlProps/ctrlProp169.xml"/><Relationship Id="rId11" Type="http://schemas.openxmlformats.org/officeDocument/2006/relationships/ctrlProp" Target="../ctrlProps/ctrlProp174.xml"/><Relationship Id="rId5" Type="http://schemas.openxmlformats.org/officeDocument/2006/relationships/ctrlProp" Target="../ctrlProps/ctrlProp168.xml"/><Relationship Id="rId15" Type="http://schemas.openxmlformats.org/officeDocument/2006/relationships/ctrlProp" Target="../ctrlProps/ctrlProp178.xml"/><Relationship Id="rId10" Type="http://schemas.openxmlformats.org/officeDocument/2006/relationships/ctrlProp" Target="../ctrlProps/ctrlProp173.xml"/><Relationship Id="rId19" Type="http://schemas.openxmlformats.org/officeDocument/2006/relationships/ctrlProp" Target="../ctrlProps/ctrlProp182.xml"/><Relationship Id="rId4" Type="http://schemas.openxmlformats.org/officeDocument/2006/relationships/ctrlProp" Target="../ctrlProps/ctrlProp167.xml"/><Relationship Id="rId9" Type="http://schemas.openxmlformats.org/officeDocument/2006/relationships/ctrlProp" Target="../ctrlProps/ctrlProp172.xml"/><Relationship Id="rId14" Type="http://schemas.openxmlformats.org/officeDocument/2006/relationships/ctrlProp" Target="../ctrlProps/ctrlProp17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B1:I299"/>
  <sheetViews>
    <sheetView showZeros="0" tabSelected="1" zoomScaleNormal="100" workbookViewId="0"/>
  </sheetViews>
  <sheetFormatPr baseColWidth="10" defaultColWidth="10.5" defaultRowHeight="12.75"/>
  <cols>
    <col min="1" max="1" width="2.375" style="1" customWidth="1"/>
    <col min="2" max="2" width="24" style="1" customWidth="1"/>
    <col min="3" max="3" width="53.125" style="1" customWidth="1"/>
    <col min="4" max="4" width="13.375" style="3" customWidth="1"/>
    <col min="5" max="5" width="2.375" style="1" customWidth="1"/>
    <col min="6" max="6" width="6" style="1" customWidth="1"/>
    <col min="7" max="7" width="10.5" style="1" customWidth="1"/>
    <col min="8" max="8" width="10.5" style="2" hidden="1" customWidth="1"/>
    <col min="9" max="9" width="0" style="1" hidden="1" customWidth="1"/>
    <col min="10" max="16384" width="10.5" style="1"/>
  </cols>
  <sheetData>
    <row r="1" spans="2:9" ht="13.5" thickBot="1">
      <c r="D1" s="1"/>
    </row>
    <row r="2" spans="2:9" ht="28.15" customHeight="1">
      <c r="B2" s="3081"/>
      <c r="C2" s="3089"/>
      <c r="D2" s="3090"/>
    </row>
    <row r="3" spans="2:9" ht="24.6" customHeight="1">
      <c r="B3" s="4138" t="s">
        <v>1275</v>
      </c>
      <c r="C3" s="4139"/>
      <c r="D3" s="4140"/>
    </row>
    <row r="4" spans="2:9" ht="23.45" customHeight="1">
      <c r="B4" s="4135" t="s">
        <v>184</v>
      </c>
      <c r="C4" s="4136"/>
      <c r="D4" s="4137"/>
      <c r="H4" s="1"/>
      <c r="I4" s="2"/>
    </row>
    <row r="5" spans="2:9" ht="23.45" customHeight="1">
      <c r="B5" s="4132" t="s">
        <v>1908</v>
      </c>
      <c r="C5" s="4133"/>
      <c r="D5" s="4134"/>
      <c r="H5" s="1"/>
      <c r="I5" s="2"/>
    </row>
    <row r="6" spans="2:9" ht="22.9" customHeight="1">
      <c r="B6" s="4129">
        <f>SDÖ1!O3</f>
        <v>0</v>
      </c>
      <c r="C6" s="4130"/>
      <c r="D6" s="4131"/>
      <c r="H6" s="1"/>
    </row>
    <row r="7" spans="2:9">
      <c r="B7" s="3082"/>
      <c r="C7" s="3083"/>
      <c r="D7" s="3088"/>
      <c r="H7" s="28" t="s">
        <v>114</v>
      </c>
      <c r="I7" s="28" t="s">
        <v>113</v>
      </c>
    </row>
    <row r="8" spans="2:9">
      <c r="B8" s="3082" t="s">
        <v>1274</v>
      </c>
      <c r="C8" s="3083"/>
      <c r="D8" s="3084"/>
    </row>
    <row r="9" spans="2:9">
      <c r="B9" s="3085" t="s">
        <v>1273</v>
      </c>
      <c r="C9" s="3086"/>
      <c r="D9" s="3084"/>
    </row>
    <row r="10" spans="2:9" ht="13.5" thickBot="1">
      <c r="B10" s="4127" t="s">
        <v>1272</v>
      </c>
      <c r="C10" s="4128"/>
      <c r="D10" s="3087" t="s">
        <v>2234</v>
      </c>
    </row>
    <row r="11" spans="2:9" ht="16.5" thickBot="1">
      <c r="B11" s="23" t="s">
        <v>115</v>
      </c>
      <c r="C11" s="4"/>
      <c r="D11" s="19"/>
      <c r="E11" s="5"/>
      <c r="F11" s="9"/>
    </row>
    <row r="12" spans="2:9" ht="7.9" customHeight="1">
      <c r="B12" s="3309"/>
      <c r="C12" s="3309"/>
      <c r="D12" s="3310"/>
      <c r="E12" s="5"/>
      <c r="F12" s="9"/>
    </row>
    <row r="13" spans="2:9" ht="16.149999999999999" customHeight="1">
      <c r="B13" s="3235" t="s">
        <v>112</v>
      </c>
      <c r="C13" s="3235"/>
      <c r="D13" s="3235"/>
      <c r="E13" s="10"/>
      <c r="F13" s="9"/>
    </row>
    <row r="14" spans="2:9" ht="14.25" customHeight="1">
      <c r="B14" s="3311" t="s">
        <v>1271</v>
      </c>
      <c r="C14" s="3245"/>
      <c r="D14" s="16" t="s">
        <v>167</v>
      </c>
      <c r="E14" s="5"/>
      <c r="F14" s="9"/>
    </row>
    <row r="15" spans="2:9" ht="14.25" customHeight="1">
      <c r="D15" s="1"/>
      <c r="E15" s="5"/>
      <c r="F15" s="9"/>
    </row>
    <row r="16" spans="2:9" ht="14.25" customHeight="1">
      <c r="B16" s="23" t="s">
        <v>111</v>
      </c>
      <c r="C16" s="4"/>
      <c r="D16" s="19"/>
      <c r="E16" s="5"/>
      <c r="F16" s="9"/>
    </row>
    <row r="17" spans="2:8" ht="14.25" customHeight="1">
      <c r="B17" s="17"/>
      <c r="C17" s="3304" t="s">
        <v>1958</v>
      </c>
      <c r="D17" s="16" t="s">
        <v>110</v>
      </c>
      <c r="E17" s="5"/>
      <c r="F17" s="9"/>
    </row>
    <row r="18" spans="2:8" ht="14.25" customHeight="1">
      <c r="B18" s="10"/>
      <c r="C18" s="25" t="s">
        <v>109</v>
      </c>
      <c r="D18" s="16" t="s">
        <v>108</v>
      </c>
      <c r="E18" s="5"/>
      <c r="F18" s="9"/>
    </row>
    <row r="19" spans="2:8" ht="14.25" customHeight="1">
      <c r="B19" s="10"/>
      <c r="C19" s="25" t="s">
        <v>2121</v>
      </c>
      <c r="D19" s="16" t="s">
        <v>1959</v>
      </c>
      <c r="E19" s="5"/>
      <c r="F19" s="9"/>
    </row>
    <row r="20" spans="2:8" ht="27" customHeight="1">
      <c r="B20" s="10"/>
      <c r="C20" s="3305" t="s">
        <v>1940</v>
      </c>
      <c r="D20" s="16" t="s">
        <v>1960</v>
      </c>
      <c r="E20" s="5"/>
      <c r="F20" s="9"/>
    </row>
    <row r="21" spans="2:8" ht="14.25">
      <c r="B21" s="10"/>
      <c r="C21" s="25" t="s">
        <v>2122</v>
      </c>
      <c r="D21" s="16" t="s">
        <v>1961</v>
      </c>
      <c r="E21" s="5"/>
      <c r="F21" s="9"/>
    </row>
    <row r="22" spans="2:8" ht="14.25">
      <c r="B22" s="10"/>
      <c r="C22" s="25" t="s">
        <v>2122</v>
      </c>
      <c r="D22" s="16" t="s">
        <v>1960</v>
      </c>
      <c r="E22" s="5"/>
      <c r="F22" s="9"/>
    </row>
    <row r="23" spans="2:8" ht="14.25" customHeight="1">
      <c r="B23" s="10"/>
      <c r="C23" s="17"/>
      <c r="D23" s="24"/>
      <c r="E23" s="5"/>
      <c r="F23" s="9"/>
    </row>
    <row r="24" spans="2:8" ht="14.25" customHeight="1">
      <c r="B24" s="26" t="s">
        <v>1945</v>
      </c>
      <c r="C24" s="4"/>
      <c r="D24" s="16" t="s">
        <v>1980</v>
      </c>
      <c r="E24" s="5"/>
      <c r="F24" s="9"/>
      <c r="H24" s="1"/>
    </row>
    <row r="25" spans="2:8" ht="14.25" customHeight="1">
      <c r="B25" s="26" t="s">
        <v>1946</v>
      </c>
      <c r="C25" s="4"/>
      <c r="D25" s="16" t="s">
        <v>1941</v>
      </c>
      <c r="E25" s="5"/>
      <c r="F25" s="9"/>
      <c r="H25" s="1"/>
    </row>
    <row r="26" spans="2:8" ht="14.25" customHeight="1">
      <c r="B26" s="26" t="s">
        <v>107</v>
      </c>
      <c r="C26" s="4"/>
      <c r="D26" s="16" t="s">
        <v>106</v>
      </c>
      <c r="E26" s="5"/>
      <c r="F26" s="9"/>
      <c r="H26" s="1"/>
    </row>
    <row r="27" spans="2:8" ht="14.25" customHeight="1">
      <c r="B27" s="26" t="s">
        <v>1947</v>
      </c>
      <c r="C27" s="4"/>
      <c r="D27" s="16" t="s">
        <v>1981</v>
      </c>
      <c r="E27" s="5"/>
      <c r="F27" s="9"/>
      <c r="H27" s="1"/>
    </row>
    <row r="28" spans="2:8" ht="14.25" customHeight="1">
      <c r="B28" s="26" t="s">
        <v>1948</v>
      </c>
      <c r="C28" s="4"/>
      <c r="D28" s="16" t="s">
        <v>1942</v>
      </c>
      <c r="E28" s="5"/>
      <c r="F28" s="9"/>
      <c r="H28" s="1"/>
    </row>
    <row r="29" spans="2:8" ht="13.15" customHeight="1">
      <c r="B29" s="3304" t="s">
        <v>1949</v>
      </c>
      <c r="C29" s="4"/>
      <c r="D29" s="16" t="s">
        <v>1982</v>
      </c>
      <c r="E29" s="5"/>
      <c r="F29" s="9"/>
    </row>
    <row r="30" spans="2:8" ht="13.15" customHeight="1">
      <c r="B30" s="3304" t="s">
        <v>1950</v>
      </c>
      <c r="C30" s="4"/>
      <c r="D30" s="16" t="s">
        <v>1943</v>
      </c>
      <c r="E30" s="5"/>
      <c r="F30" s="9"/>
    </row>
    <row r="31" spans="2:8" ht="13.9" customHeight="1">
      <c r="B31" s="26" t="s">
        <v>1951</v>
      </c>
      <c r="C31" s="4"/>
      <c r="D31" s="16" t="s">
        <v>1983</v>
      </c>
      <c r="E31" s="5"/>
      <c r="F31" s="9"/>
    </row>
    <row r="32" spans="2:8" ht="14.45" customHeight="1">
      <c r="B32" s="26" t="s">
        <v>1952</v>
      </c>
      <c r="C32" s="4"/>
      <c r="D32" s="16" t="s">
        <v>1944</v>
      </c>
      <c r="E32" s="5"/>
      <c r="F32" s="9"/>
    </row>
    <row r="33" spans="2:9" ht="14.45" customHeight="1">
      <c r="B33" s="26" t="s">
        <v>105</v>
      </c>
      <c r="C33" s="4"/>
      <c r="D33" s="16" t="s">
        <v>104</v>
      </c>
      <c r="E33" s="5"/>
      <c r="F33" s="9"/>
    </row>
    <row r="34" spans="2:9" ht="14.45" customHeight="1">
      <c r="B34" s="3304" t="s">
        <v>1953</v>
      </c>
      <c r="C34" s="4"/>
      <c r="D34" s="16" t="s">
        <v>1984</v>
      </c>
      <c r="E34" s="5"/>
      <c r="F34" s="9"/>
    </row>
    <row r="35" spans="2:9" ht="14.45" customHeight="1">
      <c r="B35" s="3304" t="s">
        <v>1954</v>
      </c>
      <c r="C35" s="4"/>
      <c r="D35" s="16" t="s">
        <v>1955</v>
      </c>
      <c r="E35" s="5"/>
      <c r="F35" s="9"/>
    </row>
    <row r="36" spans="2:9" ht="16.149999999999999" customHeight="1">
      <c r="B36" s="17" t="s">
        <v>103</v>
      </c>
      <c r="C36" s="4"/>
      <c r="D36" s="16" t="s">
        <v>102</v>
      </c>
      <c r="E36" s="18"/>
      <c r="F36" s="22"/>
      <c r="H36" s="1"/>
    </row>
    <row r="37" spans="2:9" ht="14.25" customHeight="1">
      <c r="B37" s="10"/>
      <c r="C37" s="4"/>
      <c r="D37" s="19"/>
      <c r="E37" s="5"/>
      <c r="F37" s="9"/>
      <c r="I37" s="13"/>
    </row>
    <row r="38" spans="2:9" ht="14.25" customHeight="1">
      <c r="B38" s="23" t="s">
        <v>101</v>
      </c>
      <c r="C38" s="4"/>
      <c r="D38" s="16" t="s">
        <v>100</v>
      </c>
      <c r="E38" s="5"/>
      <c r="F38" s="9"/>
      <c r="I38" s="13"/>
    </row>
    <row r="39" spans="2:9" ht="14.25" customHeight="1">
      <c r="C39" s="10"/>
      <c r="D39" s="24"/>
      <c r="E39" s="5"/>
      <c r="F39" s="9"/>
      <c r="I39" s="13"/>
    </row>
    <row r="40" spans="2:9" ht="14.25" customHeight="1">
      <c r="B40" s="23" t="s">
        <v>1956</v>
      </c>
      <c r="C40" s="4"/>
      <c r="D40" s="19"/>
      <c r="E40" s="5"/>
      <c r="F40" s="9"/>
      <c r="I40" s="13"/>
    </row>
    <row r="41" spans="2:9" ht="14.25" customHeight="1">
      <c r="B41" s="10" t="s">
        <v>99</v>
      </c>
      <c r="C41" s="4" t="s">
        <v>98</v>
      </c>
      <c r="D41" s="16" t="s">
        <v>97</v>
      </c>
      <c r="E41" s="5"/>
      <c r="F41" s="9"/>
      <c r="I41" s="13"/>
    </row>
    <row r="42" spans="2:9" ht="14.25" customHeight="1">
      <c r="B42" s="4"/>
      <c r="C42" s="4" t="s">
        <v>96</v>
      </c>
      <c r="D42" s="16" t="s">
        <v>95</v>
      </c>
      <c r="E42" s="5"/>
      <c r="F42" s="9"/>
      <c r="I42" s="13"/>
    </row>
    <row r="43" spans="2:9" ht="14.25" customHeight="1">
      <c r="B43" s="4"/>
      <c r="C43" s="4" t="s">
        <v>94</v>
      </c>
      <c r="D43" s="16" t="s">
        <v>93</v>
      </c>
      <c r="E43" s="5"/>
      <c r="F43" s="9"/>
      <c r="I43" s="13"/>
    </row>
    <row r="44" spans="2:9" ht="14.25" customHeight="1">
      <c r="B44" s="4"/>
      <c r="C44" s="4" t="s">
        <v>92</v>
      </c>
      <c r="D44" s="16" t="s">
        <v>91</v>
      </c>
      <c r="E44" s="5"/>
      <c r="F44" s="9"/>
      <c r="I44" s="13"/>
    </row>
    <row r="45" spans="2:9" ht="14.25" customHeight="1">
      <c r="B45" s="4"/>
      <c r="C45" s="4" t="s">
        <v>90</v>
      </c>
      <c r="D45" s="16" t="s">
        <v>89</v>
      </c>
      <c r="E45" s="5"/>
      <c r="F45" s="9"/>
      <c r="I45" s="13"/>
    </row>
    <row r="46" spans="2:9" ht="14.25" customHeight="1">
      <c r="B46" s="4"/>
      <c r="C46" s="4" t="s">
        <v>88</v>
      </c>
      <c r="D46" s="16" t="s">
        <v>87</v>
      </c>
      <c r="E46" s="5"/>
      <c r="F46" s="9"/>
      <c r="I46" s="13"/>
    </row>
    <row r="47" spans="2:9" ht="14.25" customHeight="1">
      <c r="B47" s="4"/>
      <c r="C47" s="4" t="s">
        <v>86</v>
      </c>
      <c r="D47" s="16" t="s">
        <v>85</v>
      </c>
      <c r="E47" s="5"/>
      <c r="F47" s="9"/>
      <c r="I47" s="13"/>
    </row>
    <row r="48" spans="2:9" ht="14.25" customHeight="1">
      <c r="B48" s="4"/>
      <c r="C48" s="4" t="s">
        <v>84</v>
      </c>
      <c r="D48" s="16" t="s">
        <v>83</v>
      </c>
      <c r="E48" s="5"/>
      <c r="F48" s="9"/>
      <c r="I48" s="13"/>
    </row>
    <row r="49" spans="2:9" ht="14.25" customHeight="1">
      <c r="B49" s="10" t="s">
        <v>82</v>
      </c>
      <c r="C49" s="4" t="s">
        <v>81</v>
      </c>
      <c r="D49" s="16" t="s">
        <v>80</v>
      </c>
      <c r="E49" s="5"/>
      <c r="F49" s="9"/>
      <c r="I49" s="13"/>
    </row>
    <row r="50" spans="2:9" ht="14.25" customHeight="1">
      <c r="C50" s="4" t="s">
        <v>79</v>
      </c>
      <c r="D50" s="16" t="s">
        <v>78</v>
      </c>
      <c r="E50" s="5"/>
      <c r="F50" s="9"/>
      <c r="I50" s="13"/>
    </row>
    <row r="51" spans="2:9" ht="14.25" customHeight="1">
      <c r="C51" s="4" t="s">
        <v>77</v>
      </c>
      <c r="D51" s="16" t="s">
        <v>76</v>
      </c>
      <c r="E51" s="5"/>
      <c r="F51" s="9"/>
      <c r="I51" s="13"/>
    </row>
    <row r="52" spans="2:9" ht="14.25" customHeight="1">
      <c r="B52" s="4"/>
      <c r="C52" s="4" t="s">
        <v>75</v>
      </c>
      <c r="D52" s="16" t="s">
        <v>74</v>
      </c>
      <c r="E52" s="5"/>
      <c r="F52" s="9"/>
      <c r="I52" s="13"/>
    </row>
    <row r="53" spans="2:9" ht="14.25" customHeight="1">
      <c r="B53" s="10"/>
      <c r="C53" s="4" t="s">
        <v>73</v>
      </c>
      <c r="D53" s="16" t="s">
        <v>72</v>
      </c>
      <c r="E53" s="5"/>
      <c r="F53" s="9"/>
      <c r="I53" s="13"/>
    </row>
    <row r="54" spans="2:9" ht="14.25" customHeight="1">
      <c r="B54" s="10"/>
      <c r="C54" s="4"/>
      <c r="D54" s="16"/>
      <c r="E54" s="5"/>
      <c r="F54" s="9"/>
      <c r="I54" s="13"/>
    </row>
    <row r="55" spans="2:9" ht="14.25" customHeight="1">
      <c r="B55" s="10" t="s">
        <v>71</v>
      </c>
      <c r="C55" s="4" t="s">
        <v>70</v>
      </c>
      <c r="D55" s="16" t="s">
        <v>69</v>
      </c>
      <c r="E55" s="5"/>
      <c r="F55" s="9"/>
      <c r="I55" s="13"/>
    </row>
    <row r="56" spans="2:9" ht="14.25" customHeight="1">
      <c r="B56" s="10" t="s">
        <v>68</v>
      </c>
      <c r="C56" s="4" t="s">
        <v>67</v>
      </c>
      <c r="D56" s="16" t="s">
        <v>66</v>
      </c>
      <c r="E56" s="5"/>
      <c r="F56" s="9"/>
      <c r="I56" s="13"/>
    </row>
    <row r="57" spans="2:9" ht="14.25" customHeight="1">
      <c r="B57" s="10" t="s">
        <v>65</v>
      </c>
      <c r="C57" s="4" t="s">
        <v>64</v>
      </c>
      <c r="D57" s="16" t="s">
        <v>63</v>
      </c>
      <c r="E57" s="5"/>
      <c r="F57" s="9"/>
      <c r="I57" s="13"/>
    </row>
    <row r="58" spans="2:9" ht="14.25" customHeight="1">
      <c r="B58" s="17"/>
      <c r="C58" s="4" t="s">
        <v>62</v>
      </c>
      <c r="D58" s="16" t="s">
        <v>61</v>
      </c>
      <c r="E58" s="5"/>
      <c r="F58" s="9"/>
      <c r="I58" s="13"/>
    </row>
    <row r="59" spans="2:9" ht="14.25" customHeight="1">
      <c r="B59" s="17"/>
      <c r="C59" s="4" t="s">
        <v>60</v>
      </c>
      <c r="D59" s="16" t="s">
        <v>59</v>
      </c>
      <c r="E59" s="5"/>
      <c r="F59" s="9"/>
      <c r="I59" s="13"/>
    </row>
    <row r="60" spans="2:9" ht="14.25" hidden="1" customHeight="1">
      <c r="B60" s="17"/>
      <c r="C60" s="4" t="s">
        <v>58</v>
      </c>
      <c r="D60" s="16" t="s">
        <v>58</v>
      </c>
      <c r="E60" s="5"/>
      <c r="F60" s="20"/>
      <c r="G60" s="20"/>
      <c r="I60" s="13"/>
    </row>
    <row r="61" spans="2:9" ht="14.25" customHeight="1">
      <c r="B61" s="17"/>
      <c r="C61" s="4" t="s">
        <v>57</v>
      </c>
      <c r="D61" s="16" t="s">
        <v>56</v>
      </c>
      <c r="E61" s="5"/>
      <c r="F61" s="9"/>
      <c r="I61" s="13"/>
    </row>
    <row r="62" spans="2:9" ht="14.25" customHeight="1">
      <c r="B62" s="10" t="s">
        <v>55</v>
      </c>
      <c r="C62" s="4" t="s">
        <v>54</v>
      </c>
      <c r="D62" s="16" t="s">
        <v>53</v>
      </c>
      <c r="E62" s="5"/>
      <c r="F62" s="9"/>
      <c r="I62" s="13"/>
    </row>
    <row r="63" spans="2:9" ht="14.25" customHeight="1">
      <c r="B63" s="17"/>
      <c r="C63" s="4" t="s">
        <v>52</v>
      </c>
      <c r="D63" s="16" t="s">
        <v>51</v>
      </c>
      <c r="E63" s="5"/>
      <c r="F63" s="9"/>
      <c r="I63" s="13"/>
    </row>
    <row r="64" spans="2:9" ht="14.25" customHeight="1">
      <c r="B64" s="17"/>
      <c r="C64" s="4" t="s">
        <v>50</v>
      </c>
      <c r="D64" s="16" t="s">
        <v>49</v>
      </c>
      <c r="E64" s="5"/>
      <c r="F64" s="9"/>
      <c r="I64" s="13"/>
    </row>
    <row r="65" spans="2:9" ht="14.25" hidden="1" customHeight="1">
      <c r="B65" s="17"/>
      <c r="C65" s="21" t="s">
        <v>48</v>
      </c>
      <c r="D65" s="16" t="s">
        <v>47</v>
      </c>
      <c r="E65" s="5"/>
      <c r="F65" s="9"/>
      <c r="I65" s="13"/>
    </row>
    <row r="66" spans="2:9" ht="14.25" hidden="1" customHeight="1">
      <c r="B66" s="10" t="s">
        <v>46</v>
      </c>
      <c r="C66" s="4" t="s">
        <v>45</v>
      </c>
      <c r="D66" s="16" t="s">
        <v>44</v>
      </c>
      <c r="E66" s="5"/>
      <c r="F66" s="9"/>
      <c r="I66" s="13"/>
    </row>
    <row r="67" spans="2:9" ht="14.25" hidden="1" customHeight="1">
      <c r="B67" s="17"/>
      <c r="C67" s="4" t="s">
        <v>43</v>
      </c>
      <c r="D67" s="16" t="s">
        <v>42</v>
      </c>
      <c r="E67" s="5"/>
      <c r="F67" s="9"/>
      <c r="I67" s="13"/>
    </row>
    <row r="68" spans="2:9" ht="14.25" customHeight="1">
      <c r="B68" s="10" t="s">
        <v>46</v>
      </c>
      <c r="C68" s="4" t="s">
        <v>45</v>
      </c>
      <c r="D68" s="16" t="s">
        <v>44</v>
      </c>
      <c r="E68" s="5"/>
      <c r="F68" s="9"/>
      <c r="I68" s="13"/>
    </row>
    <row r="69" spans="2:9" ht="14.25" customHeight="1">
      <c r="B69" s="17"/>
      <c r="C69" s="4" t="s">
        <v>41</v>
      </c>
      <c r="D69" s="16" t="s">
        <v>40</v>
      </c>
      <c r="E69" s="5"/>
      <c r="F69" s="9"/>
      <c r="I69" s="13"/>
    </row>
    <row r="70" spans="2:9" ht="14.25" customHeight="1">
      <c r="B70" s="17"/>
      <c r="C70" s="4" t="s">
        <v>39</v>
      </c>
      <c r="D70" s="16" t="s">
        <v>38</v>
      </c>
      <c r="E70" s="5"/>
      <c r="F70" s="9"/>
      <c r="I70" s="13"/>
    </row>
    <row r="71" spans="2:9" ht="14.25" customHeight="1">
      <c r="C71" s="4" t="s">
        <v>37</v>
      </c>
      <c r="D71" s="16" t="s">
        <v>36</v>
      </c>
      <c r="E71" s="5"/>
      <c r="F71" s="9"/>
      <c r="I71" s="13"/>
    </row>
    <row r="72" spans="2:9" ht="14.25" hidden="1" customHeight="1">
      <c r="B72" s="10" t="s">
        <v>35</v>
      </c>
      <c r="C72" s="4" t="s">
        <v>34</v>
      </c>
      <c r="D72" s="14" t="s">
        <v>33</v>
      </c>
      <c r="E72" s="5"/>
      <c r="F72" s="9"/>
      <c r="I72" s="13"/>
    </row>
    <row r="73" spans="2:9" ht="14.25" hidden="1" customHeight="1">
      <c r="B73" s="10"/>
      <c r="C73" s="4" t="s">
        <v>32</v>
      </c>
      <c r="D73" s="14" t="s">
        <v>31</v>
      </c>
      <c r="E73" s="5"/>
      <c r="F73" s="9">
        <f t="shared" ref="F73:F81" si="0">F72+2</f>
        <v>2</v>
      </c>
      <c r="I73" s="13"/>
    </row>
    <row r="74" spans="2:9" ht="14.25" customHeight="1">
      <c r="B74" s="10" t="s">
        <v>30</v>
      </c>
      <c r="C74" s="17" t="s">
        <v>29</v>
      </c>
      <c r="D74" s="16" t="s">
        <v>28</v>
      </c>
      <c r="E74" s="5"/>
      <c r="F74" s="9"/>
      <c r="I74" s="13"/>
    </row>
    <row r="75" spans="2:9" ht="14.25" customHeight="1">
      <c r="B75" s="18" t="s">
        <v>27</v>
      </c>
      <c r="C75" s="17"/>
      <c r="D75" s="16" t="s">
        <v>26</v>
      </c>
      <c r="E75" s="5"/>
      <c r="F75" s="9"/>
      <c r="I75" s="13"/>
    </row>
    <row r="76" spans="2:9" ht="14.25" customHeight="1">
      <c r="B76" s="10" t="s">
        <v>25</v>
      </c>
      <c r="C76" s="4" t="s">
        <v>24</v>
      </c>
      <c r="D76" s="16" t="s">
        <v>23</v>
      </c>
      <c r="E76" s="5"/>
      <c r="F76" s="9"/>
      <c r="I76" s="13"/>
    </row>
    <row r="77" spans="2:9" ht="14.25" customHeight="1">
      <c r="D77" s="1"/>
      <c r="E77" s="5"/>
      <c r="F77" s="9"/>
      <c r="I77" s="13"/>
    </row>
    <row r="78" spans="2:9" ht="14.25" hidden="1" customHeight="1">
      <c r="B78" s="10" t="s">
        <v>22</v>
      </c>
      <c r="C78" s="4" t="s">
        <v>21</v>
      </c>
      <c r="D78" s="14" t="s">
        <v>20</v>
      </c>
      <c r="E78" s="5"/>
      <c r="F78" s="9">
        <f t="shared" si="0"/>
        <v>2</v>
      </c>
      <c r="I78" s="13"/>
    </row>
    <row r="79" spans="2:9" ht="14.25" hidden="1" customHeight="1">
      <c r="C79" s="4" t="s">
        <v>19</v>
      </c>
      <c r="D79" s="14" t="s">
        <v>18</v>
      </c>
      <c r="E79" s="5"/>
      <c r="F79" s="9">
        <f t="shared" si="0"/>
        <v>4</v>
      </c>
      <c r="I79" s="13"/>
    </row>
    <row r="80" spans="2:9" ht="14.25" hidden="1" customHeight="1">
      <c r="C80" s="4" t="s">
        <v>17</v>
      </c>
      <c r="D80" s="14" t="s">
        <v>16</v>
      </c>
      <c r="E80" s="5"/>
      <c r="F80" s="9">
        <f t="shared" si="0"/>
        <v>6</v>
      </c>
      <c r="I80" s="13"/>
    </row>
    <row r="81" spans="2:9" ht="14.25" hidden="1" customHeight="1">
      <c r="C81" s="4" t="s">
        <v>15</v>
      </c>
      <c r="D81" s="14" t="s">
        <v>14</v>
      </c>
      <c r="E81" s="5"/>
      <c r="F81" s="9">
        <f t="shared" si="0"/>
        <v>8</v>
      </c>
      <c r="I81" s="13"/>
    </row>
    <row r="82" spans="2:9" ht="14.25" hidden="1" customHeight="1">
      <c r="C82" s="4" t="s">
        <v>13</v>
      </c>
      <c r="D82" s="14" t="s">
        <v>12</v>
      </c>
      <c r="E82" s="5"/>
      <c r="F82" s="9"/>
      <c r="I82" s="13"/>
    </row>
    <row r="83" spans="2:9" ht="14.45" hidden="1" customHeight="1">
      <c r="C83" s="4" t="s">
        <v>11</v>
      </c>
      <c r="D83" s="14" t="s">
        <v>10</v>
      </c>
      <c r="E83" s="5"/>
      <c r="F83" s="9"/>
      <c r="I83" s="13"/>
    </row>
    <row r="84" spans="2:9" hidden="1">
      <c r="C84" s="4" t="s">
        <v>9</v>
      </c>
      <c r="D84" s="14" t="s">
        <v>8</v>
      </c>
    </row>
    <row r="85" spans="2:9" hidden="1">
      <c r="C85" s="4" t="s">
        <v>7</v>
      </c>
      <c r="D85" s="14" t="s">
        <v>6</v>
      </c>
    </row>
    <row r="86" spans="2:9" hidden="1">
      <c r="C86" s="4" t="s">
        <v>5</v>
      </c>
      <c r="D86" s="14" t="s">
        <v>4</v>
      </c>
    </row>
    <row r="87" spans="2:9" ht="14.45" hidden="1" customHeight="1">
      <c r="D87" s="15"/>
      <c r="E87" s="5"/>
      <c r="F87" s="9" t="s">
        <v>1</v>
      </c>
    </row>
    <row r="88" spans="2:9" ht="7.9" hidden="1" customHeight="1">
      <c r="C88" s="4" t="s">
        <v>3</v>
      </c>
      <c r="D88" s="14" t="s">
        <v>2</v>
      </c>
      <c r="E88" s="5"/>
      <c r="F88" s="9"/>
    </row>
    <row r="89" spans="2:9" ht="9" hidden="1" customHeight="1">
      <c r="D89" s="1"/>
      <c r="E89" s="7"/>
      <c r="F89" s="6"/>
    </row>
    <row r="90" spans="2:9" ht="7.15" hidden="1" customHeight="1">
      <c r="D90" s="12"/>
      <c r="E90" s="4"/>
      <c r="F90" s="4"/>
    </row>
    <row r="91" spans="2:9" ht="15" hidden="1" customHeight="1">
      <c r="D91" s="12"/>
      <c r="H91" s="2" t="s">
        <v>0</v>
      </c>
    </row>
    <row r="92" spans="2:9" ht="15" hidden="1" customHeight="1">
      <c r="D92" s="12"/>
    </row>
    <row r="93" spans="2:9" ht="15" hidden="1" customHeight="1">
      <c r="B93" s="10"/>
      <c r="C93" s="10"/>
      <c r="D93" s="11"/>
    </row>
    <row r="94" spans="2:9" ht="15" customHeight="1">
      <c r="B94" s="23" t="s">
        <v>1957</v>
      </c>
      <c r="C94" s="4"/>
      <c r="D94" s="5"/>
    </row>
    <row r="95" spans="2:9" ht="15" customHeight="1">
      <c r="B95" s="10" t="s">
        <v>1270</v>
      </c>
      <c r="C95" s="4" t="s">
        <v>1269</v>
      </c>
      <c r="D95" s="16" t="s">
        <v>1268</v>
      </c>
    </row>
    <row r="96" spans="2:9" ht="15" customHeight="1">
      <c r="B96" s="4"/>
      <c r="C96" s="4" t="s">
        <v>1267</v>
      </c>
      <c r="D96" s="16" t="s">
        <v>1266</v>
      </c>
    </row>
    <row r="97" spans="2:4" ht="15" customHeight="1">
      <c r="B97" s="4"/>
      <c r="C97" s="4" t="s">
        <v>1265</v>
      </c>
      <c r="D97" s="16" t="s">
        <v>1264</v>
      </c>
    </row>
    <row r="98" spans="2:4" ht="15" customHeight="1">
      <c r="B98" s="4"/>
      <c r="C98" s="4" t="s">
        <v>1263</v>
      </c>
      <c r="D98" s="16" t="s">
        <v>1262</v>
      </c>
    </row>
    <row r="99" spans="2:4" ht="15" customHeight="1">
      <c r="B99" s="4"/>
      <c r="C99" s="4"/>
      <c r="D99" s="16"/>
    </row>
    <row r="100" spans="2:4" ht="15" customHeight="1">
      <c r="B100" s="10" t="s">
        <v>99</v>
      </c>
      <c r="C100" s="4" t="s">
        <v>1261</v>
      </c>
      <c r="D100" s="16" t="s">
        <v>1260</v>
      </c>
    </row>
    <row r="101" spans="2:4" ht="15" customHeight="1">
      <c r="B101" s="4"/>
      <c r="C101" s="4" t="s">
        <v>1259</v>
      </c>
      <c r="D101" s="16" t="s">
        <v>1258</v>
      </c>
    </row>
    <row r="102" spans="2:4" ht="15" customHeight="1">
      <c r="B102" s="4"/>
      <c r="C102" s="4" t="s">
        <v>84</v>
      </c>
      <c r="D102" s="16" t="s">
        <v>84</v>
      </c>
    </row>
    <row r="103" spans="2:4" ht="15" customHeight="1">
      <c r="B103" s="10"/>
      <c r="C103" s="4" t="s">
        <v>1257</v>
      </c>
      <c r="D103" s="16" t="s">
        <v>1256</v>
      </c>
    </row>
    <row r="104" spans="2:4" ht="15" customHeight="1">
      <c r="C104" s="4" t="s">
        <v>90</v>
      </c>
      <c r="D104" s="16" t="s">
        <v>1255</v>
      </c>
    </row>
    <row r="105" spans="2:4" ht="15" customHeight="1">
      <c r="C105" s="4"/>
      <c r="D105" s="16"/>
    </row>
    <row r="106" spans="2:4" ht="15" customHeight="1">
      <c r="B106" s="10" t="s">
        <v>82</v>
      </c>
      <c r="C106" s="4" t="s">
        <v>75</v>
      </c>
      <c r="D106" s="16" t="s">
        <v>75</v>
      </c>
    </row>
    <row r="107" spans="2:4" ht="15" customHeight="1">
      <c r="B107" s="10"/>
      <c r="C107" s="4" t="s">
        <v>77</v>
      </c>
      <c r="D107" s="16" t="s">
        <v>77</v>
      </c>
    </row>
    <row r="108" spans="2:4" ht="15" customHeight="1">
      <c r="B108" s="10"/>
      <c r="C108" s="4" t="s">
        <v>70</v>
      </c>
      <c r="D108" s="16" t="s">
        <v>70</v>
      </c>
    </row>
    <row r="109" spans="2:4" ht="15" customHeight="1">
      <c r="B109" s="10"/>
      <c r="C109" s="17"/>
      <c r="D109" s="16"/>
    </row>
    <row r="110" spans="2:4" ht="15" customHeight="1">
      <c r="B110" s="10" t="s">
        <v>55</v>
      </c>
      <c r="C110" s="4" t="s">
        <v>52</v>
      </c>
      <c r="D110" s="16" t="s">
        <v>52</v>
      </c>
    </row>
    <row r="111" spans="2:4" ht="15" customHeight="1">
      <c r="B111" s="10"/>
      <c r="C111" s="4" t="s">
        <v>54</v>
      </c>
      <c r="D111" s="16" t="s">
        <v>957</v>
      </c>
    </row>
    <row r="112" spans="2:4" ht="15" customHeight="1">
      <c r="B112" s="17"/>
      <c r="C112" s="4" t="s">
        <v>263</v>
      </c>
      <c r="D112" s="16" t="s">
        <v>1254</v>
      </c>
    </row>
    <row r="113" spans="2:4" ht="15" hidden="1" customHeight="1">
      <c r="B113" s="17"/>
      <c r="C113" s="4" t="s">
        <v>1253</v>
      </c>
      <c r="D113" s="16"/>
    </row>
    <row r="114" spans="2:4" ht="15" customHeight="1">
      <c r="B114" s="17"/>
      <c r="C114" s="4"/>
      <c r="D114" s="16"/>
    </row>
    <row r="115" spans="2:4" ht="15" customHeight="1">
      <c r="B115" s="10" t="s">
        <v>65</v>
      </c>
      <c r="C115" s="4" t="s">
        <v>64</v>
      </c>
      <c r="D115" s="16" t="s">
        <v>265</v>
      </c>
    </row>
    <row r="116" spans="2:4" ht="15" customHeight="1">
      <c r="B116" s="10"/>
      <c r="C116" s="4" t="s">
        <v>60</v>
      </c>
      <c r="D116" s="16" t="s">
        <v>1252</v>
      </c>
    </row>
    <row r="117" spans="2:4" ht="15" customHeight="1">
      <c r="B117" s="17"/>
      <c r="C117" s="4"/>
      <c r="D117" s="16"/>
    </row>
    <row r="118" spans="2:4" ht="15" customHeight="1">
      <c r="B118" s="10" t="s">
        <v>46</v>
      </c>
      <c r="C118" s="3312" t="s">
        <v>39</v>
      </c>
      <c r="D118" s="16" t="s">
        <v>954</v>
      </c>
    </row>
    <row r="119" spans="2:4" ht="15" customHeight="1">
      <c r="B119" s="10"/>
      <c r="C119" s="4"/>
      <c r="D119" s="16"/>
    </row>
    <row r="120" spans="2:4" ht="15" customHeight="1">
      <c r="B120" s="10" t="s">
        <v>1251</v>
      </c>
      <c r="C120" s="17" t="s">
        <v>1250</v>
      </c>
      <c r="D120" s="16" t="s">
        <v>1249</v>
      </c>
    </row>
    <row r="121" spans="2:4" ht="15" customHeight="1">
      <c r="B121" s="18"/>
      <c r="C121" s="17" t="s">
        <v>1248</v>
      </c>
      <c r="D121" s="16" t="s">
        <v>191</v>
      </c>
    </row>
    <row r="122" spans="2:4" ht="15" customHeight="1">
      <c r="B122" s="10"/>
      <c r="C122" s="4"/>
      <c r="D122" s="16"/>
    </row>
    <row r="123" spans="2:4" ht="15" customHeight="1">
      <c r="B123" s="10" t="s">
        <v>25</v>
      </c>
      <c r="C123" s="4" t="s">
        <v>24</v>
      </c>
      <c r="D123" s="16" t="s">
        <v>1247</v>
      </c>
    </row>
    <row r="124" spans="2:4" ht="15" hidden="1" customHeight="1">
      <c r="B124" s="4" t="s">
        <v>22</v>
      </c>
      <c r="C124" s="4" t="s">
        <v>21</v>
      </c>
      <c r="D124" s="16" t="s">
        <v>20</v>
      </c>
    </row>
    <row r="125" spans="2:4" ht="15" hidden="1" customHeight="1">
      <c r="B125" s="4"/>
      <c r="C125" s="4" t="s">
        <v>19</v>
      </c>
      <c r="D125" s="16" t="s">
        <v>18</v>
      </c>
    </row>
    <row r="126" spans="2:4" ht="15" hidden="1" customHeight="1">
      <c r="B126" s="4"/>
      <c r="C126" s="4" t="s">
        <v>17</v>
      </c>
      <c r="D126" s="16" t="s">
        <v>16</v>
      </c>
    </row>
    <row r="127" spans="2:4" ht="15" hidden="1" customHeight="1">
      <c r="B127" s="4"/>
      <c r="C127" s="4" t="s">
        <v>15</v>
      </c>
      <c r="D127" s="16" t="s">
        <v>14</v>
      </c>
    </row>
    <row r="128" spans="2:4" ht="15" hidden="1" customHeight="1">
      <c r="B128" s="4"/>
      <c r="C128" s="4" t="s">
        <v>13</v>
      </c>
      <c r="D128" s="16" t="s">
        <v>12</v>
      </c>
    </row>
    <row r="129" spans="2:4" ht="15" hidden="1" customHeight="1">
      <c r="B129" s="4"/>
      <c r="C129" s="4" t="s">
        <v>11</v>
      </c>
      <c r="D129" s="16" t="s">
        <v>10</v>
      </c>
    </row>
    <row r="130" spans="2:4" ht="15" hidden="1" customHeight="1">
      <c r="B130" s="4"/>
      <c r="C130" s="4" t="s">
        <v>9</v>
      </c>
      <c r="D130" s="16" t="s">
        <v>8</v>
      </c>
    </row>
    <row r="131" spans="2:4" ht="15" hidden="1" customHeight="1">
      <c r="B131" s="10"/>
      <c r="C131" s="4" t="s">
        <v>7</v>
      </c>
      <c r="D131" s="16" t="s">
        <v>6</v>
      </c>
    </row>
    <row r="132" spans="2:4" ht="15" hidden="1" customHeight="1">
      <c r="C132" s="4" t="s">
        <v>5</v>
      </c>
      <c r="D132" s="16" t="s">
        <v>4</v>
      </c>
    </row>
    <row r="133" spans="2:4" ht="15" hidden="1" customHeight="1">
      <c r="C133" s="4" t="s">
        <v>3</v>
      </c>
      <c r="D133" s="16" t="s">
        <v>2</v>
      </c>
    </row>
    <row r="134" spans="2:4" ht="15" hidden="1" customHeight="1">
      <c r="B134" s="4"/>
      <c r="C134" s="4"/>
      <c r="D134" s="16"/>
    </row>
    <row r="135" spans="2:4" ht="15" customHeight="1"/>
    <row r="136" spans="2:4" ht="15" customHeight="1"/>
    <row r="137" spans="2:4" ht="15" customHeight="1"/>
    <row r="138" spans="2:4" ht="15" customHeight="1"/>
    <row r="139" spans="2:4" ht="15" customHeight="1"/>
    <row r="140" spans="2:4" ht="15" customHeight="1"/>
    <row r="141" spans="2:4" ht="15" customHeight="1"/>
    <row r="142" spans="2:4" ht="15" customHeight="1"/>
    <row r="143" spans="2:4" ht="15" customHeight="1"/>
    <row r="144" spans="2: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sheetData>
  <mergeCells count="5">
    <mergeCell ref="B10:C10"/>
    <mergeCell ref="B6:D6"/>
    <mergeCell ref="B5:D5"/>
    <mergeCell ref="B4:D4"/>
    <mergeCell ref="B3:D3"/>
  </mergeCells>
  <hyperlinks>
    <hyperlink ref="D24:D34" location="Hinweise!A1" display="Hinweise"/>
    <hyperlink ref="D24" location="'SDK1'!A1" display="SDK1"/>
    <hyperlink ref="D26" location="SD2!A1" display=" Prämien"/>
    <hyperlink ref="D27" location="'SDK3'!A1" display="SDK3"/>
    <hyperlink ref="D29" location="'SDK4'!A1" display="SDK4"/>
    <hyperlink ref="D31" location="'SDK5'!A1" display="SDK5"/>
    <hyperlink ref="D33" location="SD6!A1" display=" Trocknung"/>
    <hyperlink ref="D34" location="'SDK7'!A1" display="SDK7"/>
    <hyperlink ref="D41:D48" location="Preise!A1" display="Preise"/>
    <hyperlink ref="D41" location="WW1!A1" display=" WW-Futter"/>
    <hyperlink ref="D42" location="WW2!A1" display=" WW-Brot"/>
    <hyperlink ref="D43" location="WW3!A1" display=" WW-Aufmisch"/>
    <hyperlink ref="D44" location="WW4!A1" display=" WW-Qualität"/>
    <hyperlink ref="D45" location="WRo!A1" display=" Roggen"/>
    <hyperlink ref="D46" location="Tr!A1" display=" Triticale"/>
    <hyperlink ref="D47" location="WG!A1" display=" W-Gerste"/>
    <hyperlink ref="D48" location="Di!A1" display=" Dinkel"/>
    <hyperlink ref="D49" location="SW!A1" display=" So-Weizen"/>
    <hyperlink ref="D50" location="'SG-Fu'!A1" display=" So-FuGerste"/>
    <hyperlink ref="D51" location="BG!A1" display=" Braugerste"/>
    <hyperlink ref="D52" location="Ha!A1" display=" Hafer"/>
    <hyperlink ref="D53" location="Du!A1" display=" Durum"/>
    <hyperlink ref="D55" location="KöM!A1" display=" Körnermais"/>
    <hyperlink ref="D57:D64" location="Körnermais!A1" display="Dinkel"/>
    <hyperlink ref="D57" location="WR!A1" display=" W-Raps"/>
    <hyperlink ref="D58" location="SR!A1" display=" So-Raps"/>
    <hyperlink ref="D59" location="SoBl!A1" display=" Sonnenblumen"/>
    <hyperlink ref="D60" location="Soja!A1" display=" Sojabohne"/>
    <hyperlink ref="D61" location="Öl!A1" display=" Öllein"/>
    <hyperlink ref="D62" location="FE!A1" display=" Erbsen"/>
    <hyperlink ref="D63" location="AB!A1" display=" Ackerbohnen"/>
    <hyperlink ref="D64" location="Lu!A1" display=" Lupinen"/>
    <hyperlink ref="D66" location="ZR!A1" display=" Zuckerrüben"/>
    <hyperlink ref="D67" location="FrühKa!A1" display=" Früh-Kartoffeln"/>
    <hyperlink ref="D69" location="FrühKaFolieBer!A1" display=" Früh-Kart-FolieBer"/>
    <hyperlink ref="D70" location="SpKa!A1" display=" Speise-Kartoffeln"/>
    <hyperlink ref="D71" location="SpKaBer!A1" display=" Speise-Kart-Ber"/>
    <hyperlink ref="D73" location="'Hanf-komb. Nutzung'!A1:A7" display=" Hanf-komb. Nutzung"/>
    <hyperlink ref="D86" location="Getreide_BG_mGR!A1:A7" display="Getreide_BG_mGR"/>
    <hyperlink ref="D38" location="Kostenrechnung!A1:A10" display=" Kostenrechnung"/>
    <hyperlink ref="D72" location="'Hanf-nur Strohnutzung'!A1:A7" display=" Hanf-nur Strohnutzung"/>
    <hyperlink ref="D78" location="Silomais_BG_aF_oGR!A1:A7" display="Silomais_BG_aF_oGR"/>
    <hyperlink ref="D88" location="Leer_Biomasse!A1:A7" display="leer1"/>
    <hyperlink ref="D79" location="Silomais_BG_aF_mGR!A1:A7" display="Silomais_BG_aF_mGR"/>
    <hyperlink ref="D80" location="Silomais_BG_fS_oGR!A1:A7" display="Silomais_BG_fS_oGR"/>
    <hyperlink ref="D81" location="Silomais_BG_fS_mGR!A1:A7" display="Silomais_BG_fS_mGR"/>
    <hyperlink ref="D82" location="GPS_BG_fS_mGR!A1:A7" display="GPS_BG_fS_mGR"/>
    <hyperlink ref="D83" location="GS_3Nu_fS_mGR!A1:A7" display="GS_3Nu_fS_mGR"/>
    <hyperlink ref="D84" location="GS_5Nu_fS_mGR!A1:A7" display="GS_5Nu_fS_mGR"/>
    <hyperlink ref="D56" location="KH!A1" display=" Körnerhirse"/>
    <hyperlink ref="D85" location="KleeGS_2j_fS_mGR!A1:A7" display="KleeGS_2j_fS_mGR"/>
    <hyperlink ref="D21" location="EÖ1!A1" display="EÖ1"/>
    <hyperlink ref="D75" location="Begr!A1" display=" Begrünung"/>
    <hyperlink ref="D65" location="'Wi-triticale-Wi-erbsengemenge'!A1" display="W-itriticale-Wi-erbsengemenge"/>
    <hyperlink ref="D76" location="'Kultur A'!A1" display="Kultur A"/>
    <hyperlink ref="D19" location="'EK1'!A1" display="EK1"/>
    <hyperlink ref="D20" location="'EK2'!A1" display="EK2"/>
    <hyperlink ref="D18" location="'E2'!A1" display=" Grafik DB"/>
    <hyperlink ref="D17" location="'E1'!A1" display=" Übersicht"/>
    <hyperlink ref="D14" location="Hinw!A1" display="Hinweise"/>
    <hyperlink ref="D25" location="SDÖ1!A1" display="SDÖ1"/>
    <hyperlink ref="D28" location="SDÖ3!A1" display="SDÖ3"/>
    <hyperlink ref="D30" location="SDÖ4!A1" display="SDÖ4"/>
    <hyperlink ref="D32" location="SDÖ5!A1" display="SDÖ5"/>
    <hyperlink ref="D35" location="SDÖ7!A1" display="SDÖ7"/>
    <hyperlink ref="D68" location="ZR!A1" display="ZR"/>
    <hyperlink ref="D100:D102" location="Preise!A1" display="Preise"/>
    <hyperlink ref="D100" location="'Öko-WW-Futter'!A1" display="Ww-Futter"/>
    <hyperlink ref="D101" location="'Öko-WW-Brot'!A1" display="Ww-Brot"/>
    <hyperlink ref="D102" location="'Öko-Dinkel'!A1" display="Dinkel"/>
    <hyperlink ref="D106" location="'Öko-Hafer'!A1" display="Hafer"/>
    <hyperlink ref="D108" location="'Öko-Körnermais'!A1" display="Körnermais"/>
    <hyperlink ref="D116" location="'Öko-Soblu'!A1" display="Sonnenblume"/>
    <hyperlink ref="D111" location="'Öko-Erbsen'!A1" display="Erbsen"/>
    <hyperlink ref="D110" location="'Öko-Ackerbohnen'!A1" display="Ackerbohnen"/>
    <hyperlink ref="D118" location="'Öko-Kartoffel'!A1" display="Kartoffeln"/>
    <hyperlink ref="D132" location="Getreide_BG_mGR!A1:A7" display="Getreide_BG_mGR"/>
    <hyperlink ref="D124" location="Silomais_BG_aF_oGR!A1:A7" display="Silomais_BG_aF_oGR"/>
    <hyperlink ref="D133" location="Leer_Biomasse!A1:A7" display="leer1"/>
    <hyperlink ref="D125" location="Silomais_BG_aF_mGR!A1:A7" display="Silomais_BG_aF_mGR"/>
    <hyperlink ref="D126" location="Silomais_BG_fS_oGR!A1:A7" display="Silomais_BG_fS_oGR"/>
    <hyperlink ref="D127" location="Silomais_BG_fS_mGR!A1:A7" display="Silomais_BG_fS_mGR"/>
    <hyperlink ref="D128" location="GPS_BG_fS_mGR!A1:A7" display="GPS_BG_fS_mGR"/>
    <hyperlink ref="D129" location="GS_3Nu_fS_mGR!A1:A7" display="GS_3Nu_fS_mGR"/>
    <hyperlink ref="D130" location="GS_5Nu_fS_mGR!A1:A7" display="GS_5Nu_fS_mGR"/>
    <hyperlink ref="D131" location="KleeGS_2j_fS_mGR!A1:A7" display="KleeGS_2j_fS_mGR"/>
    <hyperlink ref="D123" location="'TE1'!A1" display="Testfrucht1"/>
    <hyperlink ref="D107" location="'Öko-Braugerste'!Druckbereich" display="Braugerste"/>
    <hyperlink ref="D103" location="'Öko-Dinkel,gegerbt'!A1" display="Dinkel-entspelzt"/>
    <hyperlink ref="D95" location="'Öko-KG1'!A1" display="Kleegras1"/>
    <hyperlink ref="D96" location="'Öko-KG2'!A1" display="Kleegras2"/>
    <hyperlink ref="D97" location="'Öko-LU1'!A1" display="Luzernegras1"/>
    <hyperlink ref="D98" location="'Öko-LU2'!A1" display="Luzernegras2"/>
    <hyperlink ref="D104" location="'Öko-Roggen'!A1" display="Roggen"/>
    <hyperlink ref="D120" location="Blühm.!A1" display="Blühmischung"/>
    <hyperlink ref="D121" location="Begrün.!A1" display="Begrünung"/>
    <hyperlink ref="D112" location="'Öko-Sojabohnen'!A1" display="Sojabohne"/>
    <hyperlink ref="D115" location="'Öko-Raps'!A1" display="Raps"/>
    <hyperlink ref="D22" location="'EK2'!A1" display="EK2"/>
    <hyperlink ref="D36" location="'SD8'!A1" display="SD8"/>
    <hyperlink ref="D74" location="'FAKT-Brachebegrünung'!A1" display="FAKT-Brache"/>
  </hyperlinks>
  <printOptions horizontalCentered="1"/>
  <pageMargins left="0.59055118110236227" right="0.59055118110236227" top="0.59055118110236227" bottom="0.59055118110236227" header="0.39370078740157483" footer="0.39370078740157483"/>
  <pageSetup paperSize="9" scale="79" orientation="portrait" r:id="rId1"/>
  <headerFooter alignWithMargins="0">
    <oddFooter>&amp;L&amp;11LEL Schwäbisch Gmünd&amp;C&amp;11&amp;P&amp;R&amp;11 &amp;F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T114"/>
  <sheetViews>
    <sheetView topLeftCell="A87"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589" t="s">
        <v>1725</v>
      </c>
      <c r="E2" s="2589"/>
      <c r="F2" s="2587"/>
      <c r="G2" s="2590"/>
      <c r="H2" s="2589" t="s">
        <v>1724</v>
      </c>
      <c r="I2" s="2589"/>
      <c r="J2" s="2588"/>
      <c r="K2" s="2587"/>
      <c r="L2" s="2568"/>
      <c r="M2" s="2568"/>
      <c r="N2" s="2568"/>
      <c r="O2" s="2568"/>
    </row>
    <row r="3" spans="1:20" ht="13.5" thickTop="1" thickBot="1">
      <c r="A3" s="2586"/>
      <c r="B3" s="2585" t="s">
        <v>1723</v>
      </c>
      <c r="C3" s="2584"/>
      <c r="D3" s="2580">
        <v>2016</v>
      </c>
      <c r="E3" s="2583">
        <v>2017</v>
      </c>
      <c r="F3" s="2582" t="s">
        <v>1692</v>
      </c>
      <c r="G3" s="2581"/>
      <c r="H3" s="2580">
        <v>2016</v>
      </c>
      <c r="I3" s="2579">
        <v>2017</v>
      </c>
      <c r="J3" s="2578" t="s">
        <v>1692</v>
      </c>
      <c r="K3" s="2568"/>
      <c r="L3" s="2568"/>
      <c r="M3" s="2568"/>
      <c r="N3" s="2568"/>
    </row>
    <row r="4" spans="1:20" ht="13.5" thickTop="1" thickBot="1">
      <c r="A4" s="2577"/>
      <c r="B4" s="2576" t="s">
        <v>934</v>
      </c>
      <c r="C4" s="2572" t="s">
        <v>530</v>
      </c>
      <c r="D4" s="2575">
        <v>1</v>
      </c>
      <c r="E4" s="2574">
        <v>1</v>
      </c>
      <c r="F4" s="2573"/>
      <c r="G4" s="2572" t="s">
        <v>530</v>
      </c>
      <c r="H4" s="2571"/>
      <c r="I4" s="2570"/>
      <c r="J4" s="2569"/>
      <c r="K4" s="2568"/>
      <c r="L4" s="2568"/>
      <c r="M4" s="2568"/>
      <c r="N4" s="2568"/>
    </row>
    <row r="5" spans="1:20" ht="13.5" thickTop="1">
      <c r="B5" s="2536" t="s">
        <v>1722</v>
      </c>
      <c r="C5" s="2533" t="s">
        <v>228</v>
      </c>
      <c r="D5" s="2538">
        <v>25</v>
      </c>
      <c r="E5" s="2538">
        <v>23.75</v>
      </c>
      <c r="F5" s="2543">
        <f t="shared" ref="F5:F37" si="0">(D5*$D$4+E5*$E$4)/($D$4+$E$4)</f>
        <v>24.375</v>
      </c>
      <c r="G5" s="2567" t="s">
        <v>172</v>
      </c>
      <c r="H5" s="2538">
        <v>42</v>
      </c>
      <c r="I5" s="2566">
        <v>75.400000000000006</v>
      </c>
      <c r="J5" s="2535">
        <f t="shared" ref="J5:J39" si="1">(H5*$D$4+I5*$E$4)/($D$4+$E$4)</f>
        <v>58.7</v>
      </c>
    </row>
    <row r="6" spans="1:20" ht="12.75">
      <c r="B6" s="2536" t="s">
        <v>84</v>
      </c>
      <c r="C6" s="2533" t="s">
        <v>228</v>
      </c>
      <c r="D6" s="2529">
        <v>16</v>
      </c>
      <c r="E6" s="2529">
        <v>17</v>
      </c>
      <c r="F6" s="2543">
        <f t="shared" si="0"/>
        <v>16.5</v>
      </c>
      <c r="G6" s="2552" t="s">
        <v>172</v>
      </c>
      <c r="H6" s="2549">
        <v>50</v>
      </c>
      <c r="I6" s="2529">
        <v>65.5</v>
      </c>
      <c r="J6" s="2535">
        <f t="shared" si="1"/>
        <v>57.75</v>
      </c>
    </row>
    <row r="7" spans="1:20" ht="12.75">
      <c r="B7" s="2559" t="s">
        <v>269</v>
      </c>
      <c r="C7" s="2558" t="s">
        <v>228</v>
      </c>
      <c r="D7" s="2557">
        <v>13.6</v>
      </c>
      <c r="E7" s="2557">
        <v>14.4</v>
      </c>
      <c r="F7" s="2543">
        <f t="shared" si="0"/>
        <v>14</v>
      </c>
      <c r="G7" s="2565" t="s">
        <v>172</v>
      </c>
      <c r="H7" s="2564">
        <v>66.099999999999994</v>
      </c>
      <c r="I7" s="2563">
        <f>$I$97</f>
        <v>73.600000000000009</v>
      </c>
      <c r="J7" s="2535">
        <f t="shared" si="1"/>
        <v>69.849999999999994</v>
      </c>
    </row>
    <row r="8" spans="1:20" ht="12.75">
      <c r="B8" s="2536" t="s">
        <v>81</v>
      </c>
      <c r="C8" s="2533" t="s">
        <v>228</v>
      </c>
      <c r="D8" s="2529">
        <v>13.6</v>
      </c>
      <c r="E8" s="2529">
        <v>14.4</v>
      </c>
      <c r="F8" s="2543">
        <f t="shared" si="0"/>
        <v>14</v>
      </c>
      <c r="G8" s="2552" t="s">
        <v>172</v>
      </c>
      <c r="H8" s="2538">
        <v>51.5</v>
      </c>
      <c r="I8" s="2529">
        <v>65.5</v>
      </c>
      <c r="J8" s="2535">
        <f t="shared" si="1"/>
        <v>58.5</v>
      </c>
    </row>
    <row r="9" spans="1:20" ht="12.75">
      <c r="B9" s="2536" t="s">
        <v>90</v>
      </c>
      <c r="C9" s="2533" t="s">
        <v>228</v>
      </c>
      <c r="D9" s="2529">
        <v>12.3</v>
      </c>
      <c r="E9" s="2529">
        <v>13.9</v>
      </c>
      <c r="F9" s="2543">
        <f t="shared" si="0"/>
        <v>13.100000000000001</v>
      </c>
      <c r="G9" s="2552" t="s">
        <v>172</v>
      </c>
      <c r="H9" s="2529">
        <v>54.2</v>
      </c>
      <c r="I9" s="2529">
        <v>55.6</v>
      </c>
      <c r="J9" s="2535">
        <f t="shared" si="1"/>
        <v>54.900000000000006</v>
      </c>
    </row>
    <row r="10" spans="1:20" ht="12.75">
      <c r="B10" s="2536" t="s">
        <v>1721</v>
      </c>
      <c r="C10" s="2533" t="s">
        <v>228</v>
      </c>
      <c r="D10" s="2529">
        <v>12.3</v>
      </c>
      <c r="E10" s="2529">
        <v>13.9</v>
      </c>
      <c r="F10" s="2543">
        <f t="shared" si="0"/>
        <v>13.100000000000001</v>
      </c>
      <c r="G10" s="2552" t="s">
        <v>172</v>
      </c>
      <c r="H10" s="2529">
        <v>54.2</v>
      </c>
      <c r="I10" s="2529">
        <v>55.6</v>
      </c>
      <c r="J10" s="2535">
        <f t="shared" si="1"/>
        <v>54.900000000000006</v>
      </c>
    </row>
    <row r="11" spans="1:20" ht="12.75" hidden="1">
      <c r="B11" s="2536" t="s">
        <v>1720</v>
      </c>
      <c r="C11" s="2533" t="s">
        <v>228</v>
      </c>
      <c r="D11" s="2529">
        <v>11.5</v>
      </c>
      <c r="E11" s="2529"/>
      <c r="F11" s="2543">
        <f t="shared" si="0"/>
        <v>5.75</v>
      </c>
      <c r="G11" s="2552" t="s">
        <v>172</v>
      </c>
      <c r="H11" s="2529">
        <v>54.2</v>
      </c>
      <c r="I11" s="2529"/>
      <c r="J11" s="2535">
        <f t="shared" si="1"/>
        <v>27.1</v>
      </c>
    </row>
    <row r="12" spans="1:20" ht="12.75" hidden="1">
      <c r="B12" s="2536" t="s">
        <v>1719</v>
      </c>
      <c r="C12" s="2533" t="s">
        <v>228</v>
      </c>
      <c r="D12" s="2529">
        <v>11.5</v>
      </c>
      <c r="E12" s="2529"/>
      <c r="F12" s="2543">
        <f t="shared" si="0"/>
        <v>5.75</v>
      </c>
      <c r="G12" s="2552" t="s">
        <v>172</v>
      </c>
      <c r="H12" s="2529">
        <v>54.2</v>
      </c>
      <c r="I12" s="2529"/>
      <c r="J12" s="2535">
        <f t="shared" si="1"/>
        <v>27.1</v>
      </c>
    </row>
    <row r="13" spans="1:20" ht="12.75">
      <c r="B13" s="2559" t="s">
        <v>86</v>
      </c>
      <c r="C13" s="2558" t="s">
        <v>228</v>
      </c>
      <c r="D13" s="2557">
        <v>11.5</v>
      </c>
      <c r="E13" s="2557">
        <v>12.6</v>
      </c>
      <c r="F13" s="2543">
        <f t="shared" si="0"/>
        <v>12.05</v>
      </c>
      <c r="G13" s="2556" t="s">
        <v>172</v>
      </c>
      <c r="H13" s="2555">
        <v>67.400000000000006</v>
      </c>
      <c r="I13" s="2555">
        <f>$I$101</f>
        <v>73.63333333333334</v>
      </c>
      <c r="J13" s="2535">
        <f t="shared" si="1"/>
        <v>70.51666666666668</v>
      </c>
    </row>
    <row r="14" spans="1:20" ht="12.75">
      <c r="B14" s="2536" t="s">
        <v>267</v>
      </c>
      <c r="C14" s="2533" t="s">
        <v>228</v>
      </c>
      <c r="D14" s="2529">
        <v>11.5</v>
      </c>
      <c r="E14" s="2529">
        <v>12.6</v>
      </c>
      <c r="F14" s="2543">
        <f t="shared" si="0"/>
        <v>12.05</v>
      </c>
      <c r="G14" s="2552" t="s">
        <v>172</v>
      </c>
      <c r="H14" s="2562">
        <v>49.6</v>
      </c>
      <c r="I14" s="2529">
        <v>58.2</v>
      </c>
      <c r="J14" s="2535">
        <f t="shared" si="1"/>
        <v>53.900000000000006</v>
      </c>
    </row>
    <row r="15" spans="1:20" ht="12.75">
      <c r="B15" s="2536" t="s">
        <v>77</v>
      </c>
      <c r="C15" s="2533" t="s">
        <v>228</v>
      </c>
      <c r="D15" s="2529">
        <v>16.8</v>
      </c>
      <c r="E15" s="2529">
        <v>17.899999999999999</v>
      </c>
      <c r="F15" s="2543">
        <f t="shared" si="0"/>
        <v>17.350000000000001</v>
      </c>
      <c r="G15" s="2552" t="s">
        <v>172</v>
      </c>
      <c r="H15" s="2529">
        <v>50.1</v>
      </c>
      <c r="I15" s="2529">
        <v>58.2</v>
      </c>
      <c r="J15" s="2535">
        <f t="shared" si="1"/>
        <v>54.150000000000006</v>
      </c>
    </row>
    <row r="16" spans="1:20" ht="12.75">
      <c r="B16" s="2536" t="s">
        <v>1718</v>
      </c>
      <c r="C16" s="2533" t="s">
        <v>228</v>
      </c>
      <c r="D16" s="2529">
        <v>14.25</v>
      </c>
      <c r="E16" s="2529">
        <v>14</v>
      </c>
      <c r="F16" s="2543">
        <f t="shared" si="0"/>
        <v>14.125</v>
      </c>
      <c r="G16" s="2552" t="s">
        <v>172</v>
      </c>
      <c r="H16" s="2562">
        <v>45.6</v>
      </c>
      <c r="I16" s="2529">
        <v>46.1</v>
      </c>
      <c r="J16" s="2535">
        <f t="shared" si="1"/>
        <v>45.85</v>
      </c>
    </row>
    <row r="17" spans="2:10" ht="12.75">
      <c r="B17" s="2536" t="s">
        <v>1717</v>
      </c>
      <c r="C17" s="2533" t="s">
        <v>228</v>
      </c>
      <c r="D17" s="2529">
        <v>14.25</v>
      </c>
      <c r="E17" s="2529">
        <v>14</v>
      </c>
      <c r="F17" s="2543">
        <f t="shared" si="0"/>
        <v>14.125</v>
      </c>
      <c r="G17" s="2552" t="s">
        <v>172</v>
      </c>
      <c r="H17" s="2529">
        <v>44.9</v>
      </c>
      <c r="I17" s="2529">
        <v>46.1</v>
      </c>
      <c r="J17" s="2535">
        <f t="shared" si="1"/>
        <v>45.5</v>
      </c>
    </row>
    <row r="18" spans="2:10" ht="12.75" hidden="1">
      <c r="B18" s="2536" t="s">
        <v>1716</v>
      </c>
      <c r="C18" s="2533" t="s">
        <v>228</v>
      </c>
      <c r="D18" s="2529">
        <v>11.5</v>
      </c>
      <c r="E18" s="2529"/>
      <c r="F18" s="2543">
        <f t="shared" si="0"/>
        <v>5.75</v>
      </c>
      <c r="G18" s="2552" t="s">
        <v>172</v>
      </c>
      <c r="H18" s="2529">
        <v>46.3</v>
      </c>
      <c r="I18" s="2529"/>
      <c r="J18" s="2535">
        <f t="shared" si="1"/>
        <v>23.15</v>
      </c>
    </row>
    <row r="19" spans="2:10" ht="12.75" hidden="1">
      <c r="B19" s="2536" t="s">
        <v>1715</v>
      </c>
      <c r="C19" s="2533" t="s">
        <v>228</v>
      </c>
      <c r="D19" s="2529">
        <v>11.5</v>
      </c>
      <c r="E19" s="2529"/>
      <c r="F19" s="2543">
        <f t="shared" si="0"/>
        <v>5.75</v>
      </c>
      <c r="G19" s="2552" t="s">
        <v>172</v>
      </c>
      <c r="H19" s="2529">
        <v>46.3</v>
      </c>
      <c r="I19" s="2529"/>
      <c r="J19" s="2535">
        <f t="shared" si="1"/>
        <v>23.15</v>
      </c>
    </row>
    <row r="20" spans="2:10" ht="12.75">
      <c r="B20" s="2536" t="s">
        <v>1714</v>
      </c>
      <c r="C20" s="2533" t="s">
        <v>228</v>
      </c>
      <c r="D20" s="2529">
        <v>12</v>
      </c>
      <c r="E20" s="2529">
        <v>13</v>
      </c>
      <c r="F20" s="2543">
        <f t="shared" si="0"/>
        <v>12.5</v>
      </c>
      <c r="G20" s="2552" t="s">
        <v>172</v>
      </c>
      <c r="H20" s="2562">
        <v>53.1</v>
      </c>
      <c r="I20" s="2529">
        <v>67.8</v>
      </c>
      <c r="J20" s="2535">
        <f t="shared" si="1"/>
        <v>60.45</v>
      </c>
    </row>
    <row r="21" spans="2:10" ht="12.75">
      <c r="B21" s="2536" t="s">
        <v>1713</v>
      </c>
      <c r="C21" s="2533" t="s">
        <v>228</v>
      </c>
      <c r="D21" s="2529">
        <v>12</v>
      </c>
      <c r="E21" s="2529">
        <v>13</v>
      </c>
      <c r="F21" s="2543">
        <f t="shared" si="0"/>
        <v>12.5</v>
      </c>
      <c r="G21" s="2552" t="s">
        <v>172</v>
      </c>
      <c r="H21" s="2529">
        <v>58.5</v>
      </c>
      <c r="I21" s="2529">
        <v>67.8</v>
      </c>
      <c r="J21" s="2535">
        <f t="shared" si="1"/>
        <v>63.15</v>
      </c>
    </row>
    <row r="22" spans="2:10" ht="12.75">
      <c r="B22" s="2536" t="s">
        <v>1712</v>
      </c>
      <c r="C22" s="2533" t="s">
        <v>228</v>
      </c>
      <c r="D22" s="2529">
        <v>22.5</v>
      </c>
      <c r="E22" s="2529">
        <v>22.3</v>
      </c>
      <c r="F22" s="2543">
        <f t="shared" si="0"/>
        <v>22.4</v>
      </c>
      <c r="G22" s="2552" t="s">
        <v>172</v>
      </c>
      <c r="H22" s="2529">
        <v>55</v>
      </c>
      <c r="I22" s="2529">
        <v>60</v>
      </c>
      <c r="J22" s="2535">
        <f t="shared" si="1"/>
        <v>57.5</v>
      </c>
    </row>
    <row r="23" spans="2:10" ht="12.75">
      <c r="B23" s="2536" t="s">
        <v>1711</v>
      </c>
      <c r="C23" s="2533" t="s">
        <v>228</v>
      </c>
      <c r="D23" s="2529">
        <v>24.7</v>
      </c>
      <c r="E23" s="2529"/>
      <c r="F23" s="2543">
        <f t="shared" si="0"/>
        <v>12.35</v>
      </c>
      <c r="G23" s="2552" t="s">
        <v>172</v>
      </c>
      <c r="H23" s="2529">
        <v>45</v>
      </c>
      <c r="I23" s="2529"/>
      <c r="J23" s="2535">
        <f t="shared" si="1"/>
        <v>22.5</v>
      </c>
    </row>
    <row r="24" spans="2:10" ht="12.75">
      <c r="B24" s="2559" t="s">
        <v>70</v>
      </c>
      <c r="C24" s="2558" t="s">
        <v>228</v>
      </c>
      <c r="D24" s="2557">
        <v>15</v>
      </c>
      <c r="E24" s="2557">
        <v>14.2</v>
      </c>
      <c r="F24" s="2543">
        <f t="shared" si="0"/>
        <v>14.6</v>
      </c>
      <c r="G24" s="2556" t="s">
        <v>172</v>
      </c>
      <c r="H24" s="2555">
        <v>96.1</v>
      </c>
      <c r="I24" s="2561">
        <v>106.5</v>
      </c>
      <c r="J24" s="2535">
        <f t="shared" si="1"/>
        <v>101.3</v>
      </c>
    </row>
    <row r="25" spans="2:10" ht="12.75" hidden="1">
      <c r="B25" s="2536" t="s">
        <v>1710</v>
      </c>
      <c r="C25" s="2533" t="s">
        <v>228</v>
      </c>
      <c r="D25" s="2529">
        <v>13.8</v>
      </c>
      <c r="E25" s="2529"/>
      <c r="F25" s="2543">
        <f t="shared" si="0"/>
        <v>6.9</v>
      </c>
      <c r="G25" s="2552" t="s">
        <v>172</v>
      </c>
      <c r="H25" s="2529">
        <v>130</v>
      </c>
      <c r="I25" s="2529"/>
      <c r="J25" s="2535">
        <f t="shared" si="1"/>
        <v>65</v>
      </c>
    </row>
    <row r="26" spans="2:10" ht="12.6" hidden="1" customHeight="1">
      <c r="B26" s="2536" t="s">
        <v>1709</v>
      </c>
      <c r="C26" s="2533" t="s">
        <v>228</v>
      </c>
      <c r="D26" s="2529">
        <v>15</v>
      </c>
      <c r="E26" s="2529"/>
      <c r="F26" s="2543">
        <f t="shared" si="0"/>
        <v>7.5</v>
      </c>
      <c r="G26" s="2552" t="s">
        <v>172</v>
      </c>
      <c r="H26" s="2529">
        <v>58.5</v>
      </c>
      <c r="I26" s="2529"/>
      <c r="J26" s="2535">
        <f t="shared" si="1"/>
        <v>29.25</v>
      </c>
    </row>
    <row r="27" spans="2:10" ht="12.75" hidden="1">
      <c r="B27" s="2536" t="s">
        <v>1708</v>
      </c>
      <c r="C27" s="2533" t="s">
        <v>228</v>
      </c>
      <c r="D27" s="2560"/>
      <c r="E27" s="2560"/>
      <c r="F27" s="2543">
        <f t="shared" si="0"/>
        <v>0</v>
      </c>
      <c r="G27" s="2552" t="s">
        <v>1707</v>
      </c>
      <c r="H27" s="2554"/>
      <c r="I27" s="2554"/>
      <c r="J27" s="2535">
        <f t="shared" si="1"/>
        <v>0</v>
      </c>
    </row>
    <row r="28" spans="2:10" ht="12.75" hidden="1">
      <c r="B28" s="2536" t="s">
        <v>1663</v>
      </c>
      <c r="C28" s="2533" t="s">
        <v>1706</v>
      </c>
      <c r="D28" s="2529">
        <v>2.1000000000000001E-2</v>
      </c>
      <c r="E28" s="2529"/>
      <c r="F28" s="2543">
        <f t="shared" si="0"/>
        <v>1.0500000000000001E-2</v>
      </c>
      <c r="G28" s="2552" t="s">
        <v>172</v>
      </c>
      <c r="H28" s="2554">
        <v>89000</v>
      </c>
      <c r="I28" s="2554"/>
      <c r="J28" s="2535">
        <f t="shared" si="1"/>
        <v>44500</v>
      </c>
    </row>
    <row r="29" spans="2:10" ht="12.6" customHeight="1">
      <c r="B29" s="2536" t="s">
        <v>1705</v>
      </c>
      <c r="C29" s="2533" t="s">
        <v>228</v>
      </c>
      <c r="D29" s="2529">
        <v>100.86</v>
      </c>
      <c r="E29" s="2529">
        <v>93.7</v>
      </c>
      <c r="F29" s="2543">
        <f t="shared" si="0"/>
        <v>97.28</v>
      </c>
      <c r="G29" s="2552" t="s">
        <v>172</v>
      </c>
      <c r="H29" s="2529">
        <v>41</v>
      </c>
      <c r="I29" s="2529">
        <v>44.3</v>
      </c>
      <c r="J29" s="2535">
        <f t="shared" si="1"/>
        <v>42.65</v>
      </c>
    </row>
    <row r="30" spans="2:10" ht="12.75">
      <c r="B30" s="2559" t="s">
        <v>1704</v>
      </c>
      <c r="C30" s="2558" t="s">
        <v>228</v>
      </c>
      <c r="D30" s="2557">
        <v>33.700000000000003</v>
      </c>
      <c r="E30" s="2557">
        <v>34.1</v>
      </c>
      <c r="F30" s="2543">
        <f t="shared" si="0"/>
        <v>33.900000000000006</v>
      </c>
      <c r="G30" s="2556" t="s">
        <v>172</v>
      </c>
      <c r="H30" s="2555">
        <v>38.799999999999997</v>
      </c>
      <c r="I30" s="2555">
        <f>$I$109</f>
        <v>37.700000000000003</v>
      </c>
      <c r="J30" s="2535">
        <f t="shared" si="1"/>
        <v>38.25</v>
      </c>
    </row>
    <row r="31" spans="2:10" ht="12.75">
      <c r="B31" s="2536" t="s">
        <v>1703</v>
      </c>
      <c r="C31" s="2533" t="s">
        <v>228</v>
      </c>
      <c r="D31" s="2529">
        <v>33.700000000000003</v>
      </c>
      <c r="E31" s="2529">
        <v>34.1</v>
      </c>
      <c r="F31" s="2543">
        <f t="shared" si="0"/>
        <v>33.900000000000006</v>
      </c>
      <c r="G31" s="2552" t="s">
        <v>172</v>
      </c>
      <c r="H31" s="2529">
        <v>22</v>
      </c>
      <c r="I31" s="2529">
        <v>24</v>
      </c>
      <c r="J31" s="2535">
        <f t="shared" si="1"/>
        <v>23</v>
      </c>
    </row>
    <row r="32" spans="2:10" ht="12.75">
      <c r="B32" s="2536" t="s">
        <v>60</v>
      </c>
      <c r="C32" s="2533" t="s">
        <v>228</v>
      </c>
      <c r="D32" s="2529">
        <v>35.700000000000003</v>
      </c>
      <c r="E32" s="2529">
        <v>37</v>
      </c>
      <c r="F32" s="2543">
        <f t="shared" si="0"/>
        <v>36.35</v>
      </c>
      <c r="G32" s="2552" t="s">
        <v>1702</v>
      </c>
      <c r="H32" s="2554">
        <v>22</v>
      </c>
      <c r="I32" s="2553">
        <v>24</v>
      </c>
      <c r="J32" s="2535">
        <f t="shared" si="1"/>
        <v>23</v>
      </c>
    </row>
    <row r="33" spans="1:16" ht="12.75" hidden="1">
      <c r="B33" s="2536" t="s">
        <v>1701</v>
      </c>
      <c r="C33" s="2533" t="s">
        <v>1700</v>
      </c>
      <c r="D33" s="2529">
        <v>0.31</v>
      </c>
      <c r="E33" s="2529"/>
      <c r="F33" s="2543">
        <f t="shared" si="0"/>
        <v>0.155</v>
      </c>
      <c r="G33" s="2552" t="s">
        <v>172</v>
      </c>
      <c r="H33" s="2529">
        <v>7400</v>
      </c>
      <c r="I33" s="2529"/>
      <c r="J33" s="2535">
        <f t="shared" si="1"/>
        <v>3700</v>
      </c>
    </row>
    <row r="34" spans="1:16" ht="12.75">
      <c r="B34" s="2536" t="s">
        <v>195</v>
      </c>
      <c r="C34" s="2533" t="s">
        <v>228</v>
      </c>
      <c r="D34" s="2529">
        <v>42</v>
      </c>
      <c r="E34" s="2529">
        <v>31</v>
      </c>
      <c r="F34" s="2543">
        <f t="shared" si="0"/>
        <v>36.5</v>
      </c>
      <c r="G34" s="2552" t="s">
        <v>172</v>
      </c>
      <c r="H34" s="2529">
        <v>240</v>
      </c>
      <c r="I34" s="2529">
        <v>260</v>
      </c>
      <c r="J34" s="2535">
        <f t="shared" si="1"/>
        <v>250</v>
      </c>
    </row>
    <row r="35" spans="1:16" ht="12.75">
      <c r="B35" s="2536" t="s">
        <v>873</v>
      </c>
      <c r="C35" s="2533" t="s">
        <v>228</v>
      </c>
      <c r="D35" s="2549">
        <v>18</v>
      </c>
      <c r="E35" s="2549">
        <v>13.5</v>
      </c>
      <c r="F35" s="2543">
        <f t="shared" si="0"/>
        <v>15.75</v>
      </c>
      <c r="G35" s="2551" t="s">
        <v>172</v>
      </c>
      <c r="H35" s="2550">
        <v>365.6</v>
      </c>
      <c r="I35" s="2549">
        <v>480</v>
      </c>
      <c r="J35" s="2535">
        <f t="shared" si="1"/>
        <v>422.8</v>
      </c>
    </row>
    <row r="36" spans="1:16" ht="12.75">
      <c r="B36" s="2536" t="s">
        <v>1699</v>
      </c>
      <c r="C36" s="2356" t="s">
        <v>228</v>
      </c>
      <c r="D36" s="2547">
        <v>28</v>
      </c>
      <c r="E36" s="2547">
        <v>25</v>
      </c>
      <c r="F36" s="2543">
        <f t="shared" si="0"/>
        <v>26.5</v>
      </c>
      <c r="G36" s="2548" t="s">
        <v>172</v>
      </c>
      <c r="H36" s="2547">
        <v>170</v>
      </c>
      <c r="I36" s="2547">
        <v>250</v>
      </c>
      <c r="J36" s="2535">
        <f t="shared" si="1"/>
        <v>210</v>
      </c>
    </row>
    <row r="37" spans="1:16" ht="13.5" thickBot="1">
      <c r="A37" s="2546"/>
      <c r="B37" s="2545" t="s">
        <v>45</v>
      </c>
      <c r="C37" s="2544" t="s">
        <v>228</v>
      </c>
      <c r="D37" s="2540">
        <v>3.53</v>
      </c>
      <c r="E37" s="2540">
        <v>3</v>
      </c>
      <c r="F37" s="2543">
        <f t="shared" si="0"/>
        <v>3.2649999999999997</v>
      </c>
      <c r="G37" s="2542" t="s">
        <v>172</v>
      </c>
      <c r="H37" s="2541">
        <v>775.2</v>
      </c>
      <c r="I37" s="2540">
        <v>910</v>
      </c>
      <c r="J37" s="2535">
        <f t="shared" si="1"/>
        <v>842.6</v>
      </c>
    </row>
    <row r="38" spans="1:16" ht="14.25" hidden="1" thickTop="1" thickBot="1">
      <c r="B38" s="2536" t="s">
        <v>1698</v>
      </c>
      <c r="C38" s="2533" t="s">
        <v>228</v>
      </c>
      <c r="D38" s="2539"/>
      <c r="E38" s="2539"/>
      <c r="F38" s="2539"/>
      <c r="G38" s="2539"/>
      <c r="H38" s="2539"/>
      <c r="I38" s="2537" t="e">
        <f>(D38*$D$4+E38*$E$4+F38*#REF!+G38*#REF!+H38*#REF!)/($D$4+$E$4+#REF!+#REF!+#REF!)</f>
        <v>#REF!</v>
      </c>
      <c r="J38" s="2535" t="e">
        <f t="shared" si="1"/>
        <v>#REF!</v>
      </c>
      <c r="K38" s="2539"/>
      <c r="L38" s="2538"/>
      <c r="M38" s="2538"/>
      <c r="N38" s="2538"/>
      <c r="O38" s="2538"/>
      <c r="P38" s="2537" t="e">
        <f>(K38*$D$4+L38*$E$4+M38*#REF!+N38*#REF!+O38*#REF!)/($D$4+$E$4+#REF!+#REF!+#REF!)</f>
        <v>#REF!</v>
      </c>
    </row>
    <row r="39" spans="1:16" ht="14.25" hidden="1" thickTop="1" thickBot="1">
      <c r="B39" s="2536" t="s">
        <v>1697</v>
      </c>
      <c r="C39" s="2533" t="s">
        <v>228</v>
      </c>
      <c r="D39" s="2530"/>
      <c r="E39" s="2530"/>
      <c r="F39" s="2530"/>
      <c r="G39" s="2530"/>
      <c r="H39" s="2530"/>
      <c r="I39" s="2528" t="e">
        <f>(D39*$D$4+E39*$E$4+F39*#REF!+G39*#REF!+H39*#REF!)/($D$4+$E$4+#REF!+#REF!+#REF!)</f>
        <v>#REF!</v>
      </c>
      <c r="J39" s="2535" t="e">
        <f t="shared" si="1"/>
        <v>#REF!</v>
      </c>
      <c r="K39" s="2530"/>
      <c r="L39" s="2529"/>
      <c r="M39" s="2529"/>
      <c r="N39" s="2529"/>
      <c r="O39" s="2529"/>
      <c r="P39" s="2528" t="e">
        <f>(K39*$D$4+L39*$E$4+M39*#REF!+N39*#REF!+O39*#REF!)/($D$4+$E$4+#REF!+#REF!+#REF!)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589" t="s">
        <v>1725</v>
      </c>
      <c r="E2" s="2589"/>
      <c r="F2" s="2588"/>
      <c r="G2" s="2587"/>
      <c r="H2" s="2590"/>
      <c r="I2" s="2589" t="s">
        <v>1724</v>
      </c>
      <c r="J2" s="2589"/>
      <c r="K2" s="2588"/>
      <c r="L2" s="2587"/>
      <c r="M2" s="2568"/>
      <c r="N2" s="2568"/>
      <c r="O2" s="2568"/>
      <c r="P2" s="2568"/>
    </row>
    <row r="3" spans="1:20" ht="13.5" thickTop="1" thickBot="1">
      <c r="A3" s="2586"/>
      <c r="B3" s="2585" t="s">
        <v>1723</v>
      </c>
      <c r="C3" s="2584"/>
      <c r="D3" s="2580">
        <v>2015</v>
      </c>
      <c r="E3" s="2580">
        <v>2016</v>
      </c>
      <c r="F3" s="2583">
        <v>2017</v>
      </c>
      <c r="G3" s="2582" t="s">
        <v>1692</v>
      </c>
      <c r="H3" s="2581"/>
      <c r="I3" s="2580">
        <v>2015</v>
      </c>
      <c r="J3" s="2580">
        <v>2016</v>
      </c>
      <c r="K3" s="2579">
        <v>2017</v>
      </c>
      <c r="L3" s="2578" t="s">
        <v>1692</v>
      </c>
      <c r="M3" s="2568"/>
      <c r="N3" s="2568"/>
      <c r="O3" s="2568"/>
      <c r="P3" s="2568"/>
    </row>
    <row r="4" spans="1:20" ht="13.5" thickTop="1" thickBot="1">
      <c r="A4" s="2577"/>
      <c r="B4" s="2576" t="s">
        <v>934</v>
      </c>
      <c r="C4" s="2572" t="s">
        <v>530</v>
      </c>
      <c r="D4" s="2575">
        <v>1</v>
      </c>
      <c r="E4" s="2575">
        <v>1</v>
      </c>
      <c r="F4" s="2574">
        <v>1</v>
      </c>
      <c r="G4" s="2573"/>
      <c r="H4" s="2572" t="s">
        <v>530</v>
      </c>
      <c r="I4" s="2571"/>
      <c r="J4" s="2571"/>
      <c r="K4" s="2570"/>
      <c r="L4" s="2569"/>
      <c r="M4" s="2568"/>
      <c r="N4" s="2568"/>
      <c r="O4" s="2568"/>
      <c r="P4" s="2568"/>
    </row>
    <row r="5" spans="1:20" ht="13.5" thickTop="1">
      <c r="B5" s="2536" t="s">
        <v>1722</v>
      </c>
      <c r="C5" s="2533" t="s">
        <v>228</v>
      </c>
      <c r="D5" s="2538">
        <v>25</v>
      </c>
      <c r="E5" s="2538">
        <v>25</v>
      </c>
      <c r="F5" s="2538">
        <v>23.75</v>
      </c>
      <c r="G5" s="2543">
        <f t="shared" ref="G5:G37" si="0">(D5*$D$4+E5*$E$4+F5*$F$4)/($D$4+$E$4+$F$4)</f>
        <v>24.583333333333332</v>
      </c>
      <c r="H5" s="2567" t="s">
        <v>172</v>
      </c>
      <c r="I5" s="2538">
        <v>52.5</v>
      </c>
      <c r="J5" s="2538">
        <v>42</v>
      </c>
      <c r="K5" s="2566">
        <v>75.400000000000006</v>
      </c>
      <c r="L5" s="2535">
        <f t="shared" ref="L5:L37" si="1">(I5*$D$4+J5*$E$4+K5*$F$4)/($D$4+$E$4+$F$4)</f>
        <v>56.633333333333333</v>
      </c>
    </row>
    <row r="6" spans="1:20" ht="12.75">
      <c r="B6" s="2536" t="s">
        <v>84</v>
      </c>
      <c r="C6" s="2533" t="s">
        <v>228</v>
      </c>
      <c r="D6" s="2529">
        <v>18</v>
      </c>
      <c r="E6" s="2529">
        <v>16</v>
      </c>
      <c r="F6" s="2529">
        <v>17</v>
      </c>
      <c r="G6" s="2543">
        <f t="shared" si="0"/>
        <v>17</v>
      </c>
      <c r="H6" s="2552" t="s">
        <v>172</v>
      </c>
      <c r="I6" s="2549">
        <v>50</v>
      </c>
      <c r="J6" s="2549">
        <v>50</v>
      </c>
      <c r="K6" s="2529">
        <v>65.5</v>
      </c>
      <c r="L6" s="2535">
        <f t="shared" si="1"/>
        <v>55.166666666666664</v>
      </c>
    </row>
    <row r="7" spans="1:20" ht="12.75">
      <c r="B7" s="2559" t="s">
        <v>269</v>
      </c>
      <c r="C7" s="2558" t="s">
        <v>228</v>
      </c>
      <c r="D7" s="2557">
        <v>15</v>
      </c>
      <c r="E7" s="2557">
        <v>13.6</v>
      </c>
      <c r="F7" s="2557">
        <v>14.4</v>
      </c>
      <c r="G7" s="2543">
        <f t="shared" si="0"/>
        <v>14.333333333333334</v>
      </c>
      <c r="H7" s="2565" t="s">
        <v>172</v>
      </c>
      <c r="I7" s="2564">
        <v>76.3</v>
      </c>
      <c r="J7" s="2564">
        <v>66.099999999999994</v>
      </c>
      <c r="K7" s="2563">
        <f>$I$97</f>
        <v>73.600000000000009</v>
      </c>
      <c r="L7" s="2535">
        <f t="shared" si="1"/>
        <v>72</v>
      </c>
    </row>
    <row r="8" spans="1:20" ht="12.75">
      <c r="B8" s="2536" t="s">
        <v>81</v>
      </c>
      <c r="C8" s="2533" t="s">
        <v>228</v>
      </c>
      <c r="D8" s="2529">
        <v>15</v>
      </c>
      <c r="E8" s="2529">
        <v>13.6</v>
      </c>
      <c r="F8" s="2529">
        <v>14.4</v>
      </c>
      <c r="G8" s="2543">
        <f t="shared" si="0"/>
        <v>14.333333333333334</v>
      </c>
      <c r="H8" s="2552" t="s">
        <v>172</v>
      </c>
      <c r="I8" s="2538">
        <v>53.7</v>
      </c>
      <c r="J8" s="2538">
        <v>51.5</v>
      </c>
      <c r="K8" s="2529">
        <v>65.5</v>
      </c>
      <c r="L8" s="2535">
        <f t="shared" si="1"/>
        <v>56.9</v>
      </c>
    </row>
    <row r="9" spans="1:20" ht="12.75">
      <c r="B9" s="2536" t="s">
        <v>90</v>
      </c>
      <c r="C9" s="2533" t="s">
        <v>228</v>
      </c>
      <c r="D9" s="2529">
        <v>14</v>
      </c>
      <c r="E9" s="2529">
        <v>12.3</v>
      </c>
      <c r="F9" s="2529">
        <v>13.9</v>
      </c>
      <c r="G9" s="2543">
        <f t="shared" si="0"/>
        <v>13.4</v>
      </c>
      <c r="H9" s="2552" t="s">
        <v>172</v>
      </c>
      <c r="I9" s="2529">
        <v>52.9</v>
      </c>
      <c r="J9" s="2529">
        <v>54.2</v>
      </c>
      <c r="K9" s="2529">
        <v>55.6</v>
      </c>
      <c r="L9" s="2535">
        <f t="shared" si="1"/>
        <v>54.233333333333327</v>
      </c>
    </row>
    <row r="10" spans="1:20" ht="12.75">
      <c r="B10" s="2536" t="s">
        <v>1721</v>
      </c>
      <c r="C10" s="2533" t="s">
        <v>228</v>
      </c>
      <c r="D10" s="2529">
        <v>14</v>
      </c>
      <c r="E10" s="2529">
        <v>12.3</v>
      </c>
      <c r="F10" s="2529">
        <v>13.9</v>
      </c>
      <c r="G10" s="2543">
        <f t="shared" si="0"/>
        <v>13.4</v>
      </c>
      <c r="H10" s="2552" t="s">
        <v>172</v>
      </c>
      <c r="I10" s="2529">
        <v>52.9</v>
      </c>
      <c r="J10" s="2529">
        <v>54.2</v>
      </c>
      <c r="K10" s="2529">
        <v>55.6</v>
      </c>
      <c r="L10" s="2535">
        <f t="shared" si="1"/>
        <v>54.233333333333327</v>
      </c>
    </row>
    <row r="11" spans="1:20" ht="12.75" hidden="1">
      <c r="B11" s="2536" t="s">
        <v>1720</v>
      </c>
      <c r="C11" s="2533" t="s">
        <v>228</v>
      </c>
      <c r="D11" s="2529">
        <v>13.6</v>
      </c>
      <c r="E11" s="2529">
        <v>11.5</v>
      </c>
      <c r="F11" s="2529"/>
      <c r="G11" s="2543">
        <f t="shared" si="0"/>
        <v>8.3666666666666671</v>
      </c>
      <c r="H11" s="2552" t="s">
        <v>172</v>
      </c>
      <c r="I11" s="2529">
        <v>52.9</v>
      </c>
      <c r="J11" s="2529">
        <v>54.2</v>
      </c>
      <c r="K11" s="2529"/>
      <c r="L11" s="2535">
        <f t="shared" si="1"/>
        <v>35.699999999999996</v>
      </c>
    </row>
    <row r="12" spans="1:20" ht="12.75" hidden="1">
      <c r="B12" s="2536" t="s">
        <v>1719</v>
      </c>
      <c r="C12" s="2533" t="s">
        <v>228</v>
      </c>
      <c r="D12" s="2529">
        <v>13.6</v>
      </c>
      <c r="E12" s="2529">
        <v>11.5</v>
      </c>
      <c r="F12" s="2529"/>
      <c r="G12" s="2543">
        <f t="shared" si="0"/>
        <v>8.3666666666666671</v>
      </c>
      <c r="H12" s="2552" t="s">
        <v>172</v>
      </c>
      <c r="I12" s="2529">
        <v>52.9</v>
      </c>
      <c r="J12" s="2529">
        <v>54.2</v>
      </c>
      <c r="K12" s="2529"/>
      <c r="L12" s="2535">
        <f t="shared" si="1"/>
        <v>35.699999999999996</v>
      </c>
    </row>
    <row r="13" spans="1:20" ht="12.75">
      <c r="B13" s="2559" t="s">
        <v>86</v>
      </c>
      <c r="C13" s="2558" t="s">
        <v>228</v>
      </c>
      <c r="D13" s="2557">
        <v>13.6</v>
      </c>
      <c r="E13" s="2557">
        <v>11.5</v>
      </c>
      <c r="F13" s="2557">
        <v>12.6</v>
      </c>
      <c r="G13" s="2543">
        <f t="shared" si="0"/>
        <v>12.566666666666668</v>
      </c>
      <c r="H13" s="2556" t="s">
        <v>172</v>
      </c>
      <c r="I13" s="2555">
        <v>67.400000000000006</v>
      </c>
      <c r="J13" s="2555">
        <v>67.400000000000006</v>
      </c>
      <c r="K13" s="2555">
        <f>$I$101</f>
        <v>73.63333333333334</v>
      </c>
      <c r="L13" s="2535">
        <f t="shared" si="1"/>
        <v>69.477777777777774</v>
      </c>
    </row>
    <row r="14" spans="1:20" ht="12.75">
      <c r="B14" s="2536" t="s">
        <v>267</v>
      </c>
      <c r="C14" s="2533" t="s">
        <v>228</v>
      </c>
      <c r="D14" s="2529">
        <v>13.6</v>
      </c>
      <c r="E14" s="2529">
        <v>11.5</v>
      </c>
      <c r="F14" s="2529">
        <v>12.6</v>
      </c>
      <c r="G14" s="2543">
        <f t="shared" si="0"/>
        <v>12.566666666666668</v>
      </c>
      <c r="H14" s="2552" t="s">
        <v>172</v>
      </c>
      <c r="I14" s="2562">
        <v>53.9</v>
      </c>
      <c r="J14" s="2562">
        <v>49.6</v>
      </c>
      <c r="K14" s="2529">
        <v>58.2</v>
      </c>
      <c r="L14" s="2535">
        <f t="shared" si="1"/>
        <v>53.9</v>
      </c>
    </row>
    <row r="15" spans="1:20" ht="12.75">
      <c r="B15" s="2536" t="s">
        <v>77</v>
      </c>
      <c r="C15" s="2533" t="s">
        <v>228</v>
      </c>
      <c r="D15" s="2529">
        <v>17.899999999999999</v>
      </c>
      <c r="E15" s="2529">
        <v>16.8</v>
      </c>
      <c r="F15" s="2529">
        <v>17.899999999999999</v>
      </c>
      <c r="G15" s="2543">
        <f t="shared" si="0"/>
        <v>17.533333333333335</v>
      </c>
      <c r="H15" s="2552" t="s">
        <v>172</v>
      </c>
      <c r="I15" s="2529">
        <v>54.4</v>
      </c>
      <c r="J15" s="2529">
        <v>50.1</v>
      </c>
      <c r="K15" s="2529">
        <v>58.2</v>
      </c>
      <c r="L15" s="2535">
        <f t="shared" si="1"/>
        <v>54.233333333333327</v>
      </c>
    </row>
    <row r="16" spans="1:20" ht="12.75">
      <c r="B16" s="2536" t="s">
        <v>1718</v>
      </c>
      <c r="C16" s="2533" t="s">
        <v>228</v>
      </c>
      <c r="D16" s="2529">
        <v>14.5</v>
      </c>
      <c r="E16" s="2529">
        <v>14.25</v>
      </c>
      <c r="F16" s="2529">
        <v>14</v>
      </c>
      <c r="G16" s="2543">
        <f t="shared" si="0"/>
        <v>14.25</v>
      </c>
      <c r="H16" s="2552" t="s">
        <v>172</v>
      </c>
      <c r="I16" s="2562">
        <v>46.6</v>
      </c>
      <c r="J16" s="2562">
        <v>45.6</v>
      </c>
      <c r="K16" s="2529">
        <v>46.1</v>
      </c>
      <c r="L16" s="2535">
        <f t="shared" si="1"/>
        <v>46.1</v>
      </c>
    </row>
    <row r="17" spans="2:12" ht="12.75">
      <c r="B17" s="2536" t="s">
        <v>1717</v>
      </c>
      <c r="C17" s="2533" t="s">
        <v>228</v>
      </c>
      <c r="D17" s="2529">
        <v>14.5</v>
      </c>
      <c r="E17" s="2529">
        <v>14.25</v>
      </c>
      <c r="F17" s="2529">
        <v>14</v>
      </c>
      <c r="G17" s="2543">
        <f t="shared" si="0"/>
        <v>14.25</v>
      </c>
      <c r="H17" s="2552" t="s">
        <v>172</v>
      </c>
      <c r="I17" s="2529">
        <v>47</v>
      </c>
      <c r="J17" s="2529">
        <v>44.9</v>
      </c>
      <c r="K17" s="2529">
        <v>46.1</v>
      </c>
      <c r="L17" s="2535">
        <f t="shared" si="1"/>
        <v>46</v>
      </c>
    </row>
    <row r="18" spans="2:12" ht="12.75" hidden="1">
      <c r="B18" s="2536" t="s">
        <v>1716</v>
      </c>
      <c r="C18" s="2533" t="s">
        <v>228</v>
      </c>
      <c r="D18" s="2529">
        <v>13.6</v>
      </c>
      <c r="E18" s="2529">
        <v>11.5</v>
      </c>
      <c r="F18" s="2529"/>
      <c r="G18" s="2543">
        <f t="shared" si="0"/>
        <v>8.3666666666666671</v>
      </c>
      <c r="H18" s="2552" t="s">
        <v>172</v>
      </c>
      <c r="I18" s="2529">
        <v>43.7</v>
      </c>
      <c r="J18" s="2529">
        <v>46.3</v>
      </c>
      <c r="K18" s="2529"/>
      <c r="L18" s="2535">
        <f t="shared" si="1"/>
        <v>30</v>
      </c>
    </row>
    <row r="19" spans="2:12" ht="12.75" hidden="1">
      <c r="B19" s="2536" t="s">
        <v>1715</v>
      </c>
      <c r="C19" s="2533" t="s">
        <v>228</v>
      </c>
      <c r="D19" s="2529">
        <v>13.6</v>
      </c>
      <c r="E19" s="2529">
        <v>11.5</v>
      </c>
      <c r="F19" s="2529"/>
      <c r="G19" s="2543">
        <f t="shared" si="0"/>
        <v>8.3666666666666671</v>
      </c>
      <c r="H19" s="2552" t="s">
        <v>172</v>
      </c>
      <c r="I19" s="2529">
        <v>43.7</v>
      </c>
      <c r="J19" s="2529">
        <v>46.3</v>
      </c>
      <c r="K19" s="2529"/>
      <c r="L19" s="2535">
        <f t="shared" si="1"/>
        <v>30</v>
      </c>
    </row>
    <row r="20" spans="2:12" ht="12.75">
      <c r="B20" s="2536" t="s">
        <v>1714</v>
      </c>
      <c r="C20" s="2533" t="s">
        <v>228</v>
      </c>
      <c r="D20" s="2529">
        <v>13</v>
      </c>
      <c r="E20" s="2529">
        <v>12</v>
      </c>
      <c r="F20" s="2529">
        <v>13</v>
      </c>
      <c r="G20" s="2543">
        <f t="shared" si="0"/>
        <v>12.666666666666666</v>
      </c>
      <c r="H20" s="2552" t="s">
        <v>172</v>
      </c>
      <c r="I20" s="2562">
        <v>67.5</v>
      </c>
      <c r="J20" s="2562">
        <v>53.1</v>
      </c>
      <c r="K20" s="2529">
        <v>67.8</v>
      </c>
      <c r="L20" s="2535">
        <f t="shared" si="1"/>
        <v>62.79999999999999</v>
      </c>
    </row>
    <row r="21" spans="2:12" ht="12.75">
      <c r="B21" s="2536" t="s">
        <v>1713</v>
      </c>
      <c r="C21" s="2533" t="s">
        <v>228</v>
      </c>
      <c r="D21" s="2529">
        <v>13</v>
      </c>
      <c r="E21" s="2529">
        <v>12</v>
      </c>
      <c r="F21" s="2529">
        <v>13</v>
      </c>
      <c r="G21" s="2543">
        <f t="shared" si="0"/>
        <v>12.666666666666666</v>
      </c>
      <c r="H21" s="2552" t="s">
        <v>172</v>
      </c>
      <c r="I21" s="2529">
        <v>67.400000000000006</v>
      </c>
      <c r="J21" s="2529">
        <v>58.5</v>
      </c>
      <c r="K21" s="2529">
        <v>67.8</v>
      </c>
      <c r="L21" s="2535">
        <f t="shared" si="1"/>
        <v>64.566666666666663</v>
      </c>
    </row>
    <row r="22" spans="2:12" ht="12.75">
      <c r="B22" s="2536" t="s">
        <v>1712</v>
      </c>
      <c r="C22" s="2533" t="s">
        <v>228</v>
      </c>
      <c r="D22" s="2529">
        <v>22.7</v>
      </c>
      <c r="E22" s="2529">
        <v>22.5</v>
      </c>
      <c r="F22" s="2529">
        <v>22.3</v>
      </c>
      <c r="G22" s="2543">
        <f t="shared" si="0"/>
        <v>22.5</v>
      </c>
      <c r="H22" s="2552" t="s">
        <v>172</v>
      </c>
      <c r="I22" s="2529">
        <v>60</v>
      </c>
      <c r="J22" s="2529">
        <v>55</v>
      </c>
      <c r="K22" s="2529">
        <v>60</v>
      </c>
      <c r="L22" s="2535">
        <f t="shared" si="1"/>
        <v>58.333333333333336</v>
      </c>
    </row>
    <row r="23" spans="2:12" ht="12.75">
      <c r="B23" s="2536" t="s">
        <v>1711</v>
      </c>
      <c r="C23" s="2533" t="s">
        <v>228</v>
      </c>
      <c r="D23" s="2529">
        <v>22.7</v>
      </c>
      <c r="E23" s="2529">
        <v>24.7</v>
      </c>
      <c r="F23" s="2529"/>
      <c r="G23" s="2543">
        <f t="shared" si="0"/>
        <v>15.799999999999999</v>
      </c>
      <c r="H23" s="2552" t="s">
        <v>172</v>
      </c>
      <c r="I23" s="2529">
        <v>50</v>
      </c>
      <c r="J23" s="2529">
        <v>45</v>
      </c>
      <c r="K23" s="2529"/>
      <c r="L23" s="2535">
        <f t="shared" si="1"/>
        <v>31.666666666666668</v>
      </c>
    </row>
    <row r="24" spans="2:12" ht="12.75">
      <c r="B24" s="2559" t="s">
        <v>70</v>
      </c>
      <c r="C24" s="2558" t="s">
        <v>228</v>
      </c>
      <c r="D24" s="2557">
        <v>17</v>
      </c>
      <c r="E24" s="2557">
        <v>15</v>
      </c>
      <c r="F24" s="2557">
        <v>14.2</v>
      </c>
      <c r="G24" s="2543">
        <f t="shared" si="0"/>
        <v>15.4</v>
      </c>
      <c r="H24" s="2556" t="s">
        <v>172</v>
      </c>
      <c r="I24" s="2555">
        <v>84.3</v>
      </c>
      <c r="J24" s="2555">
        <v>96.1</v>
      </c>
      <c r="K24" s="2561">
        <v>106.5</v>
      </c>
      <c r="L24" s="2535">
        <f t="shared" si="1"/>
        <v>95.633333333333326</v>
      </c>
    </row>
    <row r="25" spans="2:12" ht="12.75" hidden="1">
      <c r="B25" s="2536" t="s">
        <v>1710</v>
      </c>
      <c r="C25" s="2533" t="s">
        <v>228</v>
      </c>
      <c r="D25" s="2529">
        <v>15.6</v>
      </c>
      <c r="E25" s="2529">
        <v>13.8</v>
      </c>
      <c r="F25" s="2529"/>
      <c r="G25" s="2543">
        <f t="shared" si="0"/>
        <v>9.7999999999999989</v>
      </c>
      <c r="H25" s="2552" t="s">
        <v>172</v>
      </c>
      <c r="I25" s="2529">
        <v>103</v>
      </c>
      <c r="J25" s="2529">
        <v>130</v>
      </c>
      <c r="K25" s="2529"/>
      <c r="L25" s="2535">
        <f t="shared" si="1"/>
        <v>77.666666666666671</v>
      </c>
    </row>
    <row r="26" spans="2:12" ht="12.6" hidden="1" customHeight="1">
      <c r="B26" s="2536" t="s">
        <v>1709</v>
      </c>
      <c r="C26" s="2533" t="s">
        <v>228</v>
      </c>
      <c r="D26" s="2529">
        <v>21.5</v>
      </c>
      <c r="E26" s="2529">
        <v>15</v>
      </c>
      <c r="F26" s="2529"/>
      <c r="G26" s="2543">
        <f t="shared" si="0"/>
        <v>12.166666666666666</v>
      </c>
      <c r="H26" s="2552" t="s">
        <v>172</v>
      </c>
      <c r="I26" s="2529">
        <v>70</v>
      </c>
      <c r="J26" s="2529">
        <v>58.5</v>
      </c>
      <c r="K26" s="2529"/>
      <c r="L26" s="2535">
        <f t="shared" si="1"/>
        <v>42.833333333333336</v>
      </c>
    </row>
    <row r="27" spans="2:12" ht="12.75" hidden="1">
      <c r="B27" s="2536" t="s">
        <v>1708</v>
      </c>
      <c r="C27" s="2533" t="s">
        <v>228</v>
      </c>
      <c r="D27" s="2560"/>
      <c r="E27" s="2560"/>
      <c r="F27" s="2560"/>
      <c r="G27" s="2543">
        <f t="shared" si="0"/>
        <v>0</v>
      </c>
      <c r="H27" s="2552" t="s">
        <v>1707</v>
      </c>
      <c r="I27" s="2554"/>
      <c r="J27" s="2554"/>
      <c r="K27" s="2554"/>
      <c r="L27" s="2535">
        <f t="shared" si="1"/>
        <v>0</v>
      </c>
    </row>
    <row r="28" spans="2:12" ht="12.75" hidden="1">
      <c r="B28" s="2536" t="s">
        <v>1663</v>
      </c>
      <c r="C28" s="2533" t="s">
        <v>1706</v>
      </c>
      <c r="D28" s="2529">
        <v>2.4E-2</v>
      </c>
      <c r="E28" s="2529">
        <v>2.1000000000000001E-2</v>
      </c>
      <c r="F28" s="2529"/>
      <c r="G28" s="2543">
        <f t="shared" si="0"/>
        <v>1.4999999999999999E-2</v>
      </c>
      <c r="H28" s="2552" t="s">
        <v>172</v>
      </c>
      <c r="I28" s="2554">
        <v>70000</v>
      </c>
      <c r="J28" s="2554">
        <v>89000</v>
      </c>
      <c r="K28" s="2554"/>
      <c r="L28" s="2535">
        <f t="shared" si="1"/>
        <v>53000</v>
      </c>
    </row>
    <row r="29" spans="2:12" ht="12.6" customHeight="1">
      <c r="B29" s="2536" t="s">
        <v>1705</v>
      </c>
      <c r="C29" s="2533" t="s">
        <v>228</v>
      </c>
      <c r="D29" s="2529">
        <v>107.184</v>
      </c>
      <c r="E29" s="2529">
        <v>100.86</v>
      </c>
      <c r="F29" s="2529">
        <v>93.7</v>
      </c>
      <c r="G29" s="2543">
        <f t="shared" si="0"/>
        <v>100.58133333333332</v>
      </c>
      <c r="H29" s="2552" t="s">
        <v>172</v>
      </c>
      <c r="I29" s="2529">
        <v>36.25</v>
      </c>
      <c r="J29" s="2529">
        <v>41</v>
      </c>
      <c r="K29" s="2529">
        <v>44.3</v>
      </c>
      <c r="L29" s="2535">
        <f t="shared" si="1"/>
        <v>40.516666666666666</v>
      </c>
    </row>
    <row r="30" spans="2:12" ht="12.75">
      <c r="B30" s="2559" t="s">
        <v>1704</v>
      </c>
      <c r="C30" s="2558" t="s">
        <v>228</v>
      </c>
      <c r="D30" s="2557">
        <v>35</v>
      </c>
      <c r="E30" s="2557">
        <v>33.700000000000003</v>
      </c>
      <c r="F30" s="2557">
        <v>34.1</v>
      </c>
      <c r="G30" s="2543">
        <f t="shared" si="0"/>
        <v>34.266666666666673</v>
      </c>
      <c r="H30" s="2556" t="s">
        <v>172</v>
      </c>
      <c r="I30" s="2555">
        <v>40.799999999999997</v>
      </c>
      <c r="J30" s="2555">
        <v>38.799999999999997</v>
      </c>
      <c r="K30" s="2555">
        <f>$I$109</f>
        <v>37.700000000000003</v>
      </c>
      <c r="L30" s="2535">
        <f t="shared" si="1"/>
        <v>39.1</v>
      </c>
    </row>
    <row r="31" spans="2:12" ht="12.75">
      <c r="B31" s="2536" t="s">
        <v>1703</v>
      </c>
      <c r="C31" s="2533" t="s">
        <v>228</v>
      </c>
      <c r="D31" s="2529">
        <v>35</v>
      </c>
      <c r="E31" s="2529">
        <v>33.700000000000003</v>
      </c>
      <c r="F31" s="2529">
        <v>34.1</v>
      </c>
      <c r="G31" s="2543">
        <f t="shared" si="0"/>
        <v>34.266666666666673</v>
      </c>
      <c r="H31" s="2552" t="s">
        <v>172</v>
      </c>
      <c r="I31" s="2529">
        <v>24</v>
      </c>
      <c r="J31" s="2529">
        <v>22</v>
      </c>
      <c r="K31" s="2529">
        <v>24</v>
      </c>
      <c r="L31" s="2535">
        <f t="shared" si="1"/>
        <v>23.333333333333332</v>
      </c>
    </row>
    <row r="32" spans="2:12" ht="12.75">
      <c r="B32" s="2536" t="s">
        <v>60</v>
      </c>
      <c r="C32" s="2533" t="s">
        <v>228</v>
      </c>
      <c r="D32" s="2529">
        <v>37</v>
      </c>
      <c r="E32" s="2529">
        <v>35.700000000000003</v>
      </c>
      <c r="F32" s="2529">
        <v>37</v>
      </c>
      <c r="G32" s="2543">
        <f t="shared" si="0"/>
        <v>36.56666666666667</v>
      </c>
      <c r="H32" s="2552" t="s">
        <v>1702</v>
      </c>
      <c r="I32" s="2554">
        <v>24</v>
      </c>
      <c r="J32" s="2554">
        <v>22</v>
      </c>
      <c r="K32" s="2553">
        <v>24</v>
      </c>
      <c r="L32" s="2535">
        <f t="shared" si="1"/>
        <v>23.333333333333332</v>
      </c>
    </row>
    <row r="33" spans="1:16" ht="12.75" hidden="1">
      <c r="B33" s="2536" t="s">
        <v>1701</v>
      </c>
      <c r="C33" s="2533" t="s">
        <v>1700</v>
      </c>
      <c r="D33" s="2529">
        <v>0.33</v>
      </c>
      <c r="E33" s="2529">
        <v>0.31</v>
      </c>
      <c r="F33" s="2529"/>
      <c r="G33" s="2543">
        <f t="shared" si="0"/>
        <v>0.21333333333333335</v>
      </c>
      <c r="H33" s="2552" t="s">
        <v>172</v>
      </c>
      <c r="I33" s="2529">
        <v>6500</v>
      </c>
      <c r="J33" s="2529">
        <v>7400</v>
      </c>
      <c r="K33" s="2529"/>
      <c r="L33" s="2535">
        <f t="shared" si="1"/>
        <v>4633.333333333333</v>
      </c>
    </row>
    <row r="34" spans="1:16" ht="12.75">
      <c r="B34" s="2536" t="s">
        <v>195</v>
      </c>
      <c r="C34" s="2533" t="s">
        <v>228</v>
      </c>
      <c r="D34" s="2529">
        <v>40</v>
      </c>
      <c r="E34" s="2529">
        <v>42</v>
      </c>
      <c r="F34" s="2529">
        <v>31</v>
      </c>
      <c r="G34" s="2543">
        <f t="shared" si="0"/>
        <v>37.666666666666664</v>
      </c>
      <c r="H34" s="2552" t="s">
        <v>172</v>
      </c>
      <c r="I34" s="2529">
        <v>260</v>
      </c>
      <c r="J34" s="2529">
        <v>240</v>
      </c>
      <c r="K34" s="2529">
        <v>260</v>
      </c>
      <c r="L34" s="2535">
        <f t="shared" si="1"/>
        <v>253.33333333333334</v>
      </c>
    </row>
    <row r="35" spans="1:16" ht="12.75">
      <c r="B35" s="2536" t="s">
        <v>873</v>
      </c>
      <c r="C35" s="2533" t="s">
        <v>228</v>
      </c>
      <c r="D35" s="2549">
        <v>21</v>
      </c>
      <c r="E35" s="2549">
        <v>18</v>
      </c>
      <c r="F35" s="2549">
        <v>13.5</v>
      </c>
      <c r="G35" s="2543">
        <f t="shared" si="0"/>
        <v>17.5</v>
      </c>
      <c r="H35" s="2551" t="s">
        <v>172</v>
      </c>
      <c r="I35" s="2550">
        <v>369.4</v>
      </c>
      <c r="J35" s="2550">
        <v>365.6</v>
      </c>
      <c r="K35" s="2549">
        <v>480</v>
      </c>
      <c r="L35" s="2535">
        <f t="shared" si="1"/>
        <v>405</v>
      </c>
    </row>
    <row r="36" spans="1:16" ht="12.75">
      <c r="B36" s="2536" t="s">
        <v>1699</v>
      </c>
      <c r="C36" s="2356" t="s">
        <v>228</v>
      </c>
      <c r="D36" s="2547">
        <v>30</v>
      </c>
      <c r="E36" s="2547">
        <v>28</v>
      </c>
      <c r="F36" s="2547">
        <v>25</v>
      </c>
      <c r="G36" s="2543">
        <f t="shared" si="0"/>
        <v>27.666666666666668</v>
      </c>
      <c r="H36" s="2548" t="s">
        <v>172</v>
      </c>
      <c r="I36" s="2547">
        <v>245</v>
      </c>
      <c r="J36" s="2547">
        <v>170</v>
      </c>
      <c r="K36" s="2547">
        <v>250</v>
      </c>
      <c r="L36" s="2535">
        <f t="shared" si="1"/>
        <v>221.66666666666666</v>
      </c>
    </row>
    <row r="37" spans="1:16" ht="13.5" thickBot="1">
      <c r="A37" s="2546"/>
      <c r="B37" s="2545" t="s">
        <v>45</v>
      </c>
      <c r="C37" s="2544" t="s">
        <v>228</v>
      </c>
      <c r="D37" s="2540">
        <v>3.63</v>
      </c>
      <c r="E37" s="2540">
        <v>3.53</v>
      </c>
      <c r="F37" s="2540">
        <v>3</v>
      </c>
      <c r="G37" s="2543">
        <f t="shared" si="0"/>
        <v>3.3866666666666667</v>
      </c>
      <c r="H37" s="2542" t="s">
        <v>172</v>
      </c>
      <c r="I37" s="2541">
        <v>673.8</v>
      </c>
      <c r="J37" s="2541">
        <v>775.2</v>
      </c>
      <c r="K37" s="2540">
        <v>910</v>
      </c>
      <c r="L37" s="2535">
        <f t="shared" si="1"/>
        <v>786.33333333333337</v>
      </c>
    </row>
    <row r="38" spans="1:16" ht="14.25" hidden="1" thickTop="1" thickBot="1">
      <c r="B38" s="2536" t="s">
        <v>1698</v>
      </c>
      <c r="C38" s="2533" t="s">
        <v>228</v>
      </c>
      <c r="D38" s="2539"/>
      <c r="E38" s="2539"/>
      <c r="F38" s="2539"/>
      <c r="G38" s="2539"/>
      <c r="H38" s="2539"/>
      <c r="I38" s="2537" t="e">
        <f>(D38*$D$4+E38*$E$4+F38*$F$4+G38*#REF!+H38*#REF!)/($D$4+$E$4+$F$4+#REF!+#REF!)</f>
        <v>#REF!</v>
      </c>
      <c r="J38" s="2601" t="s">
        <v>172</v>
      </c>
      <c r="K38" s="2539"/>
      <c r="L38" s="2538"/>
      <c r="M38" s="2538"/>
      <c r="N38" s="2538"/>
      <c r="O38" s="2538"/>
      <c r="P38" s="2537" t="e">
        <f>(K38*$D$4+L38*$E$4+M38*$F$4+N38*#REF!+O38*#REF!)/($D$4+$E$4+$F$4+#REF!+#REF!)</f>
        <v>#REF!</v>
      </c>
    </row>
    <row r="39" spans="1:16" ht="14.25" hidden="1" thickTop="1" thickBot="1">
      <c r="B39" s="2536" t="s">
        <v>1697</v>
      </c>
      <c r="C39" s="2533" t="s">
        <v>228</v>
      </c>
      <c r="D39" s="2530"/>
      <c r="E39" s="2530"/>
      <c r="F39" s="2530"/>
      <c r="G39" s="2530"/>
      <c r="H39" s="2530"/>
      <c r="I39" s="2528" t="e">
        <f>(D39*$D$4+E39*$E$4+F39*$F$4+G39*#REF!+H39*#REF!)/($D$4+$E$4+$F$4+#REF!+#REF!)</f>
        <v>#REF!</v>
      </c>
      <c r="J39" s="2531" t="s">
        <v>172</v>
      </c>
      <c r="K39" s="2530"/>
      <c r="L39" s="2529"/>
      <c r="M39" s="2529"/>
      <c r="N39" s="2529"/>
      <c r="O39" s="2529"/>
      <c r="P39" s="2528" t="e">
        <f>(K39*$D$4+L39*$E$4+M39*$F$4+N39*#REF!+O39*#REF!)/($D$4+$E$4+$F$4+#REF!+#REF!)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bestFit="1" customWidth="1"/>
    <col min="13" max="13" width="7.75" style="2507" bestFit="1" customWidth="1"/>
    <col min="14" max="14" width="5.75" style="2507" customWidth="1"/>
    <col min="15" max="15" width="6.625" style="2507" customWidth="1"/>
    <col min="16" max="17" width="7.75" style="2507" bestFit="1" customWidth="1"/>
    <col min="18" max="18" width="5.75" style="2507" customWidth="1"/>
    <col min="19" max="19" width="5.75" style="2507" bestFit="1"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602"/>
      <c r="E2" s="2589" t="s">
        <v>1729</v>
      </c>
      <c r="F2" s="2588"/>
      <c r="G2" s="2588"/>
      <c r="H2" s="2587"/>
      <c r="I2" s="2590"/>
      <c r="J2" s="2588"/>
      <c r="K2" s="2589" t="s">
        <v>1728</v>
      </c>
      <c r="L2" s="2588"/>
      <c r="M2" s="2588"/>
      <c r="N2" s="2587"/>
      <c r="O2" s="2568"/>
      <c r="P2" s="2568"/>
      <c r="Q2" s="2568"/>
      <c r="R2" s="2568"/>
    </row>
    <row r="3" spans="1:20" ht="13.5" thickTop="1" thickBot="1">
      <c r="A3" s="2586"/>
      <c r="B3" s="2585" t="s">
        <v>1723</v>
      </c>
      <c r="C3" s="2584"/>
      <c r="D3" s="2580">
        <v>2014</v>
      </c>
      <c r="E3" s="2580">
        <v>2015</v>
      </c>
      <c r="F3" s="2580">
        <v>2016</v>
      </c>
      <c r="G3" s="2583">
        <v>2017</v>
      </c>
      <c r="H3" s="2582" t="s">
        <v>1692</v>
      </c>
      <c r="I3" s="2581"/>
      <c r="J3" s="2580">
        <v>2014</v>
      </c>
      <c r="K3" s="2580">
        <v>2015</v>
      </c>
      <c r="L3" s="2580">
        <v>2016</v>
      </c>
      <c r="M3" s="2579">
        <v>2017</v>
      </c>
      <c r="N3" s="2578" t="s">
        <v>1692</v>
      </c>
      <c r="O3" s="2568"/>
      <c r="P3" s="2568"/>
      <c r="Q3" s="2568"/>
      <c r="R3" s="2568"/>
    </row>
    <row r="4" spans="1:20" ht="13.5" thickTop="1" thickBot="1">
      <c r="A4" s="2577"/>
      <c r="B4" s="2576" t="s">
        <v>934</v>
      </c>
      <c r="C4" s="2572" t="s">
        <v>530</v>
      </c>
      <c r="D4" s="2575">
        <v>1</v>
      </c>
      <c r="E4" s="2575">
        <v>1</v>
      </c>
      <c r="F4" s="2575">
        <v>1</v>
      </c>
      <c r="G4" s="2574">
        <v>1</v>
      </c>
      <c r="H4" s="2573"/>
      <c r="I4" s="2572" t="s">
        <v>530</v>
      </c>
      <c r="J4" s="2571"/>
      <c r="K4" s="2571"/>
      <c r="L4" s="2571"/>
      <c r="M4" s="2570"/>
      <c r="N4" s="2569"/>
      <c r="O4" s="2568"/>
      <c r="P4" s="2568"/>
      <c r="Q4" s="2568"/>
      <c r="R4" s="2568"/>
    </row>
    <row r="5" spans="1:20" ht="13.5" thickTop="1">
      <c r="B5" s="2536" t="s">
        <v>1722</v>
      </c>
      <c r="C5" s="2533" t="s">
        <v>228</v>
      </c>
      <c r="D5" s="2538">
        <v>25</v>
      </c>
      <c r="E5" s="2538">
        <v>25</v>
      </c>
      <c r="F5" s="2538">
        <v>25</v>
      </c>
      <c r="G5" s="2538">
        <v>23.75</v>
      </c>
      <c r="H5" s="2543">
        <f t="shared" ref="H5:H37" si="0">(D5*$D$4+E5*$E$4+F5*$F$4+G5*$G$4)/($D$4+$E$4+$F$4+$G$4)</f>
        <v>24.6875</v>
      </c>
      <c r="I5" s="2567" t="s">
        <v>172</v>
      </c>
      <c r="J5" s="2538">
        <v>64.599999999999994</v>
      </c>
      <c r="K5" s="2538">
        <v>52.5</v>
      </c>
      <c r="L5" s="2538">
        <v>42</v>
      </c>
      <c r="M5" s="2566">
        <v>75.400000000000006</v>
      </c>
      <c r="N5" s="2535">
        <f t="shared" ref="N5:N37" si="1">(J5*$D$4+K5*$E$4+L5*$F$4+M5*$G$4)/($D$4+$E$4+$F$4+$G$4)</f>
        <v>58.625</v>
      </c>
    </row>
    <row r="6" spans="1:20" ht="12.75">
      <c r="B6" s="2536" t="s">
        <v>84</v>
      </c>
      <c r="C6" s="2533" t="s">
        <v>228</v>
      </c>
      <c r="D6" s="2529">
        <v>23.5</v>
      </c>
      <c r="E6" s="2529">
        <v>18</v>
      </c>
      <c r="F6" s="2529">
        <v>16</v>
      </c>
      <c r="G6" s="2529">
        <v>17</v>
      </c>
      <c r="H6" s="2543">
        <f t="shared" si="0"/>
        <v>18.625</v>
      </c>
      <c r="I6" s="2552" t="s">
        <v>172</v>
      </c>
      <c r="J6" s="2549">
        <v>55</v>
      </c>
      <c r="K6" s="2549">
        <v>50</v>
      </c>
      <c r="L6" s="2549">
        <v>50</v>
      </c>
      <c r="M6" s="2529">
        <v>65.5</v>
      </c>
      <c r="N6" s="2535">
        <f t="shared" si="1"/>
        <v>55.125</v>
      </c>
    </row>
    <row r="7" spans="1:20" ht="12.75">
      <c r="B7" s="2559" t="s">
        <v>269</v>
      </c>
      <c r="C7" s="2558" t="s">
        <v>228</v>
      </c>
      <c r="D7" s="2557">
        <v>14.7</v>
      </c>
      <c r="E7" s="2557">
        <v>15</v>
      </c>
      <c r="F7" s="2557">
        <v>13.6</v>
      </c>
      <c r="G7" s="2557">
        <v>14.4</v>
      </c>
      <c r="H7" s="2543">
        <f t="shared" si="0"/>
        <v>14.424999999999999</v>
      </c>
      <c r="I7" s="2565" t="s">
        <v>172</v>
      </c>
      <c r="J7" s="2564">
        <v>83.5</v>
      </c>
      <c r="K7" s="2564">
        <v>76.3</v>
      </c>
      <c r="L7" s="2564">
        <v>66.099999999999994</v>
      </c>
      <c r="M7" s="2563">
        <f>$I$97</f>
        <v>73.600000000000009</v>
      </c>
      <c r="N7" s="2535">
        <f t="shared" si="1"/>
        <v>74.875</v>
      </c>
    </row>
    <row r="8" spans="1:20" ht="12.75">
      <c r="B8" s="2536" t="s">
        <v>81</v>
      </c>
      <c r="C8" s="2533" t="s">
        <v>228</v>
      </c>
      <c r="D8" s="2529">
        <v>14.7</v>
      </c>
      <c r="E8" s="2529">
        <v>15</v>
      </c>
      <c r="F8" s="2529">
        <v>13.6</v>
      </c>
      <c r="G8" s="2529">
        <v>14.4</v>
      </c>
      <c r="H8" s="2543">
        <f t="shared" si="0"/>
        <v>14.424999999999999</v>
      </c>
      <c r="I8" s="2552" t="s">
        <v>172</v>
      </c>
      <c r="J8" s="2538">
        <v>60.1</v>
      </c>
      <c r="K8" s="2538">
        <v>53.7</v>
      </c>
      <c r="L8" s="2538">
        <v>51.5</v>
      </c>
      <c r="M8" s="2529">
        <v>65.5</v>
      </c>
      <c r="N8" s="2535">
        <f t="shared" si="1"/>
        <v>57.7</v>
      </c>
    </row>
    <row r="9" spans="1:20" ht="12.75">
      <c r="B9" s="2536" t="s">
        <v>90</v>
      </c>
      <c r="C9" s="2533" t="s">
        <v>228</v>
      </c>
      <c r="D9" s="2529">
        <v>12.2</v>
      </c>
      <c r="E9" s="2529">
        <v>14</v>
      </c>
      <c r="F9" s="2529">
        <v>12.3</v>
      </c>
      <c r="G9" s="2529">
        <v>13.9</v>
      </c>
      <c r="H9" s="2543">
        <f t="shared" si="0"/>
        <v>13.1</v>
      </c>
      <c r="I9" s="2552" t="s">
        <v>172</v>
      </c>
      <c r="J9" s="2529">
        <v>53.7</v>
      </c>
      <c r="K9" s="2529">
        <v>52.9</v>
      </c>
      <c r="L9" s="2529">
        <v>54.2</v>
      </c>
      <c r="M9" s="2529">
        <v>55.6</v>
      </c>
      <c r="N9" s="2535">
        <f t="shared" si="1"/>
        <v>54.1</v>
      </c>
    </row>
    <row r="10" spans="1:20" ht="12.75">
      <c r="B10" s="2536" t="s">
        <v>1721</v>
      </c>
      <c r="C10" s="2533" t="s">
        <v>228</v>
      </c>
      <c r="D10" s="2529">
        <v>12.2</v>
      </c>
      <c r="E10" s="2529">
        <v>14</v>
      </c>
      <c r="F10" s="2529">
        <v>12.3</v>
      </c>
      <c r="G10" s="2529">
        <v>13.9</v>
      </c>
      <c r="H10" s="2543">
        <f t="shared" si="0"/>
        <v>13.1</v>
      </c>
      <c r="I10" s="2552" t="s">
        <v>172</v>
      </c>
      <c r="J10" s="2529">
        <v>53.7</v>
      </c>
      <c r="K10" s="2529">
        <v>52.9</v>
      </c>
      <c r="L10" s="2529">
        <v>54.2</v>
      </c>
      <c r="M10" s="2529">
        <v>55.6</v>
      </c>
      <c r="N10" s="2535">
        <f t="shared" si="1"/>
        <v>54.1</v>
      </c>
    </row>
    <row r="11" spans="1:20" ht="12.75" hidden="1">
      <c r="B11" s="2536" t="s">
        <v>1720</v>
      </c>
      <c r="C11" s="2533" t="s">
        <v>228</v>
      </c>
      <c r="D11" s="2529">
        <v>13</v>
      </c>
      <c r="E11" s="2529">
        <v>13.6</v>
      </c>
      <c r="F11" s="2529">
        <v>11.5</v>
      </c>
      <c r="G11" s="2529"/>
      <c r="H11" s="2543">
        <f t="shared" si="0"/>
        <v>9.5250000000000004</v>
      </c>
      <c r="I11" s="2552" t="s">
        <v>172</v>
      </c>
      <c r="J11" s="2529">
        <v>53.7</v>
      </c>
      <c r="K11" s="2529">
        <v>52.9</v>
      </c>
      <c r="L11" s="2529">
        <v>54.2</v>
      </c>
      <c r="M11" s="2529"/>
      <c r="N11" s="2535">
        <f t="shared" si="1"/>
        <v>40.200000000000003</v>
      </c>
    </row>
    <row r="12" spans="1:20" ht="12.75" hidden="1">
      <c r="B12" s="2536" t="s">
        <v>1719</v>
      </c>
      <c r="C12" s="2533" t="s">
        <v>228</v>
      </c>
      <c r="D12" s="2529">
        <v>13</v>
      </c>
      <c r="E12" s="2529">
        <v>13.6</v>
      </c>
      <c r="F12" s="2529">
        <v>11.5</v>
      </c>
      <c r="G12" s="2529"/>
      <c r="H12" s="2543">
        <f t="shared" si="0"/>
        <v>9.5250000000000004</v>
      </c>
      <c r="I12" s="2552" t="s">
        <v>172</v>
      </c>
      <c r="J12" s="2529">
        <v>53.7</v>
      </c>
      <c r="K12" s="2529">
        <v>52.9</v>
      </c>
      <c r="L12" s="2529">
        <v>54.2</v>
      </c>
      <c r="M12" s="2529"/>
      <c r="N12" s="2535">
        <f t="shared" si="1"/>
        <v>40.200000000000003</v>
      </c>
    </row>
    <row r="13" spans="1:20" ht="12.75">
      <c r="B13" s="2559" t="s">
        <v>86</v>
      </c>
      <c r="C13" s="2558" t="s">
        <v>228</v>
      </c>
      <c r="D13" s="2557">
        <v>13</v>
      </c>
      <c r="E13" s="2557">
        <v>13.6</v>
      </c>
      <c r="F13" s="2557">
        <v>11.5</v>
      </c>
      <c r="G13" s="2557">
        <v>12.6</v>
      </c>
      <c r="H13" s="2543">
        <f t="shared" si="0"/>
        <v>12.675000000000001</v>
      </c>
      <c r="I13" s="2556" t="s">
        <v>172</v>
      </c>
      <c r="J13" s="2555">
        <v>76.2</v>
      </c>
      <c r="K13" s="2555">
        <v>67.400000000000006</v>
      </c>
      <c r="L13" s="2555">
        <v>67.400000000000006</v>
      </c>
      <c r="M13" s="2555">
        <f>$I$101</f>
        <v>73.63333333333334</v>
      </c>
      <c r="N13" s="2535">
        <f t="shared" si="1"/>
        <v>71.158333333333346</v>
      </c>
    </row>
    <row r="14" spans="1:20" ht="12.75">
      <c r="B14" s="2536" t="s">
        <v>267</v>
      </c>
      <c r="C14" s="2533" t="s">
        <v>228</v>
      </c>
      <c r="D14" s="2529">
        <v>13</v>
      </c>
      <c r="E14" s="2529">
        <v>13.6</v>
      </c>
      <c r="F14" s="2529">
        <v>11.5</v>
      </c>
      <c r="G14" s="2529">
        <v>12.6</v>
      </c>
      <c r="H14" s="2543">
        <f t="shared" si="0"/>
        <v>12.675000000000001</v>
      </c>
      <c r="I14" s="2552" t="s">
        <v>172</v>
      </c>
      <c r="J14" s="2562">
        <v>59.7</v>
      </c>
      <c r="K14" s="2562">
        <v>53.9</v>
      </c>
      <c r="L14" s="2562">
        <v>49.6</v>
      </c>
      <c r="M14" s="2529">
        <v>58.2</v>
      </c>
      <c r="N14" s="2535">
        <f t="shared" si="1"/>
        <v>55.349999999999994</v>
      </c>
    </row>
    <row r="15" spans="1:20" ht="12.75">
      <c r="B15" s="2536" t="s">
        <v>77</v>
      </c>
      <c r="C15" s="2533" t="s">
        <v>228</v>
      </c>
      <c r="D15" s="2529">
        <v>17.7</v>
      </c>
      <c r="E15" s="2529">
        <v>17.899999999999999</v>
      </c>
      <c r="F15" s="2529">
        <v>16.8</v>
      </c>
      <c r="G15" s="2529">
        <v>17.899999999999999</v>
      </c>
      <c r="H15" s="2543">
        <f t="shared" si="0"/>
        <v>17.574999999999996</v>
      </c>
      <c r="I15" s="2552" t="s">
        <v>172</v>
      </c>
      <c r="J15" s="2529">
        <v>60</v>
      </c>
      <c r="K15" s="2529">
        <v>54.4</v>
      </c>
      <c r="L15" s="2529">
        <v>50.1</v>
      </c>
      <c r="M15" s="2529">
        <v>58.2</v>
      </c>
      <c r="N15" s="2535">
        <f t="shared" si="1"/>
        <v>55.674999999999997</v>
      </c>
    </row>
    <row r="16" spans="1:20" ht="12.75">
      <c r="B16" s="2536" t="s">
        <v>1718</v>
      </c>
      <c r="C16" s="2533" t="s">
        <v>228</v>
      </c>
      <c r="D16" s="2529">
        <v>14.5</v>
      </c>
      <c r="E16" s="2529">
        <v>14.5</v>
      </c>
      <c r="F16" s="2529">
        <v>14.25</v>
      </c>
      <c r="G16" s="2529">
        <v>14</v>
      </c>
      <c r="H16" s="2543">
        <f t="shared" si="0"/>
        <v>14.3125</v>
      </c>
      <c r="I16" s="2552" t="s">
        <v>172</v>
      </c>
      <c r="J16" s="2562">
        <v>52.5</v>
      </c>
      <c r="K16" s="2562">
        <v>46.6</v>
      </c>
      <c r="L16" s="2562">
        <v>45.6</v>
      </c>
      <c r="M16" s="2529">
        <v>46.1</v>
      </c>
      <c r="N16" s="2535">
        <f t="shared" si="1"/>
        <v>47.699999999999996</v>
      </c>
    </row>
    <row r="17" spans="2:14" ht="12.75">
      <c r="B17" s="2536" t="s">
        <v>1717</v>
      </c>
      <c r="C17" s="2533" t="s">
        <v>228</v>
      </c>
      <c r="D17" s="2529">
        <v>14.5</v>
      </c>
      <c r="E17" s="2529">
        <v>14.5</v>
      </c>
      <c r="F17" s="2529">
        <v>14.25</v>
      </c>
      <c r="G17" s="2529">
        <v>14</v>
      </c>
      <c r="H17" s="2543">
        <f t="shared" si="0"/>
        <v>14.3125</v>
      </c>
      <c r="I17" s="2552" t="s">
        <v>172</v>
      </c>
      <c r="J17" s="2529">
        <v>47.6</v>
      </c>
      <c r="K17" s="2529">
        <v>47</v>
      </c>
      <c r="L17" s="2529">
        <v>44.9</v>
      </c>
      <c r="M17" s="2529">
        <v>46.1</v>
      </c>
      <c r="N17" s="2535">
        <f t="shared" si="1"/>
        <v>46.4</v>
      </c>
    </row>
    <row r="18" spans="2:14" ht="12.75" hidden="1">
      <c r="B18" s="2536" t="s">
        <v>1716</v>
      </c>
      <c r="C18" s="2533" t="s">
        <v>228</v>
      </c>
      <c r="D18" s="2529">
        <v>13</v>
      </c>
      <c r="E18" s="2529">
        <v>13.6</v>
      </c>
      <c r="F18" s="2529">
        <v>11.5</v>
      </c>
      <c r="G18" s="2529"/>
      <c r="H18" s="2543">
        <f t="shared" si="0"/>
        <v>9.5250000000000004</v>
      </c>
      <c r="I18" s="2552" t="s">
        <v>172</v>
      </c>
      <c r="J18" s="2529">
        <v>55.4</v>
      </c>
      <c r="K18" s="2529">
        <v>43.7</v>
      </c>
      <c r="L18" s="2529">
        <v>46.3</v>
      </c>
      <c r="M18" s="2529"/>
      <c r="N18" s="2535">
        <f t="shared" si="1"/>
        <v>36.349999999999994</v>
      </c>
    </row>
    <row r="19" spans="2:14" ht="12.75" hidden="1">
      <c r="B19" s="2536" t="s">
        <v>1715</v>
      </c>
      <c r="C19" s="2533" t="s">
        <v>228</v>
      </c>
      <c r="D19" s="2529">
        <v>13</v>
      </c>
      <c r="E19" s="2529">
        <v>13.6</v>
      </c>
      <c r="F19" s="2529">
        <v>11.5</v>
      </c>
      <c r="G19" s="2529"/>
      <c r="H19" s="2543">
        <f t="shared" si="0"/>
        <v>9.5250000000000004</v>
      </c>
      <c r="I19" s="2552" t="s">
        <v>172</v>
      </c>
      <c r="J19" s="2529">
        <v>55.4</v>
      </c>
      <c r="K19" s="2529">
        <v>43.7</v>
      </c>
      <c r="L19" s="2529">
        <v>46.3</v>
      </c>
      <c r="M19" s="2529"/>
      <c r="N19" s="2535">
        <f t="shared" si="1"/>
        <v>36.349999999999994</v>
      </c>
    </row>
    <row r="20" spans="2:14" ht="12.75">
      <c r="B20" s="2536" t="s">
        <v>1714</v>
      </c>
      <c r="C20" s="2533" t="s">
        <v>228</v>
      </c>
      <c r="D20" s="2529">
        <v>13</v>
      </c>
      <c r="E20" s="2529">
        <v>13</v>
      </c>
      <c r="F20" s="2529">
        <v>12</v>
      </c>
      <c r="G20" s="2529">
        <v>13</v>
      </c>
      <c r="H20" s="2543">
        <f t="shared" si="0"/>
        <v>12.75</v>
      </c>
      <c r="I20" s="2552" t="s">
        <v>172</v>
      </c>
      <c r="J20" s="2562">
        <v>74.400000000000006</v>
      </c>
      <c r="K20" s="2562">
        <v>67.5</v>
      </c>
      <c r="L20" s="2562">
        <v>53.1</v>
      </c>
      <c r="M20" s="2529">
        <v>67.8</v>
      </c>
      <c r="N20" s="2535">
        <f t="shared" si="1"/>
        <v>65.7</v>
      </c>
    </row>
    <row r="21" spans="2:14" ht="12.75">
      <c r="B21" s="2536" t="s">
        <v>1713</v>
      </c>
      <c r="C21" s="2533" t="s">
        <v>228</v>
      </c>
      <c r="D21" s="2529">
        <v>13</v>
      </c>
      <c r="E21" s="2529">
        <v>13</v>
      </c>
      <c r="F21" s="2529">
        <v>12</v>
      </c>
      <c r="G21" s="2529">
        <v>13</v>
      </c>
      <c r="H21" s="2543">
        <f t="shared" si="0"/>
        <v>12.75</v>
      </c>
      <c r="I21" s="2552" t="s">
        <v>172</v>
      </c>
      <c r="J21" s="2529">
        <v>73.099999999999994</v>
      </c>
      <c r="K21" s="2529">
        <v>67.400000000000006</v>
      </c>
      <c r="L21" s="2529">
        <v>58.5</v>
      </c>
      <c r="M21" s="2529">
        <v>67.8</v>
      </c>
      <c r="N21" s="2535">
        <f t="shared" si="1"/>
        <v>66.7</v>
      </c>
    </row>
    <row r="22" spans="2:14" ht="12.75">
      <c r="B22" s="2536" t="s">
        <v>1712</v>
      </c>
      <c r="C22" s="2533" t="s">
        <v>228</v>
      </c>
      <c r="D22" s="2529">
        <v>22.1</v>
      </c>
      <c r="E22" s="2529">
        <v>22.7</v>
      </c>
      <c r="F22" s="2529">
        <v>22.5</v>
      </c>
      <c r="G22" s="2529">
        <v>22.3</v>
      </c>
      <c r="H22" s="2543">
        <f t="shared" si="0"/>
        <v>22.4</v>
      </c>
      <c r="I22" s="2552" t="s">
        <v>172</v>
      </c>
      <c r="J22" s="2529">
        <v>60</v>
      </c>
      <c r="K22" s="2529">
        <v>60</v>
      </c>
      <c r="L22" s="2529">
        <v>55</v>
      </c>
      <c r="M22" s="2529">
        <v>60</v>
      </c>
      <c r="N22" s="2535">
        <f t="shared" si="1"/>
        <v>58.75</v>
      </c>
    </row>
    <row r="23" spans="2:14" ht="12.75">
      <c r="B23" s="2536" t="s">
        <v>1711</v>
      </c>
      <c r="C23" s="2533" t="s">
        <v>228</v>
      </c>
      <c r="D23" s="2529">
        <v>22.1</v>
      </c>
      <c r="E23" s="2529">
        <v>22.7</v>
      </c>
      <c r="F23" s="2529">
        <v>24.7</v>
      </c>
      <c r="G23" s="2529"/>
      <c r="H23" s="2543">
        <f t="shared" si="0"/>
        <v>17.375</v>
      </c>
      <c r="I23" s="2552" t="s">
        <v>172</v>
      </c>
      <c r="J23" s="2529">
        <v>50</v>
      </c>
      <c r="K23" s="2529">
        <v>50</v>
      </c>
      <c r="L23" s="2529">
        <v>45</v>
      </c>
      <c r="M23" s="2529"/>
      <c r="N23" s="2535">
        <f t="shared" si="1"/>
        <v>36.25</v>
      </c>
    </row>
    <row r="24" spans="2:14" ht="12.75">
      <c r="B24" s="2559" t="s">
        <v>70</v>
      </c>
      <c r="C24" s="2558" t="s">
        <v>228</v>
      </c>
      <c r="D24" s="2557">
        <v>12.5</v>
      </c>
      <c r="E24" s="2557">
        <v>17</v>
      </c>
      <c r="F24" s="2557">
        <v>15</v>
      </c>
      <c r="G24" s="2557">
        <v>14.2</v>
      </c>
      <c r="H24" s="2543">
        <f t="shared" si="0"/>
        <v>14.675000000000001</v>
      </c>
      <c r="I24" s="2556" t="s">
        <v>172</v>
      </c>
      <c r="J24" s="2555">
        <v>115.7</v>
      </c>
      <c r="K24" s="2555">
        <v>84.3</v>
      </c>
      <c r="L24" s="2555">
        <v>96.1</v>
      </c>
      <c r="M24" s="2561">
        <v>106.5</v>
      </c>
      <c r="N24" s="2535">
        <f t="shared" si="1"/>
        <v>100.65</v>
      </c>
    </row>
    <row r="25" spans="2:14" ht="12.75" hidden="1">
      <c r="B25" s="2536" t="s">
        <v>1710</v>
      </c>
      <c r="C25" s="2533" t="s">
        <v>228</v>
      </c>
      <c r="D25" s="2529">
        <v>11.5</v>
      </c>
      <c r="E25" s="2529">
        <v>15.6</v>
      </c>
      <c r="F25" s="2529">
        <v>13.8</v>
      </c>
      <c r="G25" s="2529"/>
      <c r="H25" s="2543">
        <f t="shared" si="0"/>
        <v>10.225000000000001</v>
      </c>
      <c r="I25" s="2552" t="s">
        <v>172</v>
      </c>
      <c r="J25" s="2529">
        <v>140</v>
      </c>
      <c r="K25" s="2529">
        <v>103</v>
      </c>
      <c r="L25" s="2529">
        <v>130</v>
      </c>
      <c r="M25" s="2529"/>
      <c r="N25" s="2535">
        <f t="shared" si="1"/>
        <v>93.25</v>
      </c>
    </row>
    <row r="26" spans="2:14" ht="12.6" hidden="1" customHeight="1">
      <c r="B26" s="2536" t="s">
        <v>1709</v>
      </c>
      <c r="C26" s="2533" t="s">
        <v>228</v>
      </c>
      <c r="D26" s="2529"/>
      <c r="E26" s="2529">
        <v>21.5</v>
      </c>
      <c r="F26" s="2529">
        <v>15</v>
      </c>
      <c r="G26" s="2529"/>
      <c r="H26" s="2543">
        <f t="shared" si="0"/>
        <v>9.125</v>
      </c>
      <c r="I26" s="2552" t="s">
        <v>172</v>
      </c>
      <c r="J26" s="2529"/>
      <c r="K26" s="2529">
        <v>70</v>
      </c>
      <c r="L26" s="2529">
        <v>58.5</v>
      </c>
      <c r="M26" s="2529"/>
      <c r="N26" s="2535">
        <f t="shared" si="1"/>
        <v>32.125</v>
      </c>
    </row>
    <row r="27" spans="2:14" ht="12.75" hidden="1">
      <c r="B27" s="2536" t="s">
        <v>1708</v>
      </c>
      <c r="C27" s="2533" t="s">
        <v>228</v>
      </c>
      <c r="D27" s="2560"/>
      <c r="E27" s="2560"/>
      <c r="F27" s="2560"/>
      <c r="G27" s="2560"/>
      <c r="H27" s="2543">
        <f t="shared" si="0"/>
        <v>0</v>
      </c>
      <c r="I27" s="2552" t="s">
        <v>1707</v>
      </c>
      <c r="J27" s="2554"/>
      <c r="K27" s="2554"/>
      <c r="L27" s="2554"/>
      <c r="M27" s="2554"/>
      <c r="N27" s="2535">
        <f t="shared" si="1"/>
        <v>0</v>
      </c>
    </row>
    <row r="28" spans="2:14" ht="12.75" hidden="1">
      <c r="B28" s="2536" t="s">
        <v>1663</v>
      </c>
      <c r="C28" s="2533" t="s">
        <v>1706</v>
      </c>
      <c r="D28" s="2529">
        <v>2.1000000000000001E-2</v>
      </c>
      <c r="E28" s="2529">
        <v>2.4E-2</v>
      </c>
      <c r="F28" s="2529">
        <v>2.1000000000000001E-2</v>
      </c>
      <c r="G28" s="2529"/>
      <c r="H28" s="2543">
        <f t="shared" si="0"/>
        <v>1.6500000000000001E-2</v>
      </c>
      <c r="I28" s="2552" t="s">
        <v>172</v>
      </c>
      <c r="J28" s="2554">
        <v>88000</v>
      </c>
      <c r="K28" s="2554">
        <v>70000</v>
      </c>
      <c r="L28" s="2554">
        <v>89000</v>
      </c>
      <c r="M28" s="2554"/>
      <c r="N28" s="2535">
        <f t="shared" si="1"/>
        <v>61750</v>
      </c>
    </row>
    <row r="29" spans="2:14" ht="12.6" customHeight="1">
      <c r="B29" s="2536" t="s">
        <v>1705</v>
      </c>
      <c r="C29" s="2533" t="s">
        <v>228</v>
      </c>
      <c r="D29" s="2529">
        <v>104.9</v>
      </c>
      <c r="E29" s="2529">
        <v>107.184</v>
      </c>
      <c r="F29" s="2529">
        <v>100.86</v>
      </c>
      <c r="G29" s="2529">
        <v>93.7</v>
      </c>
      <c r="H29" s="2543">
        <f t="shared" si="0"/>
        <v>101.661</v>
      </c>
      <c r="I29" s="2552" t="s">
        <v>172</v>
      </c>
      <c r="J29" s="2529">
        <v>37.85</v>
      </c>
      <c r="K29" s="2529">
        <v>36.25</v>
      </c>
      <c r="L29" s="2529">
        <v>41</v>
      </c>
      <c r="M29" s="2529">
        <v>44.3</v>
      </c>
      <c r="N29" s="2535">
        <f t="shared" si="1"/>
        <v>39.849999999999994</v>
      </c>
    </row>
    <row r="30" spans="2:14" ht="12.75">
      <c r="B30" s="2559" t="s">
        <v>1704</v>
      </c>
      <c r="C30" s="2558" t="s">
        <v>228</v>
      </c>
      <c r="D30" s="2557">
        <v>28.6</v>
      </c>
      <c r="E30" s="2557">
        <v>35</v>
      </c>
      <c r="F30" s="2557">
        <v>33.700000000000003</v>
      </c>
      <c r="G30" s="2557">
        <v>34.1</v>
      </c>
      <c r="H30" s="2543">
        <f t="shared" si="0"/>
        <v>32.85</v>
      </c>
      <c r="I30" s="2556" t="s">
        <v>172</v>
      </c>
      <c r="J30" s="2555">
        <v>47.2</v>
      </c>
      <c r="K30" s="2555">
        <v>40.799999999999997</v>
      </c>
      <c r="L30" s="2555">
        <v>38.799999999999997</v>
      </c>
      <c r="M30" s="2555">
        <f>$I$109</f>
        <v>37.700000000000003</v>
      </c>
      <c r="N30" s="2535">
        <f t="shared" si="1"/>
        <v>41.125</v>
      </c>
    </row>
    <row r="31" spans="2:14" ht="12.75">
      <c r="B31" s="2536" t="s">
        <v>1703</v>
      </c>
      <c r="C31" s="2533" t="s">
        <v>228</v>
      </c>
      <c r="D31" s="2529">
        <v>28.6</v>
      </c>
      <c r="E31" s="2529">
        <v>35</v>
      </c>
      <c r="F31" s="2529">
        <v>33.700000000000003</v>
      </c>
      <c r="G31" s="2529">
        <v>34.1</v>
      </c>
      <c r="H31" s="2543">
        <f t="shared" si="0"/>
        <v>32.85</v>
      </c>
      <c r="I31" s="2552" t="s">
        <v>172</v>
      </c>
      <c r="J31" s="2529">
        <v>24.2</v>
      </c>
      <c r="K31" s="2529">
        <v>24</v>
      </c>
      <c r="L31" s="2529">
        <v>22</v>
      </c>
      <c r="M31" s="2529">
        <v>24</v>
      </c>
      <c r="N31" s="2535">
        <f t="shared" si="1"/>
        <v>23.55</v>
      </c>
    </row>
    <row r="32" spans="2:14" ht="12.75">
      <c r="B32" s="2536" t="s">
        <v>60</v>
      </c>
      <c r="C32" s="2533" t="s">
        <v>228</v>
      </c>
      <c r="D32" s="2529">
        <v>30.6</v>
      </c>
      <c r="E32" s="2529">
        <v>37</v>
      </c>
      <c r="F32" s="2529">
        <v>35.700000000000003</v>
      </c>
      <c r="G32" s="2529">
        <v>37</v>
      </c>
      <c r="H32" s="2543">
        <f t="shared" si="0"/>
        <v>35.075000000000003</v>
      </c>
      <c r="I32" s="2552" t="s">
        <v>1702</v>
      </c>
      <c r="J32" s="2554">
        <v>23.9</v>
      </c>
      <c r="K32" s="2554">
        <v>24</v>
      </c>
      <c r="L32" s="2554">
        <v>22</v>
      </c>
      <c r="M32" s="2553">
        <v>24</v>
      </c>
      <c r="N32" s="2535">
        <f t="shared" si="1"/>
        <v>23.475000000000001</v>
      </c>
    </row>
    <row r="33" spans="1:16" ht="12.75" hidden="1">
      <c r="B33" s="2536" t="s">
        <v>1701</v>
      </c>
      <c r="C33" s="2533" t="s">
        <v>1700</v>
      </c>
      <c r="D33" s="2529">
        <v>0.3</v>
      </c>
      <c r="E33" s="2529">
        <v>0.33</v>
      </c>
      <c r="F33" s="2529">
        <v>0.31</v>
      </c>
      <c r="G33" s="2529"/>
      <c r="H33" s="2543">
        <f t="shared" si="0"/>
        <v>0.23499999999999999</v>
      </c>
      <c r="I33" s="2552" t="s">
        <v>172</v>
      </c>
      <c r="J33" s="2529">
        <v>8500</v>
      </c>
      <c r="K33" s="2529">
        <v>6500</v>
      </c>
      <c r="L33" s="2529">
        <v>7400</v>
      </c>
      <c r="M33" s="2529"/>
      <c r="N33" s="2535">
        <f t="shared" si="1"/>
        <v>5600</v>
      </c>
    </row>
    <row r="34" spans="1:16" ht="12.75">
      <c r="B34" s="2536" t="s">
        <v>195</v>
      </c>
      <c r="C34" s="2533" t="s">
        <v>228</v>
      </c>
      <c r="D34" s="2529">
        <v>18</v>
      </c>
      <c r="E34" s="2529">
        <v>40</v>
      </c>
      <c r="F34" s="2529">
        <v>42</v>
      </c>
      <c r="G34" s="2529">
        <v>31</v>
      </c>
      <c r="H34" s="2543">
        <f t="shared" si="0"/>
        <v>32.75</v>
      </c>
      <c r="I34" s="2552" t="s">
        <v>172</v>
      </c>
      <c r="J34" s="2529">
        <v>270</v>
      </c>
      <c r="K34" s="2529">
        <v>260</v>
      </c>
      <c r="L34" s="2529">
        <v>240</v>
      </c>
      <c r="M34" s="2529">
        <v>260</v>
      </c>
      <c r="N34" s="2535">
        <f t="shared" si="1"/>
        <v>257.5</v>
      </c>
    </row>
    <row r="35" spans="1:16" ht="12.75">
      <c r="B35" s="2536" t="s">
        <v>873</v>
      </c>
      <c r="C35" s="2533" t="s">
        <v>228</v>
      </c>
      <c r="D35" s="2549">
        <v>13</v>
      </c>
      <c r="E35" s="2549">
        <v>21</v>
      </c>
      <c r="F35" s="2549">
        <v>18</v>
      </c>
      <c r="G35" s="2549">
        <v>13.5</v>
      </c>
      <c r="H35" s="2543">
        <f t="shared" si="0"/>
        <v>16.375</v>
      </c>
      <c r="I35" s="2551" t="s">
        <v>172</v>
      </c>
      <c r="J35" s="2550">
        <v>473.2</v>
      </c>
      <c r="K35" s="2550">
        <v>369.4</v>
      </c>
      <c r="L35" s="2550">
        <v>365.6</v>
      </c>
      <c r="M35" s="2549">
        <v>480</v>
      </c>
      <c r="N35" s="2535">
        <f t="shared" si="1"/>
        <v>422.04999999999995</v>
      </c>
    </row>
    <row r="36" spans="1:16" ht="12.75">
      <c r="B36" s="2536" t="s">
        <v>1699</v>
      </c>
      <c r="C36" s="2356" t="s">
        <v>228</v>
      </c>
      <c r="D36" s="2547">
        <v>24</v>
      </c>
      <c r="E36" s="2547">
        <v>30</v>
      </c>
      <c r="F36" s="2547">
        <v>28</v>
      </c>
      <c r="G36" s="2547">
        <v>25</v>
      </c>
      <c r="H36" s="2543">
        <f t="shared" si="0"/>
        <v>26.75</v>
      </c>
      <c r="I36" s="2548" t="s">
        <v>172</v>
      </c>
      <c r="J36" s="2547">
        <v>290</v>
      </c>
      <c r="K36" s="2547">
        <v>245</v>
      </c>
      <c r="L36" s="2547">
        <v>170</v>
      </c>
      <c r="M36" s="2547">
        <v>250</v>
      </c>
      <c r="N36" s="2535">
        <f t="shared" si="1"/>
        <v>238.75</v>
      </c>
    </row>
    <row r="37" spans="1:16" ht="13.5" thickBot="1">
      <c r="A37" s="2546"/>
      <c r="B37" s="2545" t="s">
        <v>45</v>
      </c>
      <c r="C37" s="2544" t="s">
        <v>228</v>
      </c>
      <c r="D37" s="2540">
        <v>3.3</v>
      </c>
      <c r="E37" s="2540">
        <v>3.63</v>
      </c>
      <c r="F37" s="2540">
        <v>3.53</v>
      </c>
      <c r="G37" s="2540">
        <v>3</v>
      </c>
      <c r="H37" s="2543">
        <f t="shared" si="0"/>
        <v>3.3649999999999998</v>
      </c>
      <c r="I37" s="2542" t="s">
        <v>172</v>
      </c>
      <c r="J37" s="2541">
        <v>878.4</v>
      </c>
      <c r="K37" s="2541">
        <v>673.8</v>
      </c>
      <c r="L37" s="2541">
        <v>775.2</v>
      </c>
      <c r="M37" s="2540">
        <v>910</v>
      </c>
      <c r="N37" s="2535">
        <f t="shared" si="1"/>
        <v>809.34999999999991</v>
      </c>
    </row>
    <row r="38" spans="1:16" ht="14.25" hidden="1" thickTop="1" thickBot="1">
      <c r="B38" s="2536" t="s">
        <v>1698</v>
      </c>
      <c r="C38" s="2533" t="s">
        <v>228</v>
      </c>
      <c r="D38" s="2539"/>
      <c r="E38" s="2539"/>
      <c r="F38" s="2539"/>
      <c r="G38" s="2539"/>
      <c r="H38" s="2539"/>
      <c r="I38" s="2537" t="e">
        <f>(D38*$D$4+E38*$E$4+F38*$F$4+G38*$G$4+H38*#REF!)/($D$4+$E$4+$F$4+$G$4+#REF!)</f>
        <v>#REF!</v>
      </c>
      <c r="J38" s="2601" t="s">
        <v>172</v>
      </c>
      <c r="K38" s="2539"/>
      <c r="L38" s="2538"/>
      <c r="M38" s="2538"/>
      <c r="N38" s="2538"/>
      <c r="O38" s="2538"/>
      <c r="P38" s="2537" t="e">
        <f>(K38*$D$4+L38*$E$4+M38*$F$4+N38*$G$4+O38*#REF!)/($D$4+$E$4+$F$4+$G$4+#REF!)</f>
        <v>#REF!</v>
      </c>
    </row>
    <row r="39" spans="1:16" ht="14.25" hidden="1" thickTop="1" thickBot="1">
      <c r="B39" s="2536" t="s">
        <v>1697</v>
      </c>
      <c r="C39" s="2533" t="s">
        <v>228</v>
      </c>
      <c r="D39" s="2530"/>
      <c r="E39" s="2530"/>
      <c r="F39" s="2530"/>
      <c r="G39" s="2530"/>
      <c r="H39" s="2530"/>
      <c r="I39" s="2528" t="e">
        <f>(D39*$D$4+E39*$E$4+F39*$F$4+G39*$G$4+H39*#REF!)/($D$4+$E$4+$F$4+$G$4+#REF!)</f>
        <v>#REF!</v>
      </c>
      <c r="J39" s="2531" t="s">
        <v>172</v>
      </c>
      <c r="K39" s="2530"/>
      <c r="L39" s="2529"/>
      <c r="M39" s="2529"/>
      <c r="N39" s="2529"/>
      <c r="O39" s="2529"/>
      <c r="P39" s="2528" t="e">
        <f>(K39*$D$4+L39*$E$4+M39*$F$4+N39*$G$4+O39*#REF!)/($D$4+$E$4+$F$4+$G$4+#REF!)</f>
        <v>#REF!</v>
      </c>
    </row>
    <row r="40" spans="1:16" ht="14.25" hidden="1" thickTop="1" thickBot="1">
      <c r="B40" s="2534" t="s">
        <v>1696</v>
      </c>
      <c r="C40" s="2533" t="s">
        <v>228</v>
      </c>
      <c r="D40" s="2532"/>
      <c r="E40" s="2532"/>
      <c r="F40" s="2532"/>
      <c r="G40" s="2532"/>
      <c r="H40" s="2532"/>
      <c r="I40" s="2528"/>
      <c r="J40" s="2531"/>
      <c r="K40" s="2530"/>
      <c r="L40" s="2529"/>
      <c r="M40" s="2529"/>
      <c r="N40" s="2529"/>
      <c r="O40" s="2529"/>
      <c r="P40" s="2528"/>
    </row>
    <row r="41" spans="1:16" ht="12.75" thickTop="1">
      <c r="A41" s="2527"/>
      <c r="B41" s="2526"/>
    </row>
    <row r="44" spans="1:16" ht="12.75">
      <c r="B44" s="1984" t="s">
        <v>1695</v>
      </c>
    </row>
    <row r="45" spans="1:16" ht="15.75" hidden="1">
      <c r="B45" s="2525" t="s">
        <v>1694</v>
      </c>
    </row>
    <row r="46" spans="1:16" ht="12.75" hidden="1">
      <c r="B46" s="2524" t="s">
        <v>1693</v>
      </c>
      <c r="C46" s="2515"/>
      <c r="D46" s="2515"/>
      <c r="E46" s="2515"/>
      <c r="F46" s="2523">
        <v>2011</v>
      </c>
      <c r="G46" s="2523">
        <v>2010</v>
      </c>
      <c r="H46" s="2523">
        <v>2009</v>
      </c>
      <c r="I46" s="2522">
        <v>2008</v>
      </c>
      <c r="J46" s="2522">
        <v>2007</v>
      </c>
      <c r="K46" s="2522"/>
      <c r="L46" s="2521" t="s">
        <v>1692</v>
      </c>
    </row>
    <row r="47" spans="1:16" ht="12.75" hidden="1">
      <c r="B47" s="2515"/>
      <c r="C47" s="2515"/>
      <c r="D47" s="2515"/>
      <c r="E47" s="2515"/>
      <c r="F47" s="2515"/>
      <c r="G47" s="2520"/>
      <c r="H47" s="2520"/>
      <c r="I47" s="2519"/>
      <c r="J47" s="2519"/>
      <c r="K47" s="2519"/>
      <c r="L47" s="2518"/>
    </row>
    <row r="48" spans="1:16"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C71:G71"/>
    <mergeCell ref="B72:B73"/>
    <mergeCell ref="C73:G73"/>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T114"/>
  <sheetViews>
    <sheetView workbookViewId="0"/>
  </sheetViews>
  <sheetFormatPr baseColWidth="10" defaultColWidth="10.25" defaultRowHeight="12"/>
  <cols>
    <col min="1" max="1" width="1.25" style="2507" customWidth="1"/>
    <col min="2" max="2" width="38.75" style="2507" customWidth="1"/>
    <col min="3" max="4" width="10.25" style="2507"/>
    <col min="5" max="5" width="7.75" style="2507" customWidth="1"/>
    <col min="6" max="6" width="7.5" style="2507" bestFit="1" customWidth="1"/>
    <col min="7" max="7" width="5.75" style="2507" customWidth="1"/>
    <col min="8" max="8" width="6.875" style="2507" bestFit="1" customWidth="1"/>
    <col min="9" max="9" width="10.375" style="2507" bestFit="1" customWidth="1"/>
    <col min="10" max="10" width="7.5" style="2507" bestFit="1" customWidth="1"/>
    <col min="11" max="11" width="7.5" style="2507" customWidth="1"/>
    <col min="12" max="12" width="6" style="2507" customWidth="1"/>
    <col min="13" max="13" width="7.75" style="2507" customWidth="1"/>
    <col min="14" max="14" width="5.75" style="2507" customWidth="1"/>
    <col min="15" max="15" width="6.625" style="2507" customWidth="1"/>
    <col min="16" max="17" width="7.75" style="2507" bestFit="1" customWidth="1"/>
    <col min="18" max="18" width="11.625" style="2507" customWidth="1"/>
    <col min="19" max="19" width="12.5" style="2507" customWidth="1"/>
    <col min="20" max="16384" width="10.25" style="2507"/>
  </cols>
  <sheetData>
    <row r="1" spans="1:20" ht="39.4" customHeight="1" thickBot="1">
      <c r="A1" s="2600"/>
      <c r="B1" s="2599" t="s">
        <v>1727</v>
      </c>
      <c r="C1" s="2597"/>
      <c r="D1" s="2598"/>
      <c r="E1" s="2597"/>
      <c r="F1" s="2595"/>
      <c r="G1" s="2596"/>
      <c r="H1" s="2595"/>
      <c r="I1" s="2595"/>
      <c r="J1" s="2595"/>
      <c r="K1" s="2595"/>
      <c r="L1" s="2595"/>
      <c r="M1" s="2595"/>
      <c r="N1" s="2595"/>
      <c r="O1" s="2595"/>
      <c r="P1" s="2595"/>
      <c r="Q1" s="2594"/>
      <c r="R1" s="2594"/>
      <c r="S1" s="2594"/>
      <c r="T1" s="2568"/>
    </row>
    <row r="2" spans="1:20" ht="13.5" thickTop="1" thickBot="1">
      <c r="A2" s="2593"/>
      <c r="B2" s="2592" t="s">
        <v>1726</v>
      </c>
      <c r="C2" s="2591"/>
      <c r="D2" s="2602"/>
      <c r="E2" s="2589" t="s">
        <v>1732</v>
      </c>
      <c r="F2" s="2588"/>
      <c r="G2" s="2588"/>
      <c r="H2" s="2616"/>
      <c r="I2" s="2587"/>
      <c r="J2" s="2590"/>
      <c r="K2" s="2588"/>
      <c r="L2" s="2589" t="s">
        <v>1731</v>
      </c>
      <c r="M2" s="2588"/>
      <c r="N2" s="2588"/>
      <c r="O2" s="2616"/>
      <c r="P2" s="2587"/>
      <c r="Q2" s="2568"/>
      <c r="R2" s="2568"/>
      <c r="S2" s="2568"/>
      <c r="T2" s="2568"/>
    </row>
    <row r="3" spans="1:20" ht="13.5" thickTop="1" thickBot="1">
      <c r="A3" s="2586"/>
      <c r="B3" s="2585" t="s">
        <v>1723</v>
      </c>
      <c r="C3" s="2584"/>
      <c r="D3" s="2580">
        <v>2013</v>
      </c>
      <c r="E3" s="2580">
        <v>2014</v>
      </c>
      <c r="F3" s="2580">
        <v>2015</v>
      </c>
      <c r="G3" s="2580">
        <v>2016</v>
      </c>
      <c r="H3" s="2583">
        <v>2017</v>
      </c>
      <c r="I3" s="2582" t="s">
        <v>1692</v>
      </c>
      <c r="J3" s="2581"/>
      <c r="K3" s="2580">
        <v>2013</v>
      </c>
      <c r="L3" s="2580">
        <v>2014</v>
      </c>
      <c r="M3" s="2580">
        <v>2015</v>
      </c>
      <c r="N3" s="2580">
        <v>2016</v>
      </c>
      <c r="O3" s="2579">
        <v>2017</v>
      </c>
      <c r="P3" s="2578" t="s">
        <v>1692</v>
      </c>
      <c r="Q3" s="2568"/>
      <c r="R3" s="2568"/>
      <c r="S3" s="2568"/>
      <c r="T3" s="2568"/>
    </row>
    <row r="4" spans="1:20" ht="37.5" thickTop="1" thickBot="1">
      <c r="A4" s="2577"/>
      <c r="B4" s="2576" t="s">
        <v>934</v>
      </c>
      <c r="C4" s="2572" t="s">
        <v>530</v>
      </c>
      <c r="D4" s="2575">
        <v>1</v>
      </c>
      <c r="E4" s="2575">
        <v>1</v>
      </c>
      <c r="F4" s="2575">
        <v>1</v>
      </c>
      <c r="G4" s="2575">
        <v>1</v>
      </c>
      <c r="H4" s="2574">
        <v>1</v>
      </c>
      <c r="I4" s="2573"/>
      <c r="J4" s="2572" t="s">
        <v>530</v>
      </c>
      <c r="K4" s="2571"/>
      <c r="L4" s="2571"/>
      <c r="M4" s="2571"/>
      <c r="N4" s="2571"/>
      <c r="O4" s="2570"/>
      <c r="P4" s="2569"/>
      <c r="Q4" s="2568"/>
      <c r="R4" s="2615" t="s">
        <v>1730</v>
      </c>
      <c r="S4" s="2615" t="s">
        <v>1730</v>
      </c>
      <c r="T4" s="2568"/>
    </row>
    <row r="5" spans="1:20" ht="13.5" thickTop="1">
      <c r="B5" s="2536" t="s">
        <v>1722</v>
      </c>
      <c r="C5" s="2533" t="s">
        <v>228</v>
      </c>
      <c r="D5" s="2538">
        <v>25</v>
      </c>
      <c r="E5" s="2538">
        <v>25</v>
      </c>
      <c r="F5" s="2538">
        <v>25</v>
      </c>
      <c r="G5" s="2538">
        <v>25</v>
      </c>
      <c r="H5" s="2538">
        <v>23.75</v>
      </c>
      <c r="I5" s="2543">
        <f t="shared" ref="I5:I39" si="0">(D5*$D$4+E5*$E$4+F5*$F$4+G5*$G$4+H5*$H$4)/($D$4+$E$4+$F$4+$G$4+$H$4)</f>
        <v>24.75</v>
      </c>
      <c r="J5" s="2567" t="s">
        <v>172</v>
      </c>
      <c r="K5" s="2538">
        <v>47.4</v>
      </c>
      <c r="L5" s="2538">
        <v>64.599999999999994</v>
      </c>
      <c r="M5" s="2538">
        <v>52.5</v>
      </c>
      <c r="N5" s="2538">
        <v>42</v>
      </c>
      <c r="O5" s="2566">
        <v>75.400000000000006</v>
      </c>
      <c r="P5" s="2535">
        <f t="shared" ref="P5:P39" si="1">(K5*$D$4+L5*$E$4+M5*$F$4+N5*$G$4+O5*$H$4)/($D$4+$E$4+$F$4+$G$4+$H$4)</f>
        <v>56.379999999999995</v>
      </c>
      <c r="R5" s="2603"/>
    </row>
    <row r="6" spans="1:20" ht="12.75">
      <c r="B6" s="2536" t="s">
        <v>84</v>
      </c>
      <c r="C6" s="2533" t="s">
        <v>228</v>
      </c>
      <c r="D6" s="2529">
        <v>26</v>
      </c>
      <c r="E6" s="2529">
        <v>23.5</v>
      </c>
      <c r="F6" s="2529">
        <v>18</v>
      </c>
      <c r="G6" s="2529">
        <v>16</v>
      </c>
      <c r="H6" s="2529">
        <v>17</v>
      </c>
      <c r="I6" s="2610">
        <f t="shared" si="0"/>
        <v>20.100000000000001</v>
      </c>
      <c r="J6" s="2552" t="s">
        <v>172</v>
      </c>
      <c r="K6" s="2549">
        <v>50</v>
      </c>
      <c r="L6" s="2549">
        <v>55</v>
      </c>
      <c r="M6" s="2549">
        <v>50</v>
      </c>
      <c r="N6" s="2549">
        <v>50</v>
      </c>
      <c r="O6" s="2529">
        <v>65.5</v>
      </c>
      <c r="P6" s="2528">
        <f t="shared" si="1"/>
        <v>54.1</v>
      </c>
      <c r="R6" s="2603"/>
    </row>
    <row r="7" spans="1:20" ht="12.75">
      <c r="B7" s="2559" t="s">
        <v>269</v>
      </c>
      <c r="C7" s="2558" t="s">
        <v>228</v>
      </c>
      <c r="D7" s="2557">
        <v>15.3</v>
      </c>
      <c r="E7" s="2557">
        <v>14.7</v>
      </c>
      <c r="F7" s="2557">
        <v>15</v>
      </c>
      <c r="G7" s="2557">
        <v>13.6</v>
      </c>
      <c r="H7" s="2557">
        <v>14.4</v>
      </c>
      <c r="I7" s="2613">
        <f t="shared" si="0"/>
        <v>14.6</v>
      </c>
      <c r="J7" s="2565" t="s">
        <v>172</v>
      </c>
      <c r="K7" s="2564">
        <v>74.099999999999994</v>
      </c>
      <c r="L7" s="2564">
        <v>83.5</v>
      </c>
      <c r="M7" s="2564">
        <v>76.3</v>
      </c>
      <c r="N7" s="2564">
        <v>66.099999999999994</v>
      </c>
      <c r="O7" s="2563">
        <f>$I$97</f>
        <v>73.600000000000009</v>
      </c>
      <c r="P7" s="2612">
        <f t="shared" si="1"/>
        <v>74.72</v>
      </c>
      <c r="R7" s="2603">
        <f>(P7+'Erträge_4-J'!N7+'Erträge_3-J'!L7+'Erträge_2-J'!J7)/4</f>
        <v>72.861249999999998</v>
      </c>
      <c r="S7" s="2507">
        <f>(I7+'Erträge_4-J'!H7+'Erträge_3-J'!G7+'Erträge_2-J'!F7)/4</f>
        <v>14.339583333333334</v>
      </c>
    </row>
    <row r="8" spans="1:20" ht="12.75">
      <c r="B8" s="2536" t="s">
        <v>81</v>
      </c>
      <c r="C8" s="2533" t="s">
        <v>228</v>
      </c>
      <c r="D8" s="2529">
        <v>15.3</v>
      </c>
      <c r="E8" s="2529">
        <v>14.7</v>
      </c>
      <c r="F8" s="2529">
        <v>15</v>
      </c>
      <c r="G8" s="2529">
        <v>13.6</v>
      </c>
      <c r="H8" s="2529">
        <v>14.4</v>
      </c>
      <c r="I8" s="2610">
        <f t="shared" si="0"/>
        <v>14.6</v>
      </c>
      <c r="J8" s="2552" t="s">
        <v>172</v>
      </c>
      <c r="K8" s="2538">
        <v>59</v>
      </c>
      <c r="L8" s="2538">
        <v>60.1</v>
      </c>
      <c r="M8" s="2538">
        <v>53.7</v>
      </c>
      <c r="N8" s="2538">
        <v>51.5</v>
      </c>
      <c r="O8" s="2529">
        <v>65.5</v>
      </c>
      <c r="P8" s="2528">
        <f t="shared" si="1"/>
        <v>57.96</v>
      </c>
      <c r="R8" s="2603"/>
    </row>
    <row r="9" spans="1:20" ht="12.75">
      <c r="B9" s="2536" t="s">
        <v>90</v>
      </c>
      <c r="C9" s="2533" t="s">
        <v>228</v>
      </c>
      <c r="D9" s="2529">
        <v>12.1</v>
      </c>
      <c r="E9" s="2529">
        <v>12.2</v>
      </c>
      <c r="F9" s="2529">
        <v>14</v>
      </c>
      <c r="G9" s="2529">
        <v>12.3</v>
      </c>
      <c r="H9" s="2529">
        <v>13.9</v>
      </c>
      <c r="I9" s="2610">
        <f t="shared" si="0"/>
        <v>12.9</v>
      </c>
      <c r="J9" s="2552" t="s">
        <v>172</v>
      </c>
      <c r="K9" s="2529">
        <v>58.8</v>
      </c>
      <c r="L9" s="2529">
        <v>53.7</v>
      </c>
      <c r="M9" s="2529">
        <v>52.9</v>
      </c>
      <c r="N9" s="2529">
        <v>54.2</v>
      </c>
      <c r="O9" s="2529">
        <v>55.6</v>
      </c>
      <c r="P9" s="2528">
        <f t="shared" si="1"/>
        <v>55.040000000000006</v>
      </c>
      <c r="R9" s="2603"/>
    </row>
    <row r="10" spans="1:20" ht="12.75">
      <c r="B10" s="2536" t="s">
        <v>1721</v>
      </c>
      <c r="C10" s="2533" t="s">
        <v>228</v>
      </c>
      <c r="D10" s="2529">
        <v>12.1</v>
      </c>
      <c r="E10" s="2529">
        <v>12.2</v>
      </c>
      <c r="F10" s="2529">
        <v>14</v>
      </c>
      <c r="G10" s="2529">
        <v>12.3</v>
      </c>
      <c r="H10" s="2529">
        <v>13.9</v>
      </c>
      <c r="I10" s="2610">
        <f t="shared" si="0"/>
        <v>12.9</v>
      </c>
      <c r="J10" s="2552" t="s">
        <v>172</v>
      </c>
      <c r="K10" s="2529">
        <v>55</v>
      </c>
      <c r="L10" s="2529">
        <v>53.7</v>
      </c>
      <c r="M10" s="2529">
        <v>52.9</v>
      </c>
      <c r="N10" s="2529">
        <v>54.2</v>
      </c>
      <c r="O10" s="2529">
        <v>55.6</v>
      </c>
      <c r="P10" s="2528">
        <f t="shared" si="1"/>
        <v>54.280000000000008</v>
      </c>
      <c r="R10" s="2603"/>
    </row>
    <row r="11" spans="1:20" ht="12.75" hidden="1">
      <c r="B11" s="2536" t="s">
        <v>1720</v>
      </c>
      <c r="C11" s="2533" t="s">
        <v>228</v>
      </c>
      <c r="D11" s="2529">
        <v>15</v>
      </c>
      <c r="E11" s="2529">
        <v>13</v>
      </c>
      <c r="F11" s="2529">
        <v>13.6</v>
      </c>
      <c r="G11" s="2529">
        <v>11.5</v>
      </c>
      <c r="H11" s="2529"/>
      <c r="I11" s="2610">
        <f t="shared" si="0"/>
        <v>10.620000000000001</v>
      </c>
      <c r="J11" s="2552" t="s">
        <v>172</v>
      </c>
      <c r="K11" s="2529">
        <v>58.8</v>
      </c>
      <c r="L11" s="2529">
        <v>53.7</v>
      </c>
      <c r="M11" s="2529">
        <v>52.9</v>
      </c>
      <c r="N11" s="2529">
        <v>54.2</v>
      </c>
      <c r="O11" s="2529"/>
      <c r="P11" s="2528">
        <f t="shared" si="1"/>
        <v>43.92</v>
      </c>
      <c r="R11" s="2603"/>
    </row>
    <row r="12" spans="1:20" ht="12.75" hidden="1">
      <c r="B12" s="2536" t="s">
        <v>1719</v>
      </c>
      <c r="C12" s="2533" t="s">
        <v>228</v>
      </c>
      <c r="D12" s="2529">
        <v>15</v>
      </c>
      <c r="E12" s="2529">
        <v>13</v>
      </c>
      <c r="F12" s="2529">
        <v>13.6</v>
      </c>
      <c r="G12" s="2529">
        <v>11.5</v>
      </c>
      <c r="H12" s="2529"/>
      <c r="I12" s="2610">
        <f t="shared" si="0"/>
        <v>10.620000000000001</v>
      </c>
      <c r="J12" s="2552" t="s">
        <v>172</v>
      </c>
      <c r="K12" s="2529">
        <v>58.8</v>
      </c>
      <c r="L12" s="2529">
        <v>53.7</v>
      </c>
      <c r="M12" s="2529">
        <v>52.9</v>
      </c>
      <c r="N12" s="2529">
        <v>54.2</v>
      </c>
      <c r="O12" s="2529"/>
      <c r="P12" s="2528">
        <f t="shared" si="1"/>
        <v>43.92</v>
      </c>
      <c r="R12" s="2603"/>
    </row>
    <row r="13" spans="1:20" ht="12.75">
      <c r="B13" s="2559" t="s">
        <v>86</v>
      </c>
      <c r="C13" s="2558" t="s">
        <v>228</v>
      </c>
      <c r="D13" s="2557">
        <v>15</v>
      </c>
      <c r="E13" s="2557">
        <v>13</v>
      </c>
      <c r="F13" s="2557">
        <v>13.6</v>
      </c>
      <c r="G13" s="2557">
        <v>11.5</v>
      </c>
      <c r="H13" s="2557">
        <v>12.6</v>
      </c>
      <c r="I13" s="2613">
        <f t="shared" si="0"/>
        <v>13.14</v>
      </c>
      <c r="J13" s="2556" t="s">
        <v>172</v>
      </c>
      <c r="K13" s="2555">
        <v>68.3</v>
      </c>
      <c r="L13" s="2555">
        <v>76.2</v>
      </c>
      <c r="M13" s="2555">
        <v>67.400000000000006</v>
      </c>
      <c r="N13" s="2555">
        <v>67.400000000000006</v>
      </c>
      <c r="O13" s="2555">
        <f>$I$101</f>
        <v>73.63333333333334</v>
      </c>
      <c r="P13" s="2612">
        <f t="shared" si="1"/>
        <v>70.586666666666673</v>
      </c>
      <c r="R13" s="2603">
        <f>(P13+'Erträge_4-J'!N13+'Erträge_3-J'!L13+'Erträge_2-J'!J13)/4</f>
        <v>70.434861111111104</v>
      </c>
      <c r="S13" s="2507">
        <f>(I13+'Erträge_4-J'!H13+'Erträge_3-J'!G13+'Erträge_2-J'!F13)/4</f>
        <v>12.607916666666668</v>
      </c>
    </row>
    <row r="14" spans="1:20" ht="12.75">
      <c r="B14" s="2536" t="s">
        <v>267</v>
      </c>
      <c r="C14" s="2533" t="s">
        <v>228</v>
      </c>
      <c r="D14" s="2529">
        <v>15</v>
      </c>
      <c r="E14" s="2529">
        <v>13</v>
      </c>
      <c r="F14" s="2529">
        <v>13.6</v>
      </c>
      <c r="G14" s="2529">
        <v>11.5</v>
      </c>
      <c r="H14" s="2529">
        <v>12.6</v>
      </c>
      <c r="I14" s="2610">
        <f t="shared" si="0"/>
        <v>13.14</v>
      </c>
      <c r="J14" s="2552" t="s">
        <v>172</v>
      </c>
      <c r="K14" s="2562">
        <v>55.4</v>
      </c>
      <c r="L14" s="2562">
        <v>59.7</v>
      </c>
      <c r="M14" s="2562">
        <v>53.9</v>
      </c>
      <c r="N14" s="2562">
        <v>49.6</v>
      </c>
      <c r="O14" s="2529">
        <v>58.2</v>
      </c>
      <c r="P14" s="2528">
        <f t="shared" si="1"/>
        <v>55.36</v>
      </c>
      <c r="R14" s="2603"/>
    </row>
    <row r="15" spans="1:20" ht="12.75">
      <c r="B15" s="2536" t="s">
        <v>77</v>
      </c>
      <c r="C15" s="2533" t="s">
        <v>228</v>
      </c>
      <c r="D15" s="2529">
        <v>19.7</v>
      </c>
      <c r="E15" s="2529">
        <v>17.7</v>
      </c>
      <c r="F15" s="2529">
        <v>17.899999999999999</v>
      </c>
      <c r="G15" s="2529">
        <v>16.8</v>
      </c>
      <c r="H15" s="2529">
        <v>17.899999999999999</v>
      </c>
      <c r="I15" s="2610">
        <f t="shared" si="0"/>
        <v>18</v>
      </c>
      <c r="J15" s="2552" t="s">
        <v>172</v>
      </c>
      <c r="K15" s="2529">
        <v>55.4</v>
      </c>
      <c r="L15" s="2529">
        <v>60</v>
      </c>
      <c r="M15" s="2529">
        <v>54.4</v>
      </c>
      <c r="N15" s="2529">
        <v>50.1</v>
      </c>
      <c r="O15" s="2529">
        <v>58.2</v>
      </c>
      <c r="P15" s="2528">
        <f t="shared" si="1"/>
        <v>55.620000000000005</v>
      </c>
      <c r="R15" s="2603"/>
    </row>
    <row r="16" spans="1:20" ht="12.75">
      <c r="B16" s="2536" t="s">
        <v>1718</v>
      </c>
      <c r="C16" s="2533" t="s">
        <v>228</v>
      </c>
      <c r="D16" s="2529">
        <v>16</v>
      </c>
      <c r="E16" s="2529">
        <v>14.5</v>
      </c>
      <c r="F16" s="2529">
        <v>14.5</v>
      </c>
      <c r="G16" s="2529">
        <v>14.25</v>
      </c>
      <c r="H16" s="2529">
        <v>14</v>
      </c>
      <c r="I16" s="2610">
        <f t="shared" si="0"/>
        <v>14.65</v>
      </c>
      <c r="J16" s="2552" t="s">
        <v>172</v>
      </c>
      <c r="K16" s="2562">
        <v>45.2</v>
      </c>
      <c r="L16" s="2562">
        <v>52.5</v>
      </c>
      <c r="M16" s="2562">
        <v>46.6</v>
      </c>
      <c r="N16" s="2562">
        <v>45.6</v>
      </c>
      <c r="O16" s="2529">
        <v>46.1</v>
      </c>
      <c r="P16" s="2528">
        <f t="shared" si="1"/>
        <v>47.2</v>
      </c>
      <c r="R16" s="2603"/>
    </row>
    <row r="17" spans="2:19" ht="12.75">
      <c r="B17" s="2536" t="s">
        <v>1717</v>
      </c>
      <c r="C17" s="2533" t="s">
        <v>228</v>
      </c>
      <c r="D17" s="2529">
        <v>16</v>
      </c>
      <c r="E17" s="2529">
        <v>14.5</v>
      </c>
      <c r="F17" s="2529">
        <v>14.5</v>
      </c>
      <c r="G17" s="2529">
        <v>14.25</v>
      </c>
      <c r="H17" s="2529">
        <v>14</v>
      </c>
      <c r="I17" s="2610">
        <f t="shared" si="0"/>
        <v>14.65</v>
      </c>
      <c r="J17" s="2552" t="s">
        <v>172</v>
      </c>
      <c r="K17" s="2529">
        <v>45.2</v>
      </c>
      <c r="L17" s="2529">
        <v>47.6</v>
      </c>
      <c r="M17" s="2529">
        <v>47</v>
      </c>
      <c r="N17" s="2529">
        <v>44.9</v>
      </c>
      <c r="O17" s="2529">
        <v>46.1</v>
      </c>
      <c r="P17" s="2528">
        <f t="shared" si="1"/>
        <v>46.160000000000004</v>
      </c>
      <c r="R17" s="2603"/>
    </row>
    <row r="18" spans="2:19" ht="12.75" hidden="1">
      <c r="B18" s="2536" t="s">
        <v>1716</v>
      </c>
      <c r="C18" s="2533" t="s">
        <v>228</v>
      </c>
      <c r="D18" s="2529">
        <v>15</v>
      </c>
      <c r="E18" s="2529">
        <v>13</v>
      </c>
      <c r="F18" s="2529">
        <v>13.6</v>
      </c>
      <c r="G18" s="2529">
        <v>11.5</v>
      </c>
      <c r="H18" s="2529"/>
      <c r="I18" s="2610">
        <f t="shared" si="0"/>
        <v>10.620000000000001</v>
      </c>
      <c r="J18" s="2552" t="s">
        <v>172</v>
      </c>
      <c r="K18" s="2529">
        <v>41.8</v>
      </c>
      <c r="L18" s="2529">
        <v>55.4</v>
      </c>
      <c r="M18" s="2529">
        <v>43.7</v>
      </c>
      <c r="N18" s="2529">
        <v>46.3</v>
      </c>
      <c r="O18" s="2529"/>
      <c r="P18" s="2528">
        <f t="shared" si="1"/>
        <v>37.44</v>
      </c>
      <c r="R18" s="2603"/>
    </row>
    <row r="19" spans="2:19" ht="12.75" hidden="1">
      <c r="B19" s="2536" t="s">
        <v>1715</v>
      </c>
      <c r="C19" s="2533" t="s">
        <v>228</v>
      </c>
      <c r="D19" s="2529">
        <v>15</v>
      </c>
      <c r="E19" s="2529">
        <v>13</v>
      </c>
      <c r="F19" s="2529">
        <v>13.6</v>
      </c>
      <c r="G19" s="2529">
        <v>11.5</v>
      </c>
      <c r="H19" s="2529"/>
      <c r="I19" s="2610">
        <f t="shared" si="0"/>
        <v>10.620000000000001</v>
      </c>
      <c r="J19" s="2552" t="s">
        <v>172</v>
      </c>
      <c r="K19" s="2529">
        <v>41.8</v>
      </c>
      <c r="L19" s="2529">
        <v>55.4</v>
      </c>
      <c r="M19" s="2529">
        <v>43.7</v>
      </c>
      <c r="N19" s="2529">
        <v>46.3</v>
      </c>
      <c r="O19" s="2529"/>
      <c r="P19" s="2528">
        <f t="shared" si="1"/>
        <v>37.44</v>
      </c>
      <c r="R19" s="2603"/>
    </row>
    <row r="20" spans="2:19" ht="12.75">
      <c r="B20" s="2536" t="s">
        <v>1714</v>
      </c>
      <c r="C20" s="2533" t="s">
        <v>228</v>
      </c>
      <c r="D20" s="2529">
        <v>14.5</v>
      </c>
      <c r="E20" s="2529">
        <v>13</v>
      </c>
      <c r="F20" s="2529">
        <v>13</v>
      </c>
      <c r="G20" s="2529">
        <v>12</v>
      </c>
      <c r="H20" s="2529">
        <v>13</v>
      </c>
      <c r="I20" s="2610">
        <f t="shared" si="0"/>
        <v>13.1</v>
      </c>
      <c r="J20" s="2552" t="s">
        <v>172</v>
      </c>
      <c r="K20" s="2562">
        <v>69.900000000000006</v>
      </c>
      <c r="L20" s="2562">
        <v>74.400000000000006</v>
      </c>
      <c r="M20" s="2562">
        <v>67.5</v>
      </c>
      <c r="N20" s="2562">
        <v>53.1</v>
      </c>
      <c r="O20" s="2529">
        <v>67.8</v>
      </c>
      <c r="P20" s="2528">
        <f t="shared" si="1"/>
        <v>66.540000000000006</v>
      </c>
      <c r="R20" s="2603"/>
    </row>
    <row r="21" spans="2:19" ht="12.75">
      <c r="B21" s="2536" t="s">
        <v>1713</v>
      </c>
      <c r="C21" s="2533" t="s">
        <v>228</v>
      </c>
      <c r="D21" s="2529">
        <v>14.5</v>
      </c>
      <c r="E21" s="2529">
        <v>13</v>
      </c>
      <c r="F21" s="2529">
        <v>13</v>
      </c>
      <c r="G21" s="2529">
        <v>12</v>
      </c>
      <c r="H21" s="2529">
        <v>13</v>
      </c>
      <c r="I21" s="2610">
        <f t="shared" si="0"/>
        <v>13.1</v>
      </c>
      <c r="J21" s="2552" t="s">
        <v>172</v>
      </c>
      <c r="K21" s="2529">
        <v>69.900000000000006</v>
      </c>
      <c r="L21" s="2529">
        <v>73.099999999999994</v>
      </c>
      <c r="M21" s="2529">
        <v>67.400000000000006</v>
      </c>
      <c r="N21" s="2529">
        <v>58.5</v>
      </c>
      <c r="O21" s="2529">
        <v>67.8</v>
      </c>
      <c r="P21" s="2528">
        <f t="shared" si="1"/>
        <v>67.34</v>
      </c>
      <c r="R21" s="2603"/>
    </row>
    <row r="22" spans="2:19" ht="12.75">
      <c r="B22" s="2536" t="s">
        <v>1712</v>
      </c>
      <c r="C22" s="2533" t="s">
        <v>228</v>
      </c>
      <c r="D22" s="2529">
        <v>23.2</v>
      </c>
      <c r="E22" s="2529">
        <v>22.1</v>
      </c>
      <c r="F22" s="2529">
        <v>22.7</v>
      </c>
      <c r="G22" s="2529">
        <v>22.5</v>
      </c>
      <c r="H22" s="2529">
        <v>22.3</v>
      </c>
      <c r="I22" s="2610">
        <f t="shared" si="0"/>
        <v>22.56</v>
      </c>
      <c r="J22" s="2552" t="s">
        <v>172</v>
      </c>
      <c r="K22" s="2529">
        <v>60</v>
      </c>
      <c r="L22" s="2529">
        <v>60</v>
      </c>
      <c r="M22" s="2529">
        <v>60</v>
      </c>
      <c r="N22" s="2529">
        <v>55</v>
      </c>
      <c r="O22" s="2529">
        <v>60</v>
      </c>
      <c r="P22" s="2528">
        <f t="shared" si="1"/>
        <v>59</v>
      </c>
      <c r="R22" s="2603"/>
    </row>
    <row r="23" spans="2:19" ht="12.75">
      <c r="B23" s="2536" t="s">
        <v>1711</v>
      </c>
      <c r="C23" s="2533" t="s">
        <v>228</v>
      </c>
      <c r="D23" s="2529">
        <v>23.2</v>
      </c>
      <c r="E23" s="2529">
        <v>22.1</v>
      </c>
      <c r="F23" s="2529">
        <v>22.7</v>
      </c>
      <c r="G23" s="2529">
        <v>24.7</v>
      </c>
      <c r="H23" s="2529"/>
      <c r="I23" s="2610">
        <f t="shared" si="0"/>
        <v>18.54</v>
      </c>
      <c r="J23" s="2552" t="s">
        <v>172</v>
      </c>
      <c r="K23" s="2529">
        <v>50</v>
      </c>
      <c r="L23" s="2529">
        <v>50</v>
      </c>
      <c r="M23" s="2529">
        <v>50</v>
      </c>
      <c r="N23" s="2529">
        <v>45</v>
      </c>
      <c r="O23" s="2529"/>
      <c r="P23" s="2528">
        <f t="shared" si="1"/>
        <v>39</v>
      </c>
      <c r="R23" s="2603"/>
    </row>
    <row r="24" spans="2:19" ht="12.75">
      <c r="B24" s="2559" t="s">
        <v>70</v>
      </c>
      <c r="C24" s="2558" t="s">
        <v>228</v>
      </c>
      <c r="D24" s="2557">
        <v>16</v>
      </c>
      <c r="E24" s="2557">
        <v>12.5</v>
      </c>
      <c r="F24" s="2557">
        <v>17</v>
      </c>
      <c r="G24" s="2557">
        <v>15</v>
      </c>
      <c r="H24" s="2557">
        <v>14.2</v>
      </c>
      <c r="I24" s="2613">
        <f t="shared" si="0"/>
        <v>14.940000000000001</v>
      </c>
      <c r="J24" s="2556" t="s">
        <v>172</v>
      </c>
      <c r="K24" s="2555">
        <v>95.6</v>
      </c>
      <c r="L24" s="2555">
        <v>115.7</v>
      </c>
      <c r="M24" s="2555">
        <v>84.3</v>
      </c>
      <c r="N24" s="2555">
        <v>96.1</v>
      </c>
      <c r="O24" s="2561">
        <v>106.5</v>
      </c>
      <c r="P24" s="2612">
        <f t="shared" si="1"/>
        <v>99.640000000000015</v>
      </c>
      <c r="R24" s="2603">
        <f>(P24+'Erträge_4-J'!N24+'Erträge_3-J'!L24+'Erträge_2-J'!J24)/4</f>
        <v>99.305833333333339</v>
      </c>
      <c r="S24" s="2507">
        <f>(I24+'Erträge_4-J'!H24+'Erträge_3-J'!G24+'Erträge_2-J'!F24)/4</f>
        <v>14.90375</v>
      </c>
    </row>
    <row r="25" spans="2:19" ht="12.75">
      <c r="B25" s="2536" t="s">
        <v>1710</v>
      </c>
      <c r="C25" s="2533" t="s">
        <v>228</v>
      </c>
      <c r="D25" s="2529">
        <v>13</v>
      </c>
      <c r="E25" s="2529">
        <v>11.5</v>
      </c>
      <c r="F25" s="2529">
        <v>15.6</v>
      </c>
      <c r="G25" s="2529">
        <v>13.8</v>
      </c>
      <c r="H25" s="2529"/>
      <c r="I25" s="2610">
        <f t="shared" si="0"/>
        <v>10.780000000000001</v>
      </c>
      <c r="J25" s="2552" t="s">
        <v>172</v>
      </c>
      <c r="K25" s="2529">
        <v>135</v>
      </c>
      <c r="L25" s="2529">
        <v>140</v>
      </c>
      <c r="M25" s="2529">
        <v>103</v>
      </c>
      <c r="N25" s="2529">
        <v>130</v>
      </c>
      <c r="O25" s="2529"/>
      <c r="P25" s="2528">
        <f t="shared" si="1"/>
        <v>101.6</v>
      </c>
      <c r="R25" s="2603"/>
    </row>
    <row r="26" spans="2:19" ht="12.6" customHeight="1">
      <c r="B26" s="2536" t="s">
        <v>1709</v>
      </c>
      <c r="C26" s="2533" t="s">
        <v>228</v>
      </c>
      <c r="D26" s="2529"/>
      <c r="E26" s="2529"/>
      <c r="F26" s="2529">
        <v>21.5</v>
      </c>
      <c r="G26" s="2529">
        <v>15</v>
      </c>
      <c r="H26" s="2529"/>
      <c r="I26" s="2610">
        <f t="shared" si="0"/>
        <v>7.3</v>
      </c>
      <c r="J26" s="2552" t="s">
        <v>172</v>
      </c>
      <c r="K26" s="2529"/>
      <c r="L26" s="2529"/>
      <c r="M26" s="2529">
        <v>70</v>
      </c>
      <c r="N26" s="2529">
        <v>58.5</v>
      </c>
      <c r="O26" s="2529"/>
      <c r="P26" s="2528">
        <f t="shared" si="1"/>
        <v>25.7</v>
      </c>
      <c r="R26" s="2603"/>
    </row>
    <row r="27" spans="2:19" ht="12.75">
      <c r="B27" s="2536" t="s">
        <v>1708</v>
      </c>
      <c r="C27" s="2533" t="s">
        <v>228</v>
      </c>
      <c r="D27" s="2529">
        <f>D24-1</f>
        <v>15</v>
      </c>
      <c r="E27" s="2529">
        <f>E24-1</f>
        <v>11.5</v>
      </c>
      <c r="F27" s="2529">
        <f>F24-1</f>
        <v>16</v>
      </c>
      <c r="G27" s="2529">
        <f>G24-1</f>
        <v>14</v>
      </c>
      <c r="H27" s="2529">
        <f>H24-1</f>
        <v>13.2</v>
      </c>
      <c r="I27" s="2610">
        <f t="shared" si="0"/>
        <v>13.940000000000001</v>
      </c>
      <c r="J27" s="2552" t="s">
        <v>1707</v>
      </c>
      <c r="K27" s="2554"/>
      <c r="L27" s="2554"/>
      <c r="M27" s="2554"/>
      <c r="N27" s="2554"/>
      <c r="O27" s="2554"/>
      <c r="P27" s="2614">
        <f t="shared" si="1"/>
        <v>0</v>
      </c>
      <c r="R27" s="2603"/>
    </row>
    <row r="28" spans="2:19" ht="12.75">
      <c r="B28" s="2536" t="s">
        <v>1663</v>
      </c>
      <c r="C28" s="2533" t="s">
        <v>1706</v>
      </c>
      <c r="D28" s="2529">
        <v>2.5999999999999999E-2</v>
      </c>
      <c r="E28" s="2529">
        <v>2.1000000000000001E-2</v>
      </c>
      <c r="F28" s="2529">
        <v>2.4E-2</v>
      </c>
      <c r="G28" s="2529">
        <v>2.1000000000000001E-2</v>
      </c>
      <c r="H28" s="2529"/>
      <c r="I28" s="2610">
        <f t="shared" si="0"/>
        <v>1.8400000000000003E-2</v>
      </c>
      <c r="J28" s="2552" t="s">
        <v>172</v>
      </c>
      <c r="K28" s="2554">
        <v>85000</v>
      </c>
      <c r="L28" s="2554">
        <v>88000</v>
      </c>
      <c r="M28" s="2554">
        <v>70000</v>
      </c>
      <c r="N28" s="2554">
        <v>89000</v>
      </c>
      <c r="O28" s="2554"/>
      <c r="P28" s="2614">
        <f t="shared" si="1"/>
        <v>66400</v>
      </c>
      <c r="R28" s="2603"/>
    </row>
    <row r="29" spans="2:19" ht="12.6" customHeight="1">
      <c r="B29" s="2536" t="s">
        <v>1705</v>
      </c>
      <c r="C29" s="2533" t="s">
        <v>228</v>
      </c>
      <c r="D29" s="2529">
        <v>103.1</v>
      </c>
      <c r="E29" s="2529">
        <v>104.9</v>
      </c>
      <c r="F29" s="2529">
        <v>107.184</v>
      </c>
      <c r="G29" s="2529">
        <v>100.86</v>
      </c>
      <c r="H29" s="2529">
        <v>93.7</v>
      </c>
      <c r="I29" s="2610">
        <f t="shared" si="0"/>
        <v>101.94879999999999</v>
      </c>
      <c r="J29" s="2552" t="s">
        <v>172</v>
      </c>
      <c r="K29" s="2529">
        <v>37.450000000000003</v>
      </c>
      <c r="L29" s="2529">
        <v>37.85</v>
      </c>
      <c r="M29" s="2529">
        <v>36.25</v>
      </c>
      <c r="N29" s="2529">
        <v>41</v>
      </c>
      <c r="O29" s="2529">
        <v>44.3</v>
      </c>
      <c r="P29" s="2528">
        <f t="shared" si="1"/>
        <v>39.370000000000005</v>
      </c>
      <c r="R29" s="2603"/>
    </row>
    <row r="30" spans="2:19" ht="12.75">
      <c r="B30" s="2559" t="s">
        <v>1704</v>
      </c>
      <c r="C30" s="2558" t="s">
        <v>228</v>
      </c>
      <c r="D30" s="2557">
        <v>33.9</v>
      </c>
      <c r="E30" s="2557">
        <v>28.6</v>
      </c>
      <c r="F30" s="2557">
        <v>35</v>
      </c>
      <c r="G30" s="2557">
        <v>33.700000000000003</v>
      </c>
      <c r="H30" s="2557">
        <v>34.1</v>
      </c>
      <c r="I30" s="2613">
        <f t="shared" si="0"/>
        <v>33.059999999999995</v>
      </c>
      <c r="J30" s="2556" t="s">
        <v>172</v>
      </c>
      <c r="K30" s="2555">
        <v>37</v>
      </c>
      <c r="L30" s="2555">
        <v>47.2</v>
      </c>
      <c r="M30" s="2555">
        <v>40.799999999999997</v>
      </c>
      <c r="N30" s="2555">
        <v>38.799999999999997</v>
      </c>
      <c r="O30" s="2555">
        <f>$I$109</f>
        <v>37.700000000000003</v>
      </c>
      <c r="P30" s="2612">
        <f t="shared" si="1"/>
        <v>40.299999999999997</v>
      </c>
      <c r="R30" s="2603">
        <f>(P30+'Erträge_4-J'!N30+'Erträge_3-J'!L30+'Erträge_2-J'!J30)/4</f>
        <v>39.693750000000001</v>
      </c>
      <c r="S30" s="2507">
        <f>(I30+'Erträge_4-J'!H30+'Erträge_3-J'!G30+'Erträge_2-J'!F30)/4</f>
        <v>33.519166666666671</v>
      </c>
    </row>
    <row r="31" spans="2:19" ht="12.75">
      <c r="B31" s="2536" t="s">
        <v>1703</v>
      </c>
      <c r="C31" s="2533" t="s">
        <v>228</v>
      </c>
      <c r="D31" s="2529">
        <v>33.9</v>
      </c>
      <c r="E31" s="2529">
        <v>28.6</v>
      </c>
      <c r="F31" s="2529">
        <v>35</v>
      </c>
      <c r="G31" s="2529">
        <v>33.700000000000003</v>
      </c>
      <c r="H31" s="2529">
        <v>34.1</v>
      </c>
      <c r="I31" s="2610">
        <f t="shared" si="0"/>
        <v>33.059999999999995</v>
      </c>
      <c r="J31" s="2552" t="s">
        <v>172</v>
      </c>
      <c r="K31" s="2529">
        <v>17.899999999999999</v>
      </c>
      <c r="L31" s="2529">
        <v>24.2</v>
      </c>
      <c r="M31" s="2529">
        <v>24</v>
      </c>
      <c r="N31" s="2529">
        <v>22</v>
      </c>
      <c r="O31" s="2529">
        <v>24</v>
      </c>
      <c r="P31" s="2528">
        <f t="shared" si="1"/>
        <v>22.419999999999998</v>
      </c>
      <c r="R31" s="2603"/>
    </row>
    <row r="32" spans="2:19" ht="12.75">
      <c r="B32" s="2536" t="s">
        <v>60</v>
      </c>
      <c r="C32" s="2533" t="s">
        <v>228</v>
      </c>
      <c r="D32" s="2529">
        <v>40</v>
      </c>
      <c r="E32" s="2529">
        <v>30.6</v>
      </c>
      <c r="F32" s="2529">
        <v>37</v>
      </c>
      <c r="G32" s="2529">
        <v>35.700000000000003</v>
      </c>
      <c r="H32" s="2529">
        <v>37</v>
      </c>
      <c r="I32" s="2610">
        <f t="shared" si="0"/>
        <v>36.06</v>
      </c>
      <c r="J32" s="2552" t="s">
        <v>1702</v>
      </c>
      <c r="K32" s="2554">
        <v>22.5</v>
      </c>
      <c r="L32" s="2554">
        <v>23.9</v>
      </c>
      <c r="M32" s="2554">
        <v>24</v>
      </c>
      <c r="N32" s="2553">
        <v>22</v>
      </c>
      <c r="O32" s="2553">
        <v>24</v>
      </c>
      <c r="P32" s="2611">
        <f t="shared" si="1"/>
        <v>23.28</v>
      </c>
      <c r="R32" s="2603"/>
    </row>
    <row r="33" spans="1:18" ht="12.75" hidden="1">
      <c r="B33" s="2536" t="s">
        <v>1701</v>
      </c>
      <c r="C33" s="2533" t="s">
        <v>1700</v>
      </c>
      <c r="D33" s="2529">
        <v>0.35</v>
      </c>
      <c r="E33" s="2529">
        <v>0.3</v>
      </c>
      <c r="F33" s="2529">
        <v>0.33</v>
      </c>
      <c r="G33" s="2529">
        <v>0.31</v>
      </c>
      <c r="H33" s="2529"/>
      <c r="I33" s="2610">
        <f t="shared" si="0"/>
        <v>0.25800000000000001</v>
      </c>
      <c r="J33" s="2552" t="s">
        <v>172</v>
      </c>
      <c r="K33" s="2529">
        <v>8200</v>
      </c>
      <c r="L33" s="2529">
        <v>8500</v>
      </c>
      <c r="M33" s="2529">
        <v>6500</v>
      </c>
      <c r="N33" s="2529">
        <v>7400</v>
      </c>
      <c r="O33" s="2529"/>
      <c r="P33" s="2528">
        <f t="shared" si="1"/>
        <v>6120</v>
      </c>
      <c r="R33" s="2603"/>
    </row>
    <row r="34" spans="1:18" ht="12.75">
      <c r="B34" s="2536" t="s">
        <v>195</v>
      </c>
      <c r="C34" s="2533" t="s">
        <v>228</v>
      </c>
      <c r="D34" s="2529">
        <v>45</v>
      </c>
      <c r="E34" s="2529">
        <v>18</v>
      </c>
      <c r="F34" s="2529">
        <v>40</v>
      </c>
      <c r="G34" s="2529">
        <v>42</v>
      </c>
      <c r="H34" s="2529">
        <v>31</v>
      </c>
      <c r="I34" s="2610">
        <f t="shared" si="0"/>
        <v>35.200000000000003</v>
      </c>
      <c r="J34" s="2552" t="s">
        <v>172</v>
      </c>
      <c r="K34" s="2529">
        <v>290</v>
      </c>
      <c r="L34" s="2529">
        <v>270</v>
      </c>
      <c r="M34" s="2529">
        <v>260</v>
      </c>
      <c r="N34" s="2529">
        <v>240</v>
      </c>
      <c r="O34" s="2529">
        <v>260</v>
      </c>
      <c r="P34" s="2528">
        <f t="shared" si="1"/>
        <v>264</v>
      </c>
      <c r="R34" s="2603"/>
    </row>
    <row r="35" spans="1:18" ht="12.75">
      <c r="B35" s="2536" t="s">
        <v>873</v>
      </c>
      <c r="C35" s="2533" t="s">
        <v>228</v>
      </c>
      <c r="D35" s="2549">
        <v>24</v>
      </c>
      <c r="E35" s="2549">
        <v>13</v>
      </c>
      <c r="F35" s="2549">
        <v>21</v>
      </c>
      <c r="G35" s="2549">
        <v>18</v>
      </c>
      <c r="H35" s="2549">
        <v>13.5</v>
      </c>
      <c r="I35" s="2609">
        <f t="shared" si="0"/>
        <v>17.899999999999999</v>
      </c>
      <c r="J35" s="2551" t="s">
        <v>172</v>
      </c>
      <c r="K35" s="2550">
        <v>364.9</v>
      </c>
      <c r="L35" s="2550">
        <v>473.2</v>
      </c>
      <c r="M35" s="2550">
        <v>369.4</v>
      </c>
      <c r="N35" s="2550">
        <v>365.6</v>
      </c>
      <c r="O35" s="2549">
        <v>480</v>
      </c>
      <c r="P35" s="2608">
        <f t="shared" si="1"/>
        <v>410.62</v>
      </c>
      <c r="R35" s="2603"/>
    </row>
    <row r="36" spans="1:18" ht="12.75">
      <c r="B36" s="2536" t="s">
        <v>1699</v>
      </c>
      <c r="C36" s="2356" t="s">
        <v>228</v>
      </c>
      <c r="D36" s="2547">
        <v>42</v>
      </c>
      <c r="E36" s="2547">
        <v>24</v>
      </c>
      <c r="F36" s="2547">
        <v>30</v>
      </c>
      <c r="G36" s="2547">
        <v>28</v>
      </c>
      <c r="H36" s="2547">
        <v>25</v>
      </c>
      <c r="I36" s="2607">
        <f t="shared" si="0"/>
        <v>29.8</v>
      </c>
      <c r="J36" s="2548" t="s">
        <v>172</v>
      </c>
      <c r="K36" s="2547">
        <v>270</v>
      </c>
      <c r="L36" s="2547">
        <v>290</v>
      </c>
      <c r="M36" s="2547">
        <v>245</v>
      </c>
      <c r="N36" s="2547">
        <v>170</v>
      </c>
      <c r="O36" s="2547">
        <v>250</v>
      </c>
      <c r="P36" s="2606">
        <f t="shared" si="1"/>
        <v>245</v>
      </c>
      <c r="R36" s="2603"/>
    </row>
    <row r="37" spans="1:18" ht="13.5" thickBot="1">
      <c r="A37" s="2546"/>
      <c r="B37" s="2545" t="s">
        <v>45</v>
      </c>
      <c r="C37" s="2544" t="s">
        <v>228</v>
      </c>
      <c r="D37" s="2540">
        <v>3.45</v>
      </c>
      <c r="E37" s="2540">
        <v>3.3</v>
      </c>
      <c r="F37" s="2540">
        <v>3.63</v>
      </c>
      <c r="G37" s="2540">
        <v>3.53</v>
      </c>
      <c r="H37" s="2540">
        <v>3</v>
      </c>
      <c r="I37" s="2605">
        <f t="shared" si="0"/>
        <v>3.3819999999999992</v>
      </c>
      <c r="J37" s="2542" t="s">
        <v>172</v>
      </c>
      <c r="K37" s="2541">
        <v>753.9</v>
      </c>
      <c r="L37" s="2541">
        <v>878.4</v>
      </c>
      <c r="M37" s="2541">
        <v>673.8</v>
      </c>
      <c r="N37" s="2541">
        <v>775.2</v>
      </c>
      <c r="O37" s="2540">
        <v>910</v>
      </c>
      <c r="P37" s="2604">
        <f t="shared" si="1"/>
        <v>798.26</v>
      </c>
      <c r="R37" s="2603"/>
    </row>
    <row r="38" spans="1:18" ht="14.25" hidden="1" thickTop="1" thickBot="1">
      <c r="B38" s="2536" t="s">
        <v>1698</v>
      </c>
      <c r="C38" s="2533" t="s">
        <v>228</v>
      </c>
      <c r="D38" s="2539"/>
      <c r="E38" s="2539"/>
      <c r="F38" s="2539"/>
      <c r="G38" s="2539"/>
      <c r="H38" s="2539"/>
      <c r="I38" s="2537">
        <f t="shared" si="0"/>
        <v>0</v>
      </c>
      <c r="J38" s="2601" t="s">
        <v>172</v>
      </c>
      <c r="K38" s="2539"/>
      <c r="L38" s="2538"/>
      <c r="M38" s="2538"/>
      <c r="N38" s="2538"/>
      <c r="O38" s="2538"/>
      <c r="P38" s="2537">
        <f t="shared" si="1"/>
        <v>0</v>
      </c>
    </row>
    <row r="39" spans="1:18" ht="14.25" hidden="1" thickTop="1" thickBot="1">
      <c r="B39" s="2536" t="s">
        <v>1697</v>
      </c>
      <c r="C39" s="2533" t="s">
        <v>228</v>
      </c>
      <c r="D39" s="2530"/>
      <c r="E39" s="2530"/>
      <c r="F39" s="2530"/>
      <c r="G39" s="2530"/>
      <c r="H39" s="2530"/>
      <c r="I39" s="2528">
        <f t="shared" si="0"/>
        <v>0</v>
      </c>
      <c r="J39" s="2531" t="s">
        <v>172</v>
      </c>
      <c r="K39" s="2530"/>
      <c r="L39" s="2529"/>
      <c r="M39" s="2529"/>
      <c r="N39" s="2529"/>
      <c r="O39" s="2529"/>
      <c r="P39" s="2528">
        <f t="shared" si="1"/>
        <v>0</v>
      </c>
    </row>
    <row r="40" spans="1:18" ht="14.25" hidden="1" thickTop="1" thickBot="1">
      <c r="B40" s="2534" t="s">
        <v>1696</v>
      </c>
      <c r="C40" s="2533" t="s">
        <v>228</v>
      </c>
      <c r="D40" s="2532"/>
      <c r="E40" s="2532"/>
      <c r="F40" s="2532"/>
      <c r="G40" s="2532"/>
      <c r="H40" s="2532"/>
      <c r="I40" s="2528"/>
      <c r="J40" s="2531"/>
      <c r="K40" s="2530"/>
      <c r="L40" s="2529"/>
      <c r="M40" s="2529"/>
      <c r="N40" s="2529"/>
      <c r="O40" s="2529"/>
      <c r="P40" s="2528"/>
    </row>
    <row r="41" spans="1:18" ht="12.75" thickTop="1">
      <c r="A41" s="2527"/>
      <c r="B41" s="2526"/>
    </row>
    <row r="44" spans="1:18" ht="12.75">
      <c r="B44" s="1984" t="s">
        <v>1695</v>
      </c>
    </row>
    <row r="45" spans="1:18" ht="15.75" hidden="1">
      <c r="B45" s="2525" t="s">
        <v>1694</v>
      </c>
    </row>
    <row r="46" spans="1:18" ht="12.75" hidden="1">
      <c r="B46" s="2524" t="s">
        <v>1693</v>
      </c>
      <c r="C46" s="2515"/>
      <c r="D46" s="2515"/>
      <c r="E46" s="2515"/>
      <c r="F46" s="2523">
        <v>2011</v>
      </c>
      <c r="G46" s="2523">
        <v>2010</v>
      </c>
      <c r="H46" s="2523">
        <v>2009</v>
      </c>
      <c r="I46" s="2522">
        <v>2008</v>
      </c>
      <c r="J46" s="2522">
        <v>2007</v>
      </c>
      <c r="K46" s="2522"/>
      <c r="L46" s="2521" t="s">
        <v>1692</v>
      </c>
    </row>
    <row r="47" spans="1:18" ht="12.75" hidden="1">
      <c r="B47" s="2515"/>
      <c r="C47" s="2515"/>
      <c r="D47" s="2515"/>
      <c r="E47" s="2515"/>
      <c r="F47" s="2515"/>
      <c r="G47" s="2520"/>
      <c r="H47" s="2520"/>
      <c r="I47" s="2519"/>
      <c r="J47" s="2519"/>
      <c r="K47" s="2519"/>
      <c r="L47" s="2518"/>
    </row>
    <row r="48" spans="1:18" ht="12.75" hidden="1">
      <c r="B48" s="2517" t="s">
        <v>269</v>
      </c>
      <c r="C48" s="2515"/>
      <c r="D48" s="2515"/>
      <c r="E48" s="2515"/>
      <c r="F48" s="2516">
        <v>69.8</v>
      </c>
      <c r="G48" s="2515">
        <v>69</v>
      </c>
      <c r="H48" s="2515">
        <v>73.5</v>
      </c>
      <c r="I48" s="2514">
        <v>74.400000000000006</v>
      </c>
      <c r="J48" s="2514">
        <v>72.3</v>
      </c>
      <c r="K48" s="2514"/>
      <c r="L48" s="2514">
        <v>71.800000000000011</v>
      </c>
    </row>
    <row r="49" spans="2:12" ht="12.75" hidden="1">
      <c r="B49" s="2517" t="s">
        <v>81</v>
      </c>
      <c r="C49" s="2515"/>
      <c r="D49" s="2515"/>
      <c r="E49" s="2515"/>
      <c r="F49" s="2516"/>
      <c r="G49" s="2515">
        <v>56.1</v>
      </c>
      <c r="H49" s="2515">
        <v>60.1</v>
      </c>
      <c r="I49" s="2514">
        <v>59.1</v>
      </c>
      <c r="J49" s="2514">
        <v>54.8</v>
      </c>
      <c r="K49" s="2514"/>
      <c r="L49" s="2514">
        <v>57.525000000000006</v>
      </c>
    </row>
    <row r="50" spans="2:12" ht="12.75" hidden="1">
      <c r="B50" s="2517" t="s">
        <v>73</v>
      </c>
      <c r="C50" s="2515"/>
      <c r="D50" s="2515"/>
      <c r="E50" s="2515"/>
      <c r="F50" s="2516"/>
      <c r="G50" s="2515">
        <v>53.4</v>
      </c>
      <c r="H50" s="2515">
        <v>55.2</v>
      </c>
      <c r="I50" s="2514">
        <v>60.4</v>
      </c>
      <c r="J50" s="2514">
        <v>48.8</v>
      </c>
      <c r="K50" s="2514"/>
      <c r="L50" s="2514">
        <v>54.45</v>
      </c>
    </row>
    <row r="51" spans="2:12" ht="12.75" hidden="1">
      <c r="B51" s="2517" t="s">
        <v>1255</v>
      </c>
      <c r="C51" s="2515"/>
      <c r="D51" s="2515"/>
      <c r="E51" s="2515"/>
      <c r="F51" s="2516"/>
      <c r="G51" s="2515">
        <v>55.7</v>
      </c>
      <c r="H51" s="2515">
        <v>60.2</v>
      </c>
      <c r="I51" s="2514">
        <v>58.8</v>
      </c>
      <c r="J51" s="2514">
        <v>53.1</v>
      </c>
      <c r="K51" s="2514"/>
      <c r="L51" s="2514">
        <v>56.949999999999996</v>
      </c>
    </row>
    <row r="52" spans="2:12" ht="12.75" hidden="1">
      <c r="B52" s="2517" t="s">
        <v>88</v>
      </c>
      <c r="C52" s="2515"/>
      <c r="D52" s="2515"/>
      <c r="E52" s="2515"/>
      <c r="F52" s="2516">
        <v>67.5</v>
      </c>
      <c r="G52" s="2515">
        <v>65.900000000000006</v>
      </c>
      <c r="H52" s="2515">
        <v>69</v>
      </c>
      <c r="I52" s="2514">
        <v>68.099999999999994</v>
      </c>
      <c r="J52" s="2514">
        <v>67.400000000000006</v>
      </c>
      <c r="K52" s="2514"/>
      <c r="L52" s="2514">
        <v>67.58</v>
      </c>
    </row>
    <row r="53" spans="2:12" ht="12.75" hidden="1">
      <c r="B53" s="2517" t="s">
        <v>86</v>
      </c>
      <c r="C53" s="2515"/>
      <c r="D53" s="2515"/>
      <c r="E53" s="2515"/>
      <c r="F53" s="2516">
        <v>61.7</v>
      </c>
      <c r="G53" s="2515">
        <v>62.1</v>
      </c>
      <c r="H53" s="2515">
        <v>65.599999999999994</v>
      </c>
      <c r="I53" s="2514">
        <v>58.4</v>
      </c>
      <c r="J53" s="2514">
        <v>60.2</v>
      </c>
      <c r="K53" s="2514"/>
      <c r="L53" s="2514">
        <v>61.6</v>
      </c>
    </row>
    <row r="54" spans="2:12" ht="12.75" hidden="1">
      <c r="B54" s="2517" t="s">
        <v>267</v>
      </c>
      <c r="C54" s="2515"/>
      <c r="D54" s="2515"/>
      <c r="E54" s="2515"/>
      <c r="F54" s="2516">
        <v>50.4</v>
      </c>
      <c r="G54" s="2515">
        <v>55</v>
      </c>
      <c r="H54" s="2515">
        <v>55.3</v>
      </c>
      <c r="I54" s="2514">
        <v>53.2</v>
      </c>
      <c r="J54" s="2514">
        <v>44.3</v>
      </c>
      <c r="K54" s="2514"/>
      <c r="L54" s="2514">
        <v>51.64</v>
      </c>
    </row>
    <row r="55" spans="2:12" ht="12.75" hidden="1">
      <c r="B55" s="2517" t="s">
        <v>75</v>
      </c>
      <c r="C55" s="2515"/>
      <c r="D55" s="2515"/>
      <c r="E55" s="2515"/>
      <c r="F55" s="2516">
        <v>47.8</v>
      </c>
      <c r="G55" s="2515">
        <v>49.5</v>
      </c>
      <c r="H55" s="2515">
        <v>59</v>
      </c>
      <c r="I55" s="2514">
        <v>55.5</v>
      </c>
      <c r="J55" s="2514">
        <v>44.7</v>
      </c>
      <c r="K55" s="2514"/>
      <c r="L55" s="2514">
        <v>51.3</v>
      </c>
    </row>
    <row r="56" spans="2:12" ht="12.75" hidden="1">
      <c r="B56" s="2517" t="s">
        <v>1691</v>
      </c>
      <c r="C56" s="2515"/>
      <c r="D56" s="2515"/>
      <c r="E56" s="2515"/>
      <c r="F56" s="2516">
        <v>121.2</v>
      </c>
      <c r="G56" s="2515">
        <v>98.5</v>
      </c>
      <c r="H56" s="2515">
        <v>109.2</v>
      </c>
      <c r="I56" s="2514">
        <v>105.4</v>
      </c>
      <c r="J56" s="2514">
        <v>97.9</v>
      </c>
      <c r="K56" s="2514"/>
      <c r="L56" s="2514">
        <v>106.43999999999998</v>
      </c>
    </row>
    <row r="57" spans="2:12" ht="12.75" hidden="1">
      <c r="B57" s="2517" t="s">
        <v>45</v>
      </c>
      <c r="C57" s="2515"/>
      <c r="D57" s="2515"/>
      <c r="E57" s="2515"/>
      <c r="F57" s="2516">
        <v>802.5</v>
      </c>
      <c r="G57" s="2515">
        <v>689.9</v>
      </c>
      <c r="H57" s="2515">
        <v>727.2</v>
      </c>
      <c r="I57" s="2514">
        <v>667.8</v>
      </c>
      <c r="J57" s="2514">
        <v>644.20000000000005</v>
      </c>
      <c r="K57" s="2514"/>
      <c r="L57" s="2514">
        <v>706.32</v>
      </c>
    </row>
    <row r="58" spans="2:12" ht="12.75" hidden="1">
      <c r="B58" s="2517" t="s">
        <v>195</v>
      </c>
      <c r="C58" s="2515"/>
      <c r="D58" s="2515"/>
      <c r="E58" s="2515"/>
      <c r="F58" s="2516"/>
      <c r="G58" s="2515"/>
      <c r="H58" s="2515">
        <v>270.7</v>
      </c>
      <c r="I58" s="2514">
        <v>282.39999999999998</v>
      </c>
      <c r="J58" s="2514">
        <v>283.7</v>
      </c>
      <c r="K58" s="2514"/>
      <c r="L58" s="2514">
        <v>278.93333333333334</v>
      </c>
    </row>
    <row r="59" spans="2:12" ht="12.75" hidden="1">
      <c r="B59" s="2517" t="s">
        <v>1690</v>
      </c>
      <c r="C59" s="2515"/>
      <c r="D59" s="2515"/>
      <c r="E59" s="2515"/>
      <c r="F59" s="2516"/>
      <c r="G59" s="2515"/>
      <c r="H59" s="2515">
        <v>387.2</v>
      </c>
      <c r="I59" s="2514">
        <v>371.3</v>
      </c>
      <c r="J59" s="2514">
        <v>363.3</v>
      </c>
      <c r="K59" s="2514"/>
      <c r="L59" s="2514">
        <v>373.93333333333334</v>
      </c>
    </row>
    <row r="60" spans="2:12" ht="12.75" hidden="1">
      <c r="B60" s="2517" t="s">
        <v>954</v>
      </c>
      <c r="C60" s="2515"/>
      <c r="D60" s="2515"/>
      <c r="E60" s="2515"/>
      <c r="F60" s="2516">
        <v>443.2</v>
      </c>
      <c r="G60" s="2515">
        <v>346.8</v>
      </c>
      <c r="H60" s="2515"/>
      <c r="I60" s="2514"/>
      <c r="J60" s="2514">
        <v>349.9</v>
      </c>
      <c r="K60" s="2514"/>
      <c r="L60" s="2514">
        <v>379.9666666666667</v>
      </c>
    </row>
    <row r="61" spans="2:12" ht="12.75" hidden="1">
      <c r="B61" s="2517" t="s">
        <v>64</v>
      </c>
      <c r="C61" s="2515"/>
      <c r="D61" s="2515"/>
      <c r="E61" s="2515"/>
      <c r="F61" s="2516">
        <v>26.5</v>
      </c>
      <c r="G61" s="2515">
        <v>38.799999999999997</v>
      </c>
      <c r="H61" s="2515">
        <v>41.8</v>
      </c>
      <c r="I61" s="2514">
        <v>37.4</v>
      </c>
      <c r="J61" s="2514">
        <v>42.1</v>
      </c>
      <c r="K61" s="2514"/>
      <c r="L61" s="2514">
        <v>37.32</v>
      </c>
    </row>
    <row r="62" spans="2:12" ht="12.75" hidden="1">
      <c r="B62" s="2517" t="s">
        <v>62</v>
      </c>
      <c r="C62" s="2515"/>
      <c r="D62" s="2515"/>
      <c r="E62" s="2515"/>
      <c r="F62" s="2516"/>
      <c r="G62" s="2515">
        <v>25.2</v>
      </c>
      <c r="H62" s="2515">
        <v>24.4</v>
      </c>
      <c r="I62" s="2514">
        <v>26.2</v>
      </c>
      <c r="J62" s="2514">
        <v>24.9</v>
      </c>
      <c r="K62" s="2514"/>
      <c r="L62" s="2514">
        <v>25.174999999999997</v>
      </c>
    </row>
    <row r="63" spans="2:12" ht="12.75" hidden="1">
      <c r="B63" s="2517" t="s">
        <v>54</v>
      </c>
      <c r="C63" s="2515"/>
      <c r="D63" s="2515"/>
      <c r="E63" s="2515"/>
      <c r="F63" s="2516"/>
      <c r="G63" s="2515">
        <v>34.6</v>
      </c>
      <c r="H63" s="2515">
        <v>35.9</v>
      </c>
      <c r="I63" s="2514">
        <v>36.700000000000003</v>
      </c>
      <c r="J63" s="2514">
        <v>34</v>
      </c>
      <c r="K63" s="2514"/>
      <c r="L63" s="2514">
        <v>35.299999999999997</v>
      </c>
    </row>
    <row r="64" spans="2:12" ht="12.75" hidden="1">
      <c r="B64" s="2517" t="s">
        <v>52</v>
      </c>
      <c r="C64" s="2515"/>
      <c r="D64" s="2515"/>
      <c r="E64" s="2515"/>
      <c r="F64" s="2516"/>
      <c r="G64" s="2515">
        <v>32.299999999999997</v>
      </c>
      <c r="H64" s="2515">
        <v>33.5</v>
      </c>
      <c r="I64" s="2514">
        <v>35</v>
      </c>
      <c r="J64" s="2514">
        <v>31.6</v>
      </c>
      <c r="K64" s="2514"/>
      <c r="L64" s="2514">
        <v>33.1</v>
      </c>
    </row>
    <row r="65" spans="2:12" ht="12.75" hidden="1">
      <c r="B65" s="2517" t="s">
        <v>1663</v>
      </c>
      <c r="C65" s="2515"/>
      <c r="D65" s="2515"/>
      <c r="E65" s="2515"/>
      <c r="F65" s="2516">
        <v>484.8</v>
      </c>
      <c r="G65" s="2515">
        <v>439.1</v>
      </c>
      <c r="H65" s="2515">
        <v>484.4</v>
      </c>
      <c r="I65" s="2514">
        <v>478.4</v>
      </c>
      <c r="J65" s="2514">
        <v>469.5</v>
      </c>
      <c r="K65" s="2514"/>
      <c r="L65" s="2514">
        <v>471.24000000000007</v>
      </c>
    </row>
    <row r="66" spans="2:12" ht="12.75" hidden="1">
      <c r="B66" s="2517" t="s">
        <v>1689</v>
      </c>
      <c r="C66" s="2515"/>
      <c r="D66" s="2515"/>
      <c r="E66" s="2515"/>
      <c r="F66" s="2516"/>
      <c r="G66" s="2515"/>
      <c r="H66" s="2515">
        <v>80.099999999999994</v>
      </c>
      <c r="I66" s="2514">
        <v>76.5</v>
      </c>
      <c r="J66" s="2514">
        <v>76.2</v>
      </c>
      <c r="K66" s="2514"/>
      <c r="L66" s="2514">
        <v>77.600000000000009</v>
      </c>
    </row>
    <row r="67" spans="2:12" ht="12.75" hidden="1">
      <c r="B67" s="2517" t="s">
        <v>1688</v>
      </c>
      <c r="C67" s="2515"/>
      <c r="D67" s="2515"/>
      <c r="E67" s="2515"/>
      <c r="F67" s="2516"/>
      <c r="G67" s="2515"/>
      <c r="H67" s="2515">
        <v>82</v>
      </c>
      <c r="I67" s="2514">
        <v>78.5</v>
      </c>
      <c r="J67" s="2514">
        <v>81.2</v>
      </c>
      <c r="K67" s="2514"/>
      <c r="L67" s="2514">
        <v>80.566666666666663</v>
      </c>
    </row>
    <row r="68" spans="2:12" ht="12.75" hidden="1">
      <c r="B68" s="2517" t="s">
        <v>1687</v>
      </c>
      <c r="C68" s="2515"/>
      <c r="D68" s="2515"/>
      <c r="E68" s="2515"/>
      <c r="F68" s="2516">
        <v>66.599999999999994</v>
      </c>
      <c r="G68" s="2515">
        <v>63.6</v>
      </c>
      <c r="H68" s="2515"/>
      <c r="I68" s="2514"/>
      <c r="J68" s="2514"/>
      <c r="K68" s="2514"/>
      <c r="L68" s="2514">
        <v>65.099999999999994</v>
      </c>
    </row>
    <row r="69" spans="2:12" ht="12.75" hidden="1">
      <c r="B69" s="2517" t="s">
        <v>1686</v>
      </c>
      <c r="C69" s="2515"/>
      <c r="D69" s="2515"/>
      <c r="E69" s="2515"/>
      <c r="F69" s="2516">
        <v>57.2</v>
      </c>
      <c r="G69" s="2515">
        <v>57.5</v>
      </c>
      <c r="H69" s="2515">
        <v>72.8</v>
      </c>
      <c r="I69" s="2514">
        <v>71.2</v>
      </c>
      <c r="J69" s="2514">
        <v>73</v>
      </c>
      <c r="K69" s="2514"/>
      <c r="L69" s="2514">
        <v>66.34</v>
      </c>
    </row>
    <row r="70" spans="2:12" ht="12.75" hidden="1">
      <c r="B70" s="2517" t="s">
        <v>1685</v>
      </c>
      <c r="C70" s="2515"/>
      <c r="D70" s="2515"/>
      <c r="E70" s="2515"/>
      <c r="F70" s="2516">
        <v>66</v>
      </c>
      <c r="G70" s="2515">
        <v>62.9</v>
      </c>
      <c r="H70" s="2515">
        <v>76.3</v>
      </c>
      <c r="I70" s="2514">
        <v>75.3</v>
      </c>
      <c r="J70" s="2514">
        <v>73.099999999999994</v>
      </c>
      <c r="K70" s="2514"/>
      <c r="L70" s="2514">
        <v>70.72</v>
      </c>
    </row>
    <row r="71" spans="2:12" ht="12.75">
      <c r="C71" s="4161" t="s">
        <v>1684</v>
      </c>
      <c r="D71" s="4162"/>
      <c r="E71" s="4162"/>
      <c r="F71" s="4162"/>
      <c r="G71" s="4162"/>
    </row>
    <row r="72" spans="2:12">
      <c r="B72" s="4163" t="s">
        <v>1683</v>
      </c>
      <c r="C72" s="2507">
        <v>2013</v>
      </c>
      <c r="D72" s="2507">
        <v>2014</v>
      </c>
      <c r="E72" s="2507">
        <v>2015</v>
      </c>
      <c r="F72" s="2507">
        <v>2016</v>
      </c>
      <c r="G72" s="2507">
        <v>2017</v>
      </c>
    </row>
    <row r="73" spans="2:12" ht="12.75">
      <c r="B73" s="4164"/>
      <c r="C73" s="4165" t="s">
        <v>172</v>
      </c>
      <c r="D73" s="4166"/>
      <c r="E73" s="4166"/>
      <c r="F73" s="4166"/>
      <c r="G73" s="4166"/>
    </row>
    <row r="74" spans="2:12" ht="12.75">
      <c r="B74" s="2512" t="s">
        <v>269</v>
      </c>
      <c r="C74" s="2509">
        <v>74.099999999999994</v>
      </c>
      <c r="D74" s="2509">
        <v>83.5</v>
      </c>
      <c r="E74" s="2509">
        <v>76.3</v>
      </c>
      <c r="F74" s="2509">
        <v>66.099999999999994</v>
      </c>
      <c r="G74" s="2509" t="s">
        <v>1662</v>
      </c>
    </row>
    <row r="75" spans="2:12" ht="12.75">
      <c r="B75" s="2512" t="s">
        <v>86</v>
      </c>
      <c r="C75" s="2509">
        <v>68.3</v>
      </c>
      <c r="D75" s="2509">
        <v>76.2</v>
      </c>
      <c r="E75" s="2509">
        <v>67.400000000000006</v>
      </c>
      <c r="F75" s="2509">
        <v>67.400000000000006</v>
      </c>
      <c r="G75" s="2509" t="s">
        <v>1662</v>
      </c>
    </row>
    <row r="76" spans="2:12" ht="12.75">
      <c r="B76" s="2512" t="s">
        <v>267</v>
      </c>
      <c r="C76" s="2509">
        <v>55.4</v>
      </c>
      <c r="D76" s="2509">
        <v>59.7</v>
      </c>
      <c r="E76" s="2509">
        <v>53.9</v>
      </c>
      <c r="F76" s="2509">
        <v>49.6</v>
      </c>
      <c r="G76" s="2509" t="s">
        <v>1662</v>
      </c>
    </row>
    <row r="77" spans="2:12" ht="12.75">
      <c r="B77" s="2512" t="s">
        <v>75</v>
      </c>
      <c r="C77" s="2509">
        <v>45.2</v>
      </c>
      <c r="D77" s="2509">
        <v>52.5</v>
      </c>
      <c r="E77" s="2509">
        <v>46.6</v>
      </c>
      <c r="F77" s="2509">
        <v>45.6</v>
      </c>
      <c r="G77" s="2509" t="s">
        <v>1662</v>
      </c>
    </row>
    <row r="78" spans="2:12" ht="12.75">
      <c r="B78" s="2512" t="s">
        <v>88</v>
      </c>
      <c r="C78" s="2509">
        <v>69.900000000000006</v>
      </c>
      <c r="D78" s="2509">
        <v>74.400000000000006</v>
      </c>
      <c r="E78" s="2509">
        <v>67.5</v>
      </c>
      <c r="F78" s="2509">
        <v>53.1</v>
      </c>
      <c r="G78" s="2509" t="s">
        <v>1662</v>
      </c>
    </row>
    <row r="79" spans="2:12" ht="12.75">
      <c r="B79" s="2512" t="s">
        <v>70</v>
      </c>
      <c r="C79" s="2509">
        <v>95.6</v>
      </c>
      <c r="D79" s="2509">
        <v>115.7</v>
      </c>
      <c r="E79" s="2509">
        <v>84.3</v>
      </c>
      <c r="F79" s="2509">
        <v>96.1</v>
      </c>
      <c r="G79" s="2509" t="s">
        <v>1662</v>
      </c>
    </row>
    <row r="80" spans="2:12" ht="12.75">
      <c r="B80" s="2512" t="s">
        <v>954</v>
      </c>
      <c r="C80" s="2509">
        <v>364.9</v>
      </c>
      <c r="D80" s="2509">
        <v>473.2</v>
      </c>
      <c r="E80" s="2509">
        <v>369.4</v>
      </c>
      <c r="F80" s="2509">
        <v>365.6</v>
      </c>
      <c r="G80" s="2509" t="s">
        <v>1662</v>
      </c>
    </row>
    <row r="81" spans="2:10" ht="12.75">
      <c r="B81" s="2512" t="s">
        <v>45</v>
      </c>
      <c r="C81" s="2509">
        <v>753.9</v>
      </c>
      <c r="D81" s="2509">
        <v>878.4</v>
      </c>
      <c r="E81" s="2509">
        <v>673.8</v>
      </c>
      <c r="F81" s="2509">
        <v>775.2</v>
      </c>
      <c r="G81" s="2509" t="s">
        <v>1662</v>
      </c>
    </row>
    <row r="82" spans="2:10" ht="12.75">
      <c r="B82" s="2512" t="s">
        <v>64</v>
      </c>
      <c r="C82" s="2509">
        <v>37</v>
      </c>
      <c r="D82" s="2509">
        <v>47.2</v>
      </c>
      <c r="E82" s="2509">
        <v>40.799999999999997</v>
      </c>
      <c r="F82" s="2509">
        <v>38.799999999999997</v>
      </c>
      <c r="G82" s="2509" t="s">
        <v>1662</v>
      </c>
    </row>
    <row r="83" spans="2:10" ht="12.75">
      <c r="B83" s="2512" t="s">
        <v>1663</v>
      </c>
      <c r="C83" s="2509">
        <v>426.6</v>
      </c>
      <c r="D83" s="2509">
        <v>485.3</v>
      </c>
      <c r="E83" s="2509">
        <v>393.2</v>
      </c>
      <c r="F83" s="2509">
        <v>427.1</v>
      </c>
      <c r="G83" s="2509" t="s">
        <v>1662</v>
      </c>
    </row>
    <row r="84" spans="2:10" ht="14.25">
      <c r="B84" s="2512" t="s">
        <v>1682</v>
      </c>
      <c r="C84" s="2509">
        <v>56.6</v>
      </c>
      <c r="D84" s="2509">
        <v>59.1</v>
      </c>
      <c r="E84" s="2509">
        <v>48.5</v>
      </c>
      <c r="F84" s="2509">
        <v>61.9</v>
      </c>
      <c r="G84" s="2509" t="s">
        <v>1662</v>
      </c>
    </row>
    <row r="85" spans="2:10" ht="14.25">
      <c r="B85" s="2512" t="s">
        <v>1681</v>
      </c>
      <c r="C85" s="2509">
        <v>63.4</v>
      </c>
      <c r="D85" s="2509">
        <v>57.5</v>
      </c>
      <c r="E85" s="2509">
        <v>47.4</v>
      </c>
      <c r="F85" s="2509">
        <v>52.3</v>
      </c>
      <c r="G85" s="2509" t="s">
        <v>1662</v>
      </c>
    </row>
    <row r="87" spans="2:10" ht="13.15" customHeight="1">
      <c r="B87" s="4167" t="s">
        <v>1680</v>
      </c>
      <c r="C87" s="4167"/>
      <c r="D87" s="4167"/>
      <c r="E87" s="4167"/>
      <c r="F87" s="4167"/>
      <c r="G87" s="4167"/>
      <c r="H87" s="4167"/>
      <c r="I87" s="4167"/>
      <c r="J87" s="4167"/>
    </row>
    <row r="88" spans="2:10" ht="12.75">
      <c r="B88" s="4168" t="s">
        <v>1679</v>
      </c>
      <c r="C88" s="4168" t="s">
        <v>1678</v>
      </c>
      <c r="D88" s="4168"/>
      <c r="E88" s="4168"/>
      <c r="F88" s="4168"/>
      <c r="G88" s="4168"/>
      <c r="H88" s="4167"/>
      <c r="I88" s="4167"/>
      <c r="J88" s="2513"/>
    </row>
    <row r="89" spans="2:10" ht="12.75">
      <c r="B89" s="4168"/>
      <c r="C89" s="4168"/>
      <c r="D89" s="4168"/>
      <c r="E89" s="4168"/>
      <c r="F89" s="4168"/>
      <c r="G89" s="4168"/>
      <c r="H89" s="4167"/>
      <c r="I89" s="4167"/>
      <c r="J89" s="2513"/>
    </row>
    <row r="90" spans="2:10" ht="26.45" customHeight="1">
      <c r="B90" s="4168"/>
      <c r="C90" s="4168"/>
      <c r="D90" s="4168"/>
      <c r="E90" s="4168"/>
      <c r="F90" s="4168"/>
      <c r="G90" s="4168"/>
      <c r="H90" s="4167"/>
      <c r="I90" s="4167"/>
      <c r="J90" s="2513"/>
    </row>
    <row r="91" spans="2:10" ht="38.25">
      <c r="B91" s="4168"/>
      <c r="C91" s="2513" t="s">
        <v>1677</v>
      </c>
      <c r="D91" s="2513" t="s">
        <v>1676</v>
      </c>
      <c r="E91" s="2513" t="s">
        <v>1675</v>
      </c>
      <c r="F91" s="2513" t="s">
        <v>1674</v>
      </c>
      <c r="G91" s="2513" t="s">
        <v>1673</v>
      </c>
      <c r="H91" s="2513"/>
      <c r="I91" s="2513" t="s">
        <v>1672</v>
      </c>
      <c r="J91" s="2513"/>
    </row>
    <row r="92" spans="2:10" ht="13.15" customHeight="1">
      <c r="B92" s="4168"/>
      <c r="C92" s="4167" t="s">
        <v>172</v>
      </c>
      <c r="D92" s="4167"/>
      <c r="E92" s="4167"/>
      <c r="F92" s="4167"/>
      <c r="G92" s="4167"/>
      <c r="H92" s="4167"/>
      <c r="I92" s="4167"/>
      <c r="J92" s="4167"/>
    </row>
    <row r="93" spans="2:10" ht="12.75">
      <c r="B93" s="2512" t="s">
        <v>1671</v>
      </c>
      <c r="C93" s="2511" t="s">
        <v>168</v>
      </c>
      <c r="D93" s="2511" t="s">
        <v>168</v>
      </c>
      <c r="E93" s="2511">
        <v>73.8</v>
      </c>
      <c r="F93" s="2511" t="s">
        <v>168</v>
      </c>
      <c r="G93" s="2511" t="s">
        <v>168</v>
      </c>
      <c r="H93" s="2509"/>
      <c r="I93" s="2510"/>
      <c r="J93" s="2509"/>
    </row>
    <row r="94" spans="2:10" ht="14.25">
      <c r="B94" s="2512" t="s">
        <v>1670</v>
      </c>
      <c r="C94" s="2511" t="s">
        <v>168</v>
      </c>
      <c r="D94" s="2511" t="s">
        <v>168</v>
      </c>
      <c r="E94" s="2511">
        <v>97.1</v>
      </c>
      <c r="F94" s="2511" t="s">
        <v>1662</v>
      </c>
      <c r="G94" s="2511" t="s">
        <v>168</v>
      </c>
      <c r="H94" s="2509"/>
      <c r="I94" s="2510">
        <v>97.1</v>
      </c>
      <c r="J94" s="2509"/>
    </row>
    <row r="95" spans="2:10" ht="12.75">
      <c r="B95" s="2512" t="s">
        <v>1669</v>
      </c>
      <c r="C95" s="2511">
        <v>69</v>
      </c>
      <c r="D95" s="2511">
        <v>69.900000000000006</v>
      </c>
      <c r="E95" s="2511">
        <v>70.3</v>
      </c>
      <c r="F95" s="2511" t="s">
        <v>168</v>
      </c>
      <c r="G95" s="2511" t="s">
        <v>168</v>
      </c>
      <c r="H95" s="2509"/>
      <c r="I95" s="2510"/>
      <c r="J95" s="2509"/>
    </row>
    <row r="96" spans="2:10" ht="12.75">
      <c r="B96" s="2512" t="s">
        <v>1668</v>
      </c>
      <c r="C96" s="2511">
        <v>73</v>
      </c>
      <c r="D96" s="2511">
        <v>72.900000000000006</v>
      </c>
      <c r="E96" s="2511">
        <v>74</v>
      </c>
      <c r="F96" s="2511" t="s">
        <v>168</v>
      </c>
      <c r="G96" s="2511" t="s">
        <v>168</v>
      </c>
      <c r="H96" s="2509"/>
      <c r="I96" s="2510"/>
      <c r="J96" s="2509"/>
    </row>
    <row r="97" spans="2:10" ht="14.25">
      <c r="B97" s="2512" t="s">
        <v>1667</v>
      </c>
      <c r="C97" s="2511">
        <v>73.400000000000006</v>
      </c>
      <c r="D97" s="2511">
        <v>73.2</v>
      </c>
      <c r="E97" s="2511">
        <v>74.2</v>
      </c>
      <c r="F97" s="2511" t="s">
        <v>168</v>
      </c>
      <c r="G97" s="2511" t="s">
        <v>168</v>
      </c>
      <c r="H97" s="2509"/>
      <c r="I97" s="2510">
        <f>(C97+D97+E97)/3</f>
        <v>73.600000000000009</v>
      </c>
      <c r="J97" s="2509"/>
    </row>
    <row r="98" spans="2:10" ht="12.75">
      <c r="B98" s="2512" t="s">
        <v>81</v>
      </c>
      <c r="C98" s="2511">
        <v>57.4</v>
      </c>
      <c r="D98" s="2511">
        <v>55.7</v>
      </c>
      <c r="E98" s="2511">
        <v>62</v>
      </c>
      <c r="F98" s="2511" t="s">
        <v>168</v>
      </c>
      <c r="G98" s="2511" t="s">
        <v>168</v>
      </c>
      <c r="H98" s="2509"/>
      <c r="I98" s="2510"/>
      <c r="J98" s="2509"/>
    </row>
    <row r="99" spans="2:10" ht="12.75">
      <c r="B99" s="2512" t="s">
        <v>1666</v>
      </c>
      <c r="C99" s="2511">
        <v>52.4</v>
      </c>
      <c r="D99" s="2511">
        <v>54.3</v>
      </c>
      <c r="E99" s="2511">
        <v>54.1</v>
      </c>
      <c r="F99" s="2511" t="s">
        <v>168</v>
      </c>
      <c r="G99" s="2511" t="s">
        <v>168</v>
      </c>
      <c r="H99" s="2509"/>
      <c r="I99" s="2510"/>
      <c r="J99" s="2509"/>
    </row>
    <row r="100" spans="2:10" ht="12.75">
      <c r="B100" s="2512" t="s">
        <v>1665</v>
      </c>
      <c r="C100" s="2511">
        <v>66</v>
      </c>
      <c r="D100" s="2511">
        <v>69</v>
      </c>
      <c r="E100" s="2511">
        <v>68.400000000000006</v>
      </c>
      <c r="F100" s="2511" t="s">
        <v>168</v>
      </c>
      <c r="G100" s="2511" t="s">
        <v>168</v>
      </c>
      <c r="H100" s="2509"/>
      <c r="I100" s="2510"/>
      <c r="J100" s="2509"/>
    </row>
    <row r="101" spans="2:10" ht="12.75">
      <c r="B101" s="2512" t="s">
        <v>86</v>
      </c>
      <c r="C101" s="2511">
        <v>71.599999999999994</v>
      </c>
      <c r="D101" s="2511">
        <v>75.2</v>
      </c>
      <c r="E101" s="2511">
        <v>74.099999999999994</v>
      </c>
      <c r="F101" s="2511" t="s">
        <v>168</v>
      </c>
      <c r="G101" s="2511" t="s">
        <v>168</v>
      </c>
      <c r="H101" s="2509"/>
      <c r="I101" s="2510">
        <f>(C101+D101+E101)/3</f>
        <v>73.63333333333334</v>
      </c>
      <c r="J101" s="2509"/>
    </row>
    <row r="102" spans="2:10" ht="12.75">
      <c r="B102" s="2512" t="s">
        <v>267</v>
      </c>
      <c r="C102" s="2511">
        <v>56.5</v>
      </c>
      <c r="D102" s="2511">
        <v>58.5</v>
      </c>
      <c r="E102" s="2511">
        <v>58.8</v>
      </c>
      <c r="F102" s="2511" t="s">
        <v>168</v>
      </c>
      <c r="G102" s="2511" t="s">
        <v>168</v>
      </c>
      <c r="H102" s="2509"/>
      <c r="I102" s="2510"/>
      <c r="J102" s="2509"/>
    </row>
    <row r="103" spans="2:10" ht="12.75">
      <c r="B103" s="2512" t="s">
        <v>75</v>
      </c>
      <c r="C103" s="2511">
        <v>49.7</v>
      </c>
      <c r="D103" s="2511">
        <v>50.8</v>
      </c>
      <c r="E103" s="2511">
        <v>49.1</v>
      </c>
      <c r="F103" s="2511" t="s">
        <v>168</v>
      </c>
      <c r="G103" s="2511" t="s">
        <v>168</v>
      </c>
      <c r="H103" s="2509"/>
      <c r="I103" s="2510"/>
      <c r="J103" s="2509"/>
    </row>
    <row r="104" spans="2:10" ht="12.75">
      <c r="B104" s="2512" t="s">
        <v>88</v>
      </c>
      <c r="C104" s="2511">
        <v>73.099999999999994</v>
      </c>
      <c r="D104" s="2511">
        <v>72.5</v>
      </c>
      <c r="E104" s="2511">
        <v>72.400000000000006</v>
      </c>
      <c r="F104" s="2511" t="s">
        <v>168</v>
      </c>
      <c r="G104" s="2511" t="s">
        <v>168</v>
      </c>
      <c r="H104" s="2509"/>
      <c r="I104" s="2510">
        <f>(C104+D104+E104)/3</f>
        <v>72.666666666666671</v>
      </c>
      <c r="J104" s="2509"/>
    </row>
    <row r="105" spans="2:10" ht="12.75">
      <c r="B105" s="2512" t="s">
        <v>54</v>
      </c>
      <c r="C105" s="2511" t="s">
        <v>168</v>
      </c>
      <c r="D105" s="2511">
        <v>37.4</v>
      </c>
      <c r="E105" s="2511">
        <v>36.1</v>
      </c>
      <c r="F105" s="2511" t="s">
        <v>168</v>
      </c>
      <c r="G105" s="2511" t="s">
        <v>168</v>
      </c>
      <c r="H105" s="2509"/>
      <c r="I105" s="2510"/>
      <c r="J105" s="2509"/>
    </row>
    <row r="106" spans="2:10" ht="12.75">
      <c r="B106" s="2512" t="s">
        <v>52</v>
      </c>
      <c r="C106" s="2511" t="s">
        <v>168</v>
      </c>
      <c r="D106" s="2511" t="s">
        <v>168</v>
      </c>
      <c r="E106" s="2511">
        <v>29.1</v>
      </c>
      <c r="F106" s="2511" t="s">
        <v>168</v>
      </c>
      <c r="G106" s="2511" t="s">
        <v>168</v>
      </c>
      <c r="H106" s="2509"/>
      <c r="I106" s="2510"/>
      <c r="J106" s="2509"/>
    </row>
    <row r="107" spans="2:10" ht="12.75">
      <c r="B107" s="2512" t="s">
        <v>1664</v>
      </c>
      <c r="C107" s="2511" t="s">
        <v>168</v>
      </c>
      <c r="D107" s="2511" t="s">
        <v>168</v>
      </c>
      <c r="E107" s="2511">
        <v>362.8</v>
      </c>
      <c r="F107" s="2511" t="s">
        <v>168</v>
      </c>
      <c r="G107" s="2511" t="s">
        <v>168</v>
      </c>
      <c r="H107" s="2509"/>
      <c r="I107" s="2510"/>
      <c r="J107" s="2509"/>
    </row>
    <row r="108" spans="2:10" ht="12.75">
      <c r="B108" s="2512" t="s">
        <v>45</v>
      </c>
      <c r="C108" s="2511" t="s">
        <v>168</v>
      </c>
      <c r="D108" s="2511" t="s">
        <v>168</v>
      </c>
      <c r="E108" s="2511" t="s">
        <v>168</v>
      </c>
      <c r="F108" s="2511" t="s">
        <v>168</v>
      </c>
      <c r="G108" s="2511" t="s">
        <v>1662</v>
      </c>
      <c r="H108" s="2509"/>
      <c r="I108" s="2510"/>
      <c r="J108" s="2509"/>
    </row>
    <row r="109" spans="2:10" ht="12.75">
      <c r="B109" s="2512" t="s">
        <v>64</v>
      </c>
      <c r="C109" s="2511">
        <v>38.1</v>
      </c>
      <c r="D109" s="2511">
        <v>36.700000000000003</v>
      </c>
      <c r="E109" s="2511">
        <v>38.299999999999997</v>
      </c>
      <c r="F109" s="2511" t="s">
        <v>168</v>
      </c>
      <c r="G109" s="2511" t="s">
        <v>168</v>
      </c>
      <c r="H109" s="2509"/>
      <c r="I109" s="2510">
        <f>(C109+D109+E109)/3</f>
        <v>37.700000000000003</v>
      </c>
      <c r="J109" s="2509"/>
    </row>
    <row r="110" spans="2:10" ht="12.75">
      <c r="B110" s="2512" t="s">
        <v>1663</v>
      </c>
      <c r="C110" s="2511" t="s">
        <v>168</v>
      </c>
      <c r="D110" s="2511" t="s">
        <v>168</v>
      </c>
      <c r="E110" s="2511">
        <v>460.5</v>
      </c>
      <c r="F110" s="2511" t="s">
        <v>1662</v>
      </c>
      <c r="G110" s="2511" t="s">
        <v>168</v>
      </c>
      <c r="H110" s="2509"/>
      <c r="I110" s="2510"/>
      <c r="J110" s="2509"/>
    </row>
    <row r="111" spans="2:10" ht="12.75">
      <c r="B111" s="2508" t="s">
        <v>1661</v>
      </c>
    </row>
    <row r="112" spans="2:10" ht="12.75">
      <c r="B112" s="2508" t="s">
        <v>1660</v>
      </c>
    </row>
    <row r="113" spans="2:2" ht="12.75">
      <c r="B113" s="2508" t="s">
        <v>1659</v>
      </c>
    </row>
    <row r="114" spans="2:2" ht="12.75">
      <c r="B114" s="2508" t="s">
        <v>1658</v>
      </c>
    </row>
  </sheetData>
  <mergeCells count="10">
    <mergeCell ref="B72:B73"/>
    <mergeCell ref="C73:G73"/>
    <mergeCell ref="C71:G71"/>
    <mergeCell ref="B87:J87"/>
    <mergeCell ref="B88:B92"/>
    <mergeCell ref="C88:G90"/>
    <mergeCell ref="H88:I88"/>
    <mergeCell ref="H89:I89"/>
    <mergeCell ref="H90:I90"/>
    <mergeCell ref="C92:J92"/>
  </mergeCells>
  <pageMargins left="0.70866141732283472" right="0.70866141732283472" top="0.78740157480314965" bottom="0.78740157480314965" header="0.31496062992125984" footer="0.31496062992125984"/>
  <pageSetup paperSize="9" scale="81" orientation="landscape" verticalDpi="1200" r:id="rId1"/>
  <headerFooter>
    <oddFooter>&amp;L&amp;9LEL Schwäbisch Gmünd, Abt. II&amp;C&amp;9&amp;F&amp;R&amp;9&amp;A</oddFooter>
  </headerFooter>
  <rowBreaks count="1" manualBreakCount="1">
    <brk id="44"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pageSetUpPr fitToPage="1"/>
  </sheetPr>
  <dimension ref="A1:AH191"/>
  <sheetViews>
    <sheetView workbookViewId="0"/>
  </sheetViews>
  <sheetFormatPr baseColWidth="10" defaultColWidth="10.25" defaultRowHeight="15"/>
  <cols>
    <col min="1" max="1" width="1.5" style="2617" customWidth="1"/>
    <col min="2" max="2" width="9.625" style="2617" customWidth="1"/>
    <col min="3" max="3" width="7.75" style="2618" customWidth="1"/>
    <col min="4" max="4" width="3.25" style="2618" customWidth="1"/>
    <col min="5" max="5" width="2.375" style="2618" customWidth="1"/>
    <col min="6" max="6" width="5.125" style="2618" customWidth="1"/>
    <col min="7" max="7" width="6" style="2618" customWidth="1"/>
    <col min="8" max="8" width="1.5" style="2618" customWidth="1"/>
    <col min="9" max="9" width="12" style="2618" customWidth="1"/>
    <col min="10" max="10" width="6" style="2618" customWidth="1"/>
    <col min="11" max="11" width="3.25" style="2618" customWidth="1"/>
    <col min="12" max="12" width="10.5" style="2618" customWidth="1"/>
    <col min="13" max="13" width="3.25" style="2618" customWidth="1"/>
    <col min="14" max="14" width="6" style="2618" customWidth="1"/>
    <col min="15" max="15" width="1.5" style="2618" customWidth="1"/>
    <col min="16" max="16" width="15" style="2617" customWidth="1"/>
    <col min="17" max="17" width="9.625" style="2617" customWidth="1"/>
    <col min="18" max="18" width="3.25" style="2617" customWidth="1"/>
    <col min="19" max="19" width="1.5" style="2617" customWidth="1"/>
    <col min="20" max="20" width="15" style="2617" customWidth="1"/>
    <col min="21" max="21" width="1.5" style="2617" customWidth="1"/>
    <col min="22" max="22" width="10.75" style="136" bestFit="1" customWidth="1"/>
    <col min="23" max="23" width="12.25" style="136" bestFit="1" customWidth="1"/>
    <col min="24" max="24" width="12.625" style="136" bestFit="1" customWidth="1"/>
    <col min="25" max="25" width="10.25" style="136"/>
    <col min="26" max="26" width="11.125" style="136" customWidth="1"/>
    <col min="27" max="27" width="10.25" style="136"/>
    <col min="28" max="28" width="0" style="136" hidden="1" customWidth="1"/>
    <col min="29" max="29" width="10.25" style="136"/>
    <col min="30" max="30" width="10.5" style="136" bestFit="1" customWidth="1"/>
    <col min="31" max="34" width="10.25" style="136"/>
    <col min="35" max="16384" width="10.25" style="2617"/>
  </cols>
  <sheetData>
    <row r="1" spans="1:27" ht="5.0999999999999996" customHeight="1" thickBot="1">
      <c r="A1" s="2869"/>
      <c r="B1" s="2687"/>
      <c r="C1" s="2963"/>
      <c r="D1" s="2963"/>
      <c r="E1" s="2963"/>
      <c r="F1" s="2963"/>
      <c r="G1" s="2963"/>
      <c r="H1" s="2963"/>
      <c r="I1" s="2963"/>
      <c r="J1" s="2963"/>
      <c r="K1" s="2963"/>
      <c r="L1" s="2963"/>
      <c r="M1" s="2963"/>
      <c r="N1" s="2963"/>
      <c r="O1" s="2963"/>
      <c r="P1" s="2687"/>
      <c r="Q1" s="2687"/>
      <c r="R1" s="2687"/>
      <c r="S1" s="2687"/>
      <c r="T1" s="2687"/>
      <c r="U1" s="2687"/>
      <c r="V1" s="2619"/>
      <c r="W1" s="2619"/>
      <c r="X1" s="2619"/>
      <c r="Y1" s="2619"/>
    </row>
    <row r="2" spans="1:27" ht="15" customHeight="1">
      <c r="A2" s="2687"/>
      <c r="B2" s="4193" t="s">
        <v>1838</v>
      </c>
      <c r="C2" s="4194"/>
      <c r="D2" s="4194"/>
      <c r="E2" s="4194"/>
      <c r="F2" s="4194"/>
      <c r="G2" s="4194"/>
      <c r="H2" s="4194"/>
      <c r="I2" s="4194"/>
      <c r="J2" s="4194"/>
      <c r="K2" s="4194"/>
      <c r="L2" s="4194"/>
      <c r="M2" s="4194"/>
      <c r="N2" s="4194"/>
      <c r="O2" s="4194"/>
      <c r="P2" s="4194"/>
      <c r="Q2" s="4194"/>
      <c r="R2" s="4194"/>
      <c r="S2" s="4194"/>
      <c r="T2" s="4195"/>
      <c r="U2" s="2687"/>
      <c r="V2" s="2619"/>
      <c r="W2" s="2619"/>
      <c r="X2" s="2619"/>
      <c r="Y2" s="2619"/>
    </row>
    <row r="3" spans="1:27" ht="15" customHeight="1" thickBot="1">
      <c r="A3" s="2687"/>
      <c r="B3" s="4196" t="s">
        <v>1837</v>
      </c>
      <c r="C3" s="4197"/>
      <c r="D3" s="4197"/>
      <c r="E3" s="4197"/>
      <c r="F3" s="4197"/>
      <c r="G3" s="4197"/>
      <c r="H3" s="4197"/>
      <c r="I3" s="4197"/>
      <c r="J3" s="4197"/>
      <c r="K3" s="4197"/>
      <c r="L3" s="4197"/>
      <c r="M3" s="4197"/>
      <c r="N3" s="4197"/>
      <c r="O3" s="4197"/>
      <c r="P3" s="4197"/>
      <c r="Q3" s="4197"/>
      <c r="R3" s="4197"/>
      <c r="S3" s="4197"/>
      <c r="T3" s="4198"/>
      <c r="U3" s="2687"/>
      <c r="V3" s="2619"/>
      <c r="W3" s="2619"/>
      <c r="X3" s="2619"/>
      <c r="Y3" s="2619"/>
    </row>
    <row r="4" spans="1:27" ht="5.0999999999999996" customHeight="1" thickBot="1">
      <c r="A4" s="2687"/>
      <c r="B4" s="2899"/>
      <c r="C4" s="2899"/>
      <c r="D4" s="2899"/>
      <c r="E4" s="2899"/>
      <c r="F4" s="2899"/>
      <c r="G4" s="2899"/>
      <c r="H4" s="2899"/>
      <c r="I4" s="2899"/>
      <c r="J4" s="2899"/>
      <c r="K4" s="2899"/>
      <c r="L4" s="2899"/>
      <c r="M4" s="2899"/>
      <c r="N4" s="2899"/>
      <c r="O4" s="2899"/>
      <c r="P4" s="2899"/>
      <c r="Q4" s="2899"/>
      <c r="R4" s="2899"/>
      <c r="S4" s="2899"/>
      <c r="T4" s="2899"/>
      <c r="U4" s="2687"/>
      <c r="V4" s="2619"/>
      <c r="W4" s="2619"/>
      <c r="X4" s="2619"/>
      <c r="Y4" s="2619"/>
    </row>
    <row r="5" spans="1:27" ht="20.100000000000001" customHeight="1" thickBot="1">
      <c r="A5" s="2687"/>
      <c r="B5" s="4208" t="s">
        <v>1836</v>
      </c>
      <c r="C5" s="4209"/>
      <c r="D5" s="4209"/>
      <c r="E5" s="4209"/>
      <c r="F5" s="4209"/>
      <c r="G5" s="4210"/>
      <c r="H5" s="2800"/>
      <c r="I5" s="2936" t="s">
        <v>1835</v>
      </c>
      <c r="J5" s="2962"/>
      <c r="K5" s="2962"/>
      <c r="L5" s="2961"/>
      <c r="M5" s="668"/>
      <c r="N5" s="2960"/>
      <c r="O5" s="2800"/>
      <c r="P5" s="2959" t="s">
        <v>1834</v>
      </c>
      <c r="Q5" s="2959"/>
      <c r="R5" s="2801"/>
      <c r="S5" s="2801"/>
      <c r="T5" s="2801"/>
      <c r="U5" s="2687"/>
      <c r="V5" s="2619"/>
      <c r="W5" s="2873">
        <v>1</v>
      </c>
      <c r="X5" s="2958" t="s">
        <v>1833</v>
      </c>
      <c r="Y5" s="2850"/>
      <c r="Z5" s="2871"/>
      <c r="AA5" s="2871"/>
    </row>
    <row r="6" spans="1:27" ht="15" customHeight="1" thickBot="1">
      <c r="A6" s="2869"/>
      <c r="B6" s="4205" t="s">
        <v>1832</v>
      </c>
      <c r="C6" s="4206"/>
      <c r="D6" s="4206"/>
      <c r="E6" s="4206"/>
      <c r="F6" s="4206"/>
      <c r="G6" s="4207"/>
      <c r="H6" s="2800"/>
      <c r="I6" s="273" t="s">
        <v>1831</v>
      </c>
      <c r="J6" s="45"/>
      <c r="K6" s="45"/>
      <c r="L6" s="2949">
        <v>1.4</v>
      </c>
      <c r="M6" s="68" t="str">
        <f>IF($W$5=1," kg/dt TM",IF($W$5=2,"kg/dt FM",""))</f>
        <v xml:space="preserve"> kg/dt TM</v>
      </c>
      <c r="N6" s="2948"/>
      <c r="O6" s="2800"/>
      <c r="P6" s="4201" t="s">
        <v>1830</v>
      </c>
      <c r="Q6" s="4202"/>
      <c r="R6" s="4202"/>
      <c r="S6" s="2957"/>
      <c r="T6" s="2943">
        <v>300</v>
      </c>
      <c r="U6" s="2687"/>
      <c r="V6" s="2619"/>
      <c r="W6" s="2619"/>
      <c r="X6" s="2619"/>
      <c r="Y6" s="2619"/>
    </row>
    <row r="7" spans="1:27" ht="15" customHeight="1" thickBot="1">
      <c r="A7" s="2687"/>
      <c r="B7" s="2801"/>
      <c r="C7" s="2801"/>
      <c r="D7" s="2801"/>
      <c r="E7" s="2801"/>
      <c r="F7" s="2801"/>
      <c r="G7" s="2801"/>
      <c r="H7" s="2800"/>
      <c r="I7" s="273" t="s">
        <v>1829</v>
      </c>
      <c r="J7" s="45"/>
      <c r="K7" s="45"/>
      <c r="L7" s="2956"/>
      <c r="M7" s="45" t="s">
        <v>853</v>
      </c>
      <c r="N7" s="2948"/>
      <c r="O7" s="2800"/>
      <c r="P7" s="4203"/>
      <c r="Q7" s="4204"/>
      <c r="R7" s="4204"/>
      <c r="S7" s="2955"/>
      <c r="T7" s="2943"/>
      <c r="U7" s="2687"/>
      <c r="V7" s="2619"/>
      <c r="W7" s="2619"/>
      <c r="X7" s="2619"/>
      <c r="Y7" s="2619"/>
    </row>
    <row r="8" spans="1:27" ht="15" customHeight="1" thickBot="1">
      <c r="A8" s="2687"/>
      <c r="B8" s="2954"/>
      <c r="C8" s="2954"/>
      <c r="D8" s="2954"/>
      <c r="E8" s="2954"/>
      <c r="F8" s="2954"/>
      <c r="G8" s="2800"/>
      <c r="H8" s="2800"/>
      <c r="I8" s="273" t="s">
        <v>1828</v>
      </c>
      <c r="J8" s="2950"/>
      <c r="K8" s="2950"/>
      <c r="L8" s="2949">
        <v>0.59</v>
      </c>
      <c r="M8" s="68" t="str">
        <f>IF($W$5=1," kg/dt TM",IF($W$5=2,"kg/dt FM",""))</f>
        <v xml:space="preserve"> kg/dt TM</v>
      </c>
      <c r="N8" s="2948"/>
      <c r="O8" s="2800"/>
      <c r="P8" s="4203" t="s">
        <v>1365</v>
      </c>
      <c r="Q8" s="4204"/>
      <c r="R8" s="4204"/>
      <c r="S8" s="2944"/>
      <c r="T8" s="2943"/>
      <c r="U8" s="2687"/>
      <c r="V8" s="2619"/>
      <c r="W8" s="2953">
        <f>IF(W5=1,D10,W9*W10)</f>
        <v>17</v>
      </c>
      <c r="X8" s="2947"/>
      <c r="Y8" s="2619"/>
    </row>
    <row r="9" spans="1:27" ht="15" customHeight="1" thickBot="1">
      <c r="A9" s="2687"/>
      <c r="B9" s="2952" t="s">
        <v>1827</v>
      </c>
      <c r="C9" s="2951"/>
      <c r="D9" s="2935"/>
      <c r="E9" s="2935"/>
      <c r="F9" s="2935"/>
      <c r="G9" s="2934"/>
      <c r="H9" s="2800"/>
      <c r="I9" s="273" t="s">
        <v>1826</v>
      </c>
      <c r="J9" s="2950"/>
      <c r="K9" s="2950"/>
      <c r="L9" s="2949">
        <v>1.67</v>
      </c>
      <c r="M9" s="68" t="str">
        <f>IF($W$5=1," kg/dt TM",IF($W$5=2,"kg/dt FM",""))</f>
        <v xml:space="preserve"> kg/dt TM</v>
      </c>
      <c r="N9" s="2948"/>
      <c r="O9" s="2800"/>
      <c r="P9" s="4203" t="s">
        <v>1825</v>
      </c>
      <c r="Q9" s="4204"/>
      <c r="R9" s="4204"/>
      <c r="S9" s="2944"/>
      <c r="T9" s="2943"/>
      <c r="U9" s="2687"/>
      <c r="V9" s="2619"/>
      <c r="W9" s="2941">
        <f>IF(W5=2,D11,W8/W10)</f>
        <v>51.515151515151516</v>
      </c>
      <c r="X9" s="2947"/>
      <c r="Y9" s="2619"/>
    </row>
    <row r="10" spans="1:27" ht="15" customHeight="1" thickBot="1">
      <c r="A10" s="2619"/>
      <c r="B10" s="2940" t="s">
        <v>1824</v>
      </c>
      <c r="C10" s="2939"/>
      <c r="D10" s="4199">
        <v>17</v>
      </c>
      <c r="E10" s="4200"/>
      <c r="F10" s="2938" t="str">
        <f>IF(W5=1,"t TM/ha","")</f>
        <v>t TM/ha</v>
      </c>
      <c r="G10" s="2937"/>
      <c r="H10" s="2800"/>
      <c r="I10" s="2111" t="s">
        <v>1823</v>
      </c>
      <c r="J10" s="2917"/>
      <c r="K10" s="2917"/>
      <c r="L10" s="2946">
        <v>0.23</v>
      </c>
      <c r="M10" s="2914" t="str">
        <f>IF($W$5=1," kg/dt TM",IF($W$5=2,"kg/dt FM",""))</f>
        <v xml:space="preserve"> kg/dt TM</v>
      </c>
      <c r="N10" s="2945"/>
      <c r="O10" s="2800"/>
      <c r="P10" s="4203"/>
      <c r="Q10" s="4204"/>
      <c r="R10" s="4204"/>
      <c r="S10" s="2944"/>
      <c r="T10" s="2943"/>
      <c r="U10" s="2687"/>
      <c r="V10" s="2619"/>
      <c r="W10" s="2942">
        <f>D12</f>
        <v>0.33</v>
      </c>
      <c r="X10" s="2941">
        <f>W9</f>
        <v>51.515151515151516</v>
      </c>
      <c r="Y10" s="2619"/>
    </row>
    <row r="11" spans="1:27" ht="15" customHeight="1" thickBot="1">
      <c r="A11" s="2687"/>
      <c r="B11" s="2940" t="s">
        <v>1822</v>
      </c>
      <c r="C11" s="2939"/>
      <c r="D11" s="4199"/>
      <c r="E11" s="4200"/>
      <c r="F11" s="2938" t="str">
        <f>IF(W5=2,"t FM/ha","")</f>
        <v/>
      </c>
      <c r="G11" s="2937"/>
      <c r="H11" s="2800"/>
      <c r="I11" s="2936" t="s">
        <v>1821</v>
      </c>
      <c r="J11" s="2935"/>
      <c r="K11" s="2935"/>
      <c r="L11" s="2935"/>
      <c r="M11" s="2935"/>
      <c r="N11" s="2934"/>
      <c r="O11" s="2800"/>
      <c r="P11" s="4189" t="s">
        <v>1820</v>
      </c>
      <c r="Q11" s="4190"/>
      <c r="R11" s="4190"/>
      <c r="S11" s="2933"/>
      <c r="T11" s="2932"/>
      <c r="U11" s="2687"/>
      <c r="V11" s="2619"/>
      <c r="W11" s="2619"/>
      <c r="X11" s="2619"/>
      <c r="Y11" s="2619"/>
    </row>
    <row r="12" spans="1:27" ht="15" customHeight="1" thickBot="1">
      <c r="A12" s="2687"/>
      <c r="B12" s="2931" t="s">
        <v>1819</v>
      </c>
      <c r="C12" s="2930"/>
      <c r="D12" s="4211">
        <v>0.33</v>
      </c>
      <c r="E12" s="4212"/>
      <c r="F12" s="4212"/>
      <c r="G12" s="4213"/>
      <c r="H12" s="2800"/>
      <c r="I12" s="273" t="s">
        <v>1760</v>
      </c>
      <c r="J12" s="45"/>
      <c r="K12" s="304" t="s">
        <v>1742</v>
      </c>
      <c r="L12" s="2921">
        <f>'SDK1'!O52</f>
        <v>1.4319999999999999</v>
      </c>
      <c r="M12" s="68" t="s">
        <v>852</v>
      </c>
      <c r="N12" s="2920"/>
      <c r="O12" s="2800"/>
      <c r="P12" s="2929"/>
      <c r="Q12" s="2929"/>
      <c r="R12" s="2928" t="s">
        <v>1818</v>
      </c>
      <c r="S12" s="2928"/>
      <c r="T12" s="2927">
        <f>SUM(T6:T11)</f>
        <v>300</v>
      </c>
      <c r="U12" s="2687"/>
      <c r="V12" s="2687"/>
      <c r="W12" s="2687"/>
      <c r="X12" s="2687"/>
      <c r="Y12" s="2687"/>
      <c r="Z12" s="2617"/>
    </row>
    <row r="13" spans="1:27" ht="15" customHeight="1" thickBot="1">
      <c r="A13" s="2687"/>
      <c r="B13" s="2926" t="s">
        <v>1817</v>
      </c>
      <c r="C13" s="2925"/>
      <c r="D13" s="4214">
        <f>X10*1000/D14</f>
        <v>73.593073593073584</v>
      </c>
      <c r="E13" s="4214"/>
      <c r="F13" s="4214"/>
      <c r="G13" s="4215"/>
      <c r="H13" s="2800"/>
      <c r="I13" s="2924"/>
      <c r="J13" s="45"/>
      <c r="K13" s="304" t="s">
        <v>1816</v>
      </c>
      <c r="L13" s="2921">
        <f>'SDK1'!O53</f>
        <v>1.05</v>
      </c>
      <c r="M13" s="68" t="s">
        <v>852</v>
      </c>
      <c r="N13" s="2920"/>
      <c r="O13" s="2800"/>
      <c r="P13" s="2801"/>
      <c r="Q13" s="2801"/>
      <c r="R13" s="2801"/>
      <c r="S13" s="2801"/>
      <c r="T13" s="2801"/>
      <c r="U13" s="2687"/>
      <c r="V13" s="2687"/>
      <c r="W13" s="2619"/>
      <c r="X13" s="2619"/>
      <c r="Y13" s="2619"/>
    </row>
    <row r="14" spans="1:27" ht="15" customHeight="1" thickBot="1">
      <c r="A14" s="2687"/>
      <c r="B14" s="2918" t="s">
        <v>1815</v>
      </c>
      <c r="C14" s="2923"/>
      <c r="D14" s="4216">
        <v>700</v>
      </c>
      <c r="E14" s="4217"/>
      <c r="F14" s="4217"/>
      <c r="G14" s="4218"/>
      <c r="H14" s="2800"/>
      <c r="I14" s="2922"/>
      <c r="J14" s="45"/>
      <c r="K14" s="304" t="s">
        <v>1814</v>
      </c>
      <c r="L14" s="2921">
        <f>'SDK1'!O54</f>
        <v>0.98000000000000009</v>
      </c>
      <c r="M14" s="68" t="s">
        <v>852</v>
      </c>
      <c r="N14" s="2920"/>
      <c r="O14" s="2800"/>
      <c r="P14" s="4191" t="s">
        <v>1813</v>
      </c>
      <c r="Q14" s="4192"/>
      <c r="R14" s="2801"/>
      <c r="S14" s="2801"/>
      <c r="T14" s="2801"/>
      <c r="U14" s="2687"/>
      <c r="V14" s="2687"/>
      <c r="W14" s="2619"/>
      <c r="X14" s="2619"/>
      <c r="Y14" s="2619"/>
    </row>
    <row r="15" spans="1:27" ht="15" customHeight="1" thickBot="1">
      <c r="A15" s="2687"/>
      <c r="B15" s="2801"/>
      <c r="C15" s="2919"/>
      <c r="D15" s="2919"/>
      <c r="E15" s="2919"/>
      <c r="F15" s="2919"/>
      <c r="G15" s="2919"/>
      <c r="H15" s="2800"/>
      <c r="I15" s="2918"/>
      <c r="J15" s="2917"/>
      <c r="K15" s="2916" t="s">
        <v>1736</v>
      </c>
      <c r="L15" s="2915">
        <f>'SDK1'!O55</f>
        <v>0.60200000000000009</v>
      </c>
      <c r="M15" s="2914" t="s">
        <v>852</v>
      </c>
      <c r="N15" s="2913"/>
      <c r="O15" s="2800"/>
      <c r="P15" s="4227" t="s">
        <v>1812</v>
      </c>
      <c r="Q15" s="4228"/>
      <c r="R15" s="2801"/>
      <c r="S15" s="2801"/>
      <c r="T15" s="2801"/>
      <c r="U15" s="2687"/>
      <c r="V15" s="2687"/>
      <c r="W15" s="2619"/>
      <c r="X15" s="2619"/>
      <c r="Y15" s="2619"/>
    </row>
    <row r="16" spans="1:27" ht="15" customHeight="1" thickBot="1">
      <c r="A16" s="2687"/>
      <c r="B16" s="2912" t="s">
        <v>1811</v>
      </c>
      <c r="C16" s="2911"/>
      <c r="D16" s="4239">
        <f>'SDK4'!Q50</f>
        <v>18</v>
      </c>
      <c r="E16" s="4240"/>
      <c r="F16" s="4240"/>
      <c r="G16" s="4241"/>
      <c r="H16" s="2800"/>
      <c r="I16" s="2910" t="s">
        <v>1810</v>
      </c>
      <c r="J16" s="2909"/>
      <c r="K16" s="2909"/>
      <c r="L16" s="2909"/>
      <c r="M16" s="2909"/>
      <c r="N16" s="2908">
        <v>0.8</v>
      </c>
      <c r="O16" s="2800"/>
      <c r="P16" s="4229">
        <v>0.1</v>
      </c>
      <c r="Q16" s="4230"/>
      <c r="R16" s="2801"/>
      <c r="S16" s="2801"/>
      <c r="T16" s="2801"/>
      <c r="U16" s="2687"/>
      <c r="V16" s="2619"/>
      <c r="W16" s="2619"/>
      <c r="X16" s="2619"/>
      <c r="Y16" s="2619"/>
    </row>
    <row r="17" spans="1:34" ht="3.95" customHeight="1">
      <c r="A17" s="2900"/>
      <c r="B17" s="2902"/>
      <c r="C17" s="2907"/>
      <c r="D17" s="2906"/>
      <c r="E17" s="2906"/>
      <c r="F17" s="2906"/>
      <c r="G17" s="2906"/>
      <c r="H17" s="284"/>
      <c r="I17" s="2902"/>
      <c r="J17" s="227"/>
      <c r="K17" s="2905"/>
      <c r="L17" s="2904"/>
      <c r="M17" s="2903"/>
      <c r="N17" s="2902"/>
      <c r="O17" s="284"/>
      <c r="P17" s="2901"/>
      <c r="Q17" s="2901"/>
      <c r="R17" s="2901"/>
      <c r="S17" s="2901"/>
      <c r="T17" s="2901"/>
      <c r="U17" s="2900"/>
      <c r="V17" s="2619"/>
      <c r="W17" s="2619"/>
      <c r="X17" s="2619"/>
      <c r="Y17" s="2619"/>
    </row>
    <row r="18" spans="1:34" ht="30.4" customHeight="1" thickBot="1">
      <c r="A18" s="2687"/>
      <c r="B18" s="2898"/>
      <c r="C18" s="2899"/>
      <c r="D18" s="2898"/>
      <c r="E18" s="2898"/>
      <c r="F18" s="2898"/>
      <c r="G18" s="2898"/>
      <c r="H18" s="2898"/>
      <c r="I18" s="2898"/>
      <c r="J18" s="2898"/>
      <c r="K18" s="2898"/>
      <c r="L18" s="2898"/>
      <c r="M18" s="2898"/>
      <c r="N18" s="2898"/>
      <c r="O18" s="2898"/>
      <c r="P18" s="2898"/>
      <c r="Q18" s="2898"/>
      <c r="R18" s="2897"/>
      <c r="S18" s="2897"/>
      <c r="T18" s="2619"/>
      <c r="U18" s="2687"/>
      <c r="V18" s="2619"/>
      <c r="W18" s="2619"/>
      <c r="X18" s="2619"/>
      <c r="Y18" s="2619"/>
    </row>
    <row r="19" spans="1:34" ht="15" customHeight="1">
      <c r="A19" s="2687"/>
      <c r="B19" s="4237" t="s">
        <v>1809</v>
      </c>
      <c r="C19" s="4238"/>
      <c r="D19" s="2896"/>
      <c r="E19" s="2895"/>
      <c r="F19" s="2895"/>
      <c r="G19" s="2895"/>
      <c r="H19" s="2895"/>
      <c r="I19" s="2895"/>
      <c r="J19" s="2895"/>
      <c r="K19" s="2895"/>
      <c r="L19" s="2895"/>
      <c r="M19" s="2895"/>
      <c r="N19" s="2895"/>
      <c r="O19" s="2894"/>
      <c r="P19" s="4231" t="s">
        <v>1617</v>
      </c>
      <c r="Q19" s="4232"/>
      <c r="R19" s="2813"/>
      <c r="S19" s="2893"/>
      <c r="T19" s="2892" t="s">
        <v>1616</v>
      </c>
      <c r="U19" s="2687"/>
      <c r="V19" s="2619"/>
      <c r="W19" s="2619"/>
      <c r="X19" s="2619"/>
      <c r="Y19" s="2619"/>
    </row>
    <row r="20" spans="1:34" ht="15" customHeight="1">
      <c r="A20" s="2687"/>
      <c r="B20" s="4235" t="s">
        <v>1808</v>
      </c>
      <c r="C20" s="4236"/>
      <c r="D20" s="2886"/>
      <c r="E20" s="2885"/>
      <c r="F20" s="2885"/>
      <c r="G20" s="2885"/>
      <c r="H20" s="2885"/>
      <c r="I20" s="2885"/>
      <c r="J20" s="2885"/>
      <c r="K20" s="2885"/>
      <c r="L20" s="2885"/>
      <c r="M20" s="2885"/>
      <c r="N20" s="2885"/>
      <c r="O20" s="2885"/>
      <c r="P20" s="4233" t="s">
        <v>1807</v>
      </c>
      <c r="Q20" s="4234"/>
      <c r="R20" s="2726"/>
      <c r="S20" s="2891"/>
      <c r="T20" s="2890" t="s">
        <v>1806</v>
      </c>
      <c r="U20" s="2687"/>
      <c r="V20" s="2619"/>
      <c r="W20" s="2619"/>
      <c r="X20" s="2619"/>
      <c r="Y20" s="2619"/>
    </row>
    <row r="21" spans="1:34" ht="15" customHeight="1" thickBot="1">
      <c r="A21" s="2687"/>
      <c r="B21" s="2888"/>
      <c r="C21" s="2887"/>
      <c r="D21" s="2886"/>
      <c r="E21" s="2885"/>
      <c r="F21" s="2885"/>
      <c r="G21" s="2885"/>
      <c r="H21" s="2885"/>
      <c r="I21" s="2885"/>
      <c r="J21" s="2885"/>
      <c r="K21" s="2885"/>
      <c r="L21" s="2885"/>
      <c r="M21" s="2885"/>
      <c r="N21" s="2885"/>
      <c r="O21" s="2885"/>
      <c r="P21" s="4233" t="s">
        <v>1802</v>
      </c>
      <c r="Q21" s="4234"/>
      <c r="R21" s="2726"/>
      <c r="S21" s="2817"/>
      <c r="T21" s="2889" t="s">
        <v>1019</v>
      </c>
      <c r="U21" s="2687"/>
      <c r="V21" s="2619"/>
      <c r="W21" s="2619"/>
      <c r="X21" s="2619"/>
      <c r="Y21" s="2619"/>
    </row>
    <row r="22" spans="1:34" ht="15" customHeight="1" thickBot="1">
      <c r="A22" s="2687"/>
      <c r="B22" s="2888" t="s">
        <v>1805</v>
      </c>
      <c r="C22" s="2887"/>
      <c r="D22" s="2886"/>
      <c r="E22" s="2885"/>
      <c r="F22" s="2885"/>
      <c r="G22" s="2885"/>
      <c r="H22" s="2885"/>
      <c r="I22" s="2885"/>
      <c r="J22" s="2885"/>
      <c r="K22" s="2885"/>
      <c r="L22" s="2885"/>
      <c r="M22" s="2885"/>
      <c r="N22" s="2885"/>
      <c r="O22" s="2885"/>
      <c r="P22" s="2884" t="s">
        <v>1804</v>
      </c>
      <c r="Q22" s="2883" t="s">
        <v>1803</v>
      </c>
      <c r="R22" s="2726"/>
      <c r="S22" s="2817"/>
      <c r="T22" s="2882" t="s">
        <v>1802</v>
      </c>
      <c r="U22" s="2687"/>
      <c r="V22" s="2619"/>
      <c r="W22" s="2619"/>
      <c r="X22" s="2619"/>
      <c r="Y22" s="2619"/>
    </row>
    <row r="23" spans="1:34" ht="17.649999999999999" customHeight="1">
      <c r="A23" s="2687"/>
      <c r="B23" s="4225" t="s">
        <v>1801</v>
      </c>
      <c r="C23" s="4223" t="s">
        <v>1800</v>
      </c>
      <c r="D23" s="2840" t="s">
        <v>1799</v>
      </c>
      <c r="E23" s="2839"/>
      <c r="F23" s="2839"/>
      <c r="G23" s="2839"/>
      <c r="H23" s="2839"/>
      <c r="I23" s="2839"/>
      <c r="J23" s="2839"/>
      <c r="K23" s="2839"/>
      <c r="L23" s="2839"/>
      <c r="M23" s="2839"/>
      <c r="N23" s="2839"/>
      <c r="O23" s="2838"/>
      <c r="P23" s="2837">
        <v>139</v>
      </c>
      <c r="Q23" s="2836">
        <f>P23/((100+'SDK1'!$O$10)/100)</f>
        <v>139</v>
      </c>
      <c r="R23" s="2726"/>
      <c r="S23" s="2823"/>
      <c r="T23" s="2881">
        <f t="shared" ref="T23:T29" si="0">P23</f>
        <v>139</v>
      </c>
      <c r="U23" s="2687"/>
      <c r="V23" s="2619"/>
      <c r="W23" s="2619"/>
      <c r="X23" s="2619"/>
      <c r="Y23" s="2619"/>
    </row>
    <row r="24" spans="1:34" ht="17.649999999999999" customHeight="1">
      <c r="A24" s="2687"/>
      <c r="B24" s="4225"/>
      <c r="C24" s="4223"/>
      <c r="D24" s="2880" t="s">
        <v>1087</v>
      </c>
      <c r="E24" s="2738"/>
      <c r="F24" s="2738"/>
      <c r="G24" s="2738"/>
      <c r="H24" s="2738"/>
      <c r="I24" s="2738"/>
      <c r="J24" s="2738"/>
      <c r="K24" s="1805"/>
      <c r="L24" s="2738"/>
      <c r="M24" s="1805"/>
      <c r="N24" s="2738"/>
      <c r="O24" s="2879" t="str">
        <f>IF(P24=0,"(bitte TM/FM, Nährstoffentzug und Nährstoffkosten erfassen!; s. oben)","")</f>
        <v/>
      </c>
      <c r="P24" s="2736">
        <f>IF(W5=1,(D10*10*(L6*L12+L8*L13+L9*L14+L10*L15))-(L7*L12),IF(W5=2,(D11*10*(L6*L12+L8*L13+L9*L14+L10*L15))-(L7*L12),0))</f>
        <v>747.89119999999991</v>
      </c>
      <c r="Q24" s="2829">
        <f>P24/((100+'SDK1'!$O$11)/100)</f>
        <v>747.89119999999991</v>
      </c>
      <c r="R24" s="2726"/>
      <c r="S24" s="2823"/>
      <c r="T24" s="2733">
        <f t="shared" si="0"/>
        <v>747.89119999999991</v>
      </c>
      <c r="U24" s="2687"/>
      <c r="V24" s="2619"/>
      <c r="W24" s="2619"/>
      <c r="X24" s="2619"/>
      <c r="Y24" s="2619"/>
    </row>
    <row r="25" spans="1:34" ht="17.649999999999999" customHeight="1">
      <c r="A25" s="2687"/>
      <c r="B25" s="4225"/>
      <c r="C25" s="4223"/>
      <c r="D25" s="2878" t="s">
        <v>1798</v>
      </c>
      <c r="E25" s="2738"/>
      <c r="F25" s="2738"/>
      <c r="G25" s="2738"/>
      <c r="H25" s="2738"/>
      <c r="I25" s="2738"/>
      <c r="J25" s="2877">
        <v>1</v>
      </c>
      <c r="K25" s="2876"/>
      <c r="L25" s="2875" t="s">
        <v>1797</v>
      </c>
      <c r="M25" s="2876"/>
      <c r="N25" s="2875" t="s">
        <v>1796</v>
      </c>
      <c r="O25" s="2874"/>
      <c r="P25" s="2736">
        <f>IF(W25=2,0,IF(W25=1,IF(W5=1,D10*J25*10*(L6*L12*(100%-W26)+L8*L13+L9*L14+L10*L15)*-1,IF(W5=2,D11*J25*10*(L6*L12*(100%-W26)+L8*L13+L9*L14+L10*L15)*-1,0))))</f>
        <v>0</v>
      </c>
      <c r="Q25" s="2829">
        <f>P25/((100+'SDK1'!$O$11)/100)</f>
        <v>0</v>
      </c>
      <c r="R25" s="2726"/>
      <c r="S25" s="2823"/>
      <c r="T25" s="2733">
        <f t="shared" si="0"/>
        <v>0</v>
      </c>
      <c r="U25" s="2687"/>
      <c r="V25" s="2619"/>
      <c r="W25" s="2873">
        <v>2</v>
      </c>
      <c r="X25" s="2850" t="s">
        <v>1795</v>
      </c>
      <c r="Y25" s="2850"/>
      <c r="Z25" s="2872"/>
      <c r="AA25" s="2871"/>
      <c r="AD25" s="2870"/>
    </row>
    <row r="26" spans="1:34" ht="17.649999999999999" customHeight="1">
      <c r="A26" s="2869"/>
      <c r="B26" s="4225"/>
      <c r="C26" s="4223"/>
      <c r="D26" s="2832" t="s">
        <v>1794</v>
      </c>
      <c r="E26" s="2649"/>
      <c r="F26" s="2649"/>
      <c r="G26" s="2649"/>
      <c r="H26" s="2649"/>
      <c r="I26" s="2649"/>
      <c r="J26" s="2649"/>
      <c r="K26" s="2649"/>
      <c r="L26" s="2649"/>
      <c r="M26" s="2649"/>
      <c r="N26" s="2649"/>
      <c r="O26" s="2831"/>
      <c r="P26" s="2830">
        <v>73</v>
      </c>
      <c r="Q26" s="2829">
        <f>P26/((100+'SDK1'!$O$11)/100)</f>
        <v>73</v>
      </c>
      <c r="R26" s="2726"/>
      <c r="S26" s="2823"/>
      <c r="T26" s="2828">
        <f t="shared" si="0"/>
        <v>73</v>
      </c>
      <c r="U26" s="2687"/>
      <c r="V26" s="2619"/>
      <c r="W26" s="2868">
        <f>N106</f>
        <v>0.28000000000000003</v>
      </c>
      <c r="X26" s="2850" t="s">
        <v>1793</v>
      </c>
      <c r="Y26" s="2867"/>
    </row>
    <row r="27" spans="1:34" ht="17.649999999999999" customHeight="1">
      <c r="A27" s="2687"/>
      <c r="B27" s="4226"/>
      <c r="C27" s="4223"/>
      <c r="D27" s="2832" t="s">
        <v>844</v>
      </c>
      <c r="E27" s="2649"/>
      <c r="F27" s="2649"/>
      <c r="G27" s="2649"/>
      <c r="H27" s="2649"/>
      <c r="I27" s="2649"/>
      <c r="J27" s="2649"/>
      <c r="K27" s="2649"/>
      <c r="L27" s="2649"/>
      <c r="M27" s="2649"/>
      <c r="N27" s="2649"/>
      <c r="O27" s="2831"/>
      <c r="P27" s="2830">
        <v>22</v>
      </c>
      <c r="Q27" s="2829">
        <f>P27</f>
        <v>22</v>
      </c>
      <c r="R27" s="2726"/>
      <c r="S27" s="2823"/>
      <c r="T27" s="2828">
        <f t="shared" si="0"/>
        <v>22</v>
      </c>
      <c r="U27" s="2687"/>
      <c r="V27" s="2619"/>
      <c r="W27" s="2619"/>
      <c r="X27" s="2619"/>
      <c r="Y27" s="2619"/>
    </row>
    <row r="28" spans="1:34" ht="17.649999999999999" customHeight="1">
      <c r="A28" s="2687"/>
      <c r="B28" s="2866">
        <v>0.5</v>
      </c>
      <c r="C28" s="4224"/>
      <c r="D28" s="2832" t="s">
        <v>1792</v>
      </c>
      <c r="E28" s="2649"/>
      <c r="F28" s="2649"/>
      <c r="G28" s="2649"/>
      <c r="H28" s="2649"/>
      <c r="I28" s="2649"/>
      <c r="J28" s="2649"/>
      <c r="K28" s="2649"/>
      <c r="L28" s="2649"/>
      <c r="M28" s="2649"/>
      <c r="N28" s="2649"/>
      <c r="O28" s="2831"/>
      <c r="P28" s="2830"/>
      <c r="Q28" s="2829">
        <f>P28/((100+'SDK1'!$O$11)/100)</f>
        <v>0</v>
      </c>
      <c r="R28" s="2726"/>
      <c r="S28" s="2823"/>
      <c r="T28" s="2828">
        <f t="shared" si="0"/>
        <v>0</v>
      </c>
      <c r="U28" s="2687"/>
      <c r="V28" s="2619"/>
      <c r="W28" s="2619"/>
      <c r="X28" s="2619"/>
      <c r="Y28" s="2619"/>
    </row>
    <row r="29" spans="1:34" s="2862" customFormat="1" ht="17.649999999999999" customHeight="1">
      <c r="A29" s="2863"/>
      <c r="B29" s="2759"/>
      <c r="C29" s="2758"/>
      <c r="D29" s="2757" t="s">
        <v>1764</v>
      </c>
      <c r="E29" s="316"/>
      <c r="F29" s="316"/>
      <c r="G29" s="316"/>
      <c r="H29" s="316"/>
      <c r="I29" s="316"/>
      <c r="J29" s="316"/>
      <c r="K29" s="316"/>
      <c r="L29" s="2756" t="s">
        <v>1763</v>
      </c>
      <c r="M29" s="4169" t="s">
        <v>716</v>
      </c>
      <c r="N29" s="4169"/>
      <c r="O29" s="2755"/>
      <c r="P29" s="2754" t="e">
        <f>SUM(M31:N37)</f>
        <v>#N/A</v>
      </c>
      <c r="Q29" s="2859" t="e">
        <f>P29/((100+'SDK1'!$O$11)/100)</f>
        <v>#N/A</v>
      </c>
      <c r="R29" s="2726"/>
      <c r="S29" s="2865"/>
      <c r="T29" s="2864" t="e">
        <f t="shared" si="0"/>
        <v>#N/A</v>
      </c>
      <c r="U29" s="2863"/>
      <c r="V29" s="2619"/>
      <c r="W29" s="2619"/>
      <c r="X29" s="2619"/>
      <c r="Y29" s="2619"/>
      <c r="Z29" s="136"/>
      <c r="AA29" s="136"/>
      <c r="AB29" s="136"/>
      <c r="AC29" s="136"/>
      <c r="AD29" s="136"/>
      <c r="AE29" s="136"/>
      <c r="AF29" s="136"/>
      <c r="AG29" s="136"/>
      <c r="AH29" s="136"/>
    </row>
    <row r="30" spans="1:34" s="2862" customFormat="1" ht="17.649999999999999" customHeight="1">
      <c r="A30" s="2863"/>
      <c r="B30" s="2759"/>
      <c r="C30" s="2758"/>
      <c r="D30" s="2757" t="s">
        <v>1791</v>
      </c>
      <c r="E30" s="316"/>
      <c r="F30" s="316"/>
      <c r="G30" s="316"/>
      <c r="H30" s="316"/>
      <c r="I30" s="316"/>
      <c r="J30" s="316"/>
      <c r="K30" s="316"/>
      <c r="L30" s="2756" t="s">
        <v>1772</v>
      </c>
      <c r="M30" s="4173" t="s">
        <v>1760</v>
      </c>
      <c r="N30" s="4173"/>
      <c r="O30" s="2755"/>
      <c r="P30" s="2754"/>
      <c r="Q30" s="2753"/>
      <c r="R30" s="2726"/>
      <c r="S30" s="2865"/>
      <c r="T30" s="2864"/>
      <c r="U30" s="2863"/>
      <c r="V30" s="2619"/>
      <c r="W30" s="2619"/>
      <c r="X30" s="2619"/>
      <c r="Y30" s="2619"/>
      <c r="Z30" s="136"/>
      <c r="AA30" s="136"/>
      <c r="AB30" s="136"/>
      <c r="AC30" s="136"/>
      <c r="AD30" s="136"/>
      <c r="AE30" s="136"/>
      <c r="AF30" s="136"/>
      <c r="AG30" s="136"/>
      <c r="AH30" s="136"/>
    </row>
    <row r="31" spans="1:34" ht="14.25" customHeight="1">
      <c r="A31" s="2687"/>
      <c r="B31" s="2741">
        <f t="shared" ref="B31:B37" si="1">D31*C31*(1+$B$28)</f>
        <v>1.1850000000000001</v>
      </c>
      <c r="C31" s="2783">
        <f>VLOOKUP(AB31,'SDK3'!$B$24:$O$86,13,FALSE)</f>
        <v>0.79</v>
      </c>
      <c r="D31" s="2782">
        <v>1</v>
      </c>
      <c r="E31" s="2749" t="str">
        <f t="shared" ref="E31:E37" si="2">IF(D31&gt;0,"x","")</f>
        <v>x</v>
      </c>
      <c r="F31" s="4170" t="str">
        <f>VLOOKUP(AB31,'SDK3'!$B$24:$C$86,2,FALSE)</f>
        <v>Schwergrubber 3 m</v>
      </c>
      <c r="G31" s="4170"/>
      <c r="H31" s="4170"/>
      <c r="I31" s="4170"/>
      <c r="J31" s="4170"/>
      <c r="K31" s="1805"/>
      <c r="L31" s="2781">
        <f>VLOOKUP(AB31,'SDK3'!$B$24:$O$86,14,FALSE)</f>
        <v>21.737240200000002</v>
      </c>
      <c r="M31" s="4171">
        <f t="shared" ref="M31:M37" si="3">D31*L31</f>
        <v>21.737240200000002</v>
      </c>
      <c r="N31" s="4171"/>
      <c r="O31" s="2745"/>
      <c r="P31" s="2744"/>
      <c r="Q31" s="2743"/>
      <c r="R31" s="2726"/>
      <c r="S31" s="2823"/>
      <c r="T31" s="2742"/>
      <c r="U31" s="2687"/>
      <c r="V31" s="2619"/>
      <c r="W31" s="2619"/>
      <c r="X31" s="2619"/>
      <c r="Y31" s="2619"/>
      <c r="AB31" s="1937">
        <v>2</v>
      </c>
    </row>
    <row r="32" spans="1:34" ht="14.25" customHeight="1">
      <c r="A32" s="2687"/>
      <c r="B32" s="2741">
        <f t="shared" si="1"/>
        <v>1.53</v>
      </c>
      <c r="C32" s="2783">
        <f>VLOOKUP(AB32,'SDK3'!$B$24:$O$86,13,FALSE)</f>
        <v>1.02</v>
      </c>
      <c r="D32" s="2782">
        <v>1</v>
      </c>
      <c r="E32" s="2749" t="str">
        <f t="shared" si="2"/>
        <v>x</v>
      </c>
      <c r="F32" s="4170" t="str">
        <f>VLOOKUP(AB32,'SDK3'!$B$24:$C$86,2,FALSE)</f>
        <v>Kreiselegge 3 m</v>
      </c>
      <c r="G32" s="4170"/>
      <c r="H32" s="4170"/>
      <c r="I32" s="4170"/>
      <c r="J32" s="4170"/>
      <c r="K32" s="1805"/>
      <c r="L32" s="2781">
        <f>VLOOKUP(AB32,'SDK3'!$B$24:$O$86,14,FALSE)</f>
        <v>28.610107599999999</v>
      </c>
      <c r="M32" s="4171">
        <f t="shared" si="3"/>
        <v>28.610107599999999</v>
      </c>
      <c r="N32" s="4171"/>
      <c r="O32" s="2745"/>
      <c r="P32" s="2744"/>
      <c r="Q32" s="2743"/>
      <c r="R32" s="2726"/>
      <c r="S32" s="2823"/>
      <c r="T32" s="2742"/>
      <c r="U32" s="2687"/>
      <c r="V32" s="2619"/>
      <c r="W32" s="2619"/>
      <c r="X32" s="2619"/>
      <c r="Y32" s="2619"/>
      <c r="AB32" s="1937">
        <v>4</v>
      </c>
    </row>
    <row r="33" spans="1:28" ht="14.25" customHeight="1">
      <c r="A33" s="2687"/>
      <c r="B33" s="2741">
        <f t="shared" si="1"/>
        <v>5.2200000000000006</v>
      </c>
      <c r="C33" s="2783">
        <f>VLOOKUP(AB33,'SDK3'!$B$24:$O$86,13,FALSE)</f>
        <v>1.7400000000000002</v>
      </c>
      <c r="D33" s="2782">
        <v>2</v>
      </c>
      <c r="E33" s="2749" t="str">
        <f t="shared" si="2"/>
        <v>x</v>
      </c>
      <c r="F33" s="4170" t="str">
        <f>VLOOKUP(AB33,'SDK3'!$B$24:$C$86,2,FALSE)</f>
        <v>Mist/Kompost streuen 20 t/ha  (6 m, 10 t) inkl. Beladen</v>
      </c>
      <c r="G33" s="4170"/>
      <c r="H33" s="4170"/>
      <c r="I33" s="4170"/>
      <c r="J33" s="4170"/>
      <c r="K33" s="1805"/>
      <c r="L33" s="2781">
        <f>VLOOKUP(AB33,'SDK3'!$B$24:$O$86,14,FALSE)</f>
        <v>42.981010840000003</v>
      </c>
      <c r="M33" s="4171">
        <f t="shared" si="3"/>
        <v>85.962021680000007</v>
      </c>
      <c r="N33" s="4171"/>
      <c r="O33" s="2745"/>
      <c r="P33" s="2744"/>
      <c r="Q33" s="2743"/>
      <c r="R33" s="2726"/>
      <c r="S33" s="2823"/>
      <c r="T33" s="2742"/>
      <c r="U33" s="2687"/>
      <c r="V33" s="2619"/>
      <c r="W33" s="2619"/>
      <c r="X33" s="2619"/>
      <c r="Y33" s="2619"/>
      <c r="AB33" s="1937">
        <v>16</v>
      </c>
    </row>
    <row r="34" spans="1:28" ht="14.25" customHeight="1">
      <c r="A34" s="2687"/>
      <c r="B34" s="2741" t="e">
        <f t="shared" si="1"/>
        <v>#N/A</v>
      </c>
      <c r="C34" s="2783" t="e">
        <f>VLOOKUP(AB34,'SDK3'!$B$24:$O$86,13,FALSE)</f>
        <v>#N/A</v>
      </c>
      <c r="D34" s="2782">
        <v>1</v>
      </c>
      <c r="E34" s="2749" t="str">
        <f t="shared" si="2"/>
        <v>x</v>
      </c>
      <c r="F34" s="4170" t="e">
        <f>VLOOKUP(AB34,'SDK3'!$B$24:$C$86,2,FALSE)</f>
        <v>#N/A</v>
      </c>
      <c r="G34" s="4170"/>
      <c r="H34" s="4170"/>
      <c r="I34" s="4170"/>
      <c r="J34" s="4170"/>
      <c r="K34" s="1805"/>
      <c r="L34" s="2781" t="e">
        <f>VLOOKUP(AB34,'SDK3'!$B$24:$O$86,14,FALSE)</f>
        <v>#N/A</v>
      </c>
      <c r="M34" s="4171" t="e">
        <f t="shared" si="3"/>
        <v>#N/A</v>
      </c>
      <c r="N34" s="4171"/>
      <c r="O34" s="2745"/>
      <c r="P34" s="2744"/>
      <c r="Q34" s="2743"/>
      <c r="R34" s="2726"/>
      <c r="S34" s="2823"/>
      <c r="T34" s="2742"/>
      <c r="U34" s="2687"/>
      <c r="V34" s="2619"/>
      <c r="W34" s="2619"/>
      <c r="X34" s="2619"/>
      <c r="Y34" s="2619"/>
      <c r="AB34" s="1937">
        <v>17</v>
      </c>
    </row>
    <row r="35" spans="1:28" ht="14.25" customHeight="1">
      <c r="A35" s="2687"/>
      <c r="B35" s="2741">
        <f t="shared" si="1"/>
        <v>0</v>
      </c>
      <c r="C35" s="2783">
        <f>VLOOKUP(AB35,'SDK3'!$B$24:$O$86,13,FALSE)</f>
        <v>1.44</v>
      </c>
      <c r="D35" s="2782"/>
      <c r="E35" s="2749" t="str">
        <f t="shared" si="2"/>
        <v/>
      </c>
      <c r="F35" s="4170" t="str">
        <f>VLOOKUP(AB35,'SDK3'!$B$24:$C$86,2,FALSE)</f>
        <v>Drehpflug 2,10 m</v>
      </c>
      <c r="G35" s="4170"/>
      <c r="H35" s="4170"/>
      <c r="I35" s="4170"/>
      <c r="J35" s="4170"/>
      <c r="K35" s="1805"/>
      <c r="L35" s="2781">
        <f>VLOOKUP(AB35,'SDK3'!$B$24:$O$86,14,FALSE)</f>
        <v>59.188918588235289</v>
      </c>
      <c r="M35" s="4171">
        <f t="shared" si="3"/>
        <v>0</v>
      </c>
      <c r="N35" s="4171"/>
      <c r="O35" s="2745"/>
      <c r="P35" s="2744"/>
      <c r="Q35" s="2743"/>
      <c r="R35" s="2726"/>
      <c r="S35" s="2823"/>
      <c r="T35" s="2742"/>
      <c r="U35" s="2687"/>
      <c r="V35" s="2619"/>
      <c r="W35" s="2619"/>
      <c r="X35" s="2619"/>
      <c r="Y35" s="2619"/>
      <c r="AB35" s="1937">
        <v>1</v>
      </c>
    </row>
    <row r="36" spans="1:28" ht="14.25" customHeight="1">
      <c r="A36" s="2687"/>
      <c r="B36" s="2741">
        <f t="shared" si="1"/>
        <v>0</v>
      </c>
      <c r="C36" s="2783">
        <f>VLOOKUP(AB36,'SDK3'!$B$24:$O$86,13,FALSE)</f>
        <v>1.44</v>
      </c>
      <c r="D36" s="2782"/>
      <c r="E36" s="2749" t="str">
        <f t="shared" si="2"/>
        <v/>
      </c>
      <c r="F36" s="4170" t="str">
        <f>VLOOKUP(AB36,'SDK3'!$B$24:$C$86,2,FALSE)</f>
        <v>Drehpflug 2,10 m</v>
      </c>
      <c r="G36" s="4170"/>
      <c r="H36" s="4170"/>
      <c r="I36" s="4170"/>
      <c r="J36" s="4170"/>
      <c r="K36" s="1805"/>
      <c r="L36" s="2781">
        <f>VLOOKUP(AB36,'SDK3'!$B$24:$O$86,14,FALSE)</f>
        <v>59.188918588235289</v>
      </c>
      <c r="M36" s="4171">
        <f t="shared" si="3"/>
        <v>0</v>
      </c>
      <c r="N36" s="4171"/>
      <c r="O36" s="2745"/>
      <c r="P36" s="2744"/>
      <c r="Q36" s="2743"/>
      <c r="R36" s="2726"/>
      <c r="S36" s="2823"/>
      <c r="T36" s="2742"/>
      <c r="U36" s="2687"/>
      <c r="V36" s="2619"/>
      <c r="W36" s="2619"/>
      <c r="X36" s="2619"/>
      <c r="Y36" s="2619"/>
      <c r="AB36" s="1937">
        <v>1</v>
      </c>
    </row>
    <row r="37" spans="1:28" ht="14.1" customHeight="1">
      <c r="A37" s="2687"/>
      <c r="B37" s="2741">
        <f t="shared" si="1"/>
        <v>0</v>
      </c>
      <c r="C37" s="2783">
        <f>VLOOKUP(AB37,'SDK3'!$B$24:$O$86,13,FALSE)</f>
        <v>1.44</v>
      </c>
      <c r="D37" s="2791"/>
      <c r="E37" s="2790" t="str">
        <f t="shared" si="2"/>
        <v/>
      </c>
      <c r="F37" s="4222" t="str">
        <f>VLOOKUP(AB37,'SDK3'!$B$24:$C$86,2,FALSE)</f>
        <v>Drehpflug 2,10 m</v>
      </c>
      <c r="G37" s="4222"/>
      <c r="H37" s="4222"/>
      <c r="I37" s="4222"/>
      <c r="J37" s="4222"/>
      <c r="K37" s="2738"/>
      <c r="L37" s="2787">
        <f>VLOOKUP(AB37,'SDK3'!$B$24:$O$86,14,FALSE)</f>
        <v>59.188918588235289</v>
      </c>
      <c r="M37" s="4172">
        <f t="shared" si="3"/>
        <v>0</v>
      </c>
      <c r="N37" s="4172"/>
      <c r="O37" s="2737"/>
      <c r="P37" s="2861"/>
      <c r="Q37" s="2860"/>
      <c r="R37" s="2726"/>
      <c r="S37" s="2823"/>
      <c r="T37" s="2733"/>
      <c r="U37" s="2687"/>
      <c r="V37" s="2619"/>
      <c r="W37" s="2619"/>
      <c r="X37" s="2619"/>
      <c r="Y37" s="2619"/>
      <c r="AB37" s="1937">
        <v>1</v>
      </c>
    </row>
    <row r="38" spans="1:28" ht="17.649999999999999" customHeight="1">
      <c r="A38" s="2687"/>
      <c r="B38" s="2786"/>
      <c r="C38" s="2785"/>
      <c r="D38" s="2770" t="s">
        <v>1082</v>
      </c>
      <c r="E38" s="2767"/>
      <c r="F38" s="2767"/>
      <c r="G38" s="1805"/>
      <c r="H38" s="1805"/>
      <c r="I38" s="1805"/>
      <c r="J38" s="1805"/>
      <c r="K38" s="1805"/>
      <c r="L38" s="1805"/>
      <c r="M38" s="1805"/>
      <c r="N38" s="1805"/>
      <c r="O38" s="2784"/>
      <c r="P38" s="2744" t="e">
        <f>SUM(M39:N41)</f>
        <v>#N/A</v>
      </c>
      <c r="Q38" s="2859" t="e">
        <f>P38/((100+'SDK1'!$O$11)/100)</f>
        <v>#N/A</v>
      </c>
      <c r="R38" s="2726"/>
      <c r="S38" s="2823"/>
      <c r="T38" s="2742" t="e">
        <f>P38</f>
        <v>#N/A</v>
      </c>
      <c r="U38" s="2687"/>
      <c r="V38" s="2619"/>
      <c r="W38" s="2619"/>
      <c r="X38" s="2619"/>
      <c r="Y38" s="2619"/>
    </row>
    <row r="39" spans="1:28" ht="14.25" customHeight="1">
      <c r="A39" s="2687"/>
      <c r="B39" s="2741">
        <f>D39*C39*(1+$B$28)</f>
        <v>0</v>
      </c>
      <c r="C39" s="2783"/>
      <c r="D39" s="2782">
        <v>1</v>
      </c>
      <c r="E39" s="2749" t="str">
        <f>IF(D39&gt;0,"x","")</f>
        <v>x</v>
      </c>
      <c r="F39" s="2748" t="e">
        <f>VLOOKUP(AB39,'SDK3'!$B$91:$C$106,2,FALSE)</f>
        <v>#N/A</v>
      </c>
      <c r="G39" s="2858"/>
      <c r="H39" s="2858"/>
      <c r="I39" s="2857"/>
      <c r="J39" s="2857"/>
      <c r="K39" s="1805"/>
      <c r="L39" s="2781" t="e">
        <f>VLOOKUP(AB39,'SDK3'!$B$91:$D$106,3,FALSE)</f>
        <v>#N/A</v>
      </c>
      <c r="M39" s="4171" t="e">
        <f>D39*L39*(100+'SDK1'!$O$11)/100</f>
        <v>#N/A</v>
      </c>
      <c r="N39" s="4171"/>
      <c r="O39" s="2745"/>
      <c r="P39" s="2744"/>
      <c r="Q39" s="2743"/>
      <c r="R39" s="2726"/>
      <c r="S39" s="2823"/>
      <c r="T39" s="2742"/>
      <c r="U39" s="2687"/>
      <c r="V39" s="2619"/>
      <c r="W39" s="2619"/>
      <c r="X39" s="2619"/>
      <c r="Y39" s="2619"/>
      <c r="AB39" s="1937">
        <v>17</v>
      </c>
    </row>
    <row r="40" spans="1:28" ht="14.25" customHeight="1">
      <c r="A40" s="2687"/>
      <c r="B40" s="2741">
        <f>D40*C40*(1+$B$28)</f>
        <v>0</v>
      </c>
      <c r="C40" s="2783"/>
      <c r="D40" s="2782"/>
      <c r="E40" s="2749" t="str">
        <f>IF(D40&gt;0,"x","")</f>
        <v/>
      </c>
      <c r="F40" s="2748">
        <f>VLOOKUP(AB40,'SDK3'!$B$91:$C$106,2,FALSE)</f>
        <v>0</v>
      </c>
      <c r="G40" s="2858"/>
      <c r="H40" s="2858"/>
      <c r="I40" s="2857"/>
      <c r="J40" s="2857"/>
      <c r="K40" s="1805"/>
      <c r="L40" s="2781">
        <f>VLOOKUP(AB40,'SDK3'!$B$91:$D$106,3,FALSE)</f>
        <v>0</v>
      </c>
      <c r="M40" s="4171">
        <f>D40*L40*(100+'SDK1'!$O$11)/100</f>
        <v>0</v>
      </c>
      <c r="N40" s="4171"/>
      <c r="O40" s="2745"/>
      <c r="P40" s="2744"/>
      <c r="Q40" s="2743"/>
      <c r="R40" s="2726"/>
      <c r="S40" s="2823"/>
      <c r="T40" s="2742"/>
      <c r="U40" s="2687"/>
      <c r="V40" s="2619"/>
      <c r="W40" s="2619"/>
      <c r="X40" s="2619"/>
      <c r="Y40" s="2619"/>
      <c r="AB40" s="1937">
        <v>1</v>
      </c>
    </row>
    <row r="41" spans="1:28" ht="16.149999999999999" customHeight="1">
      <c r="A41" s="2687"/>
      <c r="B41" s="2741">
        <f>D41*C41*(1+$B$28)</f>
        <v>0</v>
      </c>
      <c r="C41" s="2783"/>
      <c r="D41" s="2791">
        <v>1</v>
      </c>
      <c r="E41" s="2790" t="str">
        <f>IF(D41&gt;0,"x","")</f>
        <v>x</v>
      </c>
      <c r="F41" s="2789" t="s">
        <v>1790</v>
      </c>
      <c r="G41" s="2789"/>
      <c r="H41" s="2789"/>
      <c r="I41" s="2788"/>
      <c r="J41" s="2856">
        <f>IF(W25=2,0,X10*N16*J25)</f>
        <v>0</v>
      </c>
      <c r="K41" s="2738" t="s">
        <v>806</v>
      </c>
      <c r="L41" s="2855">
        <v>2.75</v>
      </c>
      <c r="M41" s="4171">
        <f>D41*J41*L41*(100+'SDK1'!$O$11)/100</f>
        <v>0</v>
      </c>
      <c r="N41" s="4171"/>
      <c r="O41" s="2737"/>
      <c r="P41" s="2736"/>
      <c r="Q41" s="2735"/>
      <c r="R41" s="2726"/>
      <c r="S41" s="2823"/>
      <c r="T41" s="2733"/>
      <c r="U41" s="2687"/>
      <c r="V41" s="2619"/>
      <c r="W41" s="2619"/>
      <c r="X41" s="2619"/>
      <c r="Y41" s="2619"/>
      <c r="AB41" s="1937">
        <v>1</v>
      </c>
    </row>
    <row r="42" spans="1:28" ht="17.649999999999999" customHeight="1">
      <c r="A42" s="2687"/>
      <c r="B42" s="2786"/>
      <c r="C42" s="2785"/>
      <c r="D42" s="2832" t="s">
        <v>1789</v>
      </c>
      <c r="E42" s="2649"/>
      <c r="F42" s="2649"/>
      <c r="G42" s="2649"/>
      <c r="H42" s="2649"/>
      <c r="I42" s="2649"/>
      <c r="J42" s="2649"/>
      <c r="K42" s="2649"/>
      <c r="L42" s="2649"/>
      <c r="M42" s="2649"/>
      <c r="N42" s="2649"/>
      <c r="O42" s="2831"/>
      <c r="P42" s="2830"/>
      <c r="Q42" s="2743">
        <f>P42</f>
        <v>0</v>
      </c>
      <c r="R42" s="2726"/>
      <c r="S42" s="2823"/>
      <c r="T42" s="2828">
        <f>P42</f>
        <v>0</v>
      </c>
      <c r="U42" s="2687"/>
      <c r="V42" s="2619"/>
      <c r="W42" s="2619"/>
      <c r="X42" s="2619"/>
      <c r="Y42" s="2619"/>
    </row>
    <row r="43" spans="1:28" ht="17.649999999999999" customHeight="1">
      <c r="A43" s="2687"/>
      <c r="B43" s="2786"/>
      <c r="C43" s="2785"/>
      <c r="D43" s="2854" t="s">
        <v>503</v>
      </c>
      <c r="E43" s="2853"/>
      <c r="F43" s="2853"/>
      <c r="G43" s="2853"/>
      <c r="H43" s="2853"/>
      <c r="I43" s="2853"/>
      <c r="J43" s="2853"/>
      <c r="K43" s="2853"/>
      <c r="L43" s="2853"/>
      <c r="M43" s="2853"/>
      <c r="N43" s="2853"/>
      <c r="O43" s="2852"/>
      <c r="P43" s="2851" t="e">
        <f>SUM(P23:P42)</f>
        <v>#N/A</v>
      </c>
      <c r="Q43" s="2716" t="e">
        <f>SUM(Q23:Q42)</f>
        <v>#N/A</v>
      </c>
      <c r="R43" s="2850"/>
      <c r="S43" s="2849"/>
      <c r="T43" s="2848" t="e">
        <f>SUM(T23:T42)</f>
        <v>#N/A</v>
      </c>
      <c r="U43" s="2687"/>
      <c r="V43" s="2619"/>
      <c r="W43" s="2619"/>
      <c r="X43" s="2619"/>
      <c r="Y43" s="2619"/>
    </row>
    <row r="44" spans="1:28" ht="17.649999999999999" customHeight="1">
      <c r="A44" s="2687"/>
      <c r="B44" s="2712" t="e">
        <f>SUM(B31:B37)+SUM(B39:B41)</f>
        <v>#N/A</v>
      </c>
      <c r="C44" s="2785"/>
      <c r="D44" s="2832" t="s">
        <v>1788</v>
      </c>
      <c r="E44" s="2649"/>
      <c r="F44" s="2649"/>
      <c r="G44" s="2649"/>
      <c r="H44" s="2649"/>
      <c r="I44" s="2649"/>
      <c r="J44" s="2649"/>
      <c r="K44" s="2649"/>
      <c r="L44" s="2649"/>
      <c r="M44" s="2649"/>
      <c r="N44" s="2649"/>
      <c r="O44" s="2831"/>
      <c r="P44" s="2754" t="e">
        <f>B44*$D$16</f>
        <v>#N/A</v>
      </c>
      <c r="Q44" s="2836" t="e">
        <f>P44</f>
        <v>#N/A</v>
      </c>
      <c r="R44" s="2726"/>
      <c r="S44" s="2823"/>
      <c r="T44" s="2835" t="e">
        <f>P44</f>
        <v>#N/A</v>
      </c>
      <c r="U44" s="2687"/>
      <c r="V44" s="2619"/>
      <c r="W44" s="2619"/>
      <c r="X44" s="2619"/>
      <c r="Y44" s="2619"/>
    </row>
    <row r="45" spans="1:28" ht="17.649999999999999" customHeight="1">
      <c r="A45" s="2687"/>
      <c r="B45" s="2844"/>
      <c r="C45" s="2785"/>
      <c r="D45" s="2832" t="s">
        <v>1787</v>
      </c>
      <c r="E45" s="2649"/>
      <c r="F45" s="2649"/>
      <c r="G45" s="2649"/>
      <c r="H45" s="2649"/>
      <c r="I45" s="2649"/>
      <c r="J45" s="2649"/>
      <c r="K45" s="2649"/>
      <c r="L45" s="2649"/>
      <c r="M45" s="2649"/>
      <c r="N45" s="2649"/>
      <c r="O45" s="2831"/>
      <c r="P45" s="2830"/>
      <c r="Q45" s="2829">
        <f>P45/((100+'SDK1'!$O$11)/100)</f>
        <v>0</v>
      </c>
      <c r="R45" s="2726"/>
      <c r="S45" s="2823"/>
      <c r="T45" s="2828">
        <f>P45</f>
        <v>0</v>
      </c>
      <c r="U45" s="2687"/>
      <c r="V45" s="2619"/>
      <c r="W45" s="2619"/>
      <c r="X45" s="2619"/>
      <c r="Y45" s="2619"/>
    </row>
    <row r="46" spans="1:28" ht="17.649999999999999" customHeight="1">
      <c r="A46" s="2687"/>
      <c r="B46" s="2844"/>
      <c r="C46" s="2785"/>
      <c r="D46" s="2770" t="s">
        <v>1154</v>
      </c>
      <c r="E46" s="1805"/>
      <c r="F46" s="1805"/>
      <c r="G46" s="1805"/>
      <c r="H46" s="1805"/>
      <c r="I46" s="1805"/>
      <c r="J46" s="1805"/>
      <c r="K46" s="1805"/>
      <c r="L46" s="1805"/>
      <c r="M46" s="1805"/>
      <c r="N46" s="1805"/>
      <c r="O46" s="2784"/>
      <c r="P46" s="2847">
        <v>17</v>
      </c>
      <c r="Q46" s="2743">
        <f>P46</f>
        <v>17</v>
      </c>
      <c r="R46" s="2726"/>
      <c r="S46" s="2823"/>
      <c r="T46" s="2742">
        <f>P46</f>
        <v>17</v>
      </c>
      <c r="U46" s="2687"/>
      <c r="V46" s="2619"/>
      <c r="W46" s="2619"/>
      <c r="X46" s="2619"/>
      <c r="Y46" s="2619"/>
    </row>
    <row r="47" spans="1:28" ht="18.75">
      <c r="A47" s="2687"/>
      <c r="B47" s="2844"/>
      <c r="C47" s="2702"/>
      <c r="D47" s="2846" t="s">
        <v>1786</v>
      </c>
      <c r="E47" s="2719"/>
      <c r="F47" s="2719"/>
      <c r="G47" s="2719"/>
      <c r="H47" s="2719"/>
      <c r="I47" s="2719"/>
      <c r="J47" s="2719"/>
      <c r="K47" s="2719"/>
      <c r="L47" s="2719"/>
      <c r="M47" s="2719"/>
      <c r="N47" s="2845"/>
      <c r="O47" s="2718"/>
      <c r="P47" s="2717" t="e">
        <f>P43+P44+P45+P46</f>
        <v>#N/A</v>
      </c>
      <c r="Q47" s="2716" t="e">
        <f>Q43+Q44+Q45+Q46</f>
        <v>#N/A</v>
      </c>
      <c r="R47" s="2715"/>
      <c r="S47" s="2714"/>
      <c r="T47" s="2713" t="e">
        <f>T43+T44+T45+T46</f>
        <v>#N/A</v>
      </c>
      <c r="U47" s="2687"/>
      <c r="V47" s="2619"/>
      <c r="W47" s="2619"/>
      <c r="X47" s="2619"/>
      <c r="Y47" s="2619"/>
    </row>
    <row r="48" spans="1:28" ht="18.75">
      <c r="A48" s="2687"/>
      <c r="B48" s="2844"/>
      <c r="C48" s="2702"/>
      <c r="D48" s="2843" t="s">
        <v>1785</v>
      </c>
      <c r="E48" s="2842"/>
      <c r="F48" s="2842"/>
      <c r="G48" s="2842"/>
      <c r="H48" s="2842"/>
      <c r="I48" s="2842"/>
      <c r="J48" s="2842"/>
      <c r="K48" s="2842"/>
      <c r="L48" s="2842"/>
      <c r="M48" s="2842"/>
      <c r="N48" s="2842"/>
      <c r="O48" s="2841" t="s">
        <v>1784</v>
      </c>
      <c r="P48" s="2764" t="e">
        <f>IF($X$10=0,"        Ertrag ?",P47/$X$10)</f>
        <v>#N/A</v>
      </c>
      <c r="Q48" s="2763" t="e">
        <f>IF($X$10=0,"        Ertrag ?",Q47/$X$10)</f>
        <v>#N/A</v>
      </c>
      <c r="R48" s="2762"/>
      <c r="S48" s="2761"/>
      <c r="T48" s="2760" t="e">
        <f>IF($X$10=0,"     Ertrag ?",T47/$X$10)</f>
        <v>#N/A</v>
      </c>
      <c r="U48" s="2687"/>
      <c r="V48" s="2619"/>
      <c r="W48" s="2619"/>
      <c r="X48" s="2619"/>
      <c r="Y48" s="2619"/>
    </row>
    <row r="49" spans="1:34" ht="17.649999999999999" customHeight="1">
      <c r="A49" s="2687"/>
      <c r="B49" s="2834"/>
      <c r="C49" s="2833"/>
      <c r="D49" s="2840" t="s">
        <v>1783</v>
      </c>
      <c r="E49" s="2839"/>
      <c r="F49" s="2839"/>
      <c r="G49" s="2839"/>
      <c r="H49" s="2839"/>
      <c r="I49" s="2839"/>
      <c r="J49" s="2839"/>
      <c r="K49" s="2839"/>
      <c r="L49" s="2839"/>
      <c r="M49" s="2839"/>
      <c r="N49" s="2839"/>
      <c r="O49" s="2838"/>
      <c r="P49" s="2837">
        <v>250</v>
      </c>
      <c r="Q49" s="2836">
        <f>P49/((100+'SDK1'!$O$11)/100)</f>
        <v>250</v>
      </c>
      <c r="R49" s="2726"/>
      <c r="S49" s="2823"/>
      <c r="T49" s="2835">
        <f>P49</f>
        <v>250</v>
      </c>
      <c r="U49" s="2687"/>
      <c r="V49" s="2619"/>
      <c r="W49" s="2619"/>
      <c r="X49" s="2619"/>
      <c r="Y49" s="2619"/>
    </row>
    <row r="50" spans="1:34" ht="17.649999999999999" customHeight="1">
      <c r="A50" s="2687"/>
      <c r="B50" s="2772"/>
      <c r="C50" s="2771"/>
      <c r="D50" s="2832" t="s">
        <v>1782</v>
      </c>
      <c r="E50" s="2649"/>
      <c r="F50" s="2649"/>
      <c r="G50" s="2649"/>
      <c r="H50" s="2649"/>
      <c r="I50" s="2649"/>
      <c r="J50" s="2649"/>
      <c r="K50" s="2649"/>
      <c r="L50" s="2649"/>
      <c r="M50" s="2649"/>
      <c r="N50" s="2649"/>
      <c r="O50" s="2831"/>
      <c r="P50" s="2830">
        <v>50</v>
      </c>
      <c r="Q50" s="2829">
        <f>P50/((100+'SDK1'!$O$11)/100)</f>
        <v>50</v>
      </c>
      <c r="R50" s="2726"/>
      <c r="S50" s="2823"/>
      <c r="T50" s="2828">
        <f>P50</f>
        <v>50</v>
      </c>
      <c r="U50" s="2687"/>
      <c r="V50" s="2619"/>
      <c r="W50" s="2619"/>
      <c r="X50" s="2619"/>
      <c r="Y50" s="2619"/>
    </row>
    <row r="51" spans="1:34" ht="17.649999999999999" customHeight="1">
      <c r="A51" s="2687"/>
      <c r="B51" s="2834"/>
      <c r="C51" s="2833"/>
      <c r="D51" s="2832" t="s">
        <v>1781</v>
      </c>
      <c r="E51" s="2649"/>
      <c r="F51" s="2649"/>
      <c r="G51" s="2649"/>
      <c r="H51" s="2649"/>
      <c r="I51" s="2649"/>
      <c r="J51" s="2649"/>
      <c r="K51" s="2649"/>
      <c r="L51" s="2649"/>
      <c r="M51" s="2649"/>
      <c r="N51" s="2649"/>
      <c r="O51" s="2831"/>
      <c r="P51" s="2830">
        <v>200</v>
      </c>
      <c r="Q51" s="2829">
        <f>P51</f>
        <v>200</v>
      </c>
      <c r="R51" s="2726"/>
      <c r="S51" s="2823"/>
      <c r="T51" s="2828">
        <f>P51</f>
        <v>200</v>
      </c>
      <c r="U51" s="2687"/>
      <c r="V51" s="2619"/>
      <c r="W51" s="2619"/>
      <c r="X51" s="2619"/>
      <c r="Y51" s="2619"/>
    </row>
    <row r="52" spans="1:34" ht="17.649999999999999" customHeight="1">
      <c r="A52" s="2687"/>
      <c r="B52" s="2834"/>
      <c r="C52" s="2833"/>
      <c r="D52" s="2832" t="s">
        <v>1780</v>
      </c>
      <c r="E52" s="2649"/>
      <c r="F52" s="2649"/>
      <c r="G52" s="2649"/>
      <c r="H52" s="2649"/>
      <c r="I52" s="2649"/>
      <c r="J52" s="2649"/>
      <c r="K52" s="2649"/>
      <c r="L52" s="2649"/>
      <c r="M52" s="2649"/>
      <c r="N52" s="2649"/>
      <c r="O52" s="2831"/>
      <c r="P52" s="2830">
        <v>100</v>
      </c>
      <c r="Q52" s="2829">
        <f>P52/((100+'SDK1'!$O$11)/100)</f>
        <v>100</v>
      </c>
      <c r="R52" s="2726"/>
      <c r="S52" s="2823"/>
      <c r="T52" s="2828">
        <f>P52</f>
        <v>100</v>
      </c>
      <c r="U52" s="2687"/>
      <c r="V52" s="2619"/>
      <c r="W52" s="2619"/>
      <c r="X52" s="2619"/>
      <c r="Y52" s="2619"/>
    </row>
    <row r="53" spans="1:34" ht="17.649999999999999" customHeight="1">
      <c r="A53" s="2687"/>
      <c r="B53" s="2821"/>
      <c r="C53" s="2820"/>
      <c r="D53" s="2827" t="s">
        <v>1779</v>
      </c>
      <c r="E53" s="2641"/>
      <c r="F53" s="2641"/>
      <c r="G53" s="2641"/>
      <c r="H53" s="2641"/>
      <c r="I53" s="2641"/>
      <c r="J53" s="2641"/>
      <c r="K53" s="2641"/>
      <c r="L53" s="2641"/>
      <c r="M53" s="2641"/>
      <c r="N53" s="2641"/>
      <c r="O53" s="2826"/>
      <c r="P53" s="2825">
        <f>SUM(P49:P52)</f>
        <v>600</v>
      </c>
      <c r="Q53" s="2824">
        <f>SUM(Q49:Q52)</f>
        <v>600</v>
      </c>
      <c r="R53" s="2726"/>
      <c r="S53" s="2823"/>
      <c r="T53" s="2822">
        <f>P53</f>
        <v>600</v>
      </c>
      <c r="U53" s="2687"/>
      <c r="V53" s="2619"/>
      <c r="W53" s="2619"/>
      <c r="X53" s="2619"/>
      <c r="Y53" s="2619"/>
    </row>
    <row r="54" spans="1:34" ht="17.649999999999999" customHeight="1">
      <c r="A54" s="2687"/>
      <c r="B54" s="2821"/>
      <c r="C54" s="2820"/>
      <c r="D54" s="2798" t="s">
        <v>1778</v>
      </c>
      <c r="E54" s="2747"/>
      <c r="F54" s="2747"/>
      <c r="G54" s="2747"/>
      <c r="H54" s="2747"/>
      <c r="I54" s="2747"/>
      <c r="J54" s="2747"/>
      <c r="K54" s="2747"/>
      <c r="L54" s="2747"/>
      <c r="M54" s="2747"/>
      <c r="N54" s="2747"/>
      <c r="O54" s="2747"/>
      <c r="P54" s="2819"/>
      <c r="Q54" s="2818"/>
      <c r="R54" s="2726"/>
      <c r="S54" s="2817"/>
      <c r="T54" s="2816">
        <f>T12</f>
        <v>300</v>
      </c>
      <c r="U54" s="2687"/>
      <c r="V54" s="2619"/>
      <c r="W54" s="2619"/>
      <c r="X54" s="2619"/>
      <c r="Y54" s="2619"/>
    </row>
    <row r="55" spans="1:34" ht="18.75">
      <c r="A55" s="2687"/>
      <c r="B55" s="2703"/>
      <c r="C55" s="2702"/>
      <c r="D55" s="2720" t="s">
        <v>1777</v>
      </c>
      <c r="E55" s="2719"/>
      <c r="F55" s="2719"/>
      <c r="G55" s="2719"/>
      <c r="H55" s="2719"/>
      <c r="I55" s="2719"/>
      <c r="J55" s="2719"/>
      <c r="K55" s="2719"/>
      <c r="L55" s="2719"/>
      <c r="M55" s="2719"/>
      <c r="N55" s="2719"/>
      <c r="O55" s="2718"/>
      <c r="P55" s="2717" t="e">
        <f>P47+P53</f>
        <v>#N/A</v>
      </c>
      <c r="Q55" s="2716" t="e">
        <f>Q47+Q53</f>
        <v>#N/A</v>
      </c>
      <c r="R55" s="2715"/>
      <c r="S55" s="2714"/>
      <c r="T55" s="2713" t="e">
        <f>T47+T53-T54</f>
        <v>#N/A</v>
      </c>
      <c r="U55" s="2687"/>
      <c r="V55" s="2619"/>
      <c r="W55" s="2619"/>
      <c r="X55" s="2619"/>
      <c r="Y55" s="2619"/>
    </row>
    <row r="56" spans="1:34" ht="15" customHeight="1">
      <c r="A56" s="2687"/>
      <c r="B56" s="2703"/>
      <c r="C56" s="2702"/>
      <c r="D56" s="2711"/>
      <c r="E56" s="2710"/>
      <c r="F56" s="2710"/>
      <c r="G56" s="2710"/>
      <c r="H56" s="2710"/>
      <c r="I56" s="2710"/>
      <c r="J56" s="2710"/>
      <c r="K56" s="2710"/>
      <c r="L56" s="2710"/>
      <c r="M56" s="2710"/>
      <c r="N56" s="2710"/>
      <c r="O56" s="2709" t="s">
        <v>1776</v>
      </c>
      <c r="P56" s="2708" t="e">
        <f>IF($X$10=0,"        Ertrag ?",P55/$X$10)</f>
        <v>#N/A</v>
      </c>
      <c r="Q56" s="2707" t="e">
        <f>IF($X$10=0,"        Ertrag ?",Q55/$X$10)</f>
        <v>#N/A</v>
      </c>
      <c r="R56" s="2706"/>
      <c r="S56" s="2705"/>
      <c r="T56" s="2704" t="e">
        <f>IF($X$10=0,"     Ertrag ?",T55/$X$10)</f>
        <v>#N/A</v>
      </c>
      <c r="U56" s="2687"/>
      <c r="V56" s="2619"/>
      <c r="W56" s="2619"/>
      <c r="X56" s="2619"/>
      <c r="Y56" s="2619"/>
    </row>
    <row r="57" spans="1:34" ht="18.75">
      <c r="A57" s="2687"/>
      <c r="B57" s="2703"/>
      <c r="C57" s="2702"/>
      <c r="D57" s="4176" t="str">
        <f>"Voller Preis( incl. "&amp;P16*100&amp;"% Wagniszuschlag) (ab Feld)"</f>
        <v>Voller Preis( incl. 10% Wagniszuschlag) (ab Feld)</v>
      </c>
      <c r="E57" s="4177"/>
      <c r="F57" s="4177"/>
      <c r="G57" s="4177"/>
      <c r="H57" s="4177"/>
      <c r="I57" s="4177"/>
      <c r="J57" s="4177"/>
      <c r="K57" s="4177"/>
      <c r="L57" s="4177"/>
      <c r="M57" s="4177"/>
      <c r="N57" s="4177"/>
      <c r="O57" s="4178"/>
      <c r="P57" s="2701" t="e">
        <f>P55*(1+$P$16)</f>
        <v>#N/A</v>
      </c>
      <c r="Q57" s="2700" t="e">
        <f>Q55*(1+$P$16)</f>
        <v>#N/A</v>
      </c>
      <c r="R57" s="2699"/>
      <c r="S57" s="2698"/>
      <c r="T57" s="2697"/>
      <c r="U57" s="2687"/>
      <c r="V57" s="2619"/>
      <c r="W57" s="2619"/>
      <c r="X57" s="2619"/>
      <c r="Y57" s="2619"/>
    </row>
    <row r="58" spans="1:34" ht="15" customHeight="1" thickBot="1">
      <c r="A58" s="2687"/>
      <c r="B58" s="2696"/>
      <c r="C58" s="2695"/>
      <c r="D58" s="4179"/>
      <c r="E58" s="4180"/>
      <c r="F58" s="4180"/>
      <c r="G58" s="4180"/>
      <c r="H58" s="4180"/>
      <c r="I58" s="4180"/>
      <c r="J58" s="4180"/>
      <c r="K58" s="4180"/>
      <c r="L58" s="4180"/>
      <c r="M58" s="4180"/>
      <c r="N58" s="4180"/>
      <c r="O58" s="4181"/>
      <c r="P58" s="2694" t="e">
        <f>IF($X$10=0,"        Ertrag ?",P56*(1+$P$16))</f>
        <v>#N/A</v>
      </c>
      <c r="Q58" s="2693" t="e">
        <f>IF($X$10=0,"        Ertrag ?",Q56*(1+$P$16))</f>
        <v>#N/A</v>
      </c>
      <c r="R58" s="2692"/>
      <c r="S58" s="2691"/>
      <c r="T58" s="2690"/>
      <c r="U58" s="2687"/>
      <c r="V58" s="2619"/>
      <c r="W58" s="2619"/>
      <c r="X58" s="2619"/>
      <c r="Y58" s="2619"/>
    </row>
    <row r="59" spans="1:34" ht="15" customHeight="1" thickBot="1">
      <c r="A59" s="2687"/>
      <c r="B59" s="2815"/>
      <c r="C59" s="2813"/>
      <c r="D59" s="2813"/>
      <c r="E59" s="2813"/>
      <c r="F59" s="2813"/>
      <c r="G59" s="2813"/>
      <c r="H59" s="2813"/>
      <c r="I59" s="2813"/>
      <c r="J59" s="2813"/>
      <c r="K59" s="2813"/>
      <c r="L59" s="2813"/>
      <c r="M59" s="2813"/>
      <c r="N59" s="2813"/>
      <c r="O59" s="2813"/>
      <c r="P59" s="2813"/>
      <c r="Q59" s="2814"/>
      <c r="R59" s="2813"/>
      <c r="S59" s="2813"/>
      <c r="T59" s="2812"/>
      <c r="U59" s="2619"/>
      <c r="V59" s="2619"/>
      <c r="W59" s="2619"/>
      <c r="X59" s="2619"/>
      <c r="Y59" s="2619"/>
    </row>
    <row r="60" spans="1:34" s="2799" customFormat="1" ht="25.15" customHeight="1">
      <c r="A60" s="2801"/>
      <c r="B60" s="2811"/>
      <c r="C60" s="2810"/>
      <c r="D60" s="2809" t="s">
        <v>1775</v>
      </c>
      <c r="E60" s="2808"/>
      <c r="F60" s="2808"/>
      <c r="G60" s="2808"/>
      <c r="H60" s="2808"/>
      <c r="I60" s="2808"/>
      <c r="J60" s="2808"/>
      <c r="K60" s="2808"/>
      <c r="L60" s="2808"/>
      <c r="M60" s="2808"/>
      <c r="N60" s="2808"/>
      <c r="O60" s="2807"/>
      <c r="P60" s="2806" t="e">
        <f>P55</f>
        <v>#N/A</v>
      </c>
      <c r="Q60" s="2805" t="e">
        <f>Q55</f>
        <v>#N/A</v>
      </c>
      <c r="R60" s="2804"/>
      <c r="S60" s="2803"/>
      <c r="T60" s="2802" t="e">
        <f>T55</f>
        <v>#N/A</v>
      </c>
      <c r="U60" s="2801"/>
      <c r="V60" s="2800"/>
      <c r="W60" s="2800"/>
      <c r="X60" s="2800"/>
      <c r="Y60" s="2800"/>
      <c r="Z60" s="2505"/>
      <c r="AA60" s="2505"/>
      <c r="AB60" s="2505"/>
      <c r="AC60" s="2505"/>
      <c r="AD60" s="2505"/>
      <c r="AE60" s="2505"/>
      <c r="AF60" s="2505"/>
      <c r="AG60" s="2505"/>
      <c r="AH60" s="2505"/>
    </row>
    <row r="61" spans="1:34" ht="15" customHeight="1">
      <c r="A61" s="2687"/>
      <c r="B61" s="2703"/>
      <c r="C61" s="2702"/>
      <c r="D61" s="2798"/>
      <c r="E61" s="2797"/>
      <c r="F61" s="2797"/>
      <c r="G61" s="2797"/>
      <c r="H61" s="2797"/>
      <c r="I61" s="2797"/>
      <c r="J61" s="2797"/>
      <c r="K61" s="2797"/>
      <c r="L61" s="2797"/>
      <c r="M61" s="2797"/>
      <c r="N61" s="2797"/>
      <c r="O61" s="2796"/>
      <c r="P61" s="2795"/>
      <c r="Q61" s="2794"/>
      <c r="R61" s="2726"/>
      <c r="S61" s="2793"/>
      <c r="T61" s="2792"/>
      <c r="U61" s="2687"/>
      <c r="V61" s="2619"/>
      <c r="W61" s="2619"/>
      <c r="X61" s="2619"/>
      <c r="Y61" s="2619"/>
    </row>
    <row r="62" spans="1:34" ht="17.649999999999999" customHeight="1">
      <c r="A62" s="2687"/>
      <c r="B62" s="2759"/>
      <c r="C62" s="2758"/>
      <c r="D62" s="2757" t="s">
        <v>1774</v>
      </c>
      <c r="E62" s="316"/>
      <c r="F62" s="316"/>
      <c r="G62" s="316"/>
      <c r="H62" s="316"/>
      <c r="I62" s="316"/>
      <c r="J62" s="316"/>
      <c r="K62" s="316"/>
      <c r="L62" s="2756" t="s">
        <v>1763</v>
      </c>
      <c r="M62" s="4188" t="s">
        <v>716</v>
      </c>
      <c r="N62" s="4188" t="s">
        <v>716</v>
      </c>
      <c r="O62" s="2755"/>
      <c r="P62" s="2754">
        <f>SUM(M64:N69)</f>
        <v>13.151721360252099</v>
      </c>
      <c r="Q62" s="2753">
        <f>P62/((100+'SDK1'!$O$11)/100)</f>
        <v>13.151721360252099</v>
      </c>
      <c r="R62" s="2726"/>
      <c r="S62" s="2734"/>
      <c r="T62" s="2742">
        <f>P62</f>
        <v>13.151721360252099</v>
      </c>
      <c r="U62" s="2687"/>
      <c r="V62" s="2619"/>
      <c r="W62" s="2619"/>
      <c r="X62" s="2619"/>
      <c r="Y62" s="2619"/>
    </row>
    <row r="63" spans="1:34" ht="17.649999999999999" customHeight="1">
      <c r="A63" s="2687"/>
      <c r="B63" s="2759"/>
      <c r="C63" s="2758"/>
      <c r="D63" s="2757" t="s">
        <v>1773</v>
      </c>
      <c r="E63" s="316"/>
      <c r="F63" s="316"/>
      <c r="G63" s="316"/>
      <c r="H63" s="316"/>
      <c r="I63" s="316"/>
      <c r="J63" s="316"/>
      <c r="K63" s="316"/>
      <c r="L63" s="2756" t="s">
        <v>1772</v>
      </c>
      <c r="M63" s="4173" t="s">
        <v>1760</v>
      </c>
      <c r="N63" s="4173"/>
      <c r="O63" s="2755"/>
      <c r="P63" s="2754"/>
      <c r="Q63" s="2753"/>
      <c r="R63" s="2726"/>
      <c r="S63" s="2734"/>
      <c r="T63" s="2742"/>
      <c r="U63" s="2687"/>
      <c r="V63" s="2619"/>
      <c r="W63" s="2619"/>
      <c r="X63" s="2619"/>
      <c r="Y63" s="2619"/>
    </row>
    <row r="64" spans="1:34" ht="14.1" customHeight="1">
      <c r="A64" s="2687"/>
      <c r="B64" s="2741">
        <f t="shared" ref="B64:B69" si="4">D64*C64*(1+$B$28)</f>
        <v>0.47250000000000003</v>
      </c>
      <c r="C64" s="2783">
        <f>VLOOKUP(AB64,'SDK3'!B24:O86,13,FALSE)</f>
        <v>0.35</v>
      </c>
      <c r="D64" s="2782">
        <v>0.9</v>
      </c>
      <c r="E64" s="2749" t="str">
        <f t="shared" ref="E64:E69" si="5">IF(D64&gt;0,"x","")</f>
        <v>x</v>
      </c>
      <c r="F64" s="2748" t="str">
        <f>VLOOKUP(AB64,'SDK3'!$B$24:$C$86,2,FALSE)</f>
        <v>Kreiselwender 5,5m</v>
      </c>
      <c r="G64" s="2748"/>
      <c r="H64" s="2748"/>
      <c r="I64" s="2747"/>
      <c r="J64" s="2747"/>
      <c r="K64" s="1805"/>
      <c r="L64" s="2781">
        <f>VLOOKUP(AB64,'SDK3'!$B$24:$O$86,14,FALSE)</f>
        <v>7.3083976529411752</v>
      </c>
      <c r="M64" s="4171">
        <f t="shared" ref="M64:M69" si="6">D64*L64</f>
        <v>6.5775578876470577</v>
      </c>
      <c r="N64" s="4171"/>
      <c r="O64" s="2745"/>
      <c r="P64" s="2744"/>
      <c r="Q64" s="2743"/>
      <c r="R64" s="2726"/>
      <c r="S64" s="2734"/>
      <c r="T64" s="2742"/>
      <c r="U64" s="2687"/>
      <c r="V64" s="2619"/>
      <c r="W64" s="2619"/>
      <c r="X64" s="2619"/>
      <c r="Y64" s="2619"/>
      <c r="AB64" s="1937">
        <v>40</v>
      </c>
    </row>
    <row r="65" spans="1:34" ht="14.1" customHeight="1">
      <c r="A65" s="2687"/>
      <c r="B65" s="2741">
        <f t="shared" si="4"/>
        <v>0.35100000000000003</v>
      </c>
      <c r="C65" s="2783">
        <f>VLOOKUP(AB65,'SDK3'!B24:O86,13,FALSE)</f>
        <v>0.26</v>
      </c>
      <c r="D65" s="2782">
        <v>0.9</v>
      </c>
      <c r="E65" s="2749" t="str">
        <f t="shared" si="5"/>
        <v>x</v>
      </c>
      <c r="F65" s="2748" t="str">
        <f>VLOOKUP(AB65,'SDK3'!$B$24:$C$86,2,FALSE)</f>
        <v>Kreiselschwader 7,5m Seitenablage</v>
      </c>
      <c r="G65" s="2748"/>
      <c r="H65" s="2748"/>
      <c r="I65" s="2747"/>
      <c r="J65" s="2747"/>
      <c r="K65" s="1805"/>
      <c r="L65" s="2781">
        <f>VLOOKUP(AB65,'SDK3'!$B$24:$O$86,14,FALSE)</f>
        <v>7.3046260806722678</v>
      </c>
      <c r="M65" s="4171">
        <f t="shared" si="6"/>
        <v>6.5741634726050409</v>
      </c>
      <c r="N65" s="4171"/>
      <c r="O65" s="2745"/>
      <c r="P65" s="2744"/>
      <c r="Q65" s="2743"/>
      <c r="R65" s="2726"/>
      <c r="S65" s="2734"/>
      <c r="T65" s="2742"/>
      <c r="U65" s="2687"/>
      <c r="V65" s="2619"/>
      <c r="W65" s="2619"/>
      <c r="X65" s="2619"/>
      <c r="Y65" s="2619"/>
      <c r="AB65" s="1937">
        <v>41</v>
      </c>
    </row>
    <row r="66" spans="1:34" ht="14.1" customHeight="1">
      <c r="A66" s="2687"/>
      <c r="B66" s="2741">
        <f t="shared" si="4"/>
        <v>0</v>
      </c>
      <c r="C66" s="2783">
        <f>VLOOKUP(AB66,'SDK3'!B24:O86,13,FALSE)</f>
        <v>1.44</v>
      </c>
      <c r="D66" s="2782"/>
      <c r="E66" s="2749" t="str">
        <f t="shared" si="5"/>
        <v/>
      </c>
      <c r="F66" s="2748" t="str">
        <f>VLOOKUP(AB66,'SDK3'!$B$24:$C$86,2,FALSE)</f>
        <v>Drehpflug 2,10 m</v>
      </c>
      <c r="G66" s="2748"/>
      <c r="H66" s="2748"/>
      <c r="I66" s="2747"/>
      <c r="J66" s="2747"/>
      <c r="K66" s="1805"/>
      <c r="L66" s="2781">
        <f>VLOOKUP(AB66,'SDK3'!$B$24:$O$86,14,FALSE)</f>
        <v>59.188918588235289</v>
      </c>
      <c r="M66" s="4171">
        <f t="shared" si="6"/>
        <v>0</v>
      </c>
      <c r="N66" s="4171"/>
      <c r="O66" s="2745"/>
      <c r="P66" s="2744"/>
      <c r="Q66" s="2743"/>
      <c r="R66" s="2726"/>
      <c r="S66" s="2734"/>
      <c r="T66" s="2742"/>
      <c r="U66" s="2687"/>
      <c r="V66" s="2619"/>
      <c r="W66" s="2619"/>
      <c r="X66" s="2619"/>
      <c r="Y66" s="2619"/>
      <c r="AB66" s="1937">
        <v>1</v>
      </c>
    </row>
    <row r="67" spans="1:34" ht="14.1" customHeight="1">
      <c r="A67" s="2687"/>
      <c r="B67" s="2741">
        <f t="shared" si="4"/>
        <v>0</v>
      </c>
      <c r="C67" s="2783">
        <f>VLOOKUP(AB67,'SDK3'!B24:O86,13,FALSE)</f>
        <v>1.44</v>
      </c>
      <c r="D67" s="2782"/>
      <c r="E67" s="2749" t="str">
        <f t="shared" si="5"/>
        <v/>
      </c>
      <c r="F67" s="2748" t="str">
        <f>VLOOKUP(AB67,'SDK3'!$B$24:$C$86,2,FALSE)</f>
        <v>Drehpflug 2,10 m</v>
      </c>
      <c r="G67" s="2748"/>
      <c r="H67" s="2748"/>
      <c r="I67" s="2747"/>
      <c r="J67" s="2747"/>
      <c r="K67" s="1805"/>
      <c r="L67" s="2781">
        <f>VLOOKUP(AB67,'SDK3'!$B$24:$O$86,14,FALSE)</f>
        <v>59.188918588235289</v>
      </c>
      <c r="M67" s="4171">
        <f t="shared" si="6"/>
        <v>0</v>
      </c>
      <c r="N67" s="4171"/>
      <c r="O67" s="2745"/>
      <c r="P67" s="2744"/>
      <c r="Q67" s="2743"/>
      <c r="R67" s="2726"/>
      <c r="S67" s="2734"/>
      <c r="T67" s="2742"/>
      <c r="U67" s="2687"/>
      <c r="V67" s="2619"/>
      <c r="W67" s="2619"/>
      <c r="X67" s="2619"/>
      <c r="Y67" s="2619"/>
      <c r="AB67" s="1937">
        <v>1</v>
      </c>
    </row>
    <row r="68" spans="1:34" ht="14.1" customHeight="1">
      <c r="A68" s="2687"/>
      <c r="B68" s="2741">
        <f t="shared" si="4"/>
        <v>0</v>
      </c>
      <c r="C68" s="2783">
        <f>VLOOKUP(AB68,'SDK3'!B24:O86,13,FALSE)</f>
        <v>1.44</v>
      </c>
      <c r="D68" s="2782"/>
      <c r="E68" s="2749" t="str">
        <f t="shared" si="5"/>
        <v/>
      </c>
      <c r="F68" s="2748" t="str">
        <f>VLOOKUP(AB68,'SDK3'!$B$24:$C$86,2,FALSE)</f>
        <v>Drehpflug 2,10 m</v>
      </c>
      <c r="G68" s="2748"/>
      <c r="H68" s="2748"/>
      <c r="I68" s="2747"/>
      <c r="J68" s="2747"/>
      <c r="K68" s="1805"/>
      <c r="L68" s="2781">
        <f>VLOOKUP(AB68,'SDK3'!$B$24:$O$86,14,FALSE)</f>
        <v>59.188918588235289</v>
      </c>
      <c r="M68" s="4171">
        <f t="shared" si="6"/>
        <v>0</v>
      </c>
      <c r="N68" s="4171"/>
      <c r="O68" s="2745"/>
      <c r="P68" s="2744"/>
      <c r="Q68" s="2743"/>
      <c r="R68" s="2726"/>
      <c r="S68" s="2734"/>
      <c r="T68" s="2742"/>
      <c r="U68" s="2687"/>
      <c r="V68" s="2619"/>
      <c r="W68" s="2619"/>
      <c r="X68" s="2619"/>
      <c r="Y68" s="2619"/>
      <c r="AB68" s="1937">
        <v>1</v>
      </c>
    </row>
    <row r="69" spans="1:34" ht="14.1" customHeight="1">
      <c r="A69" s="2687"/>
      <c r="B69" s="2741">
        <f t="shared" si="4"/>
        <v>0</v>
      </c>
      <c r="C69" s="2783">
        <f>VLOOKUP(AB69,'SDK3'!B24:O86,13,FALSE)</f>
        <v>0.39</v>
      </c>
      <c r="D69" s="2791"/>
      <c r="E69" s="2790" t="str">
        <f t="shared" si="5"/>
        <v/>
      </c>
      <c r="F69" s="2789" t="str">
        <f>VLOOKUP(AB69,'SDK3'!$B$24:$C$86,2,FALSE)</f>
        <v>Pflanzenschutzspritze 12 m, 300 l/ha</v>
      </c>
      <c r="G69" s="2789"/>
      <c r="H69" s="2789"/>
      <c r="I69" s="2788"/>
      <c r="J69" s="2788"/>
      <c r="K69" s="2738"/>
      <c r="L69" s="2787">
        <f>VLOOKUP(AB69,'SDK3'!$B$24:$O$86,14,FALSE)</f>
        <v>6.5093573847058819</v>
      </c>
      <c r="M69" s="4172">
        <f t="shared" si="6"/>
        <v>0</v>
      </c>
      <c r="N69" s="4172"/>
      <c r="O69" s="2737"/>
      <c r="P69" s="2736"/>
      <c r="Q69" s="2735"/>
      <c r="R69" s="2726"/>
      <c r="S69" s="2734"/>
      <c r="T69" s="2733"/>
      <c r="U69" s="2687"/>
      <c r="V69" s="2619"/>
      <c r="W69" s="2619"/>
      <c r="X69" s="2619"/>
      <c r="Y69" s="2619"/>
      <c r="AB69" s="1937">
        <v>22</v>
      </c>
    </row>
    <row r="70" spans="1:34" ht="17.649999999999999" customHeight="1">
      <c r="A70" s="2687"/>
      <c r="B70" s="2786"/>
      <c r="C70" s="2785"/>
      <c r="D70" s="2770" t="s">
        <v>1082</v>
      </c>
      <c r="E70" s="2767"/>
      <c r="F70" s="2767"/>
      <c r="G70" s="1805"/>
      <c r="H70" s="1805"/>
      <c r="I70" s="1805"/>
      <c r="J70" s="1805"/>
      <c r="K70" s="1805"/>
      <c r="L70" s="1805"/>
      <c r="M70" s="1805"/>
      <c r="N70" s="1805"/>
      <c r="O70" s="2784"/>
      <c r="P70" s="2744" t="e">
        <f>SUM(M71:N73)</f>
        <v>#N/A</v>
      </c>
      <c r="Q70" s="2743" t="e">
        <f>P70/((100+'SDK1'!$O$11)/100)</f>
        <v>#N/A</v>
      </c>
      <c r="R70" s="2726"/>
      <c r="S70" s="2734"/>
      <c r="T70" s="2742" t="e">
        <f>P70</f>
        <v>#N/A</v>
      </c>
      <c r="U70" s="2687"/>
      <c r="V70" s="2619"/>
      <c r="W70" s="2619"/>
      <c r="X70" s="2619"/>
      <c r="Y70" s="2619"/>
    </row>
    <row r="71" spans="1:34" ht="14.1" customHeight="1">
      <c r="A71" s="2687"/>
      <c r="B71" s="2741">
        <f>D71*C71*(1+$B$28)</f>
        <v>0</v>
      </c>
      <c r="C71" s="2783"/>
      <c r="D71" s="2782">
        <v>1</v>
      </c>
      <c r="E71" s="2749" t="str">
        <f>IF(D71&gt;0,"x","")</f>
        <v>x</v>
      </c>
      <c r="F71" s="2748" t="e">
        <f>VLOOKUP(AB71,'SDK3'!$B$91:$C$106,2,FALSE)</f>
        <v>#N/A</v>
      </c>
      <c r="G71" s="2748"/>
      <c r="H71" s="2748"/>
      <c r="I71" s="2747"/>
      <c r="J71" s="2747"/>
      <c r="K71" s="1805"/>
      <c r="L71" s="2781" t="e">
        <f>VLOOKUP(AB71,'SDK3'!$B$91:$D$106,3,FALSE)</f>
        <v>#N/A</v>
      </c>
      <c r="M71" s="4171" t="e">
        <f>D71*L71*(100+'SDK1'!$O$11)/100</f>
        <v>#N/A</v>
      </c>
      <c r="N71" s="4171"/>
      <c r="O71" s="2745"/>
      <c r="P71" s="2744"/>
      <c r="Q71" s="2743"/>
      <c r="R71" s="2726"/>
      <c r="S71" s="2734"/>
      <c r="T71" s="2742"/>
      <c r="U71" s="2687"/>
      <c r="V71" s="2619"/>
      <c r="W71" s="2619"/>
      <c r="X71" s="2619"/>
      <c r="Y71" s="2619"/>
      <c r="AB71" s="1937">
        <v>18</v>
      </c>
    </row>
    <row r="72" spans="1:34" ht="14.1" customHeight="1">
      <c r="A72" s="2687"/>
      <c r="B72" s="2741">
        <f>D72*C72*(1+$B$28)</f>
        <v>0</v>
      </c>
      <c r="C72" s="2783"/>
      <c r="D72" s="2782"/>
      <c r="E72" s="2749" t="str">
        <f>IF(D72&gt;0,"x","")</f>
        <v/>
      </c>
      <c r="F72" s="2748">
        <f>VLOOKUP(AB72,'SDK3'!$B$91:$C$106,2,FALSE)</f>
        <v>0</v>
      </c>
      <c r="G72" s="2748"/>
      <c r="H72" s="2748"/>
      <c r="I72" s="2747"/>
      <c r="J72" s="2747"/>
      <c r="K72" s="1805"/>
      <c r="L72" s="2781">
        <f>VLOOKUP(AB72,'SDK3'!$B$91:$D$106,3,FALSE)</f>
        <v>0</v>
      </c>
      <c r="M72" s="4171">
        <f>D72*L72*(100+'SDK1'!$O$11)/100</f>
        <v>0</v>
      </c>
      <c r="N72" s="4171"/>
      <c r="O72" s="2745"/>
      <c r="P72" s="2744"/>
      <c r="Q72" s="2743"/>
      <c r="R72" s="2726"/>
      <c r="S72" s="2734"/>
      <c r="T72" s="2742"/>
      <c r="U72" s="2687"/>
      <c r="V72" s="2619"/>
      <c r="W72" s="2619"/>
      <c r="X72" s="2619"/>
      <c r="Y72" s="2619"/>
      <c r="AB72" s="1937">
        <v>1</v>
      </c>
    </row>
    <row r="73" spans="1:34" ht="14.1" customHeight="1">
      <c r="A73" s="2687"/>
      <c r="B73" s="2741">
        <f>D73*C73*(1+$B$28)</f>
        <v>0</v>
      </c>
      <c r="C73" s="2783"/>
      <c r="D73" s="2782"/>
      <c r="E73" s="2749" t="str">
        <f>IF(D73&gt;0,"x","")</f>
        <v/>
      </c>
      <c r="F73" s="2748">
        <f>VLOOKUP(AB73,'SDK3'!$B$91:$C$106,2,FALSE)</f>
        <v>0</v>
      </c>
      <c r="G73" s="2748"/>
      <c r="H73" s="2748"/>
      <c r="I73" s="2747"/>
      <c r="J73" s="2747"/>
      <c r="K73" s="1805"/>
      <c r="L73" s="2781">
        <f>VLOOKUP(AB73,'SDK3'!$B$91:$D$106,3,FALSE)</f>
        <v>0</v>
      </c>
      <c r="M73" s="4171">
        <f>D73*L73*(100+'SDK1'!$O$11)/100</f>
        <v>0</v>
      </c>
      <c r="N73" s="4171"/>
      <c r="O73" s="2745"/>
      <c r="P73" s="2744"/>
      <c r="Q73" s="2743"/>
      <c r="R73" s="2726"/>
      <c r="S73" s="2734"/>
      <c r="T73" s="2742"/>
      <c r="U73" s="2687"/>
      <c r="V73" s="2619"/>
      <c r="W73" s="2619"/>
      <c r="X73" s="2619"/>
      <c r="Y73" s="2619"/>
      <c r="AB73" s="1937">
        <v>1</v>
      </c>
    </row>
    <row r="74" spans="1:34" s="2722" customFormat="1" ht="17.649999999999999" customHeight="1">
      <c r="A74" s="2723"/>
      <c r="B74" s="2712">
        <f>SUM(B64:B69)+SUM(B71:B73)</f>
        <v>0.82350000000000012</v>
      </c>
      <c r="C74" s="2732"/>
      <c r="D74" s="2780" t="s">
        <v>1771</v>
      </c>
      <c r="E74" s="2779"/>
      <c r="F74" s="2779"/>
      <c r="G74" s="2779"/>
      <c r="H74" s="2779"/>
      <c r="I74" s="2779"/>
      <c r="J74" s="2779"/>
      <c r="K74" s="2779"/>
      <c r="L74" s="2779"/>
      <c r="M74" s="2779"/>
      <c r="N74" s="2779"/>
      <c r="O74" s="2778"/>
      <c r="P74" s="2777">
        <f>B74*$D$16</f>
        <v>14.823000000000002</v>
      </c>
      <c r="Q74" s="2776">
        <f>P74</f>
        <v>14.823000000000002</v>
      </c>
      <c r="R74" s="2775"/>
      <c r="S74" s="2774"/>
      <c r="T74" s="2773">
        <f>P74</f>
        <v>14.823000000000002</v>
      </c>
      <c r="U74" s="2723"/>
      <c r="V74" s="2619"/>
      <c r="W74" s="2619"/>
      <c r="X74" s="2619"/>
      <c r="Y74" s="2619"/>
      <c r="Z74" s="136"/>
      <c r="AA74" s="136"/>
      <c r="AB74" s="136"/>
      <c r="AC74" s="136"/>
      <c r="AD74" s="136"/>
      <c r="AE74" s="136"/>
      <c r="AF74" s="136"/>
      <c r="AG74" s="136"/>
      <c r="AH74" s="136"/>
    </row>
    <row r="75" spans="1:34" ht="18.75">
      <c r="A75" s="2687"/>
      <c r="B75" s="2703"/>
      <c r="C75" s="2702"/>
      <c r="D75" s="2720" t="s">
        <v>1770</v>
      </c>
      <c r="E75" s="2719"/>
      <c r="F75" s="2719"/>
      <c r="G75" s="2719"/>
      <c r="H75" s="2719"/>
      <c r="I75" s="2719"/>
      <c r="J75" s="2719"/>
      <c r="K75" s="2719"/>
      <c r="L75" s="2719"/>
      <c r="M75" s="2719"/>
      <c r="N75" s="2719"/>
      <c r="O75" s="2718"/>
      <c r="P75" s="2717" t="e">
        <f>SUM(P62:P74)+P55</f>
        <v>#N/A</v>
      </c>
      <c r="Q75" s="2716" t="e">
        <f>SUM(Q62:Q74)+Q55</f>
        <v>#N/A</v>
      </c>
      <c r="R75" s="2715"/>
      <c r="S75" s="2714"/>
      <c r="T75" s="2713" t="e">
        <f>SUM(T62:T74)+T55</f>
        <v>#N/A</v>
      </c>
      <c r="U75" s="2687"/>
      <c r="V75" s="2619"/>
      <c r="W75" s="2619"/>
      <c r="X75" s="2619"/>
      <c r="Y75" s="2619"/>
    </row>
    <row r="76" spans="1:34" ht="15" customHeight="1">
      <c r="A76" s="2687"/>
      <c r="B76" s="2703"/>
      <c r="C76" s="2702"/>
      <c r="D76" s="2711"/>
      <c r="E76" s="2710"/>
      <c r="F76" s="2710"/>
      <c r="G76" s="2710"/>
      <c r="H76" s="2710"/>
      <c r="I76" s="2710"/>
      <c r="J76" s="2710"/>
      <c r="K76" s="2710"/>
      <c r="L76" s="2710"/>
      <c r="M76" s="2710"/>
      <c r="N76" s="2710"/>
      <c r="O76" s="2709" t="s">
        <v>1769</v>
      </c>
      <c r="P76" s="2708" t="e">
        <f>IF($X$10=0,"        Ertrag ?",P75/$X$10)</f>
        <v>#N/A</v>
      </c>
      <c r="Q76" s="2707" t="e">
        <f>IF($X$10=0,"        Ertrag ?",Q75/$X$10)</f>
        <v>#N/A</v>
      </c>
      <c r="R76" s="2706"/>
      <c r="S76" s="2705"/>
      <c r="T76" s="2704" t="e">
        <f>IF($X$10=0,"     Ertrag ?",T75/$X$10)</f>
        <v>#N/A</v>
      </c>
      <c r="U76" s="2687"/>
      <c r="V76" s="2619"/>
      <c r="W76" s="2619"/>
      <c r="X76" s="2619"/>
      <c r="Y76" s="2619"/>
    </row>
    <row r="77" spans="1:34" ht="18.75">
      <c r="A77" s="2687"/>
      <c r="B77" s="2703"/>
      <c r="C77" s="2702"/>
      <c r="D77" s="4176" t="str">
        <f>"Voller Preis( incl. "&amp;P16*100&amp;"% Wagniszuschlag) (incl. Einlagern)"</f>
        <v>Voller Preis( incl. 10% Wagniszuschlag) (incl. Einlagern)</v>
      </c>
      <c r="E77" s="4177"/>
      <c r="F77" s="4177"/>
      <c r="G77" s="4177"/>
      <c r="H77" s="4177"/>
      <c r="I77" s="4177"/>
      <c r="J77" s="4177"/>
      <c r="K77" s="4177"/>
      <c r="L77" s="4177"/>
      <c r="M77" s="4177"/>
      <c r="N77" s="4177"/>
      <c r="O77" s="4178" t="str">
        <f>"Voller Preis( incl. "&amp;P16*100&amp;"% Wagniszuschlag) (incl. Einsilieren)"</f>
        <v>Voller Preis( incl. 10% Wagniszuschlag) (incl. Einsilieren)</v>
      </c>
      <c r="P77" s="2701" t="e">
        <f>P75*(1+$P$16)</f>
        <v>#N/A</v>
      </c>
      <c r="Q77" s="2700" t="e">
        <f>Q75*(1+$P$16)</f>
        <v>#N/A</v>
      </c>
      <c r="R77" s="2699"/>
      <c r="S77" s="2698"/>
      <c r="T77" s="2697"/>
      <c r="U77" s="2687"/>
      <c r="V77" s="2619"/>
      <c r="W77" s="2619"/>
      <c r="X77" s="2619"/>
      <c r="Y77" s="2619"/>
    </row>
    <row r="78" spans="1:34" ht="15" customHeight="1">
      <c r="A78" s="2687"/>
      <c r="B78" s="2703"/>
      <c r="C78" s="2702"/>
      <c r="D78" s="4219"/>
      <c r="E78" s="4220"/>
      <c r="F78" s="4220"/>
      <c r="G78" s="4220"/>
      <c r="H78" s="4220"/>
      <c r="I78" s="4220"/>
      <c r="J78" s="4220"/>
      <c r="K78" s="4220"/>
      <c r="L78" s="4220"/>
      <c r="M78" s="4220"/>
      <c r="N78" s="4220"/>
      <c r="O78" s="4221"/>
      <c r="P78" s="2764" t="e">
        <f>IF($X$10=0,"        Ertrag ?",P76*(1+$P$16))</f>
        <v>#N/A</v>
      </c>
      <c r="Q78" s="2763" t="e">
        <f>IF($X$10=0,"        Ertrag ?",Q76*(1+$P$16))</f>
        <v>#N/A</v>
      </c>
      <c r="R78" s="2762"/>
      <c r="S78" s="2761"/>
      <c r="T78" s="2760"/>
      <c r="U78" s="2687"/>
      <c r="V78" s="2619"/>
      <c r="W78" s="2619"/>
      <c r="X78" s="2619"/>
      <c r="Y78" s="2619"/>
    </row>
    <row r="79" spans="1:34" ht="17.649999999999999" customHeight="1">
      <c r="A79" s="2687"/>
      <c r="B79" s="2772"/>
      <c r="C79" s="2771"/>
      <c r="D79" s="2770" t="s">
        <v>1768</v>
      </c>
      <c r="E79" s="1805"/>
      <c r="F79" s="1805"/>
      <c r="G79" s="1805"/>
      <c r="H79" s="1805"/>
      <c r="I79" s="1805"/>
      <c r="J79" s="1805"/>
      <c r="K79" s="1805"/>
      <c r="L79" s="2769">
        <v>3</v>
      </c>
      <c r="M79" s="2768"/>
      <c r="N79" s="2767" t="s">
        <v>1767</v>
      </c>
      <c r="O79" s="2766"/>
      <c r="P79" s="2765">
        <f>D13*L79</f>
        <v>220.77922077922074</v>
      </c>
      <c r="Q79" s="2743">
        <f>P79/((100+'SDK1'!$O$11)/100)</f>
        <v>220.77922077922074</v>
      </c>
      <c r="R79" s="2726"/>
      <c r="S79" s="2734"/>
      <c r="T79" s="2742">
        <f>P79</f>
        <v>220.77922077922074</v>
      </c>
      <c r="U79" s="2687"/>
      <c r="V79" s="2619"/>
      <c r="W79" s="2619"/>
      <c r="X79" s="2619"/>
      <c r="Y79" s="2619"/>
    </row>
    <row r="80" spans="1:34" ht="18.75">
      <c r="A80" s="2687"/>
      <c r="B80" s="2703"/>
      <c r="C80" s="2702"/>
      <c r="D80" s="2720" t="s">
        <v>1766</v>
      </c>
      <c r="E80" s="2719"/>
      <c r="F80" s="2719"/>
      <c r="G80" s="2719"/>
      <c r="H80" s="2719"/>
      <c r="I80" s="2719"/>
      <c r="J80" s="2719"/>
      <c r="K80" s="2719"/>
      <c r="L80" s="2719"/>
      <c r="M80" s="2719"/>
      <c r="N80" s="2719"/>
      <c r="O80" s="2718"/>
      <c r="P80" s="2717" t="e">
        <f>P75+P79</f>
        <v>#N/A</v>
      </c>
      <c r="Q80" s="2716" t="e">
        <f>Q75+Q79</f>
        <v>#N/A</v>
      </c>
      <c r="R80" s="2715"/>
      <c r="S80" s="2714"/>
      <c r="T80" s="2713" t="e">
        <f>T75+T79</f>
        <v>#N/A</v>
      </c>
      <c r="U80" s="2687"/>
      <c r="V80" s="2619"/>
      <c r="W80" s="2619"/>
      <c r="X80" s="2619"/>
      <c r="Y80" s="2619"/>
    </row>
    <row r="81" spans="1:34" ht="15" customHeight="1">
      <c r="A81" s="2687"/>
      <c r="B81" s="2703"/>
      <c r="C81" s="2702"/>
      <c r="D81" s="2711"/>
      <c r="E81" s="2710"/>
      <c r="F81" s="2710"/>
      <c r="G81" s="2710"/>
      <c r="H81" s="2710"/>
      <c r="I81" s="2710"/>
      <c r="J81" s="2710"/>
      <c r="K81" s="2710"/>
      <c r="L81" s="2710"/>
      <c r="M81" s="2710"/>
      <c r="N81" s="2710"/>
      <c r="O81" s="2709" t="s">
        <v>1765</v>
      </c>
      <c r="P81" s="2708" t="e">
        <f>IF($X$10=0,"        Ertrag ?",P80/$X$10)</f>
        <v>#N/A</v>
      </c>
      <c r="Q81" s="2707" t="e">
        <f>IF($X$10=0,"        Ertrag ?",Q80/$X$10)</f>
        <v>#N/A</v>
      </c>
      <c r="R81" s="2706"/>
      <c r="S81" s="2705"/>
      <c r="T81" s="2704" t="e">
        <f>IF($X$10=0,"     Ertrag ?",T80/$X$10)</f>
        <v>#N/A</v>
      </c>
      <c r="U81" s="2687"/>
      <c r="V81" s="2619"/>
      <c r="W81" s="2619"/>
      <c r="X81" s="2619"/>
      <c r="Y81" s="2619"/>
    </row>
    <row r="82" spans="1:34" ht="18.75">
      <c r="A82" s="2687"/>
      <c r="B82" s="2703"/>
      <c r="C82" s="2702"/>
      <c r="D82" s="4176" t="str">
        <f>"Voller Preis( incl. "&amp;P16*100&amp;"% Wagniszuschlag) (incl. Einsilieren+ Festk. Silo)"</f>
        <v>Voller Preis( incl. 10% Wagniszuschlag) (incl. Einsilieren+ Festk. Silo)</v>
      </c>
      <c r="E82" s="4177"/>
      <c r="F82" s="4177"/>
      <c r="G82" s="4177"/>
      <c r="H82" s="4177"/>
      <c r="I82" s="4177"/>
      <c r="J82" s="4177"/>
      <c r="K82" s="4177"/>
      <c r="L82" s="4177"/>
      <c r="M82" s="4177"/>
      <c r="N82" s="4177"/>
      <c r="O82" s="4178" t="str">
        <f>"Voller Preis( incl. "&amp;P16*100&amp;"% Wagniszuschlag) (incl. Einsilieren + Festk.Silo)"</f>
        <v>Voller Preis( incl. 10% Wagniszuschlag) (incl. Einsilieren + Festk.Silo)</v>
      </c>
      <c r="P82" s="2701" t="e">
        <f>P80*(1+$P$16)</f>
        <v>#N/A</v>
      </c>
      <c r="Q82" s="2700" t="e">
        <f>Q80*(1+$P$16)</f>
        <v>#N/A</v>
      </c>
      <c r="R82" s="2699"/>
      <c r="S82" s="2698"/>
      <c r="T82" s="2697"/>
      <c r="U82" s="2687"/>
      <c r="V82" s="2619"/>
      <c r="W82" s="2619"/>
      <c r="X82" s="2619"/>
      <c r="Y82" s="2619"/>
    </row>
    <row r="83" spans="1:34" ht="15" customHeight="1">
      <c r="A83" s="2687"/>
      <c r="B83" s="2703"/>
      <c r="C83" s="2702"/>
      <c r="D83" s="4219"/>
      <c r="E83" s="4220"/>
      <c r="F83" s="4220"/>
      <c r="G83" s="4220"/>
      <c r="H83" s="4220"/>
      <c r="I83" s="4220"/>
      <c r="J83" s="4220"/>
      <c r="K83" s="4220"/>
      <c r="L83" s="4220"/>
      <c r="M83" s="4220"/>
      <c r="N83" s="4220"/>
      <c r="O83" s="4221"/>
      <c r="P83" s="2764" t="e">
        <f>IF($X$10=0,"        Ertrag ?",P81*(1+$P$16))</f>
        <v>#N/A</v>
      </c>
      <c r="Q83" s="2763" t="e">
        <f>IF($X$10=0,"        Ertrag ?",Q81*(1+$P$16))</f>
        <v>#N/A</v>
      </c>
      <c r="R83" s="2762"/>
      <c r="S83" s="2761"/>
      <c r="T83" s="2760"/>
      <c r="U83" s="2687"/>
      <c r="V83" s="2619"/>
      <c r="W83" s="2619"/>
      <c r="X83" s="2619"/>
      <c r="Y83" s="2619"/>
    </row>
    <row r="84" spans="1:34" s="2722" customFormat="1" ht="17.649999999999999" customHeight="1">
      <c r="A84" s="2723"/>
      <c r="B84" s="2759"/>
      <c r="C84" s="2758"/>
      <c r="D84" s="2757" t="s">
        <v>1764</v>
      </c>
      <c r="E84" s="316"/>
      <c r="F84" s="316"/>
      <c r="G84" s="316"/>
      <c r="H84" s="316"/>
      <c r="I84" s="316"/>
      <c r="J84" s="316"/>
      <c r="K84" s="316"/>
      <c r="L84" s="2756" t="s">
        <v>1763</v>
      </c>
      <c r="M84" s="4169" t="s">
        <v>716</v>
      </c>
      <c r="N84" s="4169" t="s">
        <v>716</v>
      </c>
      <c r="O84" s="2755"/>
      <c r="P84" s="2754">
        <f>SUM(M86:N88)</f>
        <v>52.251082251082245</v>
      </c>
      <c r="Q84" s="2753">
        <f>P84/((100+'SDK1'!$O$11)/100)</f>
        <v>52.251082251082245</v>
      </c>
      <c r="R84" s="2726"/>
      <c r="S84" s="2734"/>
      <c r="T84" s="2742">
        <f>P84</f>
        <v>52.251082251082245</v>
      </c>
      <c r="U84" s="2723"/>
      <c r="V84" s="2619"/>
      <c r="W84" s="2619"/>
      <c r="X84" s="2619"/>
      <c r="Y84" s="2619"/>
      <c r="Z84" s="136"/>
      <c r="AA84" s="136"/>
      <c r="AB84" s="136"/>
      <c r="AC84" s="136"/>
      <c r="AD84" s="136"/>
      <c r="AE84" s="136"/>
      <c r="AF84" s="136"/>
      <c r="AG84" s="136"/>
      <c r="AH84" s="136"/>
    </row>
    <row r="85" spans="1:34" s="2722" customFormat="1" ht="17.649999999999999" customHeight="1">
      <c r="A85" s="2723"/>
      <c r="B85" s="2759"/>
      <c r="C85" s="2758"/>
      <c r="D85" s="2757" t="s">
        <v>1762</v>
      </c>
      <c r="E85" s="316"/>
      <c r="F85" s="316"/>
      <c r="G85" s="316"/>
      <c r="H85" s="316"/>
      <c r="I85" s="316"/>
      <c r="J85" s="316"/>
      <c r="K85" s="316"/>
      <c r="L85" s="2756" t="s">
        <v>1761</v>
      </c>
      <c r="M85" s="4173" t="s">
        <v>1760</v>
      </c>
      <c r="N85" s="4173"/>
      <c r="O85" s="2755"/>
      <c r="P85" s="2754"/>
      <c r="Q85" s="2753"/>
      <c r="R85" s="2726"/>
      <c r="S85" s="2734"/>
      <c r="T85" s="2742"/>
      <c r="U85" s="2723"/>
      <c r="V85" s="2619"/>
      <c r="W85" s="2619"/>
      <c r="X85" s="2619"/>
      <c r="Y85" s="2619"/>
      <c r="Z85" s="136"/>
      <c r="AA85" s="136"/>
      <c r="AB85" s="136"/>
      <c r="AC85" s="136"/>
      <c r="AD85" s="136"/>
      <c r="AE85" s="136"/>
      <c r="AF85" s="136"/>
      <c r="AG85" s="136"/>
      <c r="AH85" s="136"/>
    </row>
    <row r="86" spans="1:34" s="2722" customFormat="1" ht="14.1" customHeight="1">
      <c r="A86" s="2723"/>
      <c r="B86" s="2741">
        <f>IF(C86&gt;0,C86*(1+$B$28),0)</f>
        <v>3</v>
      </c>
      <c r="C86" s="2740">
        <v>2</v>
      </c>
      <c r="D86" s="2750" t="s">
        <v>1759</v>
      </c>
      <c r="E86" s="2749"/>
      <c r="F86" s="2748"/>
      <c r="G86" s="2748"/>
      <c r="H86" s="2748"/>
      <c r="I86" s="2752"/>
      <c r="J86" s="4182">
        <f>D13</f>
        <v>73.593073593073584</v>
      </c>
      <c r="K86" s="4182"/>
      <c r="L86" s="2751">
        <v>0.6</v>
      </c>
      <c r="M86" s="4171">
        <f>D13*L86</f>
        <v>44.15584415584415</v>
      </c>
      <c r="N86" s="4171"/>
      <c r="O86" s="2745"/>
      <c r="P86" s="2744"/>
      <c r="Q86" s="2743"/>
      <c r="R86" s="2726"/>
      <c r="S86" s="2734"/>
      <c r="T86" s="2742"/>
      <c r="U86" s="2723"/>
      <c r="V86" s="2619"/>
      <c r="W86" s="2619"/>
      <c r="X86" s="2619"/>
      <c r="Y86" s="2619"/>
      <c r="Z86" s="136"/>
      <c r="AA86" s="136"/>
      <c r="AB86" s="1937">
        <v>44</v>
      </c>
      <c r="AC86" s="136"/>
      <c r="AD86" s="136"/>
      <c r="AE86" s="136"/>
      <c r="AF86" s="136"/>
      <c r="AG86" s="136"/>
      <c r="AH86" s="136"/>
    </row>
    <row r="87" spans="1:34" s="2722" customFormat="1" ht="14.1" customHeight="1">
      <c r="A87" s="2723"/>
      <c r="B87" s="2741">
        <f>IF(C87&gt;0,C87*(1+$B$28),0)</f>
        <v>3</v>
      </c>
      <c r="C87" s="2740">
        <v>2</v>
      </c>
      <c r="D87" s="2750" t="s">
        <v>1758</v>
      </c>
      <c r="E87" s="2749"/>
      <c r="F87" s="2748"/>
      <c r="G87" s="2748"/>
      <c r="H87" s="2748"/>
      <c r="I87" s="2747"/>
      <c r="J87" s="4186">
        <v>0.2</v>
      </c>
      <c r="K87" s="4187"/>
      <c r="L87" s="2746">
        <v>0.55000000000000004</v>
      </c>
      <c r="M87" s="4171">
        <f>D13*J87*L87</f>
        <v>8.0952380952380949</v>
      </c>
      <c r="N87" s="4171"/>
      <c r="O87" s="2745"/>
      <c r="P87" s="2744"/>
      <c r="Q87" s="2743"/>
      <c r="R87" s="2726"/>
      <c r="S87" s="2734"/>
      <c r="T87" s="2742"/>
      <c r="U87" s="2723"/>
      <c r="V87" s="2619"/>
      <c r="W87" s="2619"/>
      <c r="X87" s="2619"/>
      <c r="Y87" s="2619"/>
      <c r="Z87" s="136"/>
      <c r="AA87" s="136"/>
      <c r="AB87" s="1937">
        <v>45</v>
      </c>
      <c r="AC87" s="136"/>
      <c r="AD87" s="136"/>
      <c r="AE87" s="136"/>
      <c r="AF87" s="136"/>
      <c r="AG87" s="136"/>
      <c r="AH87" s="136"/>
    </row>
    <row r="88" spans="1:34" s="2722" customFormat="1" ht="14.1" customHeight="1">
      <c r="A88" s="2723"/>
      <c r="B88" s="2741">
        <f>IF(C88&gt;0,C88*(1+$B$28),0)</f>
        <v>0</v>
      </c>
      <c r="C88" s="2740"/>
      <c r="D88" s="2739"/>
      <c r="E88" s="4183" t="s">
        <v>544</v>
      </c>
      <c r="F88" s="4183"/>
      <c r="G88" s="4183"/>
      <c r="H88" s="4183"/>
      <c r="I88" s="4183"/>
      <c r="J88" s="2738"/>
      <c r="K88" s="2738"/>
      <c r="L88" s="2738"/>
      <c r="M88" s="4175"/>
      <c r="N88" s="4175"/>
      <c r="O88" s="2737"/>
      <c r="P88" s="2736"/>
      <c r="Q88" s="2735"/>
      <c r="R88" s="2726"/>
      <c r="S88" s="2734"/>
      <c r="T88" s="2733"/>
      <c r="U88" s="2723"/>
      <c r="V88" s="2619"/>
      <c r="W88" s="2619"/>
      <c r="X88" s="2619"/>
      <c r="Y88" s="2619"/>
      <c r="Z88" s="136"/>
      <c r="AA88" s="136"/>
      <c r="AB88" s="1937">
        <v>46</v>
      </c>
      <c r="AC88" s="136"/>
      <c r="AD88" s="136"/>
      <c r="AE88" s="136"/>
      <c r="AF88" s="136"/>
      <c r="AG88" s="136"/>
      <c r="AH88" s="136"/>
    </row>
    <row r="89" spans="1:34" s="2722" customFormat="1" ht="17.649999999999999" customHeight="1">
      <c r="A89" s="2723"/>
      <c r="B89" s="2712">
        <f>SUM(B86:B88)</f>
        <v>6</v>
      </c>
      <c r="C89" s="2732"/>
      <c r="D89" s="2731" t="s">
        <v>1757</v>
      </c>
      <c r="E89" s="2730"/>
      <c r="F89" s="2730"/>
      <c r="G89" s="2730"/>
      <c r="H89" s="2730"/>
      <c r="I89" s="2730"/>
      <c r="J89" s="2730"/>
      <c r="K89" s="2730"/>
      <c r="L89" s="2730"/>
      <c r="M89" s="2730"/>
      <c r="N89" s="2730"/>
      <c r="O89" s="2729"/>
      <c r="P89" s="2728">
        <f>B89*$D$16</f>
        <v>108</v>
      </c>
      <c r="Q89" s="2727">
        <f>P89</f>
        <v>108</v>
      </c>
      <c r="R89" s="2726"/>
      <c r="S89" s="2725"/>
      <c r="T89" s="2724">
        <f>P89</f>
        <v>108</v>
      </c>
      <c r="U89" s="2723"/>
      <c r="V89" s="2619"/>
      <c r="W89" s="2619"/>
      <c r="X89" s="2619"/>
      <c r="Y89" s="2619"/>
      <c r="Z89" s="136"/>
      <c r="AA89" s="136"/>
      <c r="AB89" s="136"/>
      <c r="AC89" s="136"/>
      <c r="AD89" s="136"/>
      <c r="AE89" s="136"/>
      <c r="AF89" s="136"/>
      <c r="AG89" s="136"/>
      <c r="AH89" s="136"/>
    </row>
    <row r="90" spans="1:34" ht="18.75">
      <c r="A90" s="2687"/>
      <c r="B90" s="2703"/>
      <c r="C90" s="2721"/>
      <c r="D90" s="2720" t="s">
        <v>1756</v>
      </c>
      <c r="E90" s="2719"/>
      <c r="F90" s="2719"/>
      <c r="G90" s="2719"/>
      <c r="H90" s="2719"/>
      <c r="I90" s="2719"/>
      <c r="J90" s="2719"/>
      <c r="K90" s="2719"/>
      <c r="L90" s="2719"/>
      <c r="M90" s="2719"/>
      <c r="N90" s="2719"/>
      <c r="O90" s="2718"/>
      <c r="P90" s="2717" t="e">
        <f>P80+P84+P89</f>
        <v>#N/A</v>
      </c>
      <c r="Q90" s="2716" t="e">
        <f>Q80+Q84+Q89</f>
        <v>#N/A</v>
      </c>
      <c r="R90" s="2715"/>
      <c r="S90" s="2714"/>
      <c r="T90" s="2713" t="e">
        <f>T80+T84+T89</f>
        <v>#N/A</v>
      </c>
      <c r="U90" s="2687"/>
      <c r="V90" s="2619"/>
      <c r="W90" s="2619"/>
      <c r="X90" s="2619"/>
      <c r="Y90" s="2619"/>
    </row>
    <row r="91" spans="1:34" ht="15" customHeight="1">
      <c r="A91" s="2687"/>
      <c r="B91" s="2712" t="e">
        <f>B44+B74+B859</f>
        <v>#N/A</v>
      </c>
      <c r="C91" s="2702"/>
      <c r="D91" s="2711"/>
      <c r="E91" s="2710"/>
      <c r="F91" s="2710"/>
      <c r="G91" s="2710"/>
      <c r="H91" s="2710"/>
      <c r="I91" s="2710"/>
      <c r="J91" s="2710"/>
      <c r="K91" s="2710"/>
      <c r="L91" s="2710"/>
      <c r="M91" s="2710"/>
      <c r="N91" s="2710"/>
      <c r="O91" s="2709" t="s">
        <v>1755</v>
      </c>
      <c r="P91" s="2708" t="e">
        <f>IF($X$10=0,"        Ertrag ?",P90/$X$10)</f>
        <v>#N/A</v>
      </c>
      <c r="Q91" s="2707" t="e">
        <f>IF($X$10=0,"        Ertrag ?",Q90/$X$10)</f>
        <v>#N/A</v>
      </c>
      <c r="R91" s="2706"/>
      <c r="S91" s="2705"/>
      <c r="T91" s="2704" t="e">
        <f>IF($X$10=0,"     Ertrag ?",T90/$X$10)</f>
        <v>#N/A</v>
      </c>
      <c r="U91" s="2687"/>
      <c r="V91" s="2619"/>
      <c r="W91" s="2619"/>
      <c r="X91" s="2619"/>
      <c r="Y91" s="2619"/>
    </row>
    <row r="92" spans="1:34" ht="18.75">
      <c r="A92" s="2687"/>
      <c r="B92" s="2703"/>
      <c r="C92" s="2702"/>
      <c r="D92" s="4176" t="str">
        <f>"Voller Preis( incl. "&amp;P16*100&amp;"% Wagniszuschlag) (frei Fermenter)"</f>
        <v>Voller Preis( incl. 10% Wagniszuschlag) (frei Fermenter)</v>
      </c>
      <c r="E92" s="4177"/>
      <c r="F92" s="4177"/>
      <c r="G92" s="4177"/>
      <c r="H92" s="4177"/>
      <c r="I92" s="4177"/>
      <c r="J92" s="4177"/>
      <c r="K92" s="4177"/>
      <c r="L92" s="4177"/>
      <c r="M92" s="4177"/>
      <c r="N92" s="4177"/>
      <c r="O92" s="4178" t="str">
        <f>"Voller Preis( incl. "&amp;P16*100&amp;"% Wagniszuschlag) (frei Fermenter)"</f>
        <v>Voller Preis( incl. 10% Wagniszuschlag) (frei Fermenter)</v>
      </c>
      <c r="P92" s="2701" t="e">
        <f>P90*(1+$P$16)</f>
        <v>#N/A</v>
      </c>
      <c r="Q92" s="2700" t="e">
        <f>Q90*(1+$P$16)</f>
        <v>#N/A</v>
      </c>
      <c r="R92" s="2699"/>
      <c r="S92" s="2698"/>
      <c r="T92" s="2697"/>
      <c r="U92" s="2687"/>
      <c r="V92" s="2619"/>
      <c r="W92" s="2619"/>
      <c r="X92" s="2619"/>
      <c r="Y92" s="2619"/>
    </row>
    <row r="93" spans="1:34" ht="15" customHeight="1" thickBot="1">
      <c r="A93" s="2687"/>
      <c r="B93" s="2696"/>
      <c r="C93" s="2695"/>
      <c r="D93" s="4179"/>
      <c r="E93" s="4180"/>
      <c r="F93" s="4180"/>
      <c r="G93" s="4180"/>
      <c r="H93" s="4180"/>
      <c r="I93" s="4180"/>
      <c r="J93" s="4180"/>
      <c r="K93" s="4180"/>
      <c r="L93" s="4180"/>
      <c r="M93" s="4180"/>
      <c r="N93" s="4180"/>
      <c r="O93" s="4181"/>
      <c r="P93" s="2694" t="e">
        <f>IF($X$10=0,"        Ertrag ?",P91*(1+$P$16))</f>
        <v>#N/A</v>
      </c>
      <c r="Q93" s="2693" t="e">
        <f>IF($X$10=0,"        Ertrag ?",Q91*(1+$P$16))</f>
        <v>#N/A</v>
      </c>
      <c r="R93" s="2692"/>
      <c r="S93" s="2691"/>
      <c r="T93" s="2690"/>
      <c r="U93" s="2687"/>
      <c r="V93" s="2619"/>
      <c r="W93" s="2619"/>
      <c r="X93" s="2619"/>
      <c r="Y93" s="2619"/>
    </row>
    <row r="94" spans="1:34">
      <c r="A94" s="2687"/>
      <c r="B94" s="2689"/>
      <c r="C94" s="2688"/>
      <c r="D94" s="2688"/>
      <c r="E94" s="2688"/>
      <c r="F94" s="2688"/>
      <c r="G94" s="2688"/>
      <c r="H94" s="2688"/>
      <c r="I94" s="2688"/>
      <c r="J94" s="2688"/>
      <c r="K94" s="2688"/>
      <c r="L94" s="2688"/>
      <c r="M94" s="2688"/>
      <c r="N94" s="2688"/>
      <c r="O94" s="2688"/>
      <c r="P94" s="2687"/>
      <c r="Q94" s="2687"/>
      <c r="R94" s="2687"/>
      <c r="S94" s="2687"/>
      <c r="T94" s="2687"/>
      <c r="U94" s="2687"/>
      <c r="V94" s="2619"/>
      <c r="W94" s="2619"/>
      <c r="X94" s="2619"/>
      <c r="Y94" s="2619"/>
    </row>
    <row r="95" spans="1:34" ht="10.15" customHeight="1" thickBot="1">
      <c r="B95" s="2686"/>
      <c r="C95" s="2685"/>
      <c r="D95" s="2685"/>
      <c r="E95" s="2685"/>
      <c r="F95" s="2685"/>
      <c r="G95" s="2685"/>
      <c r="H95" s="2685"/>
      <c r="I95" s="2685"/>
      <c r="J95" s="2685"/>
      <c r="K95" s="2685"/>
      <c r="L95" s="2685"/>
      <c r="M95" s="2685"/>
      <c r="N95" s="2685"/>
      <c r="O95" s="2685"/>
      <c r="U95" s="2684"/>
      <c r="V95" s="2619"/>
      <c r="W95" s="2619"/>
      <c r="X95" s="2619"/>
      <c r="Y95" s="2619"/>
    </row>
    <row r="96" spans="1:34" ht="6" customHeight="1" thickBot="1">
      <c r="A96" s="2683"/>
      <c r="B96" s="2682"/>
      <c r="C96" s="2681"/>
      <c r="D96" s="2681"/>
      <c r="E96" s="2681"/>
      <c r="F96" s="2681"/>
      <c r="G96" s="2681"/>
      <c r="H96" s="2681"/>
      <c r="I96" s="2681"/>
      <c r="J96" s="2681"/>
      <c r="K96" s="2681"/>
      <c r="L96" s="2681"/>
      <c r="M96" s="2681"/>
      <c r="N96" s="2681"/>
      <c r="O96" s="2681"/>
      <c r="P96" s="2680"/>
      <c r="Q96" s="2680"/>
      <c r="R96" s="2680"/>
      <c r="S96" s="2680"/>
      <c r="T96" s="2680"/>
      <c r="U96" s="2679"/>
      <c r="V96" s="2619"/>
      <c r="W96" s="2619"/>
      <c r="X96" s="2619"/>
      <c r="Y96" s="2619"/>
    </row>
    <row r="97" spans="1:25" ht="20.100000000000001" customHeight="1" thickBot="1">
      <c r="A97" s="2636"/>
      <c r="B97" s="2678" t="s">
        <v>1754</v>
      </c>
      <c r="C97" s="2677"/>
      <c r="D97" s="2677"/>
      <c r="E97" s="2677"/>
      <c r="F97" s="2677"/>
      <c r="G97" s="2677"/>
      <c r="H97" s="2677"/>
      <c r="I97" s="2677"/>
      <c r="J97" s="2677"/>
      <c r="K97" s="2677"/>
      <c r="L97" s="2672"/>
      <c r="M97" s="2672"/>
      <c r="N97" s="2672"/>
      <c r="O97" s="2672"/>
      <c r="P97" s="2676"/>
      <c r="Q97" s="2675"/>
      <c r="R97" s="2675"/>
      <c r="S97" s="2674" t="s">
        <v>1753</v>
      </c>
      <c r="T97" s="2673" t="str">
        <f>B5</f>
        <v>Silomais 170 dt TM</v>
      </c>
      <c r="U97" s="2625"/>
      <c r="V97" s="2619"/>
      <c r="W97" s="2619"/>
      <c r="X97" s="2619"/>
      <c r="Y97" s="2619"/>
    </row>
    <row r="98" spans="1:25" ht="15" customHeight="1">
      <c r="A98" s="2636"/>
      <c r="B98" s="2662"/>
      <c r="C98" s="2672"/>
      <c r="D98" s="2672"/>
      <c r="E98" s="2672"/>
      <c r="F98" s="2672"/>
      <c r="G98" s="2672"/>
      <c r="H98" s="2672"/>
      <c r="I98" s="2672"/>
      <c r="J98" s="2672"/>
      <c r="K98" s="2672"/>
      <c r="L98" s="2672"/>
      <c r="M98" s="2672"/>
      <c r="N98" s="2672"/>
      <c r="O98" s="2672"/>
      <c r="P98" s="2662"/>
      <c r="Q98" s="2662"/>
      <c r="R98" s="2662"/>
      <c r="S98" s="2662"/>
      <c r="T98" s="2662"/>
      <c r="U98" s="2625"/>
      <c r="V98" s="2619"/>
      <c r="W98" s="2619"/>
      <c r="X98" s="2619"/>
      <c r="Y98" s="2619"/>
    </row>
    <row r="99" spans="1:25" ht="15" customHeight="1">
      <c r="A99" s="2636"/>
      <c r="B99" s="2671" t="s">
        <v>1752</v>
      </c>
      <c r="C99" s="4184">
        <f>W8</f>
        <v>17</v>
      </c>
      <c r="D99" s="4184"/>
      <c r="E99" s="4184"/>
      <c r="F99" s="2670"/>
      <c r="G99" s="1805"/>
      <c r="H99" s="1805"/>
      <c r="I99" s="2658" t="s">
        <v>1751</v>
      </c>
      <c r="J99" s="2658" t="s">
        <v>1750</v>
      </c>
      <c r="K99" s="2668" t="str">
        <f>IF(W5=1,"x","")</f>
        <v>x</v>
      </c>
      <c r="L99" s="2662"/>
      <c r="M99" s="2662"/>
      <c r="N99" s="1805" t="s">
        <v>1749</v>
      </c>
      <c r="O99" s="1805"/>
      <c r="P99" s="1805"/>
      <c r="Q99" s="1805"/>
      <c r="R99" s="2665"/>
      <c r="S99" s="2664" t="s">
        <v>1742</v>
      </c>
      <c r="T99" s="2663">
        <f>L12</f>
        <v>1.4319999999999999</v>
      </c>
      <c r="U99" s="2625"/>
      <c r="V99" s="2619"/>
      <c r="W99" s="2619"/>
      <c r="X99" s="2619"/>
      <c r="Y99" s="2619"/>
    </row>
    <row r="100" spans="1:25" ht="15" customHeight="1">
      <c r="A100" s="2636"/>
      <c r="B100" s="1805"/>
      <c r="C100" s="4185">
        <f>W9</f>
        <v>51.515151515151516</v>
      </c>
      <c r="D100" s="4185"/>
      <c r="E100" s="4185"/>
      <c r="F100" s="2669"/>
      <c r="G100" s="1805"/>
      <c r="H100" s="1805"/>
      <c r="I100" s="2658"/>
      <c r="J100" s="2658" t="s">
        <v>1748</v>
      </c>
      <c r="K100" s="2668" t="str">
        <f>IF(W5=2,"x","")</f>
        <v/>
      </c>
      <c r="L100" s="2662"/>
      <c r="M100" s="2662"/>
      <c r="N100" s="1805"/>
      <c r="O100" s="1805"/>
      <c r="P100" s="1805"/>
      <c r="Q100" s="1805"/>
      <c r="R100" s="2665"/>
      <c r="S100" s="2664" t="s">
        <v>1740</v>
      </c>
      <c r="T100" s="2663">
        <f>L13</f>
        <v>1.05</v>
      </c>
      <c r="U100" s="2625"/>
      <c r="V100" s="2619"/>
      <c r="W100" s="2619"/>
      <c r="X100" s="2619"/>
      <c r="Y100" s="2619"/>
    </row>
    <row r="101" spans="1:25" ht="15" customHeight="1">
      <c r="A101" s="2636"/>
      <c r="B101" s="2662"/>
      <c r="C101" s="2667"/>
      <c r="D101" s="2667"/>
      <c r="E101" s="2667"/>
      <c r="F101" s="2667"/>
      <c r="G101" s="2662"/>
      <c r="H101" s="2662"/>
      <c r="I101" s="2666"/>
      <c r="J101" s="2666"/>
      <c r="K101" s="2666"/>
      <c r="L101" s="2662"/>
      <c r="M101" s="2662"/>
      <c r="N101" s="1805"/>
      <c r="O101" s="1805"/>
      <c r="P101" s="1805"/>
      <c r="Q101" s="1805"/>
      <c r="R101" s="2665"/>
      <c r="S101" s="2664" t="s">
        <v>1747</v>
      </c>
      <c r="T101" s="2663">
        <f>L14</f>
        <v>0.98000000000000009</v>
      </c>
      <c r="U101" s="2625"/>
      <c r="V101" s="2619"/>
      <c r="W101" s="2619"/>
      <c r="X101" s="2619"/>
      <c r="Y101" s="2619"/>
    </row>
    <row r="102" spans="1:25" ht="15" customHeight="1">
      <c r="A102" s="2636"/>
      <c r="B102" s="2662"/>
      <c r="C102" s="2662"/>
      <c r="D102" s="2662"/>
      <c r="E102" s="2662"/>
      <c r="F102" s="2662"/>
      <c r="G102" s="2662"/>
      <c r="H102" s="2662"/>
      <c r="I102" s="2662"/>
      <c r="J102" s="2662"/>
      <c r="K102" s="2662"/>
      <c r="L102" s="2662"/>
      <c r="M102" s="2662"/>
      <c r="N102" s="1805"/>
      <c r="O102" s="1805"/>
      <c r="P102" s="1805"/>
      <c r="Q102" s="1805"/>
      <c r="R102" s="2665"/>
      <c r="S102" s="2664" t="s">
        <v>1736</v>
      </c>
      <c r="T102" s="2663">
        <f>L15</f>
        <v>0.60200000000000009</v>
      </c>
      <c r="U102" s="2625"/>
      <c r="V102" s="2619"/>
      <c r="W102" s="2619"/>
      <c r="X102" s="2619"/>
      <c r="Y102" s="2619"/>
    </row>
    <row r="103" spans="1:25" ht="6" customHeight="1">
      <c r="A103" s="2636"/>
      <c r="B103" s="2662"/>
      <c r="C103" s="2662"/>
      <c r="D103" s="2662"/>
      <c r="E103" s="2662"/>
      <c r="F103" s="2662"/>
      <c r="G103" s="2662"/>
      <c r="H103" s="2662"/>
      <c r="I103" s="2662"/>
      <c r="J103" s="2662"/>
      <c r="K103" s="2662"/>
      <c r="L103" s="2662"/>
      <c r="M103" s="2662"/>
      <c r="N103" s="2662"/>
      <c r="O103" s="2662"/>
      <c r="P103" s="2662"/>
      <c r="Q103" s="2662"/>
      <c r="R103" s="2662"/>
      <c r="S103" s="2662"/>
      <c r="T103" s="2662"/>
      <c r="U103" s="2625"/>
      <c r="V103" s="2619"/>
      <c r="W103" s="2619"/>
      <c r="X103" s="2619"/>
      <c r="Y103" s="2619"/>
    </row>
    <row r="104" spans="1:25" ht="15" customHeight="1">
      <c r="A104" s="2636"/>
      <c r="B104" s="1805"/>
      <c r="C104" s="2634"/>
      <c r="D104" s="2659"/>
      <c r="E104" s="2634"/>
      <c r="F104" s="2634"/>
      <c r="G104" s="2661"/>
      <c r="H104" s="2661"/>
      <c r="I104" s="2634"/>
      <c r="J104" s="2634"/>
      <c r="K104" s="2634"/>
      <c r="L104" s="2634"/>
      <c r="M104" s="2634"/>
      <c r="N104" s="2660" t="s">
        <v>1746</v>
      </c>
      <c r="O104" s="2660"/>
      <c r="P104" s="1805"/>
      <c r="Q104" s="1805"/>
      <c r="R104" s="145"/>
      <c r="S104" s="145"/>
      <c r="T104" s="145"/>
      <c r="U104" s="2625"/>
      <c r="V104" s="2619"/>
      <c r="W104" s="2619"/>
      <c r="X104" s="2619"/>
      <c r="Y104" s="2619"/>
    </row>
    <row r="105" spans="1:25" ht="15" customHeight="1">
      <c r="A105" s="2636"/>
      <c r="B105" s="1805"/>
      <c r="C105" s="2659" t="s">
        <v>1745</v>
      </c>
      <c r="D105" s="1805"/>
      <c r="E105" s="2659"/>
      <c r="F105" s="2659"/>
      <c r="G105" s="145"/>
      <c r="H105" s="145"/>
      <c r="I105" s="4174" t="s">
        <v>1743</v>
      </c>
      <c r="J105" s="4174"/>
      <c r="K105" s="2634"/>
      <c r="L105" s="1805"/>
      <c r="M105" s="1805"/>
      <c r="N105" s="1805" t="s">
        <v>1744</v>
      </c>
      <c r="O105" s="1805"/>
      <c r="P105" s="2658" t="s">
        <v>1743</v>
      </c>
      <c r="Q105" s="2658"/>
      <c r="S105" s="1805"/>
      <c r="T105" s="2657"/>
      <c r="U105" s="2625"/>
      <c r="V105" s="2619"/>
      <c r="W105" s="2619"/>
      <c r="X105" s="2619"/>
      <c r="Y105" s="2619"/>
    </row>
    <row r="106" spans="1:25" ht="15" customHeight="1">
      <c r="A106" s="2636"/>
      <c r="B106" s="2654" t="s">
        <v>1742</v>
      </c>
      <c r="C106" s="2656">
        <f>L6</f>
        <v>1.4</v>
      </c>
      <c r="D106" s="2651" t="str">
        <f>IF($K$99="x","kg/dt TM",IF($K$100="x","kg/dt FM",""))</f>
        <v>kg/dt TM</v>
      </c>
      <c r="E106" s="2653"/>
      <c r="F106" s="2653"/>
      <c r="G106" s="2649"/>
      <c r="H106" s="2649"/>
      <c r="I106" s="2652">
        <f>IF($K$99="x",C106*$C$99*10,IF($K$100="x",C106*$C$100*10,0))</f>
        <v>237.99999999999997</v>
      </c>
      <c r="J106" s="2651" t="s">
        <v>1741</v>
      </c>
      <c r="K106" s="2650"/>
      <c r="L106" s="2649"/>
      <c r="M106" s="2649"/>
      <c r="N106" s="2655">
        <v>0.28000000000000003</v>
      </c>
      <c r="O106" s="2648"/>
      <c r="P106" s="2647">
        <f>I106*(1-N106)*T99</f>
        <v>245.38751999999997</v>
      </c>
      <c r="Q106" s="2646"/>
      <c r="S106" s="1805"/>
      <c r="T106" s="1805"/>
      <c r="U106" s="2625"/>
      <c r="V106" s="2619"/>
      <c r="W106" s="2619"/>
      <c r="X106" s="2619"/>
      <c r="Y106" s="2619"/>
    </row>
    <row r="107" spans="1:25" ht="15" customHeight="1">
      <c r="A107" s="2636"/>
      <c r="B107" s="2654" t="s">
        <v>1740</v>
      </c>
      <c r="C107" s="2654">
        <f>L8</f>
        <v>0.59</v>
      </c>
      <c r="D107" s="2651" t="str">
        <f>IF($K$99="x","kg/dt TM",IF($K$100="x","kg/dt FM",""))</f>
        <v>kg/dt TM</v>
      </c>
      <c r="E107" s="2653"/>
      <c r="F107" s="2653"/>
      <c r="G107" s="2649"/>
      <c r="H107" s="2649"/>
      <c r="I107" s="2652">
        <f>IF($K$99="x",C107*$C$99*10,IF($K$100="x",C107*$C$100*10,0))</f>
        <v>100.3</v>
      </c>
      <c r="J107" s="2651" t="s">
        <v>1739</v>
      </c>
      <c r="K107" s="2650"/>
      <c r="L107" s="2649"/>
      <c r="M107" s="2649"/>
      <c r="N107" s="2648">
        <v>0</v>
      </c>
      <c r="O107" s="2648"/>
      <c r="P107" s="2647">
        <f>I107*(1-N107)*T100</f>
        <v>105.315</v>
      </c>
      <c r="Q107" s="2646"/>
      <c r="S107" s="1805"/>
      <c r="T107" s="1805"/>
      <c r="U107" s="2625"/>
      <c r="V107" s="2619"/>
      <c r="W107" s="2619"/>
      <c r="X107" s="2619"/>
      <c r="Y107" s="2619"/>
    </row>
    <row r="108" spans="1:25" ht="15" customHeight="1">
      <c r="A108" s="2636"/>
      <c r="B108" s="2654" t="s">
        <v>1738</v>
      </c>
      <c r="C108" s="2654">
        <f>L9</f>
        <v>1.67</v>
      </c>
      <c r="D108" s="2651" t="str">
        <f>IF($K$99="x","kg/dt TM",IF($K$100="x","kg/dt FM",""))</f>
        <v>kg/dt TM</v>
      </c>
      <c r="E108" s="2653"/>
      <c r="F108" s="2653"/>
      <c r="G108" s="2649"/>
      <c r="H108" s="2649"/>
      <c r="I108" s="2652">
        <f>IF($K$99="x",C108*$C$99*10,IF($K$100="x",C108*$C$100*10,0))</f>
        <v>283.89999999999998</v>
      </c>
      <c r="J108" s="2651" t="s">
        <v>1737</v>
      </c>
      <c r="K108" s="2650"/>
      <c r="L108" s="2649"/>
      <c r="M108" s="2649"/>
      <c r="N108" s="2648">
        <v>0</v>
      </c>
      <c r="O108" s="2648"/>
      <c r="P108" s="2647">
        <f>I108*(1-N108)*T101</f>
        <v>278.22199999999998</v>
      </c>
      <c r="Q108" s="2646"/>
      <c r="S108" s="1805"/>
      <c r="T108" s="1805"/>
      <c r="U108" s="2625"/>
      <c r="V108" s="2619"/>
      <c r="W108" s="2619"/>
      <c r="X108" s="2619"/>
      <c r="Y108" s="2619"/>
    </row>
    <row r="109" spans="1:25" ht="15" customHeight="1">
      <c r="A109" s="2636"/>
      <c r="B109" s="2645" t="s">
        <v>1736</v>
      </c>
      <c r="C109" s="2645">
        <f>L10</f>
        <v>0.23</v>
      </c>
      <c r="D109" s="2642" t="str">
        <f>IF($K$99="x","kg/dt TM",IF($K$100="x","kg/dt FM",""))</f>
        <v>kg/dt TM</v>
      </c>
      <c r="E109" s="2644"/>
      <c r="F109" s="2644"/>
      <c r="G109" s="2640"/>
      <c r="H109" s="2640"/>
      <c r="I109" s="2643">
        <f>IF($K$99="x",C109*$C$99*10,IF($K$100="x",C109*$C$100*10,0))</f>
        <v>39.1</v>
      </c>
      <c r="J109" s="2642" t="s">
        <v>1735</v>
      </c>
      <c r="K109" s="2641"/>
      <c r="L109" s="2640"/>
      <c r="M109" s="2640"/>
      <c r="N109" s="2639">
        <v>0</v>
      </c>
      <c r="O109" s="2639"/>
      <c r="P109" s="2638">
        <f>I109*(1-N109)*T102</f>
        <v>23.538200000000003</v>
      </c>
      <c r="Q109" s="2637"/>
      <c r="R109" s="2464"/>
      <c r="S109" s="2464"/>
      <c r="T109" s="2464"/>
      <c r="U109" s="2625"/>
      <c r="V109" s="2619"/>
      <c r="W109" s="2619"/>
      <c r="X109" s="2619"/>
      <c r="Y109" s="2619"/>
    </row>
    <row r="110" spans="1:25" ht="20.100000000000001" customHeight="1" thickBot="1">
      <c r="A110" s="2636"/>
      <c r="B110" s="2635"/>
      <c r="C110" s="2635"/>
      <c r="D110" s="2632"/>
      <c r="E110" s="2634"/>
      <c r="F110" s="2634"/>
      <c r="G110" s="1805"/>
      <c r="H110" s="1805"/>
      <c r="I110" s="2633"/>
      <c r="J110" s="2632"/>
      <c r="K110" s="2631"/>
      <c r="L110" s="1805"/>
      <c r="M110" s="1805"/>
      <c r="N110" s="2630"/>
      <c r="O110" s="2628" t="s">
        <v>1734</v>
      </c>
      <c r="P110" s="2629">
        <f>SUM(P106:P109)</f>
        <v>652.46271999999988</v>
      </c>
      <c r="Q110" s="2628"/>
      <c r="S110" s="2627" t="s">
        <v>1733</v>
      </c>
      <c r="T110" s="2626">
        <f>IF($X$10=0,"        Ertrag ?",P110/X10)</f>
        <v>12.665452799999997</v>
      </c>
      <c r="U110" s="2625"/>
      <c r="V110" s="2619"/>
      <c r="W110" s="2619"/>
      <c r="X110" s="2619"/>
      <c r="Y110" s="2619"/>
    </row>
    <row r="111" spans="1:25" ht="6" customHeight="1" thickTop="1" thickBot="1">
      <c r="A111" s="2624"/>
      <c r="B111" s="2622"/>
      <c r="C111" s="2622"/>
      <c r="D111" s="2622"/>
      <c r="E111" s="2622"/>
      <c r="F111" s="2622"/>
      <c r="G111" s="2622"/>
      <c r="H111" s="2622"/>
      <c r="I111" s="2622"/>
      <c r="J111" s="2622"/>
      <c r="K111" s="2622"/>
      <c r="L111" s="2622"/>
      <c r="M111" s="2622"/>
      <c r="N111" s="2622"/>
      <c r="O111" s="2622"/>
      <c r="P111" s="2622"/>
      <c r="Q111" s="2622"/>
      <c r="R111" s="2623"/>
      <c r="S111" s="2622"/>
      <c r="T111" s="2622"/>
      <c r="U111" s="2621"/>
      <c r="V111" s="2619"/>
      <c r="W111" s="2619"/>
      <c r="X111" s="2619"/>
      <c r="Y111" s="2619"/>
    </row>
    <row r="112" spans="1:25">
      <c r="A112" s="2619"/>
      <c r="B112" s="2619"/>
      <c r="C112" s="2619"/>
      <c r="D112" s="2619"/>
      <c r="E112" s="2619"/>
      <c r="F112" s="2619"/>
      <c r="G112" s="2619"/>
      <c r="H112" s="2619"/>
      <c r="I112" s="2619"/>
      <c r="J112" s="2619"/>
      <c r="K112" s="2619"/>
      <c r="L112" s="2619"/>
      <c r="M112" s="2619"/>
      <c r="N112" s="2619"/>
      <c r="O112" s="2619"/>
      <c r="P112" s="2619"/>
      <c r="Q112" s="2619"/>
      <c r="R112" s="2619"/>
      <c r="S112" s="2619"/>
      <c r="T112" s="2619"/>
      <c r="U112" s="2620"/>
      <c r="V112" s="2619"/>
      <c r="W112" s="2619"/>
      <c r="X112" s="2619"/>
      <c r="Y112" s="2619"/>
    </row>
    <row r="113" spans="1:25">
      <c r="A113" s="2619"/>
      <c r="B113" s="2619"/>
      <c r="C113" s="2619"/>
      <c r="D113" s="2619"/>
      <c r="E113" s="2619"/>
      <c r="F113" s="2619"/>
      <c r="G113" s="2619"/>
      <c r="H113" s="2619"/>
      <c r="I113" s="2619"/>
      <c r="J113" s="2619"/>
      <c r="K113" s="2619"/>
      <c r="L113" s="2619"/>
      <c r="M113" s="2619"/>
      <c r="N113" s="2619"/>
      <c r="O113" s="2619"/>
      <c r="P113" s="2619"/>
      <c r="Q113" s="2619"/>
      <c r="R113" s="2619"/>
      <c r="S113" s="2619"/>
      <c r="T113" s="2619"/>
      <c r="U113" s="2619"/>
      <c r="V113" s="2619"/>
      <c r="W113" s="2619"/>
      <c r="X113" s="2619"/>
      <c r="Y113" s="2619"/>
    </row>
    <row r="114" spans="1:25">
      <c r="A114" s="2619"/>
      <c r="B114" s="2619"/>
      <c r="C114" s="2619"/>
      <c r="D114" s="2619"/>
      <c r="E114" s="2619"/>
      <c r="F114" s="2619"/>
      <c r="G114" s="2619"/>
      <c r="H114" s="2619"/>
      <c r="I114" s="2619"/>
      <c r="J114" s="2619"/>
      <c r="K114" s="2619"/>
      <c r="L114" s="2619"/>
      <c r="M114" s="2619"/>
      <c r="N114" s="2619"/>
      <c r="O114" s="2619"/>
      <c r="P114" s="2619"/>
      <c r="Q114" s="2619"/>
      <c r="R114" s="2619"/>
      <c r="S114" s="2619"/>
      <c r="T114" s="2619"/>
      <c r="U114" s="2619"/>
      <c r="V114" s="2619"/>
      <c r="W114" s="2619"/>
      <c r="X114" s="2619"/>
      <c r="Y114" s="2619"/>
    </row>
    <row r="115" spans="1:25">
      <c r="A115" s="2619"/>
      <c r="B115" s="2619"/>
      <c r="C115" s="2619"/>
      <c r="D115" s="2619"/>
      <c r="E115" s="2619"/>
      <c r="F115" s="2619"/>
      <c r="G115" s="2619"/>
      <c r="H115" s="2619"/>
      <c r="I115" s="2619"/>
      <c r="J115" s="2619"/>
      <c r="K115" s="2619"/>
      <c r="L115" s="2619"/>
      <c r="M115" s="2619"/>
      <c r="N115" s="2619"/>
      <c r="O115" s="2619"/>
      <c r="P115" s="2619"/>
      <c r="Q115" s="2619"/>
      <c r="R115" s="2619"/>
      <c r="S115" s="2619"/>
      <c r="T115" s="2619"/>
      <c r="U115" s="2619"/>
      <c r="V115" s="2619"/>
      <c r="W115" s="2619"/>
      <c r="X115" s="2619"/>
      <c r="Y115" s="2619"/>
    </row>
    <row r="116" spans="1:25">
      <c r="A116" s="2619"/>
      <c r="B116" s="2619"/>
      <c r="C116" s="2619"/>
      <c r="D116" s="2619"/>
      <c r="E116" s="2619"/>
      <c r="F116" s="2619"/>
      <c r="G116" s="2619"/>
      <c r="H116" s="2619"/>
      <c r="I116" s="2619"/>
      <c r="J116" s="2619"/>
      <c r="K116" s="2619"/>
      <c r="L116" s="2619"/>
      <c r="M116" s="2619"/>
      <c r="N116" s="2619"/>
      <c r="O116" s="2619"/>
      <c r="P116" s="2619"/>
      <c r="Q116" s="2619"/>
      <c r="R116" s="2619"/>
      <c r="S116" s="2619"/>
      <c r="T116" s="2619"/>
      <c r="U116" s="2619"/>
      <c r="V116" s="2619"/>
      <c r="W116" s="2619"/>
      <c r="X116" s="2619"/>
      <c r="Y116" s="2619"/>
    </row>
    <row r="117" spans="1:25">
      <c r="A117" s="2619"/>
      <c r="B117" s="2619"/>
      <c r="C117" s="2619"/>
      <c r="D117" s="2619"/>
      <c r="E117" s="2619"/>
      <c r="F117" s="2619"/>
      <c r="G117" s="2619"/>
      <c r="H117" s="2619"/>
      <c r="I117" s="2619"/>
      <c r="J117" s="2619"/>
      <c r="K117" s="2619"/>
      <c r="L117" s="2619"/>
      <c r="M117" s="2619"/>
      <c r="N117" s="2619"/>
      <c r="O117" s="2619"/>
      <c r="P117" s="2619"/>
      <c r="Q117" s="2619"/>
      <c r="R117" s="2619"/>
      <c r="S117" s="2619"/>
      <c r="T117" s="2619"/>
      <c r="U117" s="2619"/>
      <c r="V117" s="2619"/>
      <c r="W117" s="2619"/>
      <c r="X117" s="2619"/>
      <c r="Y117" s="2619"/>
    </row>
    <row r="118" spans="1:25">
      <c r="A118" s="136"/>
      <c r="B118" s="136"/>
      <c r="C118" s="136"/>
      <c r="D118" s="136"/>
      <c r="E118" s="136"/>
      <c r="F118" s="136"/>
      <c r="G118" s="136"/>
      <c r="H118" s="136"/>
      <c r="I118" s="136"/>
      <c r="J118" s="136"/>
      <c r="K118" s="136"/>
      <c r="L118" s="136"/>
      <c r="M118" s="136"/>
      <c r="N118" s="136"/>
      <c r="O118" s="136"/>
      <c r="P118" s="136"/>
      <c r="Q118" s="136"/>
      <c r="R118" s="136"/>
      <c r="S118" s="136"/>
      <c r="T118" s="136"/>
      <c r="U118" s="136"/>
    </row>
    <row r="119" spans="1:25">
      <c r="A119" s="136"/>
      <c r="B119" s="136"/>
      <c r="C119" s="136"/>
      <c r="D119" s="136"/>
      <c r="E119" s="136"/>
      <c r="F119" s="136"/>
      <c r="G119" s="136"/>
      <c r="H119" s="136"/>
      <c r="I119" s="136"/>
      <c r="J119" s="136"/>
      <c r="K119" s="136"/>
      <c r="L119" s="136"/>
      <c r="M119" s="136"/>
      <c r="N119" s="136"/>
      <c r="O119" s="136"/>
      <c r="P119" s="136"/>
      <c r="Q119" s="136"/>
      <c r="R119" s="136"/>
      <c r="S119" s="136"/>
      <c r="T119" s="136"/>
      <c r="U119" s="136"/>
    </row>
    <row r="120" spans="1:25">
      <c r="A120" s="136"/>
      <c r="B120" s="136"/>
      <c r="C120" s="136"/>
      <c r="D120" s="136"/>
      <c r="E120" s="136"/>
      <c r="F120" s="136"/>
      <c r="G120" s="136"/>
      <c r="H120" s="136"/>
      <c r="I120" s="136"/>
      <c r="J120" s="136"/>
      <c r="K120" s="136"/>
      <c r="L120" s="136"/>
      <c r="M120" s="136"/>
      <c r="N120" s="136"/>
      <c r="O120" s="136"/>
      <c r="P120" s="136"/>
      <c r="Q120" s="136"/>
      <c r="R120" s="136"/>
      <c r="S120" s="136"/>
      <c r="T120" s="136"/>
      <c r="U120" s="136"/>
    </row>
    <row r="121" spans="1:25">
      <c r="A121" s="136"/>
      <c r="B121" s="136"/>
      <c r="C121" s="136"/>
      <c r="D121" s="136"/>
      <c r="E121" s="136"/>
      <c r="F121" s="136"/>
      <c r="G121" s="136"/>
      <c r="H121" s="136"/>
      <c r="I121" s="136"/>
      <c r="J121" s="136"/>
      <c r="K121" s="136"/>
      <c r="L121" s="136"/>
      <c r="M121" s="136"/>
      <c r="N121" s="136"/>
      <c r="O121" s="136"/>
      <c r="P121" s="136"/>
      <c r="Q121" s="136"/>
      <c r="R121" s="136"/>
      <c r="S121" s="136"/>
      <c r="T121" s="136"/>
      <c r="U121" s="136"/>
    </row>
    <row r="122" spans="1:25">
      <c r="A122" s="136"/>
      <c r="B122" s="136"/>
      <c r="C122" s="136"/>
      <c r="D122" s="136"/>
      <c r="E122" s="136"/>
      <c r="F122" s="136"/>
      <c r="G122" s="136"/>
      <c r="H122" s="136"/>
      <c r="I122" s="136"/>
      <c r="J122" s="136"/>
      <c r="K122" s="136"/>
      <c r="L122" s="136"/>
      <c r="M122" s="136"/>
      <c r="N122" s="136"/>
      <c r="O122" s="136"/>
      <c r="P122" s="136"/>
      <c r="Q122" s="136"/>
      <c r="R122" s="136"/>
      <c r="S122" s="136"/>
      <c r="T122" s="136"/>
      <c r="U122" s="136"/>
    </row>
    <row r="123" spans="1:25">
      <c r="A123" s="136"/>
      <c r="B123" s="136"/>
      <c r="C123" s="136"/>
      <c r="D123" s="136"/>
      <c r="E123" s="136"/>
      <c r="F123" s="136"/>
      <c r="G123" s="136"/>
      <c r="H123" s="136"/>
      <c r="I123" s="136"/>
      <c r="J123" s="136"/>
      <c r="K123" s="136"/>
      <c r="L123" s="136"/>
      <c r="M123" s="136"/>
      <c r="N123" s="136"/>
      <c r="O123" s="136"/>
      <c r="P123" s="136"/>
      <c r="Q123" s="136"/>
      <c r="R123" s="136"/>
      <c r="S123" s="136"/>
      <c r="T123" s="136"/>
      <c r="U123" s="136"/>
    </row>
    <row r="124" spans="1:25">
      <c r="A124" s="136"/>
      <c r="B124" s="136"/>
      <c r="C124" s="136"/>
      <c r="D124" s="136"/>
      <c r="E124" s="136"/>
      <c r="F124" s="136"/>
      <c r="G124" s="136"/>
      <c r="H124" s="136"/>
      <c r="I124" s="136"/>
      <c r="J124" s="136"/>
      <c r="K124" s="136"/>
      <c r="L124" s="136"/>
      <c r="M124" s="136"/>
      <c r="N124" s="136"/>
      <c r="O124" s="136"/>
      <c r="P124" s="136"/>
      <c r="Q124" s="136"/>
      <c r="R124" s="136"/>
      <c r="S124" s="136"/>
      <c r="T124" s="136"/>
      <c r="U124" s="136"/>
    </row>
    <row r="125" spans="1:25">
      <c r="A125" s="136"/>
      <c r="B125" s="136"/>
      <c r="C125" s="136"/>
      <c r="D125" s="136"/>
      <c r="E125" s="136"/>
      <c r="F125" s="136"/>
      <c r="G125" s="136"/>
      <c r="H125" s="136"/>
      <c r="I125" s="136"/>
      <c r="J125" s="136"/>
      <c r="K125" s="136"/>
      <c r="L125" s="136"/>
      <c r="M125" s="136"/>
      <c r="N125" s="136"/>
      <c r="O125" s="136"/>
      <c r="P125" s="136"/>
      <c r="Q125" s="136"/>
      <c r="R125" s="136"/>
      <c r="S125" s="136"/>
      <c r="T125" s="136"/>
      <c r="U125" s="136"/>
    </row>
    <row r="126" spans="1:25">
      <c r="A126" s="136"/>
      <c r="B126" s="136"/>
      <c r="C126" s="136"/>
      <c r="D126" s="136"/>
      <c r="E126" s="136"/>
      <c r="F126" s="136"/>
      <c r="G126" s="136"/>
      <c r="H126" s="136"/>
      <c r="I126" s="136"/>
      <c r="J126" s="136"/>
      <c r="K126" s="136"/>
      <c r="L126" s="136"/>
      <c r="M126" s="136"/>
      <c r="N126" s="136"/>
      <c r="O126" s="136"/>
      <c r="P126" s="136"/>
      <c r="Q126" s="136"/>
      <c r="R126" s="136"/>
      <c r="S126" s="136"/>
      <c r="T126" s="136"/>
      <c r="U126" s="136"/>
    </row>
    <row r="127" spans="1:25">
      <c r="A127" s="136"/>
      <c r="B127" s="136"/>
      <c r="C127" s="136"/>
      <c r="D127" s="136"/>
      <c r="E127" s="136"/>
      <c r="F127" s="136"/>
      <c r="G127" s="136"/>
      <c r="H127" s="136"/>
      <c r="I127" s="136"/>
      <c r="J127" s="136"/>
      <c r="K127" s="136"/>
      <c r="L127" s="136"/>
      <c r="M127" s="136"/>
      <c r="N127" s="136"/>
      <c r="O127" s="136"/>
      <c r="P127" s="136"/>
      <c r="Q127" s="136"/>
      <c r="R127" s="136"/>
      <c r="S127" s="136"/>
      <c r="T127" s="136"/>
      <c r="U127" s="136"/>
    </row>
    <row r="128" spans="1:25">
      <c r="A128" s="136"/>
      <c r="B128" s="136"/>
      <c r="C128" s="136"/>
      <c r="D128" s="136"/>
      <c r="E128" s="136"/>
      <c r="F128" s="136"/>
      <c r="G128" s="136"/>
      <c r="H128" s="136"/>
      <c r="I128" s="136"/>
      <c r="J128" s="136"/>
      <c r="K128" s="136"/>
      <c r="L128" s="136"/>
      <c r="M128" s="136"/>
      <c r="N128" s="136"/>
      <c r="O128" s="136"/>
      <c r="P128" s="136"/>
      <c r="Q128" s="136"/>
      <c r="R128" s="136"/>
      <c r="S128" s="136"/>
      <c r="T128" s="136"/>
      <c r="U128" s="136"/>
    </row>
    <row r="129" spans="1:21">
      <c r="A129" s="136"/>
      <c r="B129" s="136"/>
      <c r="C129" s="136"/>
      <c r="D129" s="136"/>
      <c r="E129" s="136"/>
      <c r="F129" s="136"/>
      <c r="G129" s="136"/>
      <c r="H129" s="136"/>
      <c r="I129" s="136"/>
      <c r="J129" s="136"/>
      <c r="K129" s="136"/>
      <c r="L129" s="136"/>
      <c r="M129" s="136"/>
      <c r="N129" s="136"/>
      <c r="O129" s="136"/>
      <c r="P129" s="136"/>
      <c r="Q129" s="136"/>
      <c r="R129" s="136"/>
      <c r="S129" s="136"/>
      <c r="T129" s="136"/>
      <c r="U129" s="136"/>
    </row>
    <row r="130" spans="1:21">
      <c r="A130" s="136"/>
      <c r="B130" s="136"/>
      <c r="C130" s="136"/>
      <c r="D130" s="136"/>
      <c r="E130" s="136"/>
      <c r="F130" s="136"/>
      <c r="G130" s="136"/>
      <c r="H130" s="136"/>
      <c r="I130" s="136"/>
      <c r="J130" s="136"/>
      <c r="K130" s="136"/>
      <c r="L130" s="136"/>
      <c r="M130" s="136"/>
      <c r="N130" s="136"/>
      <c r="O130" s="136"/>
      <c r="P130" s="136"/>
      <c r="Q130" s="136"/>
      <c r="R130" s="136"/>
      <c r="S130" s="136"/>
      <c r="T130" s="136"/>
      <c r="U130" s="136"/>
    </row>
    <row r="131" spans="1:21">
      <c r="A131" s="136"/>
      <c r="B131" s="136"/>
      <c r="C131" s="136"/>
      <c r="D131" s="136"/>
      <c r="E131" s="136"/>
      <c r="F131" s="136"/>
      <c r="G131" s="136"/>
      <c r="H131" s="136"/>
      <c r="I131" s="136"/>
      <c r="J131" s="136"/>
      <c r="K131" s="136"/>
      <c r="L131" s="136"/>
      <c r="M131" s="136"/>
      <c r="N131" s="136"/>
      <c r="O131" s="136"/>
      <c r="P131" s="136"/>
      <c r="Q131" s="136"/>
      <c r="R131" s="136"/>
      <c r="S131" s="136"/>
      <c r="T131" s="136"/>
      <c r="U131" s="136"/>
    </row>
    <row r="132" spans="1:21">
      <c r="A132" s="136"/>
      <c r="B132" s="136"/>
      <c r="C132" s="136"/>
      <c r="D132" s="136"/>
      <c r="E132" s="136"/>
      <c r="F132" s="136"/>
      <c r="G132" s="136"/>
      <c r="H132" s="136"/>
      <c r="I132" s="136"/>
      <c r="J132" s="136"/>
      <c r="K132" s="136"/>
      <c r="L132" s="136"/>
      <c r="M132" s="136"/>
      <c r="N132" s="136"/>
      <c r="O132" s="136"/>
      <c r="P132" s="136"/>
      <c r="Q132" s="136"/>
      <c r="R132" s="136"/>
      <c r="S132" s="136"/>
      <c r="T132" s="136"/>
      <c r="U132" s="136"/>
    </row>
    <row r="133" spans="1:21">
      <c r="A133" s="136"/>
      <c r="B133" s="136"/>
      <c r="C133" s="136"/>
      <c r="D133" s="136"/>
      <c r="E133" s="136"/>
      <c r="F133" s="136"/>
      <c r="G133" s="136"/>
      <c r="H133" s="136"/>
      <c r="I133" s="136"/>
      <c r="J133" s="136"/>
      <c r="K133" s="136"/>
      <c r="L133" s="136"/>
      <c r="M133" s="136"/>
      <c r="N133" s="136"/>
      <c r="O133" s="136"/>
      <c r="P133" s="136"/>
      <c r="Q133" s="136"/>
      <c r="R133" s="136"/>
      <c r="S133" s="136"/>
      <c r="T133" s="136"/>
      <c r="U133" s="136"/>
    </row>
    <row r="134" spans="1:21">
      <c r="A134" s="136"/>
      <c r="B134" s="136"/>
      <c r="C134" s="136"/>
      <c r="D134" s="136"/>
      <c r="E134" s="136"/>
      <c r="F134" s="136"/>
      <c r="G134" s="136"/>
      <c r="H134" s="136"/>
      <c r="I134" s="136"/>
      <c r="J134" s="136"/>
      <c r="K134" s="136"/>
      <c r="L134" s="136"/>
      <c r="M134" s="136"/>
      <c r="N134" s="136"/>
      <c r="O134" s="136"/>
      <c r="P134" s="136"/>
      <c r="Q134" s="136"/>
      <c r="R134" s="136"/>
      <c r="S134" s="136"/>
      <c r="T134" s="136"/>
      <c r="U134" s="136"/>
    </row>
    <row r="135" spans="1:21">
      <c r="A135" s="136"/>
      <c r="B135" s="136"/>
      <c r="C135" s="136"/>
      <c r="D135" s="136"/>
      <c r="E135" s="136"/>
      <c r="F135" s="136"/>
      <c r="G135" s="136"/>
      <c r="H135" s="136"/>
      <c r="I135" s="136"/>
      <c r="J135" s="136"/>
      <c r="K135" s="136"/>
      <c r="L135" s="136"/>
      <c r="M135" s="136"/>
      <c r="N135" s="136"/>
      <c r="O135" s="136"/>
      <c r="P135" s="136"/>
      <c r="Q135" s="136"/>
      <c r="R135" s="136"/>
      <c r="S135" s="136"/>
      <c r="T135" s="136"/>
      <c r="U135" s="136"/>
    </row>
    <row r="136" spans="1:21">
      <c r="A136" s="136"/>
      <c r="B136" s="136"/>
      <c r="C136" s="136"/>
      <c r="D136" s="136"/>
      <c r="E136" s="136"/>
      <c r="F136" s="136"/>
      <c r="G136" s="136"/>
      <c r="H136" s="136"/>
      <c r="I136" s="136"/>
      <c r="J136" s="136"/>
      <c r="K136" s="136"/>
      <c r="L136" s="136"/>
      <c r="M136" s="136"/>
      <c r="N136" s="136"/>
      <c r="O136" s="136"/>
      <c r="P136" s="136"/>
      <c r="Q136" s="136"/>
      <c r="R136" s="136"/>
      <c r="S136" s="136"/>
      <c r="T136" s="136"/>
      <c r="U136" s="136"/>
    </row>
    <row r="137" spans="1:21">
      <c r="A137" s="136"/>
      <c r="B137" s="136"/>
      <c r="C137" s="136"/>
      <c r="D137" s="136"/>
      <c r="E137" s="136"/>
      <c r="F137" s="136"/>
      <c r="G137" s="136"/>
      <c r="H137" s="136"/>
      <c r="I137" s="136"/>
      <c r="J137" s="136"/>
      <c r="K137" s="136"/>
      <c r="L137" s="136"/>
      <c r="M137" s="136"/>
      <c r="N137" s="136"/>
      <c r="O137" s="136"/>
      <c r="P137" s="136"/>
      <c r="Q137" s="136"/>
      <c r="R137" s="136"/>
      <c r="S137" s="136"/>
      <c r="T137" s="136"/>
      <c r="U137" s="136"/>
    </row>
    <row r="138" spans="1:21">
      <c r="A138" s="136"/>
      <c r="B138" s="136"/>
      <c r="C138" s="136"/>
      <c r="D138" s="136"/>
      <c r="E138" s="136"/>
      <c r="F138" s="136"/>
      <c r="G138" s="136"/>
      <c r="H138" s="136"/>
      <c r="I138" s="136"/>
      <c r="J138" s="136"/>
      <c r="K138" s="136"/>
      <c r="L138" s="136"/>
      <c r="M138" s="136"/>
      <c r="N138" s="136"/>
      <c r="O138" s="136"/>
      <c r="P138" s="136"/>
      <c r="Q138" s="136"/>
      <c r="R138" s="136"/>
      <c r="S138" s="136"/>
      <c r="T138" s="136"/>
      <c r="U138" s="136"/>
    </row>
    <row r="139" spans="1:21">
      <c r="A139" s="136"/>
      <c r="B139" s="136"/>
      <c r="C139" s="136"/>
      <c r="D139" s="136"/>
      <c r="E139" s="136"/>
      <c r="F139" s="136"/>
      <c r="G139" s="136"/>
      <c r="H139" s="136"/>
      <c r="I139" s="136"/>
      <c r="J139" s="136"/>
      <c r="K139" s="136"/>
      <c r="L139" s="136"/>
      <c r="M139" s="136"/>
      <c r="N139" s="136"/>
      <c r="O139" s="136"/>
      <c r="P139" s="136"/>
      <c r="Q139" s="136"/>
      <c r="R139" s="136"/>
      <c r="S139" s="136"/>
      <c r="T139" s="136"/>
      <c r="U139" s="136"/>
    </row>
    <row r="140" spans="1:21">
      <c r="A140" s="136"/>
      <c r="B140" s="136"/>
      <c r="C140" s="136"/>
      <c r="D140" s="136"/>
      <c r="E140" s="136"/>
      <c r="F140" s="136"/>
      <c r="G140" s="136"/>
      <c r="H140" s="136"/>
      <c r="I140" s="136"/>
      <c r="J140" s="136"/>
      <c r="K140" s="136"/>
      <c r="L140" s="136"/>
      <c r="M140" s="136"/>
      <c r="N140" s="136"/>
      <c r="O140" s="136"/>
      <c r="P140" s="136"/>
      <c r="Q140" s="136"/>
      <c r="R140" s="136"/>
      <c r="S140" s="136"/>
      <c r="T140" s="136"/>
      <c r="U140" s="136"/>
    </row>
    <row r="141" spans="1:21">
      <c r="A141" s="136"/>
      <c r="B141" s="136"/>
      <c r="C141" s="136"/>
      <c r="D141" s="136"/>
      <c r="E141" s="136"/>
      <c r="F141" s="136"/>
      <c r="G141" s="136"/>
      <c r="H141" s="136"/>
      <c r="I141" s="136"/>
      <c r="J141" s="136"/>
      <c r="K141" s="136"/>
      <c r="L141" s="136"/>
      <c r="M141" s="136"/>
      <c r="N141" s="136"/>
      <c r="O141" s="136"/>
      <c r="P141" s="136"/>
      <c r="Q141" s="136"/>
      <c r="R141" s="136"/>
      <c r="S141" s="136"/>
      <c r="T141" s="136"/>
      <c r="U141" s="136"/>
    </row>
    <row r="142" spans="1:21">
      <c r="A142" s="136"/>
      <c r="B142" s="136"/>
      <c r="C142" s="136"/>
      <c r="D142" s="136"/>
      <c r="E142" s="136"/>
      <c r="F142" s="136"/>
      <c r="G142" s="136"/>
      <c r="H142" s="136"/>
      <c r="I142" s="136"/>
      <c r="J142" s="136"/>
      <c r="K142" s="136"/>
      <c r="L142" s="136"/>
      <c r="M142" s="136"/>
      <c r="N142" s="136"/>
      <c r="O142" s="136"/>
      <c r="P142" s="136"/>
      <c r="Q142" s="136"/>
      <c r="R142" s="136"/>
      <c r="S142" s="136"/>
      <c r="T142" s="136"/>
      <c r="U142" s="136"/>
    </row>
    <row r="143" spans="1:21">
      <c r="A143" s="136"/>
      <c r="B143" s="136"/>
      <c r="C143" s="136"/>
      <c r="D143" s="136"/>
      <c r="E143" s="136"/>
      <c r="F143" s="136"/>
      <c r="G143" s="136"/>
      <c r="H143" s="136"/>
      <c r="I143" s="136"/>
      <c r="J143" s="136"/>
      <c r="K143" s="136"/>
      <c r="L143" s="136"/>
      <c r="M143" s="136"/>
      <c r="N143" s="136"/>
      <c r="O143" s="136"/>
      <c r="P143" s="136"/>
      <c r="Q143" s="136"/>
      <c r="R143" s="136"/>
      <c r="S143" s="136"/>
      <c r="T143" s="136"/>
      <c r="U143" s="136"/>
    </row>
    <row r="144" spans="1:21">
      <c r="A144" s="136"/>
      <c r="B144" s="136"/>
      <c r="C144" s="136"/>
      <c r="D144" s="136"/>
      <c r="E144" s="136"/>
      <c r="F144" s="136"/>
      <c r="G144" s="136"/>
      <c r="H144" s="136"/>
      <c r="I144" s="136"/>
      <c r="J144" s="136"/>
      <c r="K144" s="136"/>
      <c r="L144" s="136"/>
      <c r="M144" s="136"/>
      <c r="N144" s="136"/>
      <c r="O144" s="136"/>
      <c r="P144" s="136"/>
      <c r="Q144" s="136"/>
      <c r="R144" s="136"/>
      <c r="S144" s="136"/>
      <c r="T144" s="136"/>
      <c r="U144" s="136"/>
    </row>
    <row r="145" spans="1:21">
      <c r="A145" s="136"/>
      <c r="B145" s="136"/>
      <c r="C145" s="136"/>
      <c r="D145" s="136"/>
      <c r="E145" s="136"/>
      <c r="F145" s="136"/>
      <c r="G145" s="136"/>
      <c r="H145" s="136"/>
      <c r="I145" s="136"/>
      <c r="J145" s="136"/>
      <c r="K145" s="136"/>
      <c r="L145" s="136"/>
      <c r="M145" s="136"/>
      <c r="N145" s="136"/>
      <c r="O145" s="136"/>
      <c r="P145" s="136"/>
      <c r="Q145" s="136"/>
      <c r="R145" s="136"/>
      <c r="S145" s="136"/>
      <c r="T145" s="136"/>
      <c r="U145" s="136"/>
    </row>
    <row r="146" spans="1:21">
      <c r="A146" s="136"/>
      <c r="B146" s="136"/>
      <c r="C146" s="136"/>
      <c r="D146" s="136"/>
      <c r="E146" s="136"/>
      <c r="F146" s="136"/>
      <c r="G146" s="136"/>
      <c r="H146" s="136"/>
      <c r="I146" s="136"/>
      <c r="J146" s="136"/>
      <c r="K146" s="136"/>
      <c r="L146" s="136"/>
      <c r="M146" s="136"/>
      <c r="N146" s="136"/>
      <c r="O146" s="136"/>
      <c r="P146" s="136"/>
      <c r="Q146" s="136"/>
      <c r="R146" s="136"/>
      <c r="S146" s="136"/>
      <c r="T146" s="136"/>
      <c r="U146" s="136"/>
    </row>
    <row r="147" spans="1:21">
      <c r="A147" s="136"/>
      <c r="B147" s="136"/>
      <c r="C147" s="136"/>
      <c r="D147" s="136"/>
      <c r="E147" s="136"/>
      <c r="F147" s="136"/>
      <c r="G147" s="136"/>
      <c r="H147" s="136"/>
      <c r="I147" s="136"/>
      <c r="J147" s="136"/>
      <c r="K147" s="136"/>
      <c r="L147" s="136"/>
      <c r="M147" s="136"/>
      <c r="N147" s="136"/>
      <c r="O147" s="136"/>
      <c r="P147" s="136"/>
      <c r="Q147" s="136"/>
      <c r="R147" s="136"/>
      <c r="S147" s="136"/>
      <c r="T147" s="136"/>
      <c r="U147" s="136"/>
    </row>
    <row r="148" spans="1:21">
      <c r="A148" s="136"/>
      <c r="B148" s="136"/>
      <c r="C148" s="136"/>
      <c r="D148" s="136"/>
      <c r="E148" s="136"/>
      <c r="F148" s="136"/>
      <c r="G148" s="136"/>
      <c r="H148" s="136"/>
      <c r="I148" s="136"/>
      <c r="J148" s="136"/>
      <c r="K148" s="136"/>
      <c r="L148" s="136"/>
      <c r="M148" s="136"/>
      <c r="N148" s="136"/>
      <c r="O148" s="136"/>
      <c r="P148" s="136"/>
      <c r="Q148" s="136"/>
      <c r="R148" s="136"/>
      <c r="S148" s="136"/>
      <c r="T148" s="136"/>
      <c r="U148" s="136"/>
    </row>
    <row r="149" spans="1:21">
      <c r="A149" s="136"/>
      <c r="B149" s="136"/>
      <c r="C149" s="136"/>
      <c r="D149" s="136"/>
      <c r="E149" s="136"/>
      <c r="F149" s="136"/>
      <c r="G149" s="136"/>
      <c r="H149" s="136"/>
      <c r="I149" s="136"/>
      <c r="J149" s="136"/>
      <c r="K149" s="136"/>
      <c r="L149" s="136"/>
      <c r="M149" s="136"/>
      <c r="N149" s="136"/>
      <c r="O149" s="136"/>
      <c r="P149" s="136"/>
      <c r="Q149" s="136"/>
      <c r="R149" s="136"/>
      <c r="S149" s="136"/>
      <c r="T149" s="136"/>
      <c r="U149" s="136"/>
    </row>
    <row r="150" spans="1:21">
      <c r="A150" s="136"/>
      <c r="B150" s="136"/>
      <c r="C150" s="136"/>
      <c r="D150" s="136"/>
      <c r="E150" s="136"/>
      <c r="F150" s="136"/>
      <c r="G150" s="136"/>
      <c r="H150" s="136"/>
      <c r="I150" s="136"/>
      <c r="J150" s="136"/>
      <c r="K150" s="136"/>
      <c r="L150" s="136"/>
      <c r="M150" s="136"/>
      <c r="N150" s="136"/>
      <c r="O150" s="136"/>
      <c r="P150" s="136"/>
      <c r="Q150" s="136"/>
      <c r="R150" s="136"/>
      <c r="S150" s="136"/>
      <c r="T150" s="136"/>
      <c r="U150" s="136"/>
    </row>
    <row r="151" spans="1:21">
      <c r="A151" s="136"/>
      <c r="B151" s="136"/>
      <c r="C151" s="136"/>
      <c r="D151" s="136"/>
      <c r="E151" s="136"/>
      <c r="F151" s="136"/>
      <c r="G151" s="136"/>
      <c r="H151" s="136"/>
      <c r="I151" s="136"/>
      <c r="J151" s="136"/>
      <c r="K151" s="136"/>
      <c r="L151" s="136"/>
      <c r="M151" s="136"/>
      <c r="N151" s="136"/>
      <c r="O151" s="136"/>
      <c r="P151" s="136"/>
      <c r="Q151" s="136"/>
      <c r="R151" s="136"/>
      <c r="S151" s="136"/>
      <c r="T151" s="136"/>
      <c r="U151" s="136"/>
    </row>
    <row r="152" spans="1:21">
      <c r="A152" s="136"/>
      <c r="B152" s="136"/>
      <c r="C152" s="136"/>
      <c r="D152" s="136"/>
      <c r="E152" s="136"/>
      <c r="F152" s="136"/>
      <c r="G152" s="136"/>
      <c r="H152" s="136"/>
      <c r="I152" s="136"/>
      <c r="J152" s="136"/>
      <c r="K152" s="136"/>
      <c r="L152" s="136"/>
      <c r="M152" s="136"/>
      <c r="N152" s="136"/>
      <c r="O152" s="136"/>
      <c r="P152" s="136"/>
      <c r="Q152" s="136"/>
      <c r="R152" s="136"/>
      <c r="S152" s="136"/>
      <c r="T152" s="136"/>
      <c r="U152" s="136"/>
    </row>
    <row r="153" spans="1:21">
      <c r="A153" s="136"/>
      <c r="B153" s="136"/>
      <c r="C153" s="136"/>
      <c r="D153" s="136"/>
      <c r="E153" s="136"/>
      <c r="F153" s="136"/>
      <c r="G153" s="136"/>
      <c r="H153" s="136"/>
      <c r="I153" s="136"/>
      <c r="J153" s="136"/>
      <c r="K153" s="136"/>
      <c r="L153" s="136"/>
      <c r="M153" s="136"/>
      <c r="N153" s="136"/>
      <c r="O153" s="136"/>
      <c r="P153" s="136"/>
      <c r="Q153" s="136"/>
      <c r="R153" s="136"/>
      <c r="S153" s="136"/>
      <c r="T153" s="136"/>
      <c r="U153" s="136"/>
    </row>
    <row r="154" spans="1:21">
      <c r="A154" s="136"/>
      <c r="B154" s="136"/>
      <c r="C154" s="136"/>
      <c r="D154" s="136"/>
      <c r="E154" s="136"/>
      <c r="F154" s="136"/>
      <c r="G154" s="136"/>
      <c r="H154" s="136"/>
      <c r="I154" s="136"/>
      <c r="J154" s="136"/>
      <c r="K154" s="136"/>
      <c r="L154" s="136"/>
      <c r="M154" s="136"/>
      <c r="N154" s="136"/>
      <c r="O154" s="136"/>
      <c r="P154" s="136"/>
      <c r="Q154" s="136"/>
      <c r="R154" s="136"/>
      <c r="S154" s="136"/>
      <c r="T154" s="136"/>
      <c r="U154" s="136"/>
    </row>
    <row r="155" spans="1:21">
      <c r="A155" s="136"/>
      <c r="B155" s="136"/>
      <c r="C155" s="136"/>
      <c r="D155" s="136"/>
      <c r="E155" s="136"/>
      <c r="F155" s="136"/>
      <c r="G155" s="136"/>
      <c r="H155" s="136"/>
      <c r="I155" s="136"/>
      <c r="J155" s="136"/>
      <c r="K155" s="136"/>
      <c r="L155" s="136"/>
      <c r="M155" s="136"/>
      <c r="N155" s="136"/>
      <c r="O155" s="136"/>
      <c r="P155" s="136"/>
      <c r="Q155" s="136"/>
      <c r="R155" s="136"/>
      <c r="S155" s="136"/>
      <c r="T155" s="136"/>
      <c r="U155" s="136"/>
    </row>
    <row r="156" spans="1:21">
      <c r="A156" s="136"/>
      <c r="B156" s="136"/>
      <c r="C156" s="136"/>
      <c r="D156" s="136"/>
      <c r="E156" s="136"/>
      <c r="F156" s="136"/>
      <c r="G156" s="136"/>
      <c r="H156" s="136"/>
      <c r="I156" s="136"/>
      <c r="J156" s="136"/>
      <c r="K156" s="136"/>
      <c r="L156" s="136"/>
      <c r="M156" s="136"/>
      <c r="N156" s="136"/>
      <c r="O156" s="136"/>
      <c r="P156" s="136"/>
      <c r="Q156" s="136"/>
      <c r="R156" s="136"/>
      <c r="S156" s="136"/>
      <c r="T156" s="136"/>
      <c r="U156" s="136"/>
    </row>
    <row r="157" spans="1:21">
      <c r="A157" s="136"/>
      <c r="B157" s="136"/>
      <c r="C157" s="136"/>
      <c r="D157" s="136"/>
      <c r="E157" s="136"/>
      <c r="F157" s="136"/>
      <c r="G157" s="136"/>
      <c r="H157" s="136"/>
      <c r="I157" s="136"/>
      <c r="J157" s="136"/>
      <c r="K157" s="136"/>
      <c r="L157" s="136"/>
      <c r="M157" s="136"/>
      <c r="N157" s="136"/>
      <c r="O157" s="136"/>
      <c r="P157" s="136"/>
      <c r="Q157" s="136"/>
      <c r="R157" s="136"/>
      <c r="S157" s="136"/>
      <c r="T157" s="136"/>
      <c r="U157" s="136"/>
    </row>
    <row r="158" spans="1:21">
      <c r="A158" s="136"/>
      <c r="B158" s="136"/>
      <c r="C158" s="136"/>
      <c r="D158" s="136"/>
      <c r="E158" s="136"/>
      <c r="F158" s="136"/>
      <c r="G158" s="136"/>
      <c r="H158" s="136"/>
      <c r="I158" s="136"/>
      <c r="J158" s="136"/>
      <c r="K158" s="136"/>
      <c r="L158" s="136"/>
      <c r="M158" s="136"/>
      <c r="N158" s="136"/>
      <c r="O158" s="136"/>
      <c r="P158" s="136"/>
      <c r="Q158" s="136"/>
      <c r="R158" s="136"/>
      <c r="S158" s="136"/>
      <c r="T158" s="136"/>
      <c r="U158" s="136"/>
    </row>
    <row r="159" spans="1:21">
      <c r="A159" s="136"/>
      <c r="B159" s="136"/>
      <c r="C159" s="136"/>
      <c r="D159" s="136"/>
      <c r="E159" s="136"/>
      <c r="F159" s="136"/>
      <c r="G159" s="136"/>
      <c r="H159" s="136"/>
      <c r="I159" s="136"/>
      <c r="J159" s="136"/>
      <c r="K159" s="136"/>
      <c r="L159" s="136"/>
      <c r="M159" s="136"/>
      <c r="N159" s="136"/>
      <c r="O159" s="136"/>
      <c r="P159" s="136"/>
      <c r="Q159" s="136"/>
      <c r="R159" s="136"/>
      <c r="S159" s="136"/>
      <c r="T159" s="136"/>
      <c r="U159" s="136"/>
    </row>
    <row r="160" spans="1:21">
      <c r="A160" s="136"/>
      <c r="B160" s="136"/>
      <c r="C160" s="136"/>
      <c r="D160" s="136"/>
      <c r="E160" s="136"/>
      <c r="F160" s="136"/>
      <c r="G160" s="136"/>
      <c r="H160" s="136"/>
      <c r="I160" s="136"/>
      <c r="J160" s="136"/>
      <c r="K160" s="136"/>
      <c r="L160" s="136"/>
      <c r="M160" s="136"/>
      <c r="N160" s="136"/>
      <c r="O160" s="136"/>
      <c r="P160" s="136"/>
      <c r="Q160" s="136"/>
      <c r="R160" s="136"/>
      <c r="S160" s="136"/>
      <c r="T160" s="136"/>
      <c r="U160" s="136"/>
    </row>
    <row r="161" spans="1:21">
      <c r="A161" s="136"/>
      <c r="B161" s="136"/>
      <c r="C161" s="136"/>
      <c r="D161" s="136"/>
      <c r="E161" s="136"/>
      <c r="F161" s="136"/>
      <c r="G161" s="136"/>
      <c r="H161" s="136"/>
      <c r="I161" s="136"/>
      <c r="J161" s="136"/>
      <c r="K161" s="136"/>
      <c r="L161" s="136"/>
      <c r="M161" s="136"/>
      <c r="N161" s="136"/>
      <c r="O161" s="136"/>
      <c r="P161" s="136"/>
      <c r="Q161" s="136"/>
      <c r="R161" s="136"/>
      <c r="S161" s="136"/>
      <c r="T161" s="136"/>
      <c r="U161" s="136"/>
    </row>
    <row r="162" spans="1:21">
      <c r="A162" s="136"/>
      <c r="B162" s="136"/>
      <c r="C162" s="136"/>
      <c r="D162" s="136"/>
      <c r="E162" s="136"/>
      <c r="F162" s="136"/>
      <c r="G162" s="136"/>
      <c r="H162" s="136"/>
      <c r="I162" s="136"/>
      <c r="J162" s="136"/>
      <c r="K162" s="136"/>
      <c r="L162" s="136"/>
      <c r="M162" s="136"/>
      <c r="N162" s="136"/>
      <c r="O162" s="136"/>
      <c r="P162" s="136"/>
      <c r="Q162" s="136"/>
      <c r="R162" s="136"/>
      <c r="S162" s="136"/>
      <c r="T162" s="136"/>
      <c r="U162" s="136"/>
    </row>
    <row r="163" spans="1:21">
      <c r="A163" s="136"/>
      <c r="B163" s="136"/>
      <c r="C163" s="136"/>
      <c r="D163" s="136"/>
      <c r="E163" s="136"/>
      <c r="F163" s="136"/>
      <c r="G163" s="136"/>
      <c r="H163" s="136"/>
      <c r="I163" s="136"/>
      <c r="J163" s="136"/>
      <c r="K163" s="136"/>
      <c r="L163" s="136"/>
      <c r="M163" s="136"/>
      <c r="N163" s="136"/>
      <c r="O163" s="136"/>
      <c r="P163" s="136"/>
      <c r="Q163" s="136"/>
      <c r="R163" s="136"/>
      <c r="S163" s="136"/>
      <c r="T163" s="136"/>
      <c r="U163" s="136"/>
    </row>
    <row r="164" spans="1:21">
      <c r="A164" s="136"/>
      <c r="B164" s="136"/>
      <c r="C164" s="136"/>
      <c r="D164" s="136"/>
      <c r="E164" s="136"/>
      <c r="F164" s="136"/>
      <c r="G164" s="136"/>
      <c r="H164" s="136"/>
      <c r="I164" s="136"/>
      <c r="J164" s="136"/>
      <c r="K164" s="136"/>
      <c r="L164" s="136"/>
      <c r="M164" s="136"/>
      <c r="N164" s="136"/>
      <c r="O164" s="136"/>
      <c r="P164" s="136"/>
      <c r="Q164" s="136"/>
      <c r="R164" s="136"/>
      <c r="S164" s="136"/>
      <c r="T164" s="136"/>
      <c r="U164" s="136"/>
    </row>
    <row r="165" spans="1:21">
      <c r="A165" s="136"/>
      <c r="B165" s="136"/>
      <c r="C165" s="136"/>
      <c r="D165" s="136"/>
      <c r="E165" s="136"/>
      <c r="F165" s="136"/>
      <c r="G165" s="136"/>
      <c r="H165" s="136"/>
      <c r="I165" s="136"/>
      <c r="J165" s="136"/>
      <c r="K165" s="136"/>
      <c r="L165" s="136"/>
      <c r="M165" s="136"/>
      <c r="N165" s="136"/>
      <c r="O165" s="136"/>
      <c r="P165" s="136"/>
      <c r="Q165" s="136"/>
      <c r="R165" s="136"/>
      <c r="S165" s="136"/>
      <c r="T165" s="136"/>
      <c r="U165" s="136"/>
    </row>
    <row r="166" spans="1:21">
      <c r="A166" s="136"/>
      <c r="B166" s="136"/>
      <c r="C166" s="136"/>
      <c r="D166" s="136"/>
      <c r="E166" s="136"/>
      <c r="F166" s="136"/>
      <c r="G166" s="136"/>
      <c r="H166" s="136"/>
      <c r="I166" s="136"/>
      <c r="J166" s="136"/>
      <c r="K166" s="136"/>
      <c r="L166" s="136"/>
      <c r="M166" s="136"/>
      <c r="N166" s="136"/>
      <c r="O166" s="136"/>
      <c r="P166" s="136"/>
      <c r="Q166" s="136"/>
      <c r="R166" s="136"/>
      <c r="S166" s="136"/>
      <c r="T166" s="136"/>
      <c r="U166" s="136"/>
    </row>
    <row r="167" spans="1:21">
      <c r="A167" s="136"/>
      <c r="B167" s="136"/>
      <c r="C167" s="136"/>
      <c r="D167" s="136"/>
      <c r="E167" s="136"/>
      <c r="F167" s="136"/>
      <c r="G167" s="136"/>
      <c r="H167" s="136"/>
      <c r="I167" s="136"/>
      <c r="J167" s="136"/>
      <c r="K167" s="136"/>
      <c r="L167" s="136"/>
      <c r="M167" s="136"/>
      <c r="N167" s="136"/>
      <c r="O167" s="136"/>
      <c r="P167" s="136"/>
      <c r="Q167" s="136"/>
      <c r="R167" s="136"/>
      <c r="S167" s="136"/>
      <c r="T167" s="136"/>
      <c r="U167" s="136"/>
    </row>
    <row r="168" spans="1:21">
      <c r="A168" s="136"/>
      <c r="B168" s="136"/>
      <c r="C168" s="136"/>
      <c r="D168" s="136"/>
      <c r="E168" s="136"/>
      <c r="F168" s="136"/>
      <c r="G168" s="136"/>
      <c r="H168" s="136"/>
      <c r="I168" s="136"/>
      <c r="J168" s="136"/>
      <c r="K168" s="136"/>
      <c r="L168" s="136"/>
      <c r="M168" s="136"/>
      <c r="N168" s="136"/>
      <c r="O168" s="136"/>
      <c r="P168" s="136"/>
      <c r="Q168" s="136"/>
      <c r="R168" s="136"/>
      <c r="S168" s="136"/>
      <c r="T168" s="136"/>
      <c r="U168" s="136"/>
    </row>
    <row r="169" spans="1:21">
      <c r="A169" s="136"/>
      <c r="B169" s="136"/>
      <c r="C169" s="136"/>
      <c r="D169" s="136"/>
      <c r="E169" s="136"/>
      <c r="F169" s="136"/>
      <c r="G169" s="136"/>
      <c r="H169" s="136"/>
      <c r="I169" s="136"/>
      <c r="J169" s="136"/>
      <c r="K169" s="136"/>
      <c r="L169" s="136"/>
      <c r="M169" s="136"/>
      <c r="N169" s="136"/>
      <c r="O169" s="136"/>
      <c r="P169" s="136"/>
      <c r="Q169" s="136"/>
      <c r="R169" s="136"/>
      <c r="S169" s="136"/>
      <c r="T169" s="136"/>
      <c r="U169" s="136"/>
    </row>
    <row r="170" spans="1:21">
      <c r="A170" s="136"/>
      <c r="B170" s="136"/>
      <c r="C170" s="136"/>
      <c r="D170" s="136"/>
      <c r="E170" s="136"/>
      <c r="F170" s="136"/>
      <c r="G170" s="136"/>
      <c r="H170" s="136"/>
      <c r="I170" s="136"/>
      <c r="J170" s="136"/>
      <c r="K170" s="136"/>
      <c r="L170" s="136"/>
      <c r="M170" s="136"/>
      <c r="N170" s="136"/>
      <c r="O170" s="136"/>
      <c r="P170" s="136"/>
      <c r="Q170" s="136"/>
      <c r="R170" s="136"/>
      <c r="S170" s="136"/>
      <c r="T170" s="136"/>
      <c r="U170" s="136"/>
    </row>
    <row r="171" spans="1:21">
      <c r="A171" s="136"/>
      <c r="B171" s="136"/>
      <c r="C171" s="136"/>
      <c r="D171" s="136"/>
      <c r="E171" s="136"/>
      <c r="F171" s="136"/>
      <c r="G171" s="136"/>
      <c r="H171" s="136"/>
      <c r="I171" s="136"/>
      <c r="J171" s="136"/>
      <c r="K171" s="136"/>
      <c r="L171" s="136"/>
      <c r="M171" s="136"/>
      <c r="N171" s="136"/>
      <c r="O171" s="136"/>
      <c r="P171" s="136"/>
      <c r="Q171" s="136"/>
      <c r="R171" s="136"/>
      <c r="S171" s="136"/>
      <c r="T171" s="136"/>
      <c r="U171" s="136"/>
    </row>
    <row r="172" spans="1:21">
      <c r="A172" s="136"/>
      <c r="B172" s="136"/>
      <c r="C172" s="136"/>
      <c r="D172" s="136"/>
      <c r="E172" s="136"/>
      <c r="F172" s="136"/>
      <c r="G172" s="136"/>
      <c r="H172" s="136"/>
      <c r="I172" s="136"/>
      <c r="J172" s="136"/>
      <c r="K172" s="136"/>
      <c r="L172" s="136"/>
      <c r="M172" s="136"/>
      <c r="N172" s="136"/>
      <c r="O172" s="136"/>
      <c r="P172" s="136"/>
      <c r="Q172" s="136"/>
      <c r="R172" s="136"/>
      <c r="S172" s="136"/>
      <c r="T172" s="136"/>
      <c r="U172" s="136"/>
    </row>
    <row r="173" spans="1:21">
      <c r="A173" s="136"/>
      <c r="B173" s="136"/>
      <c r="C173" s="136"/>
      <c r="D173" s="136"/>
      <c r="E173" s="136"/>
      <c r="F173" s="136"/>
      <c r="G173" s="136"/>
      <c r="H173" s="136"/>
      <c r="I173" s="136"/>
      <c r="J173" s="136"/>
      <c r="K173" s="136"/>
      <c r="L173" s="136"/>
      <c r="M173" s="136"/>
      <c r="N173" s="136"/>
      <c r="O173" s="136"/>
      <c r="P173" s="136"/>
      <c r="Q173" s="136"/>
      <c r="R173" s="136"/>
      <c r="S173" s="136"/>
      <c r="T173" s="136"/>
      <c r="U173" s="136"/>
    </row>
    <row r="174" spans="1:21">
      <c r="A174" s="136"/>
      <c r="B174" s="136"/>
      <c r="C174" s="136"/>
      <c r="D174" s="136"/>
      <c r="E174" s="136"/>
      <c r="F174" s="136"/>
      <c r="G174" s="136"/>
      <c r="H174" s="136"/>
      <c r="I174" s="136"/>
      <c r="J174" s="136"/>
      <c r="K174" s="136"/>
      <c r="L174" s="136"/>
      <c r="M174" s="136"/>
      <c r="N174" s="136"/>
      <c r="O174" s="136"/>
      <c r="P174" s="136"/>
      <c r="Q174" s="136"/>
      <c r="R174" s="136"/>
      <c r="S174" s="136"/>
      <c r="T174" s="136"/>
      <c r="U174" s="136"/>
    </row>
    <row r="175" spans="1:21">
      <c r="A175" s="136"/>
      <c r="B175" s="136"/>
      <c r="C175" s="136"/>
      <c r="D175" s="136"/>
      <c r="E175" s="136"/>
      <c r="F175" s="136"/>
      <c r="G175" s="136"/>
      <c r="H175" s="136"/>
      <c r="I175" s="136"/>
      <c r="J175" s="136"/>
      <c r="K175" s="136"/>
      <c r="L175" s="136"/>
      <c r="M175" s="136"/>
      <c r="N175" s="136"/>
      <c r="O175" s="136"/>
      <c r="P175" s="136"/>
      <c r="Q175" s="136"/>
      <c r="R175" s="136"/>
      <c r="S175" s="136"/>
      <c r="T175" s="136"/>
      <c r="U175" s="136"/>
    </row>
    <row r="176" spans="1:21">
      <c r="A176" s="136"/>
      <c r="B176" s="136"/>
      <c r="C176" s="136"/>
      <c r="D176" s="136"/>
      <c r="E176" s="136"/>
      <c r="F176" s="136"/>
      <c r="G176" s="136"/>
      <c r="H176" s="136"/>
      <c r="I176" s="136"/>
      <c r="J176" s="136"/>
      <c r="K176" s="136"/>
      <c r="L176" s="136"/>
      <c r="M176" s="136"/>
      <c r="N176" s="136"/>
      <c r="O176" s="136"/>
      <c r="P176" s="136"/>
      <c r="Q176" s="136"/>
      <c r="R176" s="136"/>
      <c r="S176" s="136"/>
      <c r="T176" s="136"/>
      <c r="U176" s="136"/>
    </row>
    <row r="177" spans="1:21">
      <c r="A177" s="136"/>
      <c r="B177" s="136"/>
      <c r="C177" s="136"/>
      <c r="D177" s="136"/>
      <c r="E177" s="136"/>
      <c r="F177" s="136"/>
      <c r="G177" s="136"/>
      <c r="H177" s="136"/>
      <c r="I177" s="136"/>
      <c r="J177" s="136"/>
      <c r="K177" s="136"/>
      <c r="L177" s="136"/>
      <c r="M177" s="136"/>
      <c r="N177" s="136"/>
      <c r="O177" s="136"/>
      <c r="P177" s="136"/>
      <c r="Q177" s="136"/>
      <c r="R177" s="136"/>
      <c r="S177" s="136"/>
      <c r="T177" s="136"/>
      <c r="U177" s="136"/>
    </row>
    <row r="178" spans="1:21">
      <c r="A178" s="136"/>
      <c r="B178" s="136"/>
      <c r="C178" s="136"/>
      <c r="D178" s="136"/>
      <c r="E178" s="136"/>
      <c r="F178" s="136"/>
      <c r="G178" s="136"/>
      <c r="H178" s="136"/>
      <c r="I178" s="136"/>
      <c r="J178" s="136"/>
      <c r="K178" s="136"/>
      <c r="L178" s="136"/>
      <c r="M178" s="136"/>
      <c r="N178" s="136"/>
      <c r="O178" s="136"/>
      <c r="P178" s="136"/>
      <c r="Q178" s="136"/>
      <c r="R178" s="136"/>
      <c r="S178" s="136"/>
      <c r="T178" s="136"/>
      <c r="U178" s="136"/>
    </row>
    <row r="179" spans="1:21">
      <c r="A179" s="136"/>
      <c r="B179" s="136"/>
      <c r="C179" s="136"/>
      <c r="D179" s="136"/>
      <c r="E179" s="136"/>
      <c r="F179" s="136"/>
      <c r="G179" s="136"/>
      <c r="H179" s="136"/>
      <c r="I179" s="136"/>
      <c r="J179" s="136"/>
      <c r="K179" s="136"/>
      <c r="L179" s="136"/>
      <c r="M179" s="136"/>
      <c r="N179" s="136"/>
      <c r="O179" s="136"/>
      <c r="P179" s="136"/>
      <c r="Q179" s="136"/>
      <c r="R179" s="136"/>
      <c r="S179" s="136"/>
      <c r="T179" s="136"/>
      <c r="U179" s="136"/>
    </row>
    <row r="180" spans="1:21">
      <c r="A180" s="136"/>
      <c r="B180" s="136"/>
      <c r="C180" s="136"/>
      <c r="D180" s="136"/>
      <c r="E180" s="136"/>
      <c r="F180" s="136"/>
      <c r="G180" s="136"/>
      <c r="H180" s="136"/>
      <c r="I180" s="136"/>
      <c r="J180" s="136"/>
      <c r="K180" s="136"/>
      <c r="L180" s="136"/>
      <c r="M180" s="136"/>
      <c r="N180" s="136"/>
      <c r="O180" s="136"/>
      <c r="P180" s="136"/>
      <c r="Q180" s="136"/>
      <c r="R180" s="136"/>
      <c r="S180" s="136"/>
      <c r="T180" s="136"/>
      <c r="U180" s="136"/>
    </row>
    <row r="181" spans="1:21">
      <c r="A181" s="136"/>
      <c r="B181" s="136"/>
      <c r="C181" s="136"/>
      <c r="D181" s="136"/>
      <c r="E181" s="136"/>
      <c r="F181" s="136"/>
      <c r="G181" s="136"/>
      <c r="H181" s="136"/>
      <c r="I181" s="136"/>
      <c r="J181" s="136"/>
      <c r="K181" s="136"/>
      <c r="L181" s="136"/>
      <c r="M181" s="136"/>
      <c r="N181" s="136"/>
      <c r="O181" s="136"/>
      <c r="P181" s="136"/>
      <c r="Q181" s="136"/>
      <c r="R181" s="136"/>
      <c r="S181" s="136"/>
      <c r="T181" s="136"/>
      <c r="U181" s="136"/>
    </row>
    <row r="182" spans="1:21">
      <c r="A182" s="136"/>
      <c r="B182" s="136"/>
      <c r="C182" s="136"/>
      <c r="D182" s="136"/>
      <c r="E182" s="136"/>
      <c r="F182" s="136"/>
      <c r="G182" s="136"/>
      <c r="H182" s="136"/>
      <c r="I182" s="136"/>
      <c r="J182" s="136"/>
      <c r="K182" s="136"/>
      <c r="L182" s="136"/>
      <c r="M182" s="136"/>
      <c r="N182" s="136"/>
      <c r="O182" s="136"/>
      <c r="P182" s="136"/>
      <c r="Q182" s="136"/>
      <c r="R182" s="136"/>
      <c r="S182" s="136"/>
      <c r="T182" s="136"/>
      <c r="U182" s="136"/>
    </row>
    <row r="183" spans="1:21">
      <c r="A183" s="136"/>
      <c r="B183" s="136"/>
      <c r="C183" s="136"/>
      <c r="D183" s="136"/>
      <c r="E183" s="136"/>
      <c r="F183" s="136"/>
      <c r="G183" s="136"/>
      <c r="H183" s="136"/>
      <c r="I183" s="136"/>
      <c r="J183" s="136"/>
      <c r="K183" s="136"/>
      <c r="L183" s="136"/>
      <c r="M183" s="136"/>
      <c r="N183" s="136"/>
      <c r="O183" s="136"/>
      <c r="P183" s="136"/>
      <c r="Q183" s="136"/>
      <c r="R183" s="136"/>
      <c r="S183" s="136"/>
      <c r="T183" s="136"/>
      <c r="U183" s="136"/>
    </row>
    <row r="184" spans="1:21">
      <c r="A184" s="136"/>
      <c r="B184" s="136"/>
      <c r="C184" s="136"/>
      <c r="D184" s="136"/>
      <c r="E184" s="136"/>
      <c r="F184" s="136"/>
      <c r="G184" s="136"/>
      <c r="H184" s="136"/>
      <c r="I184" s="136"/>
      <c r="J184" s="136"/>
      <c r="K184" s="136"/>
      <c r="L184" s="136"/>
      <c r="M184" s="136"/>
      <c r="N184" s="136"/>
      <c r="O184" s="136"/>
      <c r="P184" s="136"/>
      <c r="Q184" s="136"/>
      <c r="R184" s="136"/>
      <c r="S184" s="136"/>
      <c r="T184" s="136"/>
      <c r="U184" s="136"/>
    </row>
    <row r="185" spans="1:21">
      <c r="A185" s="136"/>
      <c r="B185" s="136"/>
      <c r="C185" s="136"/>
      <c r="D185" s="136"/>
      <c r="E185" s="136"/>
      <c r="F185" s="136"/>
      <c r="G185" s="136"/>
      <c r="H185" s="136"/>
      <c r="I185" s="136"/>
      <c r="J185" s="136"/>
      <c r="K185" s="136"/>
      <c r="L185" s="136"/>
      <c r="M185" s="136"/>
      <c r="N185" s="136"/>
      <c r="O185" s="136"/>
      <c r="P185" s="136"/>
      <c r="Q185" s="136"/>
      <c r="R185" s="136"/>
      <c r="S185" s="136"/>
      <c r="T185" s="136"/>
      <c r="U185" s="136"/>
    </row>
    <row r="186" spans="1:21">
      <c r="A186" s="136"/>
      <c r="B186" s="136"/>
      <c r="C186" s="136"/>
      <c r="D186" s="136"/>
      <c r="E186" s="136"/>
      <c r="F186" s="136"/>
      <c r="G186" s="136"/>
      <c r="H186" s="136"/>
      <c r="I186" s="136"/>
      <c r="J186" s="136"/>
      <c r="K186" s="136"/>
      <c r="L186" s="136"/>
      <c r="M186" s="136"/>
      <c r="N186" s="136"/>
      <c r="O186" s="136"/>
      <c r="P186" s="136"/>
      <c r="Q186" s="136"/>
      <c r="R186" s="136"/>
      <c r="S186" s="136"/>
      <c r="T186" s="136"/>
      <c r="U186" s="136"/>
    </row>
    <row r="187" spans="1:21">
      <c r="A187" s="136"/>
      <c r="B187" s="136"/>
      <c r="C187" s="136"/>
      <c r="D187" s="136"/>
      <c r="E187" s="136"/>
      <c r="F187" s="136"/>
      <c r="G187" s="136"/>
      <c r="H187" s="136"/>
      <c r="I187" s="136"/>
      <c r="J187" s="136"/>
      <c r="K187" s="136"/>
      <c r="L187" s="136"/>
      <c r="M187" s="136"/>
      <c r="N187" s="136"/>
      <c r="O187" s="136"/>
      <c r="P187" s="136"/>
      <c r="Q187" s="136"/>
      <c r="R187" s="136"/>
      <c r="S187" s="136"/>
      <c r="T187" s="136"/>
      <c r="U187" s="136"/>
    </row>
    <row r="188" spans="1:21">
      <c r="A188" s="136"/>
      <c r="B188" s="136"/>
      <c r="C188" s="136"/>
      <c r="D188" s="136"/>
      <c r="E188" s="136"/>
      <c r="F188" s="136"/>
      <c r="G188" s="136"/>
      <c r="H188" s="136"/>
      <c r="I188" s="136"/>
      <c r="J188" s="136"/>
      <c r="K188" s="136"/>
      <c r="L188" s="136"/>
      <c r="M188" s="136"/>
      <c r="N188" s="136"/>
      <c r="O188" s="136"/>
      <c r="P188" s="136"/>
      <c r="Q188" s="136"/>
      <c r="R188" s="136"/>
      <c r="S188" s="136"/>
      <c r="T188" s="136"/>
      <c r="U188" s="136"/>
    </row>
    <row r="189" spans="1:21">
      <c r="A189" s="136"/>
      <c r="B189" s="136"/>
      <c r="C189" s="136"/>
      <c r="D189" s="136"/>
      <c r="E189" s="136"/>
      <c r="F189" s="136"/>
      <c r="G189" s="136"/>
      <c r="H189" s="136"/>
      <c r="I189" s="136"/>
      <c r="J189" s="136"/>
      <c r="K189" s="136"/>
      <c r="L189" s="136"/>
      <c r="M189" s="136"/>
      <c r="N189" s="136"/>
      <c r="O189" s="136"/>
      <c r="P189" s="136"/>
      <c r="Q189" s="136"/>
      <c r="R189" s="136"/>
      <c r="S189" s="136"/>
      <c r="T189" s="136"/>
      <c r="U189" s="136"/>
    </row>
    <row r="190" spans="1:21">
      <c r="A190" s="136"/>
      <c r="B190" s="136"/>
      <c r="C190" s="136"/>
      <c r="D190" s="136"/>
      <c r="E190" s="136"/>
      <c r="F190" s="136"/>
      <c r="G190" s="136"/>
      <c r="H190" s="136"/>
      <c r="I190" s="136"/>
      <c r="J190" s="136"/>
      <c r="K190" s="136"/>
      <c r="L190" s="136"/>
      <c r="M190" s="136"/>
      <c r="N190" s="136"/>
      <c r="O190" s="136"/>
      <c r="P190" s="136"/>
      <c r="Q190" s="136"/>
      <c r="R190" s="136"/>
      <c r="S190" s="136"/>
      <c r="T190" s="136"/>
      <c r="U190" s="136"/>
    </row>
    <row r="191" spans="1:21">
      <c r="A191" s="136"/>
      <c r="B191" s="136"/>
      <c r="C191" s="136"/>
      <c r="D191" s="136"/>
      <c r="E191" s="136"/>
      <c r="F191" s="136"/>
      <c r="G191" s="136"/>
      <c r="H191" s="136"/>
      <c r="I191" s="136"/>
      <c r="J191" s="136"/>
      <c r="K191" s="136"/>
      <c r="L191" s="136"/>
      <c r="M191" s="136"/>
      <c r="N191" s="136"/>
      <c r="O191" s="136"/>
      <c r="P191" s="136"/>
      <c r="Q191" s="136"/>
      <c r="R191" s="136"/>
      <c r="S191" s="136"/>
      <c r="T191" s="136"/>
      <c r="U191" s="136"/>
    </row>
  </sheetData>
  <mergeCells count="71">
    <mergeCell ref="C23:C28"/>
    <mergeCell ref="B23:B27"/>
    <mergeCell ref="P15:Q15"/>
    <mergeCell ref="P16:Q16"/>
    <mergeCell ref="P19:Q19"/>
    <mergeCell ref="P20:Q20"/>
    <mergeCell ref="P21:Q21"/>
    <mergeCell ref="B20:C20"/>
    <mergeCell ref="B19:C19"/>
    <mergeCell ref="D16:G16"/>
    <mergeCell ref="M84:N84"/>
    <mergeCell ref="M41:N41"/>
    <mergeCell ref="D57:O58"/>
    <mergeCell ref="F35:J35"/>
    <mergeCell ref="D77:O78"/>
    <mergeCell ref="D82:O83"/>
    <mergeCell ref="M63:N63"/>
    <mergeCell ref="M73:N73"/>
    <mergeCell ref="M72:N72"/>
    <mergeCell ref="F37:J37"/>
    <mergeCell ref="M40:N40"/>
    <mergeCell ref="M39:N39"/>
    <mergeCell ref="M37:N37"/>
    <mergeCell ref="P11:R11"/>
    <mergeCell ref="P14:Q14"/>
    <mergeCell ref="B2:T2"/>
    <mergeCell ref="B3:T3"/>
    <mergeCell ref="D10:E10"/>
    <mergeCell ref="P6:R6"/>
    <mergeCell ref="P8:R8"/>
    <mergeCell ref="P9:R9"/>
    <mergeCell ref="P10:R10"/>
    <mergeCell ref="B6:G6"/>
    <mergeCell ref="B5:G5"/>
    <mergeCell ref="P7:R7"/>
    <mergeCell ref="D11:E11"/>
    <mergeCell ref="D12:G12"/>
    <mergeCell ref="D13:G13"/>
    <mergeCell ref="D14:G14"/>
    <mergeCell ref="M34:N34"/>
    <mergeCell ref="M35:N35"/>
    <mergeCell ref="M36:N36"/>
    <mergeCell ref="I105:J105"/>
    <mergeCell ref="M86:N86"/>
    <mergeCell ref="M88:N88"/>
    <mergeCell ref="D92:O93"/>
    <mergeCell ref="J86:K86"/>
    <mergeCell ref="E88:I88"/>
    <mergeCell ref="C99:E99"/>
    <mergeCell ref="C100:E100"/>
    <mergeCell ref="J87:K87"/>
    <mergeCell ref="M87:N87"/>
    <mergeCell ref="M85:N85"/>
    <mergeCell ref="M62:N62"/>
    <mergeCell ref="M71:N71"/>
    <mergeCell ref="M29:N29"/>
    <mergeCell ref="F36:J36"/>
    <mergeCell ref="M65:N65"/>
    <mergeCell ref="M69:N69"/>
    <mergeCell ref="M31:N31"/>
    <mergeCell ref="M32:N32"/>
    <mergeCell ref="M33:N33"/>
    <mergeCell ref="F31:J31"/>
    <mergeCell ref="F32:J32"/>
    <mergeCell ref="F33:J33"/>
    <mergeCell ref="F34:J34"/>
    <mergeCell ref="M30:N30"/>
    <mergeCell ref="M64:N64"/>
    <mergeCell ref="M68:N68"/>
    <mergeCell ref="M66:N66"/>
    <mergeCell ref="M67:N67"/>
  </mergeCells>
  <conditionalFormatting sqref="F10:G10">
    <cfRule type="expression" dxfId="11" priority="1" stopIfTrue="1">
      <formula>$W$5=2</formula>
    </cfRule>
  </conditionalFormatting>
  <conditionalFormatting sqref="D10:E10">
    <cfRule type="expression" dxfId="10" priority="2" stopIfTrue="1">
      <formula>$W$5=2</formula>
    </cfRule>
  </conditionalFormatting>
  <conditionalFormatting sqref="D11:G11">
    <cfRule type="expression" dxfId="9" priority="3" stopIfTrue="1">
      <formula>$W$5=1</formula>
    </cfRule>
  </conditionalFormatting>
  <conditionalFormatting sqref="J25">
    <cfRule type="expression" dxfId="8" priority="4" stopIfTrue="1">
      <formula>$W$25=2</formula>
    </cfRule>
  </conditionalFormatting>
  <dataValidations count="3">
    <dataValidation type="custom" allowBlank="1" showInputMessage="1" showErrorMessage="1" error="Ja !   ist bereits angekreuzt !_x000a__x000a_oder_x000a__x000a_Bitte mit x ankreuzen!_x000a_" sqref="M25">
      <formula1>AND(M25="X",K25&lt;&gt;"x")</formula1>
    </dataValidation>
    <dataValidation type="custom" allowBlank="1" showInputMessage="1" showErrorMessage="1" error="Nein !   ist bereits angekreuzt !_x000a__x000a_oder_x000a__x000a_Bitte mit x ankreuzen!_x000a_" sqref="K25">
      <formula1>AND(K25="X",M25&lt;&gt;"x")</formula1>
    </dataValidation>
    <dataValidation type="custom" allowBlank="1" showInputMessage="1" showErrorMessage="1" error="TM? wurde bereits angekreuzt ! _x000a__x000a_oder_x000a__x000a_Bitte mit x ankreuzen!_x000a_" sqref="K101">
      <formula1>AND(K101="X",K100&lt;&gt;"x")</formula1>
    </dataValidation>
  </dataValidations>
  <printOptions horizontalCentered="1"/>
  <pageMargins left="0.59055118110236227" right="0.57999999999999996" top="0.59055118110236227" bottom="0.59055118110236227" header="0.39370078740157483" footer="0.39370078740157483"/>
  <pageSetup paperSize="9" scale="38" orientation="portrait" r:id="rId1"/>
  <headerFooter alignWithMargins="0">
    <oddFooter>&amp;L&amp;12LEL Schwäbisch Gmünd&amp;C&amp;12Kalkulationsdaten Marktfrüchte 2007&amp;F&amp;R&amp;"Arial,Fett"&amp;14 &amp;16 1</oddFooter>
  </headerFooter>
  <rowBreaks count="1" manualBreakCount="1">
    <brk id="58" max="19" man="1"/>
  </rowBreaks>
  <drawing r:id="rId2"/>
  <legacyDrawing r:id="rId3"/>
  <mc:AlternateContent xmlns:mc="http://schemas.openxmlformats.org/markup-compatibility/2006">
    <mc:Choice Requires="x14">
      <controls>
        <mc:AlternateContent xmlns:mc="http://schemas.openxmlformats.org/markup-compatibility/2006">
          <mc:Choice Requires="x14">
            <control shapeId="98305" r:id="rId4" name="Option Button 1">
              <controlPr defaultSize="0" autoFill="0" autoLine="0" autoPict="0">
                <anchor moveWithCells="1">
                  <from>
                    <xdr:col>10</xdr:col>
                    <xdr:colOff>47625</xdr:colOff>
                    <xdr:row>24</xdr:row>
                    <xdr:rowOff>0</xdr:rowOff>
                  </from>
                  <to>
                    <xdr:col>11</xdr:col>
                    <xdr:colOff>114300</xdr:colOff>
                    <xdr:row>25</xdr:row>
                    <xdr:rowOff>9525</xdr:rowOff>
                  </to>
                </anchor>
              </controlPr>
            </control>
          </mc:Choice>
        </mc:AlternateContent>
        <mc:AlternateContent xmlns:mc="http://schemas.openxmlformats.org/markup-compatibility/2006">
          <mc:Choice Requires="x14">
            <control shapeId="98306" r:id="rId5" name="Option Button 2">
              <controlPr defaultSize="0" autoFill="0" autoLine="0" autoPict="0">
                <anchor moveWithCells="1">
                  <from>
                    <xdr:col>12</xdr:col>
                    <xdr:colOff>19050</xdr:colOff>
                    <xdr:row>23</xdr:row>
                    <xdr:rowOff>209550</xdr:rowOff>
                  </from>
                  <to>
                    <xdr:col>13</xdr:col>
                    <xdr:colOff>76200</xdr:colOff>
                    <xdr:row>24</xdr:row>
                    <xdr:rowOff>209550</xdr:rowOff>
                  </to>
                </anchor>
              </controlPr>
            </control>
          </mc:Choice>
        </mc:AlternateContent>
        <mc:AlternateContent xmlns:mc="http://schemas.openxmlformats.org/markup-compatibility/2006">
          <mc:Choice Requires="x14">
            <control shapeId="98307" r:id="rId6" name="Option Button 3">
              <controlPr defaultSize="0" autoFill="0" autoLine="0" autoPict="0">
                <anchor moveWithCells="1">
                  <from>
                    <xdr:col>2</xdr:col>
                    <xdr:colOff>133350</xdr:colOff>
                    <xdr:row>8</xdr:row>
                    <xdr:rowOff>171450</xdr:rowOff>
                  </from>
                  <to>
                    <xdr:col>2</xdr:col>
                    <xdr:colOff>457200</xdr:colOff>
                    <xdr:row>10</xdr:row>
                    <xdr:rowOff>9525</xdr:rowOff>
                  </to>
                </anchor>
              </controlPr>
            </control>
          </mc:Choice>
        </mc:AlternateContent>
        <mc:AlternateContent xmlns:mc="http://schemas.openxmlformats.org/markup-compatibility/2006">
          <mc:Choice Requires="x14">
            <control shapeId="98308" r:id="rId7" name="Option Button 4">
              <controlPr defaultSize="0" autoFill="0" autoLine="0" autoPict="0">
                <anchor moveWithCells="1">
                  <from>
                    <xdr:col>2</xdr:col>
                    <xdr:colOff>133350</xdr:colOff>
                    <xdr:row>9</xdr:row>
                    <xdr:rowOff>180975</xdr:rowOff>
                  </from>
                  <to>
                    <xdr:col>2</xdr:col>
                    <xdr:colOff>457200</xdr:colOff>
                    <xdr:row>11</xdr:row>
                    <xdr:rowOff>19050</xdr:rowOff>
                  </to>
                </anchor>
              </controlPr>
            </control>
          </mc:Choice>
        </mc:AlternateContent>
        <mc:AlternateContent xmlns:mc="http://schemas.openxmlformats.org/markup-compatibility/2006">
          <mc:Choice Requires="x14">
            <control shapeId="98309" r:id="rId8" name="Group Box 5">
              <controlPr defaultSize="0" autoFill="0" autoPict="0">
                <anchor moveWithCells="1">
                  <from>
                    <xdr:col>1</xdr:col>
                    <xdr:colOff>9525</xdr:colOff>
                    <xdr:row>8</xdr:row>
                    <xdr:rowOff>0</xdr:rowOff>
                  </from>
                  <to>
                    <xdr:col>7</xdr:col>
                    <xdr:colOff>0</xdr:colOff>
                    <xdr:row>11</xdr:row>
                    <xdr:rowOff>180975</xdr:rowOff>
                  </to>
                </anchor>
              </controlPr>
            </control>
          </mc:Choice>
        </mc:AlternateContent>
        <mc:AlternateContent xmlns:mc="http://schemas.openxmlformats.org/markup-compatibility/2006">
          <mc:Choice Requires="x14">
            <control shapeId="98310" r:id="rId9" name="Drop Down 6">
              <controlPr defaultSize="0" print="0" autoLine="0" autoPict="0">
                <anchor moveWithCells="1">
                  <from>
                    <xdr:col>5</xdr:col>
                    <xdr:colOff>0</xdr:colOff>
                    <xdr:row>30</xdr:row>
                    <xdr:rowOff>0</xdr:rowOff>
                  </from>
                  <to>
                    <xdr:col>10</xdr:col>
                    <xdr:colOff>19050</xdr:colOff>
                    <xdr:row>31</xdr:row>
                    <xdr:rowOff>19050</xdr:rowOff>
                  </to>
                </anchor>
              </controlPr>
            </control>
          </mc:Choice>
        </mc:AlternateContent>
        <mc:AlternateContent xmlns:mc="http://schemas.openxmlformats.org/markup-compatibility/2006">
          <mc:Choice Requires="x14">
            <control shapeId="98311" r:id="rId10" name="Drop Down 7">
              <controlPr defaultSize="0" print="0" autoLine="0" autoPict="0">
                <anchor moveWithCells="1">
                  <from>
                    <xdr:col>5</xdr:col>
                    <xdr:colOff>0</xdr:colOff>
                    <xdr:row>31</xdr:row>
                    <xdr:rowOff>0</xdr:rowOff>
                  </from>
                  <to>
                    <xdr:col>10</xdr:col>
                    <xdr:colOff>19050</xdr:colOff>
                    <xdr:row>32</xdr:row>
                    <xdr:rowOff>19050</xdr:rowOff>
                  </to>
                </anchor>
              </controlPr>
            </control>
          </mc:Choice>
        </mc:AlternateContent>
        <mc:AlternateContent xmlns:mc="http://schemas.openxmlformats.org/markup-compatibility/2006">
          <mc:Choice Requires="x14">
            <control shapeId="98312" r:id="rId11" name="Drop Down 8">
              <controlPr defaultSize="0" print="0" autoLine="0" autoPict="0">
                <anchor moveWithCells="1">
                  <from>
                    <xdr:col>5</xdr:col>
                    <xdr:colOff>0</xdr:colOff>
                    <xdr:row>32</xdr:row>
                    <xdr:rowOff>0</xdr:rowOff>
                  </from>
                  <to>
                    <xdr:col>10</xdr:col>
                    <xdr:colOff>19050</xdr:colOff>
                    <xdr:row>33</xdr:row>
                    <xdr:rowOff>19050</xdr:rowOff>
                  </to>
                </anchor>
              </controlPr>
            </control>
          </mc:Choice>
        </mc:AlternateContent>
        <mc:AlternateContent xmlns:mc="http://schemas.openxmlformats.org/markup-compatibility/2006">
          <mc:Choice Requires="x14">
            <control shapeId="98313" r:id="rId12" name="Drop Down 9">
              <controlPr defaultSize="0" print="0" autoLine="0" autoPict="0">
                <anchor moveWithCells="1">
                  <from>
                    <xdr:col>5</xdr:col>
                    <xdr:colOff>0</xdr:colOff>
                    <xdr:row>33</xdr:row>
                    <xdr:rowOff>0</xdr:rowOff>
                  </from>
                  <to>
                    <xdr:col>10</xdr:col>
                    <xdr:colOff>19050</xdr:colOff>
                    <xdr:row>34</xdr:row>
                    <xdr:rowOff>19050</xdr:rowOff>
                  </to>
                </anchor>
              </controlPr>
            </control>
          </mc:Choice>
        </mc:AlternateContent>
        <mc:AlternateContent xmlns:mc="http://schemas.openxmlformats.org/markup-compatibility/2006">
          <mc:Choice Requires="x14">
            <control shapeId="98314" r:id="rId13" name="Drop Down 10">
              <controlPr defaultSize="0" print="0" autoLine="0" autoPict="0">
                <anchor moveWithCells="1">
                  <from>
                    <xdr:col>5</xdr:col>
                    <xdr:colOff>0</xdr:colOff>
                    <xdr:row>34</xdr:row>
                    <xdr:rowOff>0</xdr:rowOff>
                  </from>
                  <to>
                    <xdr:col>10</xdr:col>
                    <xdr:colOff>19050</xdr:colOff>
                    <xdr:row>35</xdr:row>
                    <xdr:rowOff>19050</xdr:rowOff>
                  </to>
                </anchor>
              </controlPr>
            </control>
          </mc:Choice>
        </mc:AlternateContent>
        <mc:AlternateContent xmlns:mc="http://schemas.openxmlformats.org/markup-compatibility/2006">
          <mc:Choice Requires="x14">
            <control shapeId="98315" r:id="rId14" name="Drop Down 11">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16" r:id="rId15" name="Drop Down 12">
              <controlPr defaultSize="0" print="0" autoLine="0" autoPict="0">
                <anchor moveWithCells="1">
                  <from>
                    <xdr:col>5</xdr:col>
                    <xdr:colOff>0</xdr:colOff>
                    <xdr:row>37</xdr:row>
                    <xdr:rowOff>190500</xdr:rowOff>
                  </from>
                  <to>
                    <xdr:col>10</xdr:col>
                    <xdr:colOff>0</xdr:colOff>
                    <xdr:row>39</xdr:row>
                    <xdr:rowOff>0</xdr:rowOff>
                  </to>
                </anchor>
              </controlPr>
            </control>
          </mc:Choice>
        </mc:AlternateContent>
        <mc:AlternateContent xmlns:mc="http://schemas.openxmlformats.org/markup-compatibility/2006">
          <mc:Choice Requires="x14">
            <control shapeId="98317" r:id="rId16" name="Drop Down 13">
              <controlPr defaultSize="0" print="0" autoLine="0" autoPict="0">
                <anchor moveWithCells="1">
                  <from>
                    <xdr:col>5</xdr:col>
                    <xdr:colOff>0</xdr:colOff>
                    <xdr:row>39</xdr:row>
                    <xdr:rowOff>0</xdr:rowOff>
                  </from>
                  <to>
                    <xdr:col>10</xdr:col>
                    <xdr:colOff>0</xdr:colOff>
                    <xdr:row>40</xdr:row>
                    <xdr:rowOff>19050</xdr:rowOff>
                  </to>
                </anchor>
              </controlPr>
            </control>
          </mc:Choice>
        </mc:AlternateContent>
        <mc:AlternateContent xmlns:mc="http://schemas.openxmlformats.org/markup-compatibility/2006">
          <mc:Choice Requires="x14">
            <control shapeId="98318" r:id="rId17" name="Drop Down 14">
              <controlPr defaultSize="0" print="0" autoLine="0" autoPict="0">
                <anchor moveWithCells="1">
                  <from>
                    <xdr:col>5</xdr:col>
                    <xdr:colOff>0</xdr:colOff>
                    <xdr:row>63</xdr:row>
                    <xdr:rowOff>0</xdr:rowOff>
                  </from>
                  <to>
                    <xdr:col>10</xdr:col>
                    <xdr:colOff>19050</xdr:colOff>
                    <xdr:row>64</xdr:row>
                    <xdr:rowOff>19050</xdr:rowOff>
                  </to>
                </anchor>
              </controlPr>
            </control>
          </mc:Choice>
        </mc:AlternateContent>
        <mc:AlternateContent xmlns:mc="http://schemas.openxmlformats.org/markup-compatibility/2006">
          <mc:Choice Requires="x14">
            <control shapeId="98319" r:id="rId18" name="Drop Down 15">
              <controlPr defaultSize="0" print="0" autoLine="0" autoPict="0">
                <anchor moveWithCells="1">
                  <from>
                    <xdr:col>5</xdr:col>
                    <xdr:colOff>0</xdr:colOff>
                    <xdr:row>70</xdr:row>
                    <xdr:rowOff>0</xdr:rowOff>
                  </from>
                  <to>
                    <xdr:col>10</xdr:col>
                    <xdr:colOff>0</xdr:colOff>
                    <xdr:row>71</xdr:row>
                    <xdr:rowOff>19050</xdr:rowOff>
                  </to>
                </anchor>
              </controlPr>
            </control>
          </mc:Choice>
        </mc:AlternateContent>
        <mc:AlternateContent xmlns:mc="http://schemas.openxmlformats.org/markup-compatibility/2006">
          <mc:Choice Requires="x14">
            <control shapeId="98320" r:id="rId19" name="Drop Down 16">
              <controlPr defaultSize="0" print="0" autoLine="0" autoPict="0">
                <anchor moveWithCells="1">
                  <from>
                    <xdr:col>5</xdr:col>
                    <xdr:colOff>0</xdr:colOff>
                    <xdr:row>71</xdr:row>
                    <xdr:rowOff>0</xdr:rowOff>
                  </from>
                  <to>
                    <xdr:col>10</xdr:col>
                    <xdr:colOff>0</xdr:colOff>
                    <xdr:row>72</xdr:row>
                    <xdr:rowOff>19050</xdr:rowOff>
                  </to>
                </anchor>
              </controlPr>
            </control>
          </mc:Choice>
        </mc:AlternateContent>
        <mc:AlternateContent xmlns:mc="http://schemas.openxmlformats.org/markup-compatibility/2006">
          <mc:Choice Requires="x14">
            <control shapeId="98321" r:id="rId20" name="Drop Down 17">
              <controlPr defaultSize="0" print="0" autoLine="0" autoPict="0">
                <anchor moveWithCells="1">
                  <from>
                    <xdr:col>5</xdr:col>
                    <xdr:colOff>0</xdr:colOff>
                    <xdr:row>72</xdr:row>
                    <xdr:rowOff>0</xdr:rowOff>
                  </from>
                  <to>
                    <xdr:col>10</xdr:col>
                    <xdr:colOff>0</xdr:colOff>
                    <xdr:row>73</xdr:row>
                    <xdr:rowOff>19050</xdr:rowOff>
                  </to>
                </anchor>
              </controlPr>
            </control>
          </mc:Choice>
        </mc:AlternateContent>
        <mc:AlternateContent xmlns:mc="http://schemas.openxmlformats.org/markup-compatibility/2006">
          <mc:Choice Requires="x14">
            <control shapeId="98322" r:id="rId21" name="Drop Down 18">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3" r:id="rId22" name="Drop Down 19">
              <controlPr defaultSize="0" print="0" autoLine="0" autoPict="0">
                <anchor moveWithCells="1">
                  <from>
                    <xdr:col>5</xdr:col>
                    <xdr:colOff>0</xdr:colOff>
                    <xdr:row>35</xdr:row>
                    <xdr:rowOff>0</xdr:rowOff>
                  </from>
                  <to>
                    <xdr:col>10</xdr:col>
                    <xdr:colOff>19050</xdr:colOff>
                    <xdr:row>36</xdr:row>
                    <xdr:rowOff>19050</xdr:rowOff>
                  </to>
                </anchor>
              </controlPr>
            </control>
          </mc:Choice>
        </mc:AlternateContent>
        <mc:AlternateContent xmlns:mc="http://schemas.openxmlformats.org/markup-compatibility/2006">
          <mc:Choice Requires="x14">
            <control shapeId="98324" r:id="rId23" name="Drop Down 20">
              <controlPr defaultSize="0" print="0" autoLine="0" autoPict="0">
                <anchor moveWithCells="1">
                  <from>
                    <xdr:col>5</xdr:col>
                    <xdr:colOff>0</xdr:colOff>
                    <xdr:row>36</xdr:row>
                    <xdr:rowOff>0</xdr:rowOff>
                  </from>
                  <to>
                    <xdr:col>10</xdr:col>
                    <xdr:colOff>19050</xdr:colOff>
                    <xdr:row>37</xdr:row>
                    <xdr:rowOff>19050</xdr:rowOff>
                  </to>
                </anchor>
              </controlPr>
            </control>
          </mc:Choice>
        </mc:AlternateContent>
        <mc:AlternateContent xmlns:mc="http://schemas.openxmlformats.org/markup-compatibility/2006">
          <mc:Choice Requires="x14">
            <control shapeId="98325" r:id="rId24" name="Drop Down 21">
              <controlPr defaultSize="0" print="0" autoLine="0" autoPict="0">
                <anchor moveWithCells="1">
                  <from>
                    <xdr:col>5</xdr:col>
                    <xdr:colOff>0</xdr:colOff>
                    <xdr:row>64</xdr:row>
                    <xdr:rowOff>0</xdr:rowOff>
                  </from>
                  <to>
                    <xdr:col>10</xdr:col>
                    <xdr:colOff>19050</xdr:colOff>
                    <xdr:row>65</xdr:row>
                    <xdr:rowOff>19050</xdr:rowOff>
                  </to>
                </anchor>
              </controlPr>
            </control>
          </mc:Choice>
        </mc:AlternateContent>
        <mc:AlternateContent xmlns:mc="http://schemas.openxmlformats.org/markup-compatibility/2006">
          <mc:Choice Requires="x14">
            <control shapeId="98326" r:id="rId25" name="Drop Down 22">
              <controlPr defaultSize="0" print="0" autoLine="0" autoPict="0">
                <anchor moveWithCells="1">
                  <from>
                    <xdr:col>5</xdr:col>
                    <xdr:colOff>0</xdr:colOff>
                    <xdr:row>65</xdr:row>
                    <xdr:rowOff>0</xdr:rowOff>
                  </from>
                  <to>
                    <xdr:col>10</xdr:col>
                    <xdr:colOff>19050</xdr:colOff>
                    <xdr:row>66</xdr:row>
                    <xdr:rowOff>19050</xdr:rowOff>
                  </to>
                </anchor>
              </controlPr>
            </control>
          </mc:Choice>
        </mc:AlternateContent>
        <mc:AlternateContent xmlns:mc="http://schemas.openxmlformats.org/markup-compatibility/2006">
          <mc:Choice Requires="x14">
            <control shapeId="98327" r:id="rId26" name="Drop Down 23">
              <controlPr defaultSize="0" print="0" autoLine="0" autoPict="0">
                <anchor moveWithCells="1">
                  <from>
                    <xdr:col>5</xdr:col>
                    <xdr:colOff>0</xdr:colOff>
                    <xdr:row>66</xdr:row>
                    <xdr:rowOff>0</xdr:rowOff>
                  </from>
                  <to>
                    <xdr:col>10</xdr:col>
                    <xdr:colOff>19050</xdr:colOff>
                    <xdr:row>67</xdr:row>
                    <xdr:rowOff>19050</xdr:rowOff>
                  </to>
                </anchor>
              </controlPr>
            </control>
          </mc:Choice>
        </mc:AlternateContent>
        <mc:AlternateContent xmlns:mc="http://schemas.openxmlformats.org/markup-compatibility/2006">
          <mc:Choice Requires="x14">
            <control shapeId="98328" r:id="rId27" name="Drop Down 24">
              <controlPr defaultSize="0" print="0" autoLine="0" autoPict="0">
                <anchor moveWithCells="1">
                  <from>
                    <xdr:col>5</xdr:col>
                    <xdr:colOff>0</xdr:colOff>
                    <xdr:row>67</xdr:row>
                    <xdr:rowOff>0</xdr:rowOff>
                  </from>
                  <to>
                    <xdr:col>10</xdr:col>
                    <xdr:colOff>19050</xdr:colOff>
                    <xdr:row>68</xdr:row>
                    <xdr:rowOff>19050</xdr:rowOff>
                  </to>
                </anchor>
              </controlPr>
            </control>
          </mc:Choice>
        </mc:AlternateContent>
        <mc:AlternateContent xmlns:mc="http://schemas.openxmlformats.org/markup-compatibility/2006">
          <mc:Choice Requires="x14">
            <control shapeId="98329" r:id="rId28" name="Drop Down 25">
              <controlPr defaultSize="0" print="0" autoLine="0" autoPict="0">
                <anchor moveWithCells="1">
                  <from>
                    <xdr:col>5</xdr:col>
                    <xdr:colOff>0</xdr:colOff>
                    <xdr:row>68</xdr:row>
                    <xdr:rowOff>0</xdr:rowOff>
                  </from>
                  <to>
                    <xdr:col>10</xdr:col>
                    <xdr:colOff>19050</xdr:colOff>
                    <xdr:row>69</xdr:row>
                    <xdr:rowOff>57150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0000"/>
  </sheetPr>
  <dimension ref="A1:J387"/>
  <sheetViews>
    <sheetView workbookViewId="0"/>
  </sheetViews>
  <sheetFormatPr baseColWidth="10" defaultColWidth="11.25" defaultRowHeight="12.75"/>
  <cols>
    <col min="1" max="2" width="11.25" style="33"/>
    <col min="3" max="3" width="29.75" style="33" bestFit="1" customWidth="1"/>
    <col min="4" max="4" width="11.25" style="33"/>
    <col min="5" max="5" width="11.25" style="608"/>
    <col min="6" max="16384" width="11.25" style="33"/>
  </cols>
  <sheetData>
    <row r="1" spans="1:10">
      <c r="C1" s="15" t="s">
        <v>1842</v>
      </c>
    </row>
    <row r="3" spans="1:10">
      <c r="A3" s="15" t="s">
        <v>1841</v>
      </c>
      <c r="B3" s="15" t="s">
        <v>1840</v>
      </c>
      <c r="C3" s="15" t="s">
        <v>934</v>
      </c>
      <c r="D3" s="15" t="s">
        <v>1839</v>
      </c>
      <c r="E3" s="2164" t="s">
        <v>114</v>
      </c>
    </row>
    <row r="4" spans="1:10" s="2964" customFormat="1">
      <c r="A4" s="2966">
        <v>46</v>
      </c>
      <c r="B4" s="2966" t="s">
        <v>97</v>
      </c>
      <c r="C4" s="2964" t="str">
        <f t="shared" ref="C4:C67" ca="1" si="0">INDIRECT("'"&amp;B4&amp;"'!$K$2")</f>
        <v>Winterweizen (Futter-)</v>
      </c>
      <c r="D4" s="2964" t="str">
        <f t="shared" ref="D4:D67" ca="1" si="1">INDIRECT("'"&amp;B4&amp;"'!C"&amp;A4)</f>
        <v>Drehpflug 2,10 m</v>
      </c>
      <c r="E4" s="2965">
        <f t="shared" ref="E4:E67" ca="1" si="2">INDIRECT("'"&amp;B4&amp;"'!Q"&amp;A4)</f>
        <v>0</v>
      </c>
      <c r="J4" s="609"/>
    </row>
    <row r="5" spans="1:10" s="2964" customFormat="1">
      <c r="A5" s="2964">
        <v>47</v>
      </c>
      <c r="B5" s="2966" t="s">
        <v>97</v>
      </c>
      <c r="C5" s="2964" t="str">
        <f t="shared" ca="1" si="0"/>
        <v>Winterweizen (Futter-)</v>
      </c>
      <c r="D5" s="2964" t="str">
        <f t="shared" ca="1" si="1"/>
        <v>Kreiselegge-Säkomb. 3 m</v>
      </c>
      <c r="E5" s="2965">
        <f t="shared" ca="1" si="2"/>
        <v>0</v>
      </c>
      <c r="J5" s="609"/>
    </row>
    <row r="6" spans="1:10" s="2964" customFormat="1">
      <c r="A6" s="2966">
        <v>48</v>
      </c>
      <c r="B6" s="2966" t="s">
        <v>97</v>
      </c>
      <c r="C6" s="2964" t="str">
        <f t="shared" ca="1" si="0"/>
        <v>Winterweizen (Futter-)</v>
      </c>
      <c r="D6" s="2964" t="str">
        <f t="shared" ca="1" si="1"/>
        <v xml:space="preserve">Düngerstreuer ab Hof 12 m, 400 kg/ha </v>
      </c>
      <c r="E6" s="2965">
        <f t="shared" ca="1" si="2"/>
        <v>0</v>
      </c>
      <c r="J6" s="609"/>
    </row>
    <row r="7" spans="1:10" s="2964" customFormat="1">
      <c r="A7" s="2964">
        <v>49</v>
      </c>
      <c r="B7" s="2966" t="s">
        <v>97</v>
      </c>
      <c r="C7" s="2964" t="str">
        <f t="shared" ca="1" si="0"/>
        <v>Winterweizen (Futter-)</v>
      </c>
      <c r="D7" s="2964" t="str">
        <f t="shared" ca="1" si="1"/>
        <v>Pflanzenschutzspritze 12 m, 300 l/ha</v>
      </c>
      <c r="E7" s="2965">
        <f t="shared" ca="1" si="2"/>
        <v>0</v>
      </c>
      <c r="J7" s="609"/>
    </row>
    <row r="8" spans="1:10" s="2964" customFormat="1">
      <c r="A8" s="2966">
        <v>50</v>
      </c>
      <c r="B8" s="2966" t="s">
        <v>97</v>
      </c>
      <c r="C8" s="2964" t="str">
        <f t="shared" ca="1" si="0"/>
        <v>Winterweizen (Futter-)</v>
      </c>
      <c r="D8" s="2964" t="str">
        <f t="shared" ca="1" si="1"/>
        <v>Transp. u. Abkip. Getr. 6 t/ha (5,7 t Ki.)</v>
      </c>
      <c r="E8" s="2965">
        <f t="shared" ca="1" si="2"/>
        <v>0</v>
      </c>
      <c r="J8" s="609"/>
    </row>
    <row r="9" spans="1:10" s="2964" customFormat="1">
      <c r="A9" s="2964">
        <v>51</v>
      </c>
      <c r="B9" s="2966" t="s">
        <v>97</v>
      </c>
      <c r="C9" s="2964" t="str">
        <f t="shared" ca="1" si="0"/>
        <v>Winterweizen (Futter-)</v>
      </c>
      <c r="D9" s="2964" t="str">
        <f t="shared" ca="1" si="1"/>
        <v>Schwergrubber 3 m</v>
      </c>
      <c r="E9" s="2965">
        <f t="shared" ca="1" si="2"/>
        <v>0</v>
      </c>
      <c r="J9" s="609"/>
    </row>
    <row r="10" spans="1:10" s="2964" customFormat="1">
      <c r="A10" s="2966">
        <v>52</v>
      </c>
      <c r="B10" s="2966" t="s">
        <v>97</v>
      </c>
      <c r="C10" s="2964" t="str">
        <f t="shared" ca="1" si="0"/>
        <v>Winterweizen (Futter-)</v>
      </c>
      <c r="D10" s="2964">
        <f t="shared" ca="1" si="1"/>
        <v>0</v>
      </c>
      <c r="E10" s="2965">
        <f t="shared" ca="1" si="2"/>
        <v>0</v>
      </c>
      <c r="J10" s="609"/>
    </row>
    <row r="11" spans="1:10" s="2964" customFormat="1">
      <c r="A11" s="2964">
        <v>53</v>
      </c>
      <c r="B11" s="2966" t="s">
        <v>97</v>
      </c>
      <c r="C11" s="2964" t="str">
        <f t="shared" ca="1" si="0"/>
        <v>Winterweizen (Futter-)</v>
      </c>
      <c r="D11" s="2964">
        <f t="shared" ca="1" si="1"/>
        <v>0</v>
      </c>
      <c r="E11" s="2965">
        <f t="shared" ca="1" si="2"/>
        <v>0</v>
      </c>
      <c r="J11" s="609"/>
    </row>
    <row r="12" spans="1:10" s="2964" customFormat="1">
      <c r="A12" s="2966">
        <v>54</v>
      </c>
      <c r="B12" s="2966" t="s">
        <v>97</v>
      </c>
      <c r="C12" s="2964" t="str">
        <f t="shared" ca="1" si="0"/>
        <v>Winterweizen (Futter-)</v>
      </c>
      <c r="D12" s="2964">
        <f t="shared" ca="1" si="1"/>
        <v>0</v>
      </c>
      <c r="E12" s="2965">
        <f t="shared" ca="1" si="2"/>
        <v>0</v>
      </c>
      <c r="J12" s="609"/>
    </row>
    <row r="13" spans="1:10" s="2964" customFormat="1">
      <c r="A13" s="2964">
        <v>55</v>
      </c>
      <c r="B13" s="2966" t="s">
        <v>97</v>
      </c>
      <c r="C13" s="2964" t="str">
        <f t="shared" ca="1" si="0"/>
        <v>Winterweizen (Futter-)</v>
      </c>
      <c r="D13" s="2964">
        <f t="shared" ca="1" si="1"/>
        <v>0</v>
      </c>
      <c r="E13" s="2965">
        <f t="shared" ca="1" si="2"/>
        <v>0</v>
      </c>
      <c r="J13" s="609"/>
    </row>
    <row r="14" spans="1:10" s="2964" customFormat="1">
      <c r="A14" s="2966">
        <v>56</v>
      </c>
      <c r="B14" s="2966" t="s">
        <v>97</v>
      </c>
      <c r="C14" s="2964" t="str">
        <f t="shared" ca="1" si="0"/>
        <v>Winterweizen (Futter-)</v>
      </c>
      <c r="D14" s="2964">
        <f t="shared" ca="1" si="1"/>
        <v>0</v>
      </c>
      <c r="E14" s="2965">
        <f t="shared" ca="1" si="2"/>
        <v>0</v>
      </c>
      <c r="J14" s="609"/>
    </row>
    <row r="15" spans="1:10" s="2964" customFormat="1">
      <c r="A15" s="2964">
        <v>57</v>
      </c>
      <c r="B15" s="2966" t="s">
        <v>97</v>
      </c>
      <c r="C15" s="2964" t="str">
        <f t="shared" ca="1" si="0"/>
        <v>Winterweizen (Futter-)</v>
      </c>
      <c r="D15" s="2964" t="str">
        <f t="shared" ca="1" si="1"/>
        <v>Stroh-Rundballen 4 t/ha laden, abfahren, stapeln, 3-S-Kipp.</v>
      </c>
      <c r="E15" s="2965">
        <f t="shared" ca="1" si="2"/>
        <v>65</v>
      </c>
      <c r="J15" s="609"/>
    </row>
    <row r="16" spans="1:10">
      <c r="A16" s="15">
        <v>46</v>
      </c>
      <c r="B16" s="2966" t="s">
        <v>95</v>
      </c>
      <c r="C16" s="33" t="str">
        <f t="shared" ca="1" si="0"/>
        <v>Winterweizen (Brot-)</v>
      </c>
      <c r="D16" s="33" t="str">
        <f t="shared" ca="1" si="1"/>
        <v>Drehpflug 2,10 m</v>
      </c>
      <c r="E16" s="608">
        <f t="shared" ca="1" si="2"/>
        <v>0</v>
      </c>
      <c r="G16" s="2964"/>
      <c r="I16" s="2964"/>
      <c r="J16" s="609"/>
    </row>
    <row r="17" spans="1:10">
      <c r="A17" s="33">
        <v>47</v>
      </c>
      <c r="B17" s="2966" t="s">
        <v>95</v>
      </c>
      <c r="C17" s="33" t="str">
        <f t="shared" ca="1" si="0"/>
        <v>Winterweizen (Brot-)</v>
      </c>
      <c r="D17" s="33" t="str">
        <f t="shared" ca="1" si="1"/>
        <v>Kreiselegge-Säkomb. 3 m</v>
      </c>
      <c r="E17" s="608">
        <f t="shared" ca="1" si="2"/>
        <v>0</v>
      </c>
      <c r="G17" s="2964"/>
      <c r="I17" s="2964"/>
      <c r="J17" s="609"/>
    </row>
    <row r="18" spans="1:10">
      <c r="A18" s="15">
        <v>48</v>
      </c>
      <c r="B18" s="2966" t="s">
        <v>95</v>
      </c>
      <c r="C18" s="33" t="str">
        <f t="shared" ca="1" si="0"/>
        <v>Winterweizen (Brot-)</v>
      </c>
      <c r="D18" s="33" t="str">
        <f t="shared" ca="1" si="1"/>
        <v xml:space="preserve">Düngerstreuer ab Hof 12 m, 400 kg/ha </v>
      </c>
      <c r="E18" s="608">
        <f t="shared" ca="1" si="2"/>
        <v>0</v>
      </c>
      <c r="G18" s="2964"/>
      <c r="I18" s="2964"/>
      <c r="J18" s="609"/>
    </row>
    <row r="19" spans="1:10">
      <c r="A19" s="33">
        <v>49</v>
      </c>
      <c r="B19" s="2966" t="s">
        <v>95</v>
      </c>
      <c r="C19" s="33" t="str">
        <f t="shared" ca="1" si="0"/>
        <v>Winterweizen (Brot-)</v>
      </c>
      <c r="D19" s="33" t="str">
        <f t="shared" ca="1" si="1"/>
        <v>Pflanzenschutzspritze 12 m, 300 l/ha</v>
      </c>
      <c r="E19" s="608">
        <f t="shared" ca="1" si="2"/>
        <v>0</v>
      </c>
      <c r="G19" s="2964"/>
      <c r="I19" s="2964"/>
      <c r="J19" s="609"/>
    </row>
    <row r="20" spans="1:10">
      <c r="A20" s="15">
        <v>50</v>
      </c>
      <c r="B20" s="2966" t="s">
        <v>95</v>
      </c>
      <c r="C20" s="33" t="str">
        <f t="shared" ca="1" si="0"/>
        <v>Winterweizen (Brot-)</v>
      </c>
      <c r="D20" s="33" t="str">
        <f t="shared" ca="1" si="1"/>
        <v>Transp. u. Abkip. Getr. 6 t/ha (5,7 t Ki.)</v>
      </c>
      <c r="E20" s="608">
        <f t="shared" ca="1" si="2"/>
        <v>0</v>
      </c>
      <c r="G20" s="2964"/>
      <c r="I20" s="2964"/>
      <c r="J20" s="609"/>
    </row>
    <row r="21" spans="1:10">
      <c r="A21" s="33">
        <v>51</v>
      </c>
      <c r="B21" s="2966" t="s">
        <v>95</v>
      </c>
      <c r="C21" s="33" t="str">
        <f t="shared" ca="1" si="0"/>
        <v>Winterweizen (Brot-)</v>
      </c>
      <c r="D21" s="33" t="str">
        <f t="shared" ca="1" si="1"/>
        <v>Schwergrubber 3 m</v>
      </c>
      <c r="E21" s="608">
        <f t="shared" ca="1" si="2"/>
        <v>0</v>
      </c>
      <c r="G21" s="2964"/>
      <c r="I21" s="2964"/>
      <c r="J21" s="609"/>
    </row>
    <row r="22" spans="1:10">
      <c r="A22" s="15">
        <v>52</v>
      </c>
      <c r="B22" s="2966" t="s">
        <v>95</v>
      </c>
      <c r="C22" s="33" t="str">
        <f t="shared" ca="1" si="0"/>
        <v>Winterweizen (Brot-)</v>
      </c>
      <c r="D22" s="33">
        <f t="shared" ca="1" si="1"/>
        <v>0</v>
      </c>
      <c r="E22" s="608">
        <f t="shared" ca="1" si="2"/>
        <v>0</v>
      </c>
      <c r="G22" s="2964"/>
      <c r="I22" s="2964"/>
      <c r="J22" s="609"/>
    </row>
    <row r="23" spans="1:10">
      <c r="A23" s="33">
        <v>53</v>
      </c>
      <c r="B23" s="2966" t="s">
        <v>95</v>
      </c>
      <c r="C23" s="33" t="str">
        <f t="shared" ca="1" si="0"/>
        <v>Winterweizen (Brot-)</v>
      </c>
      <c r="D23" s="33">
        <f t="shared" ca="1" si="1"/>
        <v>0</v>
      </c>
      <c r="E23" s="608">
        <f t="shared" ca="1" si="2"/>
        <v>0</v>
      </c>
      <c r="G23" s="2964"/>
      <c r="I23" s="2964"/>
      <c r="J23" s="609"/>
    </row>
    <row r="24" spans="1:10">
      <c r="A24" s="15">
        <v>54</v>
      </c>
      <c r="B24" s="2966" t="s">
        <v>95</v>
      </c>
      <c r="C24" s="33" t="str">
        <f t="shared" ca="1" si="0"/>
        <v>Winterweizen (Brot-)</v>
      </c>
      <c r="D24" s="33">
        <f t="shared" ca="1" si="1"/>
        <v>0</v>
      </c>
      <c r="E24" s="608">
        <f t="shared" ca="1" si="2"/>
        <v>0</v>
      </c>
      <c r="G24" s="2964"/>
      <c r="I24" s="2964"/>
      <c r="J24" s="609"/>
    </row>
    <row r="25" spans="1:10">
      <c r="A25" s="33">
        <v>55</v>
      </c>
      <c r="B25" s="2966" t="s">
        <v>95</v>
      </c>
      <c r="C25" s="33" t="str">
        <f t="shared" ca="1" si="0"/>
        <v>Winterweizen (Brot-)</v>
      </c>
      <c r="D25" s="33">
        <f t="shared" ca="1" si="1"/>
        <v>0</v>
      </c>
      <c r="E25" s="608">
        <f t="shared" ca="1" si="2"/>
        <v>0</v>
      </c>
      <c r="G25" s="2964"/>
      <c r="I25" s="2964"/>
      <c r="J25" s="609"/>
    </row>
    <row r="26" spans="1:10">
      <c r="A26" s="15">
        <v>56</v>
      </c>
      <c r="B26" s="2966" t="s">
        <v>95</v>
      </c>
      <c r="C26" s="33" t="str">
        <f t="shared" ca="1" si="0"/>
        <v>Winterweizen (Brot-)</v>
      </c>
      <c r="D26" s="33">
        <f t="shared" ca="1" si="1"/>
        <v>0</v>
      </c>
      <c r="E26" s="608">
        <f t="shared" ca="1" si="2"/>
        <v>0</v>
      </c>
      <c r="G26" s="2964"/>
      <c r="I26" s="2964"/>
      <c r="J26" s="609"/>
    </row>
    <row r="27" spans="1:10">
      <c r="A27" s="33">
        <v>57</v>
      </c>
      <c r="B27" s="2966" t="s">
        <v>95</v>
      </c>
      <c r="C27" s="33" t="str">
        <f t="shared" ca="1" si="0"/>
        <v>Winterweizen (Brot-)</v>
      </c>
      <c r="D27" s="33" t="str">
        <f t="shared" ca="1" si="1"/>
        <v>Stroh-Rundballen 4 t/ha laden, abfahren, stapeln, 3-S-Kipp.</v>
      </c>
      <c r="E27" s="608">
        <f t="shared" ca="1" si="2"/>
        <v>0</v>
      </c>
      <c r="G27" s="2964"/>
      <c r="I27" s="2964"/>
      <c r="J27" s="609"/>
    </row>
    <row r="28" spans="1:10" s="2964" customFormat="1">
      <c r="A28" s="2966">
        <v>46</v>
      </c>
      <c r="B28" s="2966" t="s">
        <v>93</v>
      </c>
      <c r="C28" s="2964" t="str">
        <f t="shared" ca="1" si="0"/>
        <v>Winterweizen (Aufmisch-; A-Sort.)</v>
      </c>
      <c r="D28" s="2964" t="str">
        <f t="shared" ca="1" si="1"/>
        <v>Drehpflug 2,10 m</v>
      </c>
      <c r="E28" s="2965">
        <f t="shared" ca="1" si="2"/>
        <v>0</v>
      </c>
      <c r="J28" s="609"/>
    </row>
    <row r="29" spans="1:10" s="2964" customFormat="1">
      <c r="A29" s="2964">
        <v>47</v>
      </c>
      <c r="B29" s="2966" t="s">
        <v>93</v>
      </c>
      <c r="C29" s="2964" t="str">
        <f t="shared" ca="1" si="0"/>
        <v>Winterweizen (Aufmisch-; A-Sort.)</v>
      </c>
      <c r="D29" s="2964" t="str">
        <f t="shared" ca="1" si="1"/>
        <v>Kreiselegge-Säkomb. 3 m</v>
      </c>
      <c r="E29" s="2965">
        <f t="shared" ca="1" si="2"/>
        <v>0</v>
      </c>
      <c r="J29" s="609"/>
    </row>
    <row r="30" spans="1:10" s="2964" customFormat="1">
      <c r="A30" s="2966">
        <v>48</v>
      </c>
      <c r="B30" s="2966" t="s">
        <v>93</v>
      </c>
      <c r="C30" s="2964" t="str">
        <f t="shared" ca="1" si="0"/>
        <v>Winterweizen (Aufmisch-; A-Sort.)</v>
      </c>
      <c r="D30" s="2964" t="str">
        <f t="shared" ca="1" si="1"/>
        <v xml:space="preserve">Düngerstreuer ab Hof 12 m, 400 kg/ha </v>
      </c>
      <c r="E30" s="2965">
        <f t="shared" ca="1" si="2"/>
        <v>0</v>
      </c>
      <c r="J30" s="609"/>
    </row>
    <row r="31" spans="1:10" s="2964" customFormat="1">
      <c r="A31" s="2964">
        <v>49</v>
      </c>
      <c r="B31" s="2966" t="s">
        <v>93</v>
      </c>
      <c r="C31" s="2964" t="str">
        <f t="shared" ca="1" si="0"/>
        <v>Winterweizen (Aufmisch-; A-Sort.)</v>
      </c>
      <c r="D31" s="2964" t="str">
        <f t="shared" ca="1" si="1"/>
        <v>Pflanzenschutzspritze 12 m, 300 l/ha</v>
      </c>
      <c r="E31" s="2965">
        <f t="shared" ca="1" si="2"/>
        <v>0</v>
      </c>
      <c r="J31" s="609"/>
    </row>
    <row r="32" spans="1:10" s="2964" customFormat="1">
      <c r="A32" s="2966">
        <v>50</v>
      </c>
      <c r="B32" s="2966" t="s">
        <v>93</v>
      </c>
      <c r="C32" s="2964" t="str">
        <f t="shared" ca="1" si="0"/>
        <v>Winterweizen (Aufmisch-; A-Sort.)</v>
      </c>
      <c r="D32" s="2964" t="str">
        <f t="shared" ca="1" si="1"/>
        <v>Transp. u. Abkip. Getr. 6 t/ha (5,7 t Ki.)</v>
      </c>
      <c r="E32" s="2965">
        <f t="shared" ca="1" si="2"/>
        <v>0</v>
      </c>
      <c r="J32" s="609"/>
    </row>
    <row r="33" spans="1:10" s="2964" customFormat="1">
      <c r="A33" s="2964">
        <v>51</v>
      </c>
      <c r="B33" s="2966" t="s">
        <v>93</v>
      </c>
      <c r="C33" s="2964" t="str">
        <f t="shared" ca="1" si="0"/>
        <v>Winterweizen (Aufmisch-; A-Sort.)</v>
      </c>
      <c r="D33" s="2964" t="str">
        <f t="shared" ca="1" si="1"/>
        <v>Schwergrubber 3 m</v>
      </c>
      <c r="E33" s="2965">
        <f t="shared" ca="1" si="2"/>
        <v>0</v>
      </c>
      <c r="J33" s="609"/>
    </row>
    <row r="34" spans="1:10" s="2964" customFormat="1">
      <c r="A34" s="2966">
        <v>52</v>
      </c>
      <c r="B34" s="2966" t="s">
        <v>93</v>
      </c>
      <c r="C34" s="2964" t="str">
        <f t="shared" ca="1" si="0"/>
        <v>Winterweizen (Aufmisch-; A-Sort.)</v>
      </c>
      <c r="D34" s="2964">
        <f t="shared" ca="1" si="1"/>
        <v>0</v>
      </c>
      <c r="E34" s="2965">
        <f t="shared" ca="1" si="2"/>
        <v>0</v>
      </c>
      <c r="J34" s="609"/>
    </row>
    <row r="35" spans="1:10" s="2964" customFormat="1">
      <c r="A35" s="2964">
        <v>53</v>
      </c>
      <c r="B35" s="2966" t="s">
        <v>93</v>
      </c>
      <c r="C35" s="2964" t="str">
        <f t="shared" ca="1" si="0"/>
        <v>Winterweizen (Aufmisch-; A-Sort.)</v>
      </c>
      <c r="D35" s="2964">
        <f t="shared" ca="1" si="1"/>
        <v>0</v>
      </c>
      <c r="E35" s="2965">
        <f t="shared" ca="1" si="2"/>
        <v>0</v>
      </c>
    </row>
    <row r="36" spans="1:10" s="2964" customFormat="1">
      <c r="A36" s="2966">
        <v>54</v>
      </c>
      <c r="B36" s="2966" t="s">
        <v>93</v>
      </c>
      <c r="C36" s="2964" t="str">
        <f t="shared" ca="1" si="0"/>
        <v>Winterweizen (Aufmisch-; A-Sort.)</v>
      </c>
      <c r="D36" s="2964">
        <f t="shared" ca="1" si="1"/>
        <v>0</v>
      </c>
      <c r="E36" s="2965">
        <f t="shared" ca="1" si="2"/>
        <v>0</v>
      </c>
    </row>
    <row r="37" spans="1:10" s="2964" customFormat="1">
      <c r="A37" s="2964">
        <v>55</v>
      </c>
      <c r="B37" s="2966" t="s">
        <v>93</v>
      </c>
      <c r="C37" s="2964" t="str">
        <f t="shared" ca="1" si="0"/>
        <v>Winterweizen (Aufmisch-; A-Sort.)</v>
      </c>
      <c r="D37" s="2964">
        <f t="shared" ca="1" si="1"/>
        <v>0</v>
      </c>
      <c r="E37" s="2965">
        <f t="shared" ca="1" si="2"/>
        <v>0</v>
      </c>
    </row>
    <row r="38" spans="1:10" s="2964" customFormat="1">
      <c r="A38" s="2966">
        <v>56</v>
      </c>
      <c r="B38" s="2966" t="s">
        <v>93</v>
      </c>
      <c r="C38" s="2964" t="str">
        <f t="shared" ca="1" si="0"/>
        <v>Winterweizen (Aufmisch-; A-Sort.)</v>
      </c>
      <c r="D38" s="2964">
        <f t="shared" ca="1" si="1"/>
        <v>0</v>
      </c>
      <c r="E38" s="2965">
        <f t="shared" ca="1" si="2"/>
        <v>0</v>
      </c>
    </row>
    <row r="39" spans="1:10" s="2964" customFormat="1">
      <c r="A39" s="2964">
        <v>57</v>
      </c>
      <c r="B39" s="2966" t="s">
        <v>93</v>
      </c>
      <c r="C39" s="2964" t="str">
        <f t="shared" ca="1" si="0"/>
        <v>Winterweizen (Aufmisch-; A-Sort.)</v>
      </c>
      <c r="D39" s="2964" t="str">
        <f t="shared" ca="1" si="1"/>
        <v>Stroh-Rundballen 4 t/ha laden, abfahren, stapeln, 3-S-Kipp.</v>
      </c>
      <c r="E39" s="2965">
        <f t="shared" ca="1" si="2"/>
        <v>0</v>
      </c>
    </row>
    <row r="40" spans="1:10">
      <c r="A40" s="15">
        <v>46</v>
      </c>
      <c r="B40" s="2966" t="s">
        <v>91</v>
      </c>
      <c r="C40" s="33" t="str">
        <f t="shared" ca="1" si="0"/>
        <v>Winterweizen (Qualität-; E-Sorte)</v>
      </c>
      <c r="D40" s="33" t="str">
        <f t="shared" ca="1" si="1"/>
        <v>Drehpflug 2,10 m</v>
      </c>
      <c r="E40" s="608">
        <f t="shared" ca="1" si="2"/>
        <v>0</v>
      </c>
      <c r="G40" s="2964"/>
    </row>
    <row r="41" spans="1:10">
      <c r="A41" s="33">
        <v>47</v>
      </c>
      <c r="B41" s="2966" t="s">
        <v>91</v>
      </c>
      <c r="C41" s="33" t="str">
        <f t="shared" ca="1" si="0"/>
        <v>Winterweizen (Qualität-; E-Sorte)</v>
      </c>
      <c r="D41" s="33" t="str">
        <f t="shared" ca="1" si="1"/>
        <v>Kreiselegge-Säkomb. 3 m</v>
      </c>
      <c r="E41" s="608">
        <f t="shared" ca="1" si="2"/>
        <v>0</v>
      </c>
      <c r="G41" s="2964"/>
    </row>
    <row r="42" spans="1:10">
      <c r="A42" s="15">
        <v>48</v>
      </c>
      <c r="B42" s="2966" t="s">
        <v>91</v>
      </c>
      <c r="C42" s="33" t="str">
        <f t="shared" ca="1" si="0"/>
        <v>Winterweizen (Qualität-; E-Sorte)</v>
      </c>
      <c r="D42" s="33" t="str">
        <f t="shared" ca="1" si="1"/>
        <v xml:space="preserve">Düngerstreuer ab Hof 12 m, 400 kg/ha </v>
      </c>
      <c r="E42" s="608">
        <f t="shared" ca="1" si="2"/>
        <v>0</v>
      </c>
      <c r="G42" s="2964"/>
    </row>
    <row r="43" spans="1:10">
      <c r="A43" s="33">
        <v>49</v>
      </c>
      <c r="B43" s="2966" t="s">
        <v>91</v>
      </c>
      <c r="C43" s="33" t="str">
        <f t="shared" ca="1" si="0"/>
        <v>Winterweizen (Qualität-; E-Sorte)</v>
      </c>
      <c r="D43" s="33" t="str">
        <f t="shared" ca="1" si="1"/>
        <v>Pflanzenschutzspritze 12 m, 300 l/ha</v>
      </c>
      <c r="E43" s="608">
        <f t="shared" ca="1" si="2"/>
        <v>0</v>
      </c>
      <c r="G43" s="2964"/>
    </row>
    <row r="44" spans="1:10">
      <c r="A44" s="15">
        <v>50</v>
      </c>
      <c r="B44" s="2966" t="s">
        <v>91</v>
      </c>
      <c r="C44" s="33" t="str">
        <f t="shared" ca="1" si="0"/>
        <v>Winterweizen (Qualität-; E-Sorte)</v>
      </c>
      <c r="D44" s="33" t="str">
        <f t="shared" ca="1" si="1"/>
        <v>Transp. u. Abkip. Getr. 6 t/ha (5,7 t Ki.)</v>
      </c>
      <c r="E44" s="608">
        <f t="shared" ca="1" si="2"/>
        <v>0</v>
      </c>
      <c r="G44" s="2964"/>
    </row>
    <row r="45" spans="1:10">
      <c r="A45" s="33">
        <v>51</v>
      </c>
      <c r="B45" s="2966" t="s">
        <v>91</v>
      </c>
      <c r="C45" s="33" t="str">
        <f t="shared" ca="1" si="0"/>
        <v>Winterweizen (Qualität-; E-Sorte)</v>
      </c>
      <c r="D45" s="33" t="str">
        <f t="shared" ca="1" si="1"/>
        <v>Schwergrubber 3 m</v>
      </c>
      <c r="E45" s="608">
        <f t="shared" ca="1" si="2"/>
        <v>0</v>
      </c>
      <c r="G45" s="2964"/>
    </row>
    <row r="46" spans="1:10">
      <c r="A46" s="15">
        <v>52</v>
      </c>
      <c r="B46" s="2966" t="s">
        <v>91</v>
      </c>
      <c r="C46" s="33" t="str">
        <f t="shared" ca="1" si="0"/>
        <v>Winterweizen (Qualität-; E-Sorte)</v>
      </c>
      <c r="D46" s="33">
        <f t="shared" ca="1" si="1"/>
        <v>0</v>
      </c>
      <c r="E46" s="608">
        <f t="shared" ca="1" si="2"/>
        <v>0</v>
      </c>
      <c r="G46" s="2964"/>
    </row>
    <row r="47" spans="1:10">
      <c r="A47" s="33">
        <v>53</v>
      </c>
      <c r="B47" s="2966" t="s">
        <v>91</v>
      </c>
      <c r="C47" s="33" t="str">
        <f t="shared" ca="1" si="0"/>
        <v>Winterweizen (Qualität-; E-Sorte)</v>
      </c>
      <c r="D47" s="33">
        <f t="shared" ca="1" si="1"/>
        <v>0</v>
      </c>
      <c r="E47" s="608">
        <f t="shared" ca="1" si="2"/>
        <v>0</v>
      </c>
      <c r="G47" s="2964"/>
    </row>
    <row r="48" spans="1:10">
      <c r="A48" s="15">
        <v>54</v>
      </c>
      <c r="B48" s="2966" t="s">
        <v>91</v>
      </c>
      <c r="C48" s="33" t="str">
        <f t="shared" ca="1" si="0"/>
        <v>Winterweizen (Qualität-; E-Sorte)</v>
      </c>
      <c r="D48" s="33">
        <f t="shared" ca="1" si="1"/>
        <v>0</v>
      </c>
      <c r="E48" s="608">
        <f t="shared" ca="1" si="2"/>
        <v>0</v>
      </c>
      <c r="G48" s="2964"/>
    </row>
    <row r="49" spans="1:7">
      <c r="A49" s="33">
        <v>55</v>
      </c>
      <c r="B49" s="2966" t="s">
        <v>91</v>
      </c>
      <c r="C49" s="33" t="str">
        <f t="shared" ca="1" si="0"/>
        <v>Winterweizen (Qualität-; E-Sorte)</v>
      </c>
      <c r="D49" s="33">
        <f t="shared" ca="1" si="1"/>
        <v>0</v>
      </c>
      <c r="E49" s="608">
        <f t="shared" ca="1" si="2"/>
        <v>0</v>
      </c>
      <c r="G49" s="2964"/>
    </row>
    <row r="50" spans="1:7">
      <c r="A50" s="15">
        <v>56</v>
      </c>
      <c r="B50" s="2966" t="s">
        <v>91</v>
      </c>
      <c r="C50" s="33" t="str">
        <f t="shared" ca="1" si="0"/>
        <v>Winterweizen (Qualität-; E-Sorte)</v>
      </c>
      <c r="D50" s="33">
        <f t="shared" ca="1" si="1"/>
        <v>0</v>
      </c>
      <c r="E50" s="608">
        <f t="shared" ca="1" si="2"/>
        <v>0</v>
      </c>
      <c r="G50" s="2964"/>
    </row>
    <row r="51" spans="1:7">
      <c r="A51" s="33">
        <v>57</v>
      </c>
      <c r="B51" s="2966" t="s">
        <v>91</v>
      </c>
      <c r="C51" s="33" t="str">
        <f t="shared" ca="1" si="0"/>
        <v>Winterweizen (Qualität-; E-Sorte)</v>
      </c>
      <c r="D51" s="33" t="str">
        <f t="shared" ca="1" si="1"/>
        <v>Stroh-Rundballen 4 t/ha laden, abfahren, stapeln, 3-S-Kipp.</v>
      </c>
      <c r="E51" s="608">
        <f t="shared" ca="1" si="2"/>
        <v>0</v>
      </c>
      <c r="G51" s="2964"/>
    </row>
    <row r="52" spans="1:7" s="2964" customFormat="1">
      <c r="A52" s="2966">
        <v>46</v>
      </c>
      <c r="B52" s="2966" t="s">
        <v>89</v>
      </c>
      <c r="C52" s="2964" t="str">
        <f t="shared" ca="1" si="0"/>
        <v>Winterroggen</v>
      </c>
      <c r="D52" s="2964" t="str">
        <f t="shared" ca="1" si="1"/>
        <v>Drehpflug 2,10 m</v>
      </c>
      <c r="E52" s="2965">
        <f t="shared" ca="1" si="2"/>
        <v>0</v>
      </c>
    </row>
    <row r="53" spans="1:7" s="2964" customFormat="1">
      <c r="A53" s="2964">
        <v>47</v>
      </c>
      <c r="B53" s="2966" t="s">
        <v>89</v>
      </c>
      <c r="C53" s="2964" t="str">
        <f t="shared" ca="1" si="0"/>
        <v>Winterroggen</v>
      </c>
      <c r="D53" s="2964" t="str">
        <f t="shared" ca="1" si="1"/>
        <v>Kreiselegge-Säkomb. 3 m</v>
      </c>
      <c r="E53" s="2965">
        <f t="shared" ca="1" si="2"/>
        <v>0</v>
      </c>
    </row>
    <row r="54" spans="1:7" s="2964" customFormat="1">
      <c r="A54" s="2966">
        <v>48</v>
      </c>
      <c r="B54" s="2966" t="s">
        <v>89</v>
      </c>
      <c r="C54" s="2964" t="str">
        <f t="shared" ca="1" si="0"/>
        <v>Winterroggen</v>
      </c>
      <c r="D54" s="2964" t="str">
        <f t="shared" ca="1" si="1"/>
        <v xml:space="preserve">Düngerstreuer ab Hof 12 m, 400 kg/ha </v>
      </c>
      <c r="E54" s="2965">
        <f t="shared" ca="1" si="2"/>
        <v>0</v>
      </c>
    </row>
    <row r="55" spans="1:7" s="2964" customFormat="1">
      <c r="A55" s="2964">
        <v>49</v>
      </c>
      <c r="B55" s="2966" t="s">
        <v>89</v>
      </c>
      <c r="C55" s="2964" t="str">
        <f t="shared" ca="1" si="0"/>
        <v>Winterroggen</v>
      </c>
      <c r="D55" s="2964" t="str">
        <f t="shared" ca="1" si="1"/>
        <v>Pflanzenschutzspritze 12 m, 300 l/ha</v>
      </c>
      <c r="E55" s="2965">
        <f t="shared" ca="1" si="2"/>
        <v>0</v>
      </c>
    </row>
    <row r="56" spans="1:7" s="2964" customFormat="1">
      <c r="A56" s="2966">
        <v>50</v>
      </c>
      <c r="B56" s="2966" t="s">
        <v>89</v>
      </c>
      <c r="C56" s="2964" t="str">
        <f t="shared" ca="1" si="0"/>
        <v>Winterroggen</v>
      </c>
      <c r="D56" s="2964" t="str">
        <f t="shared" ca="1" si="1"/>
        <v>Transp. u. Abkip. Getr. 6 t/ha (5,7 t Ki.)</v>
      </c>
      <c r="E56" s="2965">
        <f t="shared" ca="1" si="2"/>
        <v>0</v>
      </c>
    </row>
    <row r="57" spans="1:7" s="2964" customFormat="1">
      <c r="A57" s="2964">
        <v>51</v>
      </c>
      <c r="B57" s="2966" t="s">
        <v>89</v>
      </c>
      <c r="C57" s="2964" t="str">
        <f t="shared" ca="1" si="0"/>
        <v>Winterroggen</v>
      </c>
      <c r="D57" s="2964" t="str">
        <f t="shared" ca="1" si="1"/>
        <v>Schwergrubber 3 m</v>
      </c>
      <c r="E57" s="2965">
        <f t="shared" ca="1" si="2"/>
        <v>0</v>
      </c>
    </row>
    <row r="58" spans="1:7" s="2964" customFormat="1">
      <c r="A58" s="2966">
        <v>52</v>
      </c>
      <c r="B58" s="2966" t="s">
        <v>89</v>
      </c>
      <c r="C58" s="2964" t="str">
        <f t="shared" ca="1" si="0"/>
        <v>Winterroggen</v>
      </c>
      <c r="D58" s="2964">
        <f t="shared" ca="1" si="1"/>
        <v>0</v>
      </c>
      <c r="E58" s="2965">
        <f t="shared" ca="1" si="2"/>
        <v>0</v>
      </c>
    </row>
    <row r="59" spans="1:7" s="2964" customFormat="1">
      <c r="A59" s="2964">
        <v>53</v>
      </c>
      <c r="B59" s="2966" t="s">
        <v>89</v>
      </c>
      <c r="C59" s="2964" t="str">
        <f t="shared" ca="1" si="0"/>
        <v>Winterroggen</v>
      </c>
      <c r="D59" s="2964">
        <f t="shared" ca="1" si="1"/>
        <v>0</v>
      </c>
      <c r="E59" s="2965">
        <f t="shared" ca="1" si="2"/>
        <v>0</v>
      </c>
    </row>
    <row r="60" spans="1:7" s="2964" customFormat="1">
      <c r="A60" s="2966">
        <v>54</v>
      </c>
      <c r="B60" s="2966" t="s">
        <v>89</v>
      </c>
      <c r="C60" s="2964" t="str">
        <f t="shared" ca="1" si="0"/>
        <v>Winterroggen</v>
      </c>
      <c r="D60" s="2964">
        <f t="shared" ca="1" si="1"/>
        <v>0</v>
      </c>
      <c r="E60" s="2965">
        <f t="shared" ca="1" si="2"/>
        <v>0</v>
      </c>
    </row>
    <row r="61" spans="1:7" s="2964" customFormat="1">
      <c r="A61" s="2964">
        <v>55</v>
      </c>
      <c r="B61" s="2966" t="s">
        <v>89</v>
      </c>
      <c r="C61" s="2964" t="str">
        <f t="shared" ca="1" si="0"/>
        <v>Winterroggen</v>
      </c>
      <c r="D61" s="2964">
        <f t="shared" ca="1" si="1"/>
        <v>0</v>
      </c>
      <c r="E61" s="2965">
        <f t="shared" ca="1" si="2"/>
        <v>0</v>
      </c>
    </row>
    <row r="62" spans="1:7" s="2964" customFormat="1">
      <c r="A62" s="2966">
        <v>56</v>
      </c>
      <c r="B62" s="2966" t="s">
        <v>89</v>
      </c>
      <c r="C62" s="2964" t="str">
        <f t="shared" ca="1" si="0"/>
        <v>Winterroggen</v>
      </c>
      <c r="D62" s="2964">
        <f t="shared" ca="1" si="1"/>
        <v>0</v>
      </c>
      <c r="E62" s="2965">
        <f t="shared" ca="1" si="2"/>
        <v>0</v>
      </c>
    </row>
    <row r="63" spans="1:7" s="2964" customFormat="1">
      <c r="A63" s="2964">
        <v>57</v>
      </c>
      <c r="B63" s="2966" t="s">
        <v>89</v>
      </c>
      <c r="C63" s="2964" t="str">
        <f t="shared" ca="1" si="0"/>
        <v>Winterroggen</v>
      </c>
      <c r="D63" s="2964" t="str">
        <f t="shared" ca="1" si="1"/>
        <v>Stroh-Rundballen 4 t/ha laden, abfahren, stapeln, 3-S-Kipp.</v>
      </c>
      <c r="E63" s="2965">
        <f t="shared" ca="1" si="2"/>
        <v>0</v>
      </c>
    </row>
    <row r="64" spans="1:7">
      <c r="A64" s="15">
        <v>46</v>
      </c>
      <c r="B64" s="2966" t="s">
        <v>87</v>
      </c>
      <c r="C64" s="33" t="str">
        <f t="shared" ca="1" si="0"/>
        <v>Triticale</v>
      </c>
      <c r="D64" s="33" t="str">
        <f t="shared" ca="1" si="1"/>
        <v>Drehpflug 2,10 m</v>
      </c>
      <c r="E64" s="608">
        <f t="shared" ca="1" si="2"/>
        <v>0</v>
      </c>
      <c r="G64" s="2964"/>
    </row>
    <row r="65" spans="1:7">
      <c r="A65" s="33">
        <v>47</v>
      </c>
      <c r="B65" s="2966" t="s">
        <v>87</v>
      </c>
      <c r="C65" s="33" t="str">
        <f t="shared" ca="1" si="0"/>
        <v>Triticale</v>
      </c>
      <c r="D65" s="33" t="str">
        <f t="shared" ca="1" si="1"/>
        <v>Kreiselegge-Säkomb. 3 m</v>
      </c>
      <c r="E65" s="608">
        <f t="shared" ca="1" si="2"/>
        <v>0</v>
      </c>
      <c r="G65" s="2964"/>
    </row>
    <row r="66" spans="1:7">
      <c r="A66" s="15">
        <v>48</v>
      </c>
      <c r="B66" s="2966" t="s">
        <v>87</v>
      </c>
      <c r="C66" s="33" t="str">
        <f t="shared" ca="1" si="0"/>
        <v>Triticale</v>
      </c>
      <c r="D66" s="33" t="str">
        <f t="shared" ca="1" si="1"/>
        <v xml:space="preserve">Düngerstreuer ab Hof 12 m, 400 kg/ha </v>
      </c>
      <c r="E66" s="608">
        <f t="shared" ca="1" si="2"/>
        <v>0</v>
      </c>
      <c r="G66" s="2964"/>
    </row>
    <row r="67" spans="1:7">
      <c r="A67" s="33">
        <v>49</v>
      </c>
      <c r="B67" s="2966" t="s">
        <v>87</v>
      </c>
      <c r="C67" s="33" t="str">
        <f t="shared" ca="1" si="0"/>
        <v>Triticale</v>
      </c>
      <c r="D67" s="33" t="str">
        <f t="shared" ca="1" si="1"/>
        <v>Pflanzenschutzspritze 12 m, 300 l/ha</v>
      </c>
      <c r="E67" s="608">
        <f t="shared" ca="1" si="2"/>
        <v>0</v>
      </c>
      <c r="G67" s="2964"/>
    </row>
    <row r="68" spans="1:7">
      <c r="A68" s="15">
        <v>50</v>
      </c>
      <c r="B68" s="2966" t="s">
        <v>87</v>
      </c>
      <c r="C68" s="33" t="str">
        <f t="shared" ref="C68:C131" ca="1" si="3">INDIRECT("'"&amp;B68&amp;"'!$K$2")</f>
        <v>Triticale</v>
      </c>
      <c r="D68" s="33" t="str">
        <f t="shared" ref="D68:D131" ca="1" si="4">INDIRECT("'"&amp;B68&amp;"'!C"&amp;A68)</f>
        <v>Transp. u. Abkip. Getr. 6 t/ha (5,7 t Ki.)</v>
      </c>
      <c r="E68" s="608">
        <f t="shared" ref="E68:E131" ca="1" si="5">INDIRECT("'"&amp;B68&amp;"'!Q"&amp;A68)</f>
        <v>0</v>
      </c>
      <c r="G68" s="2964"/>
    </row>
    <row r="69" spans="1:7">
      <c r="A69" s="33">
        <v>51</v>
      </c>
      <c r="B69" s="2966" t="s">
        <v>87</v>
      </c>
      <c r="C69" s="33" t="str">
        <f t="shared" ca="1" si="3"/>
        <v>Triticale</v>
      </c>
      <c r="D69" s="33" t="str">
        <f t="shared" ca="1" si="4"/>
        <v>Schwergrubber 3 m</v>
      </c>
      <c r="E69" s="608">
        <f t="shared" ca="1" si="5"/>
        <v>0</v>
      </c>
      <c r="G69" s="2964"/>
    </row>
    <row r="70" spans="1:7">
      <c r="A70" s="15">
        <v>52</v>
      </c>
      <c r="B70" s="2966" t="s">
        <v>87</v>
      </c>
      <c r="C70" s="33" t="str">
        <f t="shared" ca="1" si="3"/>
        <v>Triticale</v>
      </c>
      <c r="D70" s="33">
        <f t="shared" ca="1" si="4"/>
        <v>0</v>
      </c>
      <c r="E70" s="608">
        <f t="shared" ca="1" si="5"/>
        <v>0</v>
      </c>
      <c r="G70" s="2964"/>
    </row>
    <row r="71" spans="1:7">
      <c r="A71" s="33">
        <v>53</v>
      </c>
      <c r="B71" s="2966" t="s">
        <v>87</v>
      </c>
      <c r="C71" s="33" t="str">
        <f t="shared" ca="1" si="3"/>
        <v>Triticale</v>
      </c>
      <c r="D71" s="33">
        <f t="shared" ca="1" si="4"/>
        <v>0</v>
      </c>
      <c r="E71" s="608">
        <f t="shared" ca="1" si="5"/>
        <v>0</v>
      </c>
      <c r="G71" s="2964"/>
    </row>
    <row r="72" spans="1:7">
      <c r="A72" s="15">
        <v>54</v>
      </c>
      <c r="B72" s="2966" t="s">
        <v>87</v>
      </c>
      <c r="C72" s="33" t="str">
        <f t="shared" ca="1" si="3"/>
        <v>Triticale</v>
      </c>
      <c r="D72" s="33">
        <f t="shared" ca="1" si="4"/>
        <v>0</v>
      </c>
      <c r="E72" s="608">
        <f t="shared" ca="1" si="5"/>
        <v>0</v>
      </c>
      <c r="G72" s="2964"/>
    </row>
    <row r="73" spans="1:7">
      <c r="A73" s="33">
        <v>55</v>
      </c>
      <c r="B73" s="2966" t="s">
        <v>87</v>
      </c>
      <c r="C73" s="33" t="str">
        <f t="shared" ca="1" si="3"/>
        <v>Triticale</v>
      </c>
      <c r="D73" s="33">
        <f t="shared" ca="1" si="4"/>
        <v>0</v>
      </c>
      <c r="E73" s="608">
        <f t="shared" ca="1" si="5"/>
        <v>0</v>
      </c>
      <c r="G73" s="2964"/>
    </row>
    <row r="74" spans="1:7">
      <c r="A74" s="15">
        <v>56</v>
      </c>
      <c r="B74" s="2966" t="s">
        <v>87</v>
      </c>
      <c r="C74" s="33" t="str">
        <f t="shared" ca="1" si="3"/>
        <v>Triticale</v>
      </c>
      <c r="D74" s="33">
        <f t="shared" ca="1" si="4"/>
        <v>0</v>
      </c>
      <c r="E74" s="608">
        <f t="shared" ca="1" si="5"/>
        <v>0</v>
      </c>
      <c r="G74" s="2964"/>
    </row>
    <row r="75" spans="1:7">
      <c r="A75" s="33">
        <v>57</v>
      </c>
      <c r="B75" s="2966" t="s">
        <v>87</v>
      </c>
      <c r="C75" s="33" t="str">
        <f t="shared" ca="1" si="3"/>
        <v>Triticale</v>
      </c>
      <c r="D75" s="33" t="str">
        <f t="shared" ca="1" si="4"/>
        <v>Stroh-Rundballen 4 t/ha laden, abfahren, stapeln, 3-S-Kipp.</v>
      </c>
      <c r="E75" s="608">
        <f t="shared" ca="1" si="5"/>
        <v>0</v>
      </c>
      <c r="G75" s="2964"/>
    </row>
    <row r="76" spans="1:7" s="2964" customFormat="1">
      <c r="A76" s="2966">
        <v>46</v>
      </c>
      <c r="B76" s="2966" t="s">
        <v>85</v>
      </c>
      <c r="C76" s="2964" t="str">
        <f t="shared" ca="1" si="3"/>
        <v>Wintergerste</v>
      </c>
      <c r="D76" s="2964" t="str">
        <f t="shared" ca="1" si="4"/>
        <v>Drehpflug 2,10 m</v>
      </c>
      <c r="E76" s="2965">
        <f t="shared" ca="1" si="5"/>
        <v>30</v>
      </c>
    </row>
    <row r="77" spans="1:7" s="2964" customFormat="1">
      <c r="A77" s="2964">
        <v>47</v>
      </c>
      <c r="B77" s="2966" t="s">
        <v>85</v>
      </c>
      <c r="C77" s="2964" t="str">
        <f t="shared" ca="1" si="3"/>
        <v>Wintergerste</v>
      </c>
      <c r="D77" s="2964" t="str">
        <f t="shared" ca="1" si="4"/>
        <v>Kreiselegge-Säkomb. 3 m</v>
      </c>
      <c r="E77" s="2965">
        <f t="shared" ca="1" si="5"/>
        <v>0</v>
      </c>
    </row>
    <row r="78" spans="1:7" s="2964" customFormat="1">
      <c r="A78" s="2966">
        <v>48</v>
      </c>
      <c r="B78" s="2966" t="s">
        <v>85</v>
      </c>
      <c r="C78" s="2964" t="str">
        <f t="shared" ca="1" si="3"/>
        <v>Wintergerste</v>
      </c>
      <c r="D78" s="2964" t="str">
        <f t="shared" ca="1" si="4"/>
        <v xml:space="preserve">Düngerstreuer ab Hof 12 m, 400 kg/ha </v>
      </c>
      <c r="E78" s="2965">
        <f t="shared" ca="1" si="5"/>
        <v>0</v>
      </c>
    </row>
    <row r="79" spans="1:7" s="2964" customFormat="1">
      <c r="A79" s="2964">
        <v>49</v>
      </c>
      <c r="B79" s="2966" t="s">
        <v>85</v>
      </c>
      <c r="C79" s="2964" t="str">
        <f t="shared" ca="1" si="3"/>
        <v>Wintergerste</v>
      </c>
      <c r="D79" s="2964" t="str">
        <f t="shared" ca="1" si="4"/>
        <v>Pflanzenschutzspritze 12 m, 300 l/ha</v>
      </c>
      <c r="E79" s="2965">
        <f t="shared" ca="1" si="5"/>
        <v>0</v>
      </c>
    </row>
    <row r="80" spans="1:7" s="2964" customFormat="1">
      <c r="A80" s="2966">
        <v>50</v>
      </c>
      <c r="B80" s="2966" t="s">
        <v>85</v>
      </c>
      <c r="C80" s="2964" t="str">
        <f t="shared" ca="1" si="3"/>
        <v>Wintergerste</v>
      </c>
      <c r="D80" s="2964" t="str">
        <f t="shared" ca="1" si="4"/>
        <v>Transp. u. Abkip. Getr. 6 t/ha (5,7 t Ki.)</v>
      </c>
      <c r="E80" s="2965">
        <f t="shared" ca="1" si="5"/>
        <v>0</v>
      </c>
    </row>
    <row r="81" spans="1:7" s="2964" customFormat="1">
      <c r="A81" s="2964">
        <v>51</v>
      </c>
      <c r="B81" s="2966" t="s">
        <v>85</v>
      </c>
      <c r="C81" s="2964" t="str">
        <f t="shared" ca="1" si="3"/>
        <v>Wintergerste</v>
      </c>
      <c r="D81" s="2964" t="str">
        <f t="shared" ca="1" si="4"/>
        <v>Schwergrubber 3 m</v>
      </c>
      <c r="E81" s="2965">
        <f t="shared" ca="1" si="5"/>
        <v>0</v>
      </c>
    </row>
    <row r="82" spans="1:7" s="2964" customFormat="1">
      <c r="A82" s="2966">
        <v>52</v>
      </c>
      <c r="B82" s="2966" t="s">
        <v>85</v>
      </c>
      <c r="C82" s="2964" t="str">
        <f t="shared" ca="1" si="3"/>
        <v>Wintergerste</v>
      </c>
      <c r="D82" s="2964">
        <f t="shared" ca="1" si="4"/>
        <v>0</v>
      </c>
      <c r="E82" s="2965">
        <f t="shared" ca="1" si="5"/>
        <v>0</v>
      </c>
    </row>
    <row r="83" spans="1:7" s="2964" customFormat="1">
      <c r="A83" s="2964">
        <v>53</v>
      </c>
      <c r="B83" s="2966" t="s">
        <v>85</v>
      </c>
      <c r="C83" s="2964" t="str">
        <f t="shared" ca="1" si="3"/>
        <v>Wintergerste</v>
      </c>
      <c r="D83" s="2964">
        <f t="shared" ca="1" si="4"/>
        <v>0</v>
      </c>
      <c r="E83" s="2965">
        <f t="shared" ca="1" si="5"/>
        <v>0</v>
      </c>
    </row>
    <row r="84" spans="1:7" s="2964" customFormat="1">
      <c r="A84" s="2966">
        <v>54</v>
      </c>
      <c r="B84" s="2966" t="s">
        <v>85</v>
      </c>
      <c r="C84" s="2964" t="str">
        <f t="shared" ca="1" si="3"/>
        <v>Wintergerste</v>
      </c>
      <c r="D84" s="2964">
        <f t="shared" ca="1" si="4"/>
        <v>0</v>
      </c>
      <c r="E84" s="2965">
        <f t="shared" ca="1" si="5"/>
        <v>0</v>
      </c>
    </row>
    <row r="85" spans="1:7" s="2964" customFormat="1">
      <c r="A85" s="2964">
        <v>55</v>
      </c>
      <c r="B85" s="2966" t="s">
        <v>85</v>
      </c>
      <c r="C85" s="2964" t="str">
        <f t="shared" ca="1" si="3"/>
        <v>Wintergerste</v>
      </c>
      <c r="D85" s="2964">
        <f t="shared" ca="1" si="4"/>
        <v>0</v>
      </c>
      <c r="E85" s="2965">
        <f t="shared" ca="1" si="5"/>
        <v>0</v>
      </c>
    </row>
    <row r="86" spans="1:7" s="2964" customFormat="1">
      <c r="A86" s="2966">
        <v>56</v>
      </c>
      <c r="B86" s="2966" t="s">
        <v>85</v>
      </c>
      <c r="C86" s="2964" t="str">
        <f t="shared" ca="1" si="3"/>
        <v>Wintergerste</v>
      </c>
      <c r="D86" s="2964">
        <f t="shared" ca="1" si="4"/>
        <v>0</v>
      </c>
      <c r="E86" s="2965">
        <f t="shared" ca="1" si="5"/>
        <v>0</v>
      </c>
    </row>
    <row r="87" spans="1:7" s="2964" customFormat="1">
      <c r="A87" s="2964">
        <v>57</v>
      </c>
      <c r="B87" s="2966" t="s">
        <v>85</v>
      </c>
      <c r="C87" s="2964" t="str">
        <f t="shared" ca="1" si="3"/>
        <v>Wintergerste</v>
      </c>
      <c r="D87" s="2964" t="str">
        <f t="shared" ca="1" si="4"/>
        <v>Stroh-Rundballen 4 t/ha laden, abfahren, stapeln, 3-S-Kipp.</v>
      </c>
      <c r="E87" s="2965">
        <f t="shared" ca="1" si="5"/>
        <v>0</v>
      </c>
    </row>
    <row r="88" spans="1:7">
      <c r="A88" s="15">
        <v>46</v>
      </c>
      <c r="B88" s="2966" t="s">
        <v>83</v>
      </c>
      <c r="C88" s="33" t="str">
        <f t="shared" ca="1" si="3"/>
        <v>Dinkel</v>
      </c>
      <c r="D88" s="33" t="str">
        <f t="shared" ca="1" si="4"/>
        <v>Drehpflug 2,10 m</v>
      </c>
      <c r="E88" s="608">
        <f t="shared" ca="1" si="5"/>
        <v>0</v>
      </c>
      <c r="G88" s="2964"/>
    </row>
    <row r="89" spans="1:7">
      <c r="A89" s="33">
        <v>47</v>
      </c>
      <c r="B89" s="2966" t="s">
        <v>83</v>
      </c>
      <c r="C89" s="33" t="str">
        <f t="shared" ca="1" si="3"/>
        <v>Dinkel</v>
      </c>
      <c r="D89" s="33" t="str">
        <f t="shared" ca="1" si="4"/>
        <v>Kreiselegge-Säkomb. 3 m</v>
      </c>
      <c r="E89" s="608">
        <f t="shared" ca="1" si="5"/>
        <v>0</v>
      </c>
      <c r="G89" s="2964"/>
    </row>
    <row r="90" spans="1:7">
      <c r="A90" s="15">
        <v>48</v>
      </c>
      <c r="B90" s="2966" t="s">
        <v>83</v>
      </c>
      <c r="C90" s="33" t="str">
        <f t="shared" ca="1" si="3"/>
        <v>Dinkel</v>
      </c>
      <c r="D90" s="33" t="str">
        <f t="shared" ca="1" si="4"/>
        <v xml:space="preserve">Düngerstreuer ab Hof 12 m, 400 kg/ha </v>
      </c>
      <c r="E90" s="608">
        <f t="shared" ca="1" si="5"/>
        <v>0</v>
      </c>
      <c r="G90" s="2964"/>
    </row>
    <row r="91" spans="1:7">
      <c r="A91" s="33">
        <v>49</v>
      </c>
      <c r="B91" s="2966" t="s">
        <v>83</v>
      </c>
      <c r="C91" s="33" t="str">
        <f t="shared" ca="1" si="3"/>
        <v>Dinkel</v>
      </c>
      <c r="D91" s="33" t="str">
        <f t="shared" ca="1" si="4"/>
        <v>Pflanzenschutzspritze 12 m, 300 l/ha</v>
      </c>
      <c r="E91" s="608">
        <f t="shared" ca="1" si="5"/>
        <v>0</v>
      </c>
      <c r="G91" s="2964"/>
    </row>
    <row r="92" spans="1:7">
      <c r="A92" s="15">
        <v>50</v>
      </c>
      <c r="B92" s="2966" t="s">
        <v>83</v>
      </c>
      <c r="C92" s="33" t="str">
        <f t="shared" ca="1" si="3"/>
        <v>Dinkel</v>
      </c>
      <c r="D92" s="33" t="str">
        <f t="shared" ca="1" si="4"/>
        <v>Transp. u. Abkip. Getr. 6 t/ha (5,7 t Ki.)</v>
      </c>
      <c r="E92" s="608">
        <f t="shared" ca="1" si="5"/>
        <v>0</v>
      </c>
      <c r="G92" s="2964"/>
    </row>
    <row r="93" spans="1:7">
      <c r="A93" s="33">
        <v>51</v>
      </c>
      <c r="B93" s="2966" t="s">
        <v>83</v>
      </c>
      <c r="C93" s="33" t="str">
        <f t="shared" ca="1" si="3"/>
        <v>Dinkel</v>
      </c>
      <c r="D93" s="33" t="str">
        <f t="shared" ca="1" si="4"/>
        <v>Schwergrubber 3 m</v>
      </c>
      <c r="E93" s="608">
        <f t="shared" ca="1" si="5"/>
        <v>0</v>
      </c>
      <c r="G93" s="2964"/>
    </row>
    <row r="94" spans="1:7">
      <c r="A94" s="15">
        <v>52</v>
      </c>
      <c r="B94" s="2966" t="s">
        <v>83</v>
      </c>
      <c r="C94" s="33" t="str">
        <f t="shared" ca="1" si="3"/>
        <v>Dinkel</v>
      </c>
      <c r="D94" s="33">
        <f t="shared" ca="1" si="4"/>
        <v>0</v>
      </c>
      <c r="E94" s="608">
        <f t="shared" ca="1" si="5"/>
        <v>0</v>
      </c>
      <c r="G94" s="2964"/>
    </row>
    <row r="95" spans="1:7">
      <c r="A95" s="33">
        <v>53</v>
      </c>
      <c r="B95" s="2966" t="s">
        <v>83</v>
      </c>
      <c r="C95" s="33" t="str">
        <f t="shared" ca="1" si="3"/>
        <v>Dinkel</v>
      </c>
      <c r="D95" s="33">
        <f t="shared" ca="1" si="4"/>
        <v>0</v>
      </c>
      <c r="E95" s="608">
        <f t="shared" ca="1" si="5"/>
        <v>0</v>
      </c>
      <c r="G95" s="2964"/>
    </row>
    <row r="96" spans="1:7">
      <c r="A96" s="15">
        <v>54</v>
      </c>
      <c r="B96" s="2966" t="s">
        <v>83</v>
      </c>
      <c r="C96" s="33" t="str">
        <f t="shared" ca="1" si="3"/>
        <v>Dinkel</v>
      </c>
      <c r="D96" s="33">
        <f t="shared" ca="1" si="4"/>
        <v>0</v>
      </c>
      <c r="E96" s="608">
        <f t="shared" ca="1" si="5"/>
        <v>0</v>
      </c>
      <c r="G96" s="2964"/>
    </row>
    <row r="97" spans="1:7">
      <c r="A97" s="33">
        <v>55</v>
      </c>
      <c r="B97" s="2966" t="s">
        <v>83</v>
      </c>
      <c r="C97" s="33" t="str">
        <f t="shared" ca="1" si="3"/>
        <v>Dinkel</v>
      </c>
      <c r="D97" s="33">
        <f t="shared" ca="1" si="4"/>
        <v>0</v>
      </c>
      <c r="E97" s="608">
        <f t="shared" ca="1" si="5"/>
        <v>0</v>
      </c>
      <c r="G97" s="2964"/>
    </row>
    <row r="98" spans="1:7">
      <c r="A98" s="15">
        <v>56</v>
      </c>
      <c r="B98" s="2966" t="s">
        <v>83</v>
      </c>
      <c r="C98" s="33" t="str">
        <f t="shared" ca="1" si="3"/>
        <v>Dinkel</v>
      </c>
      <c r="D98" s="33">
        <f t="shared" ca="1" si="4"/>
        <v>0</v>
      </c>
      <c r="E98" s="608">
        <f t="shared" ca="1" si="5"/>
        <v>0</v>
      </c>
      <c r="G98" s="2964"/>
    </row>
    <row r="99" spans="1:7">
      <c r="A99" s="33">
        <v>57</v>
      </c>
      <c r="B99" s="2966" t="s">
        <v>83</v>
      </c>
      <c r="C99" s="33" t="str">
        <f t="shared" ca="1" si="3"/>
        <v>Dinkel</v>
      </c>
      <c r="D99" s="33" t="str">
        <f t="shared" ca="1" si="4"/>
        <v>Stroh-Rundballen 4 t/ha laden, abfahren, stapeln, 3-S-Kipp.</v>
      </c>
      <c r="E99" s="608">
        <f t="shared" ca="1" si="5"/>
        <v>0</v>
      </c>
      <c r="G99" s="2964"/>
    </row>
    <row r="100" spans="1:7" s="2964" customFormat="1">
      <c r="A100" s="2966">
        <v>46</v>
      </c>
      <c r="B100" s="2966" t="s">
        <v>80</v>
      </c>
      <c r="C100" s="2964" t="str">
        <f t="shared" ca="1" si="3"/>
        <v xml:space="preserve">Sommerweizen </v>
      </c>
      <c r="D100" s="2964" t="str">
        <f t="shared" ca="1" si="4"/>
        <v>Drehpflug 2,10 m</v>
      </c>
      <c r="E100" s="2965">
        <f t="shared" ca="1" si="5"/>
        <v>0</v>
      </c>
    </row>
    <row r="101" spans="1:7" s="2964" customFormat="1">
      <c r="A101" s="2964">
        <v>47</v>
      </c>
      <c r="B101" s="2966" t="s">
        <v>80</v>
      </c>
      <c r="C101" s="2964" t="str">
        <f t="shared" ca="1" si="3"/>
        <v xml:space="preserve">Sommerweizen </v>
      </c>
      <c r="D101" s="2964" t="str">
        <f t="shared" ca="1" si="4"/>
        <v>Kreiselegge-Säkomb. 3 m</v>
      </c>
      <c r="E101" s="2965">
        <f t="shared" ca="1" si="5"/>
        <v>0</v>
      </c>
    </row>
    <row r="102" spans="1:7" s="2964" customFormat="1">
      <c r="A102" s="2966">
        <v>48</v>
      </c>
      <c r="B102" s="2966" t="s">
        <v>80</v>
      </c>
      <c r="C102" s="2964" t="str">
        <f t="shared" ca="1" si="3"/>
        <v xml:space="preserve">Sommerweizen </v>
      </c>
      <c r="D102" s="2964" t="str">
        <f t="shared" ca="1" si="4"/>
        <v xml:space="preserve">Düngerstreuer ab Hof 12 m, 400 kg/ha </v>
      </c>
      <c r="E102" s="2965">
        <f t="shared" ca="1" si="5"/>
        <v>0</v>
      </c>
    </row>
    <row r="103" spans="1:7" s="2964" customFormat="1">
      <c r="A103" s="2964">
        <v>49</v>
      </c>
      <c r="B103" s="2966" t="s">
        <v>80</v>
      </c>
      <c r="C103" s="2964" t="str">
        <f t="shared" ca="1" si="3"/>
        <v xml:space="preserve">Sommerweizen </v>
      </c>
      <c r="D103" s="2964" t="str">
        <f t="shared" ca="1" si="4"/>
        <v>Pflanzenschutzspritze 12 m, 300 l/ha</v>
      </c>
      <c r="E103" s="2965">
        <f t="shared" ca="1" si="5"/>
        <v>0</v>
      </c>
    </row>
    <row r="104" spans="1:7" s="2964" customFormat="1">
      <c r="A104" s="2966">
        <v>50</v>
      </c>
      <c r="B104" s="2966" t="s">
        <v>80</v>
      </c>
      <c r="C104" s="2964" t="str">
        <f t="shared" ca="1" si="3"/>
        <v xml:space="preserve">Sommerweizen </v>
      </c>
      <c r="D104" s="2964" t="str">
        <f t="shared" ca="1" si="4"/>
        <v>Transp. u. Abkip. Getr. 6 t/ha (5,7 t Ki.)</v>
      </c>
      <c r="E104" s="2965">
        <f t="shared" ca="1" si="5"/>
        <v>0</v>
      </c>
    </row>
    <row r="105" spans="1:7" s="2964" customFormat="1">
      <c r="A105" s="2964">
        <v>51</v>
      </c>
      <c r="B105" s="2966" t="s">
        <v>80</v>
      </c>
      <c r="C105" s="2964" t="str">
        <f t="shared" ca="1" si="3"/>
        <v xml:space="preserve">Sommerweizen </v>
      </c>
      <c r="D105" s="2964" t="str">
        <f t="shared" ca="1" si="4"/>
        <v>Schwergrubber 3 m</v>
      </c>
      <c r="E105" s="2965">
        <f t="shared" ca="1" si="5"/>
        <v>0</v>
      </c>
    </row>
    <row r="106" spans="1:7" s="2964" customFormat="1">
      <c r="A106" s="2966">
        <v>52</v>
      </c>
      <c r="B106" s="2966" t="s">
        <v>80</v>
      </c>
      <c r="C106" s="2964" t="str">
        <f t="shared" ca="1" si="3"/>
        <v xml:space="preserve">Sommerweizen </v>
      </c>
      <c r="D106" s="2964">
        <f t="shared" ca="1" si="4"/>
        <v>0</v>
      </c>
      <c r="E106" s="2965">
        <f t="shared" ca="1" si="5"/>
        <v>0</v>
      </c>
    </row>
    <row r="107" spans="1:7" s="2964" customFormat="1">
      <c r="A107" s="2964">
        <v>53</v>
      </c>
      <c r="B107" s="2966" t="s">
        <v>80</v>
      </c>
      <c r="C107" s="2964" t="str">
        <f t="shared" ca="1" si="3"/>
        <v xml:space="preserve">Sommerweizen </v>
      </c>
      <c r="D107" s="2964">
        <f t="shared" ca="1" si="4"/>
        <v>0</v>
      </c>
      <c r="E107" s="2965">
        <f t="shared" ca="1" si="5"/>
        <v>0</v>
      </c>
    </row>
    <row r="108" spans="1:7" s="2964" customFormat="1">
      <c r="A108" s="2966">
        <v>54</v>
      </c>
      <c r="B108" s="2966" t="s">
        <v>80</v>
      </c>
      <c r="C108" s="2964" t="str">
        <f t="shared" ca="1" si="3"/>
        <v xml:space="preserve">Sommerweizen </v>
      </c>
      <c r="D108" s="2964">
        <f t="shared" ca="1" si="4"/>
        <v>0</v>
      </c>
      <c r="E108" s="2965">
        <f t="shared" ca="1" si="5"/>
        <v>0</v>
      </c>
    </row>
    <row r="109" spans="1:7" s="2964" customFormat="1">
      <c r="A109" s="2964">
        <v>55</v>
      </c>
      <c r="B109" s="2966" t="s">
        <v>80</v>
      </c>
      <c r="C109" s="2964" t="str">
        <f t="shared" ca="1" si="3"/>
        <v xml:space="preserve">Sommerweizen </v>
      </c>
      <c r="D109" s="2964">
        <f t="shared" ca="1" si="4"/>
        <v>0</v>
      </c>
      <c r="E109" s="2965">
        <f t="shared" ca="1" si="5"/>
        <v>0</v>
      </c>
    </row>
    <row r="110" spans="1:7" s="2964" customFormat="1">
      <c r="A110" s="2966">
        <v>56</v>
      </c>
      <c r="B110" s="2966" t="s">
        <v>80</v>
      </c>
      <c r="C110" s="2964" t="str">
        <f t="shared" ca="1" si="3"/>
        <v xml:space="preserve">Sommerweizen </v>
      </c>
      <c r="D110" s="2964">
        <f t="shared" ca="1" si="4"/>
        <v>0</v>
      </c>
      <c r="E110" s="2965">
        <f t="shared" ca="1" si="5"/>
        <v>0</v>
      </c>
    </row>
    <row r="111" spans="1:7" s="2964" customFormat="1">
      <c r="A111" s="2964">
        <v>57</v>
      </c>
      <c r="B111" s="2966" t="s">
        <v>80</v>
      </c>
      <c r="C111" s="2964" t="str">
        <f t="shared" ca="1" si="3"/>
        <v xml:space="preserve">Sommerweizen </v>
      </c>
      <c r="D111" s="2964" t="str">
        <f t="shared" ca="1" si="4"/>
        <v>Stroh-Rundballen 4 t/ha laden, abfahren, stapeln, 3-S-Kipp.</v>
      </c>
      <c r="E111" s="2965">
        <f t="shared" ca="1" si="5"/>
        <v>0</v>
      </c>
    </row>
    <row r="112" spans="1:7">
      <c r="A112" s="15">
        <v>46</v>
      </c>
      <c r="B112" s="2966" t="s">
        <v>78</v>
      </c>
      <c r="C112" s="33" t="str">
        <f t="shared" ca="1" si="3"/>
        <v xml:space="preserve">Sommerfuttergerste </v>
      </c>
      <c r="D112" s="33" t="str">
        <f t="shared" ca="1" si="4"/>
        <v>Drehpflug 2,10 m</v>
      </c>
      <c r="E112" s="608">
        <f t="shared" ca="1" si="5"/>
        <v>0</v>
      </c>
      <c r="G112" s="2964"/>
    </row>
    <row r="113" spans="1:7">
      <c r="A113" s="33">
        <v>47</v>
      </c>
      <c r="B113" s="2966" t="s">
        <v>78</v>
      </c>
      <c r="C113" s="33" t="str">
        <f t="shared" ca="1" si="3"/>
        <v xml:space="preserve">Sommerfuttergerste </v>
      </c>
      <c r="D113" s="33" t="str">
        <f t="shared" ca="1" si="4"/>
        <v>Kreiselegge-Säkomb. 3 m</v>
      </c>
      <c r="E113" s="608">
        <f t="shared" ca="1" si="5"/>
        <v>0</v>
      </c>
      <c r="G113" s="2964"/>
    </row>
    <row r="114" spans="1:7">
      <c r="A114" s="15">
        <v>48</v>
      </c>
      <c r="B114" s="2966" t="s">
        <v>78</v>
      </c>
      <c r="C114" s="33" t="str">
        <f t="shared" ca="1" si="3"/>
        <v xml:space="preserve">Sommerfuttergerste </v>
      </c>
      <c r="D114" s="33" t="str">
        <f t="shared" ca="1" si="4"/>
        <v xml:space="preserve">Düngerstreuer ab Hof 12 m, 400 kg/ha </v>
      </c>
      <c r="E114" s="608">
        <f t="shared" ca="1" si="5"/>
        <v>0</v>
      </c>
      <c r="G114" s="2964"/>
    </row>
    <row r="115" spans="1:7">
      <c r="A115" s="33">
        <v>49</v>
      </c>
      <c r="B115" s="2966" t="s">
        <v>78</v>
      </c>
      <c r="C115" s="33" t="str">
        <f t="shared" ca="1" si="3"/>
        <v xml:space="preserve">Sommerfuttergerste </v>
      </c>
      <c r="D115" s="33" t="str">
        <f t="shared" ca="1" si="4"/>
        <v>Pflanzenschutzspritze 12 m, 300 l/ha</v>
      </c>
      <c r="E115" s="608">
        <f t="shared" ca="1" si="5"/>
        <v>0</v>
      </c>
      <c r="G115" s="2964"/>
    </row>
    <row r="116" spans="1:7">
      <c r="A116" s="15">
        <v>50</v>
      </c>
      <c r="B116" s="2966" t="s">
        <v>78</v>
      </c>
      <c r="C116" s="33" t="str">
        <f t="shared" ca="1" si="3"/>
        <v xml:space="preserve">Sommerfuttergerste </v>
      </c>
      <c r="D116" s="33" t="str">
        <f t="shared" ca="1" si="4"/>
        <v>Transp. u. Abkip. Getr. 6 t/ha (5,7 t Ki.)</v>
      </c>
      <c r="E116" s="608">
        <f t="shared" ca="1" si="5"/>
        <v>0</v>
      </c>
      <c r="G116" s="2964"/>
    </row>
    <row r="117" spans="1:7">
      <c r="A117" s="33">
        <v>51</v>
      </c>
      <c r="B117" s="2966" t="s">
        <v>78</v>
      </c>
      <c r="C117" s="33" t="str">
        <f t="shared" ca="1" si="3"/>
        <v xml:space="preserve">Sommerfuttergerste </v>
      </c>
      <c r="D117" s="33" t="str">
        <f t="shared" ca="1" si="4"/>
        <v>Schwergrubber 3 m</v>
      </c>
      <c r="E117" s="608">
        <f t="shared" ca="1" si="5"/>
        <v>0</v>
      </c>
      <c r="G117" s="2964"/>
    </row>
    <row r="118" spans="1:7">
      <c r="A118" s="15">
        <v>52</v>
      </c>
      <c r="B118" s="2966" t="s">
        <v>78</v>
      </c>
      <c r="C118" s="33" t="str">
        <f t="shared" ca="1" si="3"/>
        <v xml:space="preserve">Sommerfuttergerste </v>
      </c>
      <c r="D118" s="33">
        <f t="shared" ca="1" si="4"/>
        <v>0</v>
      </c>
      <c r="E118" s="608">
        <f t="shared" ca="1" si="5"/>
        <v>0</v>
      </c>
      <c r="G118" s="2964"/>
    </row>
    <row r="119" spans="1:7">
      <c r="A119" s="33">
        <v>53</v>
      </c>
      <c r="B119" s="2966" t="s">
        <v>78</v>
      </c>
      <c r="C119" s="33" t="str">
        <f t="shared" ca="1" si="3"/>
        <v xml:space="preserve">Sommerfuttergerste </v>
      </c>
      <c r="D119" s="33">
        <f t="shared" ca="1" si="4"/>
        <v>0</v>
      </c>
      <c r="E119" s="608">
        <f t="shared" ca="1" si="5"/>
        <v>0</v>
      </c>
      <c r="G119" s="2964"/>
    </row>
    <row r="120" spans="1:7">
      <c r="A120" s="15">
        <v>54</v>
      </c>
      <c r="B120" s="2966" t="s">
        <v>78</v>
      </c>
      <c r="C120" s="33" t="str">
        <f t="shared" ca="1" si="3"/>
        <v xml:space="preserve">Sommerfuttergerste </v>
      </c>
      <c r="D120" s="33">
        <f t="shared" ca="1" si="4"/>
        <v>0</v>
      </c>
      <c r="E120" s="608">
        <f t="shared" ca="1" si="5"/>
        <v>0</v>
      </c>
      <c r="G120" s="2964"/>
    </row>
    <row r="121" spans="1:7">
      <c r="A121" s="33">
        <v>55</v>
      </c>
      <c r="B121" s="2966" t="s">
        <v>78</v>
      </c>
      <c r="C121" s="33" t="str">
        <f t="shared" ca="1" si="3"/>
        <v xml:space="preserve">Sommerfuttergerste </v>
      </c>
      <c r="D121" s="33">
        <f t="shared" ca="1" si="4"/>
        <v>0</v>
      </c>
      <c r="E121" s="608">
        <f t="shared" ca="1" si="5"/>
        <v>0</v>
      </c>
      <c r="G121" s="2964"/>
    </row>
    <row r="122" spans="1:7">
      <c r="A122" s="15">
        <v>56</v>
      </c>
      <c r="B122" s="2966" t="s">
        <v>78</v>
      </c>
      <c r="C122" s="33" t="str">
        <f t="shared" ca="1" si="3"/>
        <v xml:space="preserve">Sommerfuttergerste </v>
      </c>
      <c r="D122" s="33">
        <f t="shared" ca="1" si="4"/>
        <v>0</v>
      </c>
      <c r="E122" s="608">
        <f t="shared" ca="1" si="5"/>
        <v>0</v>
      </c>
      <c r="G122" s="2964"/>
    </row>
    <row r="123" spans="1:7">
      <c r="A123" s="33">
        <v>57</v>
      </c>
      <c r="B123" s="2966" t="s">
        <v>78</v>
      </c>
      <c r="C123" s="33" t="str">
        <f t="shared" ca="1" si="3"/>
        <v xml:space="preserve">Sommerfuttergerste </v>
      </c>
      <c r="D123" s="33" t="str">
        <f t="shared" ca="1" si="4"/>
        <v>Stroh-Rundballen 4 t/ha laden, abfahren, stapeln, 3-S-Kipp.</v>
      </c>
      <c r="E123" s="608">
        <f t="shared" ca="1" si="5"/>
        <v>0</v>
      </c>
      <c r="G123" s="2964"/>
    </row>
    <row r="124" spans="1:7" s="2964" customFormat="1">
      <c r="A124" s="2966">
        <v>46</v>
      </c>
      <c r="B124" s="2966" t="s">
        <v>76</v>
      </c>
      <c r="C124" s="2964" t="str">
        <f t="shared" ca="1" si="3"/>
        <v>Braugerste</v>
      </c>
      <c r="D124" s="2964" t="str">
        <f t="shared" ca="1" si="4"/>
        <v>Schwergrubber 3 m</v>
      </c>
      <c r="E124" s="2965">
        <f t="shared" ca="1" si="5"/>
        <v>0</v>
      </c>
    </row>
    <row r="125" spans="1:7" s="2964" customFormat="1">
      <c r="A125" s="2964">
        <v>47</v>
      </c>
      <c r="B125" s="2966" t="s">
        <v>76</v>
      </c>
      <c r="C125" s="2964" t="str">
        <f t="shared" ca="1" si="3"/>
        <v>Braugerste</v>
      </c>
      <c r="D125" s="2964" t="str">
        <f t="shared" ca="1" si="4"/>
        <v>Drehpflug 2,10 m</v>
      </c>
      <c r="E125" s="2965">
        <f t="shared" ca="1" si="5"/>
        <v>0</v>
      </c>
    </row>
    <row r="126" spans="1:7" s="2964" customFormat="1">
      <c r="A126" s="2966">
        <v>48</v>
      </c>
      <c r="B126" s="2966" t="s">
        <v>76</v>
      </c>
      <c r="C126" s="2964" t="str">
        <f t="shared" ca="1" si="3"/>
        <v>Braugerste</v>
      </c>
      <c r="D126" s="2964" t="str">
        <f t="shared" ca="1" si="4"/>
        <v>Kreiselegge-Säkomb. 3 m</v>
      </c>
      <c r="E126" s="2965">
        <f t="shared" ca="1" si="5"/>
        <v>0</v>
      </c>
    </row>
    <row r="127" spans="1:7" s="2964" customFormat="1">
      <c r="A127" s="2964">
        <v>49</v>
      </c>
      <c r="B127" s="2966" t="s">
        <v>76</v>
      </c>
      <c r="C127" s="2964" t="str">
        <f t="shared" ca="1" si="3"/>
        <v>Braugerste</v>
      </c>
      <c r="D127" s="2964" t="str">
        <f t="shared" ca="1" si="4"/>
        <v xml:space="preserve">Düngerstreuer ab Hof 12 m, 400 kg/ha </v>
      </c>
      <c r="E127" s="2965">
        <f t="shared" ca="1" si="5"/>
        <v>0</v>
      </c>
    </row>
    <row r="128" spans="1:7" s="2964" customFormat="1">
      <c r="A128" s="2966">
        <v>50</v>
      </c>
      <c r="B128" s="2966" t="s">
        <v>76</v>
      </c>
      <c r="C128" s="2964" t="str">
        <f t="shared" ca="1" si="3"/>
        <v>Braugerste</v>
      </c>
      <c r="D128" s="2964" t="str">
        <f t="shared" ca="1" si="4"/>
        <v>Pflanzenschutzspritze 12 m, 300 l/ha</v>
      </c>
      <c r="E128" s="2965">
        <f t="shared" ca="1" si="5"/>
        <v>0</v>
      </c>
    </row>
    <row r="129" spans="1:7" s="2964" customFormat="1">
      <c r="A129" s="2964">
        <v>51</v>
      </c>
      <c r="B129" s="2966" t="s">
        <v>76</v>
      </c>
      <c r="C129" s="2964" t="str">
        <f t="shared" ca="1" si="3"/>
        <v>Braugerste</v>
      </c>
      <c r="D129" s="2964" t="str">
        <f t="shared" ca="1" si="4"/>
        <v>Transp. u. Abkip. Getr. 6 t/ha (5,7 t Ki.)</v>
      </c>
      <c r="E129" s="2965">
        <f t="shared" ca="1" si="5"/>
        <v>0</v>
      </c>
    </row>
    <row r="130" spans="1:7" s="2964" customFormat="1">
      <c r="A130" s="2966">
        <v>52</v>
      </c>
      <c r="B130" s="2966" t="s">
        <v>76</v>
      </c>
      <c r="C130" s="2964" t="str">
        <f t="shared" ca="1" si="3"/>
        <v>Braugerste</v>
      </c>
      <c r="D130" s="2964">
        <f t="shared" ca="1" si="4"/>
        <v>0</v>
      </c>
      <c r="E130" s="2965">
        <f t="shared" ca="1" si="5"/>
        <v>0</v>
      </c>
    </row>
    <row r="131" spans="1:7" s="2964" customFormat="1">
      <c r="A131" s="2964">
        <v>53</v>
      </c>
      <c r="B131" s="2966" t="s">
        <v>76</v>
      </c>
      <c r="C131" s="2964" t="str">
        <f t="shared" ca="1" si="3"/>
        <v>Braugerste</v>
      </c>
      <c r="D131" s="2964">
        <f t="shared" ca="1" si="4"/>
        <v>0</v>
      </c>
      <c r="E131" s="2965">
        <f t="shared" ca="1" si="5"/>
        <v>0</v>
      </c>
    </row>
    <row r="132" spans="1:7" s="2964" customFormat="1">
      <c r="A132" s="2966">
        <v>54</v>
      </c>
      <c r="B132" s="2966" t="s">
        <v>76</v>
      </c>
      <c r="C132" s="2964" t="str">
        <f t="shared" ref="C132:C195" ca="1" si="6">INDIRECT("'"&amp;B132&amp;"'!$K$2")</f>
        <v>Braugerste</v>
      </c>
      <c r="D132" s="2964">
        <f t="shared" ref="D132:D195" ca="1" si="7">INDIRECT("'"&amp;B132&amp;"'!C"&amp;A132)</f>
        <v>0</v>
      </c>
      <c r="E132" s="2965">
        <f t="shared" ref="E132:E195" ca="1" si="8">INDIRECT("'"&amp;B132&amp;"'!Q"&amp;A132)</f>
        <v>0</v>
      </c>
    </row>
    <row r="133" spans="1:7" s="2964" customFormat="1">
      <c r="A133" s="2964">
        <v>55</v>
      </c>
      <c r="B133" s="2966" t="s">
        <v>76</v>
      </c>
      <c r="C133" s="2964" t="str">
        <f t="shared" ca="1" si="6"/>
        <v>Braugerste</v>
      </c>
      <c r="D133" s="2964">
        <f t="shared" ca="1" si="7"/>
        <v>0</v>
      </c>
      <c r="E133" s="2965">
        <f t="shared" ca="1" si="8"/>
        <v>0</v>
      </c>
    </row>
    <row r="134" spans="1:7" s="2964" customFormat="1">
      <c r="A134" s="2966">
        <v>56</v>
      </c>
      <c r="B134" s="2966" t="s">
        <v>76</v>
      </c>
      <c r="C134" s="2964" t="str">
        <f t="shared" ca="1" si="6"/>
        <v>Braugerste</v>
      </c>
      <c r="D134" s="2964">
        <f t="shared" ca="1" si="7"/>
        <v>0</v>
      </c>
      <c r="E134" s="2965">
        <f t="shared" ca="1" si="8"/>
        <v>0</v>
      </c>
    </row>
    <row r="135" spans="1:7" s="2964" customFormat="1">
      <c r="A135" s="2964">
        <v>57</v>
      </c>
      <c r="B135" s="2966" t="s">
        <v>76</v>
      </c>
      <c r="C135" s="2964" t="str">
        <f t="shared" ca="1" si="6"/>
        <v>Braugerste</v>
      </c>
      <c r="D135" s="2964" t="str">
        <f t="shared" ca="1" si="7"/>
        <v>Stroh-Rundballen 4 t/ha laden, abfahren, stapeln, 3-S-Kipp.</v>
      </c>
      <c r="E135" s="2965">
        <f t="shared" ca="1" si="8"/>
        <v>0</v>
      </c>
    </row>
    <row r="136" spans="1:7">
      <c r="A136" s="15">
        <v>46</v>
      </c>
      <c r="B136" s="2966" t="s">
        <v>74</v>
      </c>
      <c r="C136" s="33" t="str">
        <f t="shared" ca="1" si="6"/>
        <v xml:space="preserve">Hafer </v>
      </c>
      <c r="D136" s="33" t="str">
        <f t="shared" ca="1" si="7"/>
        <v>Drehpflug 2,10 m</v>
      </c>
      <c r="E136" s="608">
        <f t="shared" ca="1" si="8"/>
        <v>0</v>
      </c>
      <c r="G136" s="2964"/>
    </row>
    <row r="137" spans="1:7">
      <c r="A137" s="33">
        <v>47</v>
      </c>
      <c r="B137" s="2966" t="s">
        <v>74</v>
      </c>
      <c r="C137" s="33" t="str">
        <f t="shared" ca="1" si="6"/>
        <v xml:space="preserve">Hafer </v>
      </c>
      <c r="D137" s="33" t="str">
        <f t="shared" ca="1" si="7"/>
        <v>Kreiselegge-Säkomb. 3 m</v>
      </c>
      <c r="E137" s="608">
        <f t="shared" ca="1" si="8"/>
        <v>0</v>
      </c>
      <c r="G137" s="2964"/>
    </row>
    <row r="138" spans="1:7">
      <c r="A138" s="15">
        <v>48</v>
      </c>
      <c r="B138" s="2966" t="s">
        <v>74</v>
      </c>
      <c r="C138" s="33" t="str">
        <f t="shared" ca="1" si="6"/>
        <v xml:space="preserve">Hafer </v>
      </c>
      <c r="D138" s="33" t="str">
        <f t="shared" ca="1" si="7"/>
        <v xml:space="preserve">Düngerstreuer ab Hof 12 m, 400 kg/ha </v>
      </c>
      <c r="E138" s="608">
        <f t="shared" ca="1" si="8"/>
        <v>0</v>
      </c>
      <c r="G138" s="2964"/>
    </row>
    <row r="139" spans="1:7">
      <c r="A139" s="33">
        <v>49</v>
      </c>
      <c r="B139" s="2966" t="s">
        <v>74</v>
      </c>
      <c r="C139" s="33" t="str">
        <f t="shared" ca="1" si="6"/>
        <v xml:space="preserve">Hafer </v>
      </c>
      <c r="D139" s="33" t="str">
        <f t="shared" ca="1" si="7"/>
        <v>Pflanzenschutzspritze 12 m, 300 l/ha</v>
      </c>
      <c r="E139" s="608">
        <f t="shared" ca="1" si="8"/>
        <v>0</v>
      </c>
      <c r="G139" s="2964"/>
    </row>
    <row r="140" spans="1:7">
      <c r="A140" s="15">
        <v>50</v>
      </c>
      <c r="B140" s="2966" t="s">
        <v>74</v>
      </c>
      <c r="C140" s="33" t="str">
        <f t="shared" ca="1" si="6"/>
        <v xml:space="preserve">Hafer </v>
      </c>
      <c r="D140" s="33" t="str">
        <f t="shared" ca="1" si="7"/>
        <v>Transp. u. Abkip. Getr. 6 t/ha (5,7 t Ki.)</v>
      </c>
      <c r="E140" s="608">
        <f t="shared" ca="1" si="8"/>
        <v>0</v>
      </c>
      <c r="G140" s="2964"/>
    </row>
    <row r="141" spans="1:7">
      <c r="A141" s="33">
        <v>51</v>
      </c>
      <c r="B141" s="2966" t="s">
        <v>74</v>
      </c>
      <c r="C141" s="33" t="str">
        <f t="shared" ca="1" si="6"/>
        <v xml:space="preserve">Hafer </v>
      </c>
      <c r="D141" s="33" t="str">
        <f t="shared" ca="1" si="7"/>
        <v>Schwergrubber 3 m</v>
      </c>
      <c r="E141" s="608">
        <f t="shared" ca="1" si="8"/>
        <v>0</v>
      </c>
      <c r="G141" s="2964"/>
    </row>
    <row r="142" spans="1:7">
      <c r="A142" s="15">
        <v>52</v>
      </c>
      <c r="B142" s="2966" t="s">
        <v>74</v>
      </c>
      <c r="C142" s="33" t="str">
        <f t="shared" ca="1" si="6"/>
        <v xml:space="preserve">Hafer </v>
      </c>
      <c r="D142" s="33">
        <f t="shared" ca="1" si="7"/>
        <v>0</v>
      </c>
      <c r="E142" s="608">
        <f t="shared" ca="1" si="8"/>
        <v>0</v>
      </c>
      <c r="G142" s="2964"/>
    </row>
    <row r="143" spans="1:7">
      <c r="A143" s="33">
        <v>53</v>
      </c>
      <c r="B143" s="2966" t="s">
        <v>74</v>
      </c>
      <c r="C143" s="33" t="str">
        <f t="shared" ca="1" si="6"/>
        <v xml:space="preserve">Hafer </v>
      </c>
      <c r="D143" s="33">
        <f t="shared" ca="1" si="7"/>
        <v>0</v>
      </c>
      <c r="E143" s="608">
        <f t="shared" ca="1" si="8"/>
        <v>0</v>
      </c>
      <c r="G143" s="2964"/>
    </row>
    <row r="144" spans="1:7">
      <c r="A144" s="15">
        <v>54</v>
      </c>
      <c r="B144" s="2966" t="s">
        <v>74</v>
      </c>
      <c r="C144" s="33" t="str">
        <f t="shared" ca="1" si="6"/>
        <v xml:space="preserve">Hafer </v>
      </c>
      <c r="D144" s="33">
        <f t="shared" ca="1" si="7"/>
        <v>0</v>
      </c>
      <c r="E144" s="608">
        <f t="shared" ca="1" si="8"/>
        <v>0</v>
      </c>
      <c r="G144" s="2964"/>
    </row>
    <row r="145" spans="1:7">
      <c r="A145" s="33">
        <v>55</v>
      </c>
      <c r="B145" s="2966" t="s">
        <v>74</v>
      </c>
      <c r="C145" s="33" t="str">
        <f t="shared" ca="1" si="6"/>
        <v xml:space="preserve">Hafer </v>
      </c>
      <c r="D145" s="33">
        <f t="shared" ca="1" si="7"/>
        <v>0</v>
      </c>
      <c r="E145" s="608">
        <f t="shared" ca="1" si="8"/>
        <v>0</v>
      </c>
      <c r="G145" s="2964"/>
    </row>
    <row r="146" spans="1:7">
      <c r="A146" s="15">
        <v>56</v>
      </c>
      <c r="B146" s="2966" t="s">
        <v>74</v>
      </c>
      <c r="C146" s="33" t="str">
        <f t="shared" ca="1" si="6"/>
        <v xml:space="preserve">Hafer </v>
      </c>
      <c r="D146" s="33">
        <f t="shared" ca="1" si="7"/>
        <v>0</v>
      </c>
      <c r="E146" s="608">
        <f t="shared" ca="1" si="8"/>
        <v>0</v>
      </c>
      <c r="G146" s="2964"/>
    </row>
    <row r="147" spans="1:7">
      <c r="A147" s="33">
        <v>57</v>
      </c>
      <c r="B147" s="2966" t="s">
        <v>74</v>
      </c>
      <c r="C147" s="33" t="str">
        <f t="shared" ca="1" si="6"/>
        <v xml:space="preserve">Hafer </v>
      </c>
      <c r="D147" s="33" t="str">
        <f t="shared" ca="1" si="7"/>
        <v>Stroh-Rundballen 4 t/ha laden, abfahren, stapeln, 3-S-Kipp.</v>
      </c>
      <c r="E147" s="608">
        <f t="shared" ca="1" si="8"/>
        <v>0</v>
      </c>
      <c r="G147" s="2964"/>
    </row>
    <row r="148" spans="1:7" s="2964" customFormat="1">
      <c r="A148" s="2966">
        <v>46</v>
      </c>
      <c r="B148" s="2966" t="s">
        <v>72</v>
      </c>
      <c r="C148" s="2964" t="str">
        <f t="shared" ca="1" si="6"/>
        <v>Durum</v>
      </c>
      <c r="D148" s="2964" t="str">
        <f t="shared" ca="1" si="7"/>
        <v>Drehpflug 2,10 m</v>
      </c>
      <c r="E148" s="2965">
        <f t="shared" ca="1" si="8"/>
        <v>0</v>
      </c>
    </row>
    <row r="149" spans="1:7" s="2964" customFormat="1">
      <c r="A149" s="2964">
        <v>47</v>
      </c>
      <c r="B149" s="2966" t="s">
        <v>72</v>
      </c>
      <c r="C149" s="2964" t="str">
        <f t="shared" ca="1" si="6"/>
        <v>Durum</v>
      </c>
      <c r="D149" s="2964" t="str">
        <f t="shared" ca="1" si="7"/>
        <v>Kreiselegge-Säkomb. 3 m</v>
      </c>
      <c r="E149" s="2965">
        <f t="shared" ca="1" si="8"/>
        <v>0</v>
      </c>
    </row>
    <row r="150" spans="1:7" s="2964" customFormat="1">
      <c r="A150" s="2966">
        <v>48</v>
      </c>
      <c r="B150" s="2966" t="s">
        <v>72</v>
      </c>
      <c r="C150" s="2964" t="str">
        <f t="shared" ca="1" si="6"/>
        <v>Durum</v>
      </c>
      <c r="D150" s="2964" t="str">
        <f t="shared" ca="1" si="7"/>
        <v>Hackstriegel 9 m</v>
      </c>
      <c r="E150" s="2965">
        <f t="shared" ca="1" si="8"/>
        <v>0</v>
      </c>
    </row>
    <row r="151" spans="1:7" s="2964" customFormat="1">
      <c r="A151" s="2964">
        <v>49</v>
      </c>
      <c r="B151" s="2966" t="s">
        <v>72</v>
      </c>
      <c r="C151" s="2964" t="str">
        <f t="shared" ca="1" si="6"/>
        <v>Durum</v>
      </c>
      <c r="D151" s="2964" t="str">
        <f t="shared" ca="1" si="7"/>
        <v xml:space="preserve">Düngerstreuer ab Hof 12 m, 400 kg/ha </v>
      </c>
      <c r="E151" s="2965">
        <f t="shared" ca="1" si="8"/>
        <v>0</v>
      </c>
    </row>
    <row r="152" spans="1:7" s="2964" customFormat="1">
      <c r="A152" s="2966">
        <v>50</v>
      </c>
      <c r="B152" s="2966" t="s">
        <v>72</v>
      </c>
      <c r="C152" s="2964" t="str">
        <f t="shared" ca="1" si="6"/>
        <v>Durum</v>
      </c>
      <c r="D152" s="2964" t="str">
        <f t="shared" ca="1" si="7"/>
        <v>Pflanzenschutzspritze 12 m, 300 l/ha</v>
      </c>
      <c r="E152" s="2965">
        <f t="shared" ca="1" si="8"/>
        <v>0</v>
      </c>
    </row>
    <row r="153" spans="1:7" s="2964" customFormat="1">
      <c r="A153" s="2964">
        <v>51</v>
      </c>
      <c r="B153" s="2966" t="s">
        <v>72</v>
      </c>
      <c r="C153" s="2964" t="str">
        <f t="shared" ca="1" si="6"/>
        <v>Durum</v>
      </c>
      <c r="D153" s="2964" t="str">
        <f t="shared" ca="1" si="7"/>
        <v>Transp. u. Abkip. Getr. 6 t/ha (5,7 t Ki.)</v>
      </c>
      <c r="E153" s="2965">
        <f t="shared" ca="1" si="8"/>
        <v>0</v>
      </c>
    </row>
    <row r="154" spans="1:7" s="2964" customFormat="1">
      <c r="A154" s="2966">
        <v>52</v>
      </c>
      <c r="B154" s="2966" t="s">
        <v>72</v>
      </c>
      <c r="C154" s="2964" t="str">
        <f t="shared" ca="1" si="6"/>
        <v>Durum</v>
      </c>
      <c r="D154" s="2964" t="str">
        <f t="shared" ca="1" si="7"/>
        <v>Schwergrubber 3 m</v>
      </c>
      <c r="E154" s="2965">
        <f t="shared" ca="1" si="8"/>
        <v>0</v>
      </c>
    </row>
    <row r="155" spans="1:7" s="2964" customFormat="1">
      <c r="A155" s="2964">
        <v>53</v>
      </c>
      <c r="B155" s="2966" t="s">
        <v>72</v>
      </c>
      <c r="C155" s="2964" t="str">
        <f t="shared" ca="1" si="6"/>
        <v>Durum</v>
      </c>
      <c r="D155" s="2964">
        <f t="shared" ca="1" si="7"/>
        <v>0</v>
      </c>
      <c r="E155" s="2965">
        <f t="shared" ca="1" si="8"/>
        <v>0</v>
      </c>
    </row>
    <row r="156" spans="1:7" s="2964" customFormat="1">
      <c r="A156" s="2966">
        <v>54</v>
      </c>
      <c r="B156" s="2966" t="s">
        <v>72</v>
      </c>
      <c r="C156" s="2964" t="str">
        <f t="shared" ca="1" si="6"/>
        <v>Durum</v>
      </c>
      <c r="D156" s="2964">
        <f t="shared" ca="1" si="7"/>
        <v>0</v>
      </c>
      <c r="E156" s="2965">
        <f t="shared" ca="1" si="8"/>
        <v>0</v>
      </c>
    </row>
    <row r="157" spans="1:7" s="2964" customFormat="1">
      <c r="A157" s="2964">
        <v>55</v>
      </c>
      <c r="B157" s="2966" t="s">
        <v>72</v>
      </c>
      <c r="C157" s="2964" t="str">
        <f t="shared" ca="1" si="6"/>
        <v>Durum</v>
      </c>
      <c r="D157" s="2964">
        <f t="shared" ca="1" si="7"/>
        <v>0</v>
      </c>
      <c r="E157" s="2965">
        <f t="shared" ca="1" si="8"/>
        <v>0</v>
      </c>
    </row>
    <row r="158" spans="1:7" s="2964" customFormat="1">
      <c r="A158" s="2966">
        <v>56</v>
      </c>
      <c r="B158" s="2966" t="s">
        <v>72</v>
      </c>
      <c r="C158" s="2964" t="str">
        <f t="shared" ca="1" si="6"/>
        <v>Durum</v>
      </c>
      <c r="D158" s="2964">
        <f t="shared" ca="1" si="7"/>
        <v>0</v>
      </c>
      <c r="E158" s="2965">
        <f t="shared" ca="1" si="8"/>
        <v>0</v>
      </c>
    </row>
    <row r="159" spans="1:7" s="2964" customFormat="1">
      <c r="A159" s="2964">
        <v>57</v>
      </c>
      <c r="B159" s="2966" t="s">
        <v>72</v>
      </c>
      <c r="C159" s="2964" t="str">
        <f t="shared" ca="1" si="6"/>
        <v>Durum</v>
      </c>
      <c r="D159" s="2964" t="str">
        <f t="shared" ca="1" si="7"/>
        <v>Stroh-Rundballen 4 t/ha laden, abfahren, stapeln, 3-S-Kipp.</v>
      </c>
      <c r="E159" s="2965">
        <f t="shared" ca="1" si="8"/>
        <v>0</v>
      </c>
    </row>
    <row r="160" spans="1:7">
      <c r="A160" s="15">
        <v>46</v>
      </c>
      <c r="B160" s="2966" t="s">
        <v>69</v>
      </c>
      <c r="C160" s="33" t="str">
        <f t="shared" ca="1" si="6"/>
        <v xml:space="preserve">Körnermais </v>
      </c>
      <c r="D160" s="33" t="str">
        <f t="shared" ca="1" si="7"/>
        <v>Drehpflug 2,10 m</v>
      </c>
      <c r="E160" s="608">
        <f t="shared" ca="1" si="8"/>
        <v>30</v>
      </c>
      <c r="G160" s="2964"/>
    </row>
    <row r="161" spans="1:7">
      <c r="A161" s="33">
        <v>47</v>
      </c>
      <c r="B161" s="2966" t="s">
        <v>69</v>
      </c>
      <c r="C161" s="33" t="str">
        <f t="shared" ca="1" si="6"/>
        <v xml:space="preserve">Körnermais </v>
      </c>
      <c r="D161" s="33" t="str">
        <f t="shared" ca="1" si="7"/>
        <v>Kreiselegge 3 m</v>
      </c>
      <c r="E161" s="608">
        <f t="shared" ca="1" si="8"/>
        <v>0</v>
      </c>
      <c r="G161" s="2964"/>
    </row>
    <row r="162" spans="1:7">
      <c r="A162" s="15">
        <v>48</v>
      </c>
      <c r="B162" s="2966" t="s">
        <v>69</v>
      </c>
      <c r="C162" s="33" t="str">
        <f t="shared" ca="1" si="6"/>
        <v xml:space="preserve">Körnermais </v>
      </c>
      <c r="D162" s="33" t="str">
        <f t="shared" ca="1" si="7"/>
        <v>Einzelkornsaat 8 r (Mais)</v>
      </c>
      <c r="E162" s="608">
        <f t="shared" ca="1" si="8"/>
        <v>0</v>
      </c>
      <c r="G162" s="2964"/>
    </row>
    <row r="163" spans="1:7">
      <c r="A163" s="33">
        <v>49</v>
      </c>
      <c r="B163" s="2966" t="s">
        <v>69</v>
      </c>
      <c r="C163" s="33" t="str">
        <f t="shared" ca="1" si="6"/>
        <v xml:space="preserve">Körnermais </v>
      </c>
      <c r="D163" s="33" t="str">
        <f t="shared" ca="1" si="7"/>
        <v xml:space="preserve">Düngerstreuer ab Hof 12 m, 400 kg/ha </v>
      </c>
      <c r="E163" s="608">
        <f t="shared" ca="1" si="8"/>
        <v>0</v>
      </c>
      <c r="G163" s="2964"/>
    </row>
    <row r="164" spans="1:7">
      <c r="A164" s="15">
        <v>50</v>
      </c>
      <c r="B164" s="2966" t="s">
        <v>69</v>
      </c>
      <c r="C164" s="33" t="str">
        <f t="shared" ca="1" si="6"/>
        <v xml:space="preserve">Körnermais </v>
      </c>
      <c r="D164" s="33" t="str">
        <f t="shared" ca="1" si="7"/>
        <v>Pflanzenschutzspritze 12 m, 300 l/ha</v>
      </c>
      <c r="E164" s="608">
        <f t="shared" ca="1" si="8"/>
        <v>0</v>
      </c>
      <c r="G164" s="2964"/>
    </row>
    <row r="165" spans="1:7">
      <c r="A165" s="33">
        <v>51</v>
      </c>
      <c r="B165" s="2966" t="s">
        <v>69</v>
      </c>
      <c r="C165" s="33" t="str">
        <f t="shared" ca="1" si="6"/>
        <v xml:space="preserve">Körnermais </v>
      </c>
      <c r="D165" s="33" t="str">
        <f t="shared" ca="1" si="7"/>
        <v>Transp. u. Abkip. Getr. 6 t/ha (5,7 t Ki.)</v>
      </c>
      <c r="E165" s="608">
        <f t="shared" ca="1" si="8"/>
        <v>0</v>
      </c>
      <c r="G165" s="2964"/>
    </row>
    <row r="166" spans="1:7">
      <c r="A166" s="15">
        <v>52</v>
      </c>
      <c r="B166" s="2966" t="s">
        <v>69</v>
      </c>
      <c r="C166" s="33" t="str">
        <f t="shared" ca="1" si="6"/>
        <v xml:space="preserve">Körnermais </v>
      </c>
      <c r="D166" s="33">
        <f t="shared" ca="1" si="7"/>
        <v>0</v>
      </c>
      <c r="E166" s="608">
        <f t="shared" ca="1" si="8"/>
        <v>0</v>
      </c>
      <c r="G166" s="2964"/>
    </row>
    <row r="167" spans="1:7">
      <c r="A167" s="33">
        <v>53</v>
      </c>
      <c r="B167" s="2966" t="s">
        <v>69</v>
      </c>
      <c r="C167" s="33" t="str">
        <f t="shared" ca="1" si="6"/>
        <v xml:space="preserve">Körnermais </v>
      </c>
      <c r="D167" s="33">
        <f t="shared" ca="1" si="7"/>
        <v>0</v>
      </c>
      <c r="E167" s="608">
        <f t="shared" ca="1" si="8"/>
        <v>0</v>
      </c>
      <c r="G167" s="2964"/>
    </row>
    <row r="168" spans="1:7">
      <c r="A168" s="15">
        <v>54</v>
      </c>
      <c r="B168" s="2966" t="s">
        <v>69</v>
      </c>
      <c r="C168" s="33" t="str">
        <f t="shared" ca="1" si="6"/>
        <v xml:space="preserve">Körnermais </v>
      </c>
      <c r="D168" s="33">
        <f t="shared" ca="1" si="7"/>
        <v>0</v>
      </c>
      <c r="E168" s="608">
        <f t="shared" ca="1" si="8"/>
        <v>0</v>
      </c>
      <c r="G168" s="2964"/>
    </row>
    <row r="169" spans="1:7">
      <c r="A169" s="33">
        <v>55</v>
      </c>
      <c r="B169" s="2966" t="s">
        <v>69</v>
      </c>
      <c r="C169" s="33" t="str">
        <f t="shared" ca="1" si="6"/>
        <v xml:space="preserve">Körnermais </v>
      </c>
      <c r="D169" s="33">
        <f t="shared" ca="1" si="7"/>
        <v>0</v>
      </c>
      <c r="E169" s="608">
        <f t="shared" ca="1" si="8"/>
        <v>0</v>
      </c>
      <c r="G169" s="2964"/>
    </row>
    <row r="170" spans="1:7">
      <c r="A170" s="15">
        <v>56</v>
      </c>
      <c r="B170" s="2966" t="s">
        <v>69</v>
      </c>
      <c r="C170" s="33" t="str">
        <f t="shared" ca="1" si="6"/>
        <v xml:space="preserve">Körnermais </v>
      </c>
      <c r="D170" s="33">
        <f t="shared" ca="1" si="7"/>
        <v>0</v>
      </c>
      <c r="E170" s="608">
        <f t="shared" ca="1" si="8"/>
        <v>0</v>
      </c>
      <c r="G170" s="2964"/>
    </row>
    <row r="171" spans="1:7">
      <c r="A171" s="33">
        <v>57</v>
      </c>
      <c r="B171" s="2966" t="s">
        <v>69</v>
      </c>
      <c r="C171" s="33" t="str">
        <f t="shared" ca="1" si="6"/>
        <v xml:space="preserve">Körnermais </v>
      </c>
      <c r="D171" s="33">
        <f t="shared" ca="1" si="7"/>
        <v>0</v>
      </c>
      <c r="E171" s="608">
        <f t="shared" ca="1" si="8"/>
        <v>0</v>
      </c>
      <c r="G171" s="2964"/>
    </row>
    <row r="172" spans="1:7" s="2964" customFormat="1">
      <c r="A172" s="2966">
        <v>46</v>
      </c>
      <c r="B172" s="2966" t="s">
        <v>66</v>
      </c>
      <c r="C172" s="2964" t="str">
        <f t="shared" ca="1" si="6"/>
        <v>Körnerhirse (Lebens-/Futtermittel)</v>
      </c>
      <c r="D172" s="2964" t="str">
        <f t="shared" ca="1" si="7"/>
        <v>Drehpflug 2,10 m</v>
      </c>
      <c r="E172" s="2965">
        <f t="shared" ca="1" si="8"/>
        <v>0</v>
      </c>
    </row>
    <row r="173" spans="1:7" s="2964" customFormat="1">
      <c r="A173" s="2964">
        <v>47</v>
      </c>
      <c r="B173" s="2966" t="s">
        <v>66</v>
      </c>
      <c r="C173" s="2964" t="str">
        <f t="shared" ca="1" si="6"/>
        <v>Körnerhirse (Lebens-/Futtermittel)</v>
      </c>
      <c r="D173" s="2964" t="str">
        <f t="shared" ca="1" si="7"/>
        <v>Kreiselegge-Säkomb. 3 m</v>
      </c>
      <c r="E173" s="2965">
        <f t="shared" ca="1" si="8"/>
        <v>0</v>
      </c>
    </row>
    <row r="174" spans="1:7" s="2964" customFormat="1">
      <c r="A174" s="2966">
        <v>48</v>
      </c>
      <c r="B174" s="2966" t="s">
        <v>66</v>
      </c>
      <c r="C174" s="2964" t="str">
        <f t="shared" ca="1" si="6"/>
        <v>Körnerhirse (Lebens-/Futtermittel)</v>
      </c>
      <c r="D174" s="2964" t="str">
        <f t="shared" ca="1" si="7"/>
        <v xml:space="preserve">Düngerstreuer ab Hof 12 m, 400 kg/ha </v>
      </c>
      <c r="E174" s="2965">
        <f t="shared" ca="1" si="8"/>
        <v>0</v>
      </c>
    </row>
    <row r="175" spans="1:7" s="2964" customFormat="1">
      <c r="A175" s="2964">
        <v>49</v>
      </c>
      <c r="B175" s="2966" t="s">
        <v>66</v>
      </c>
      <c r="C175" s="2964" t="str">
        <f t="shared" ca="1" si="6"/>
        <v>Körnerhirse (Lebens-/Futtermittel)</v>
      </c>
      <c r="D175" s="2964" t="str">
        <f t="shared" ca="1" si="7"/>
        <v>Pflanzenschutzspritze 12 m, 300 l/ha</v>
      </c>
      <c r="E175" s="2965">
        <f t="shared" ca="1" si="8"/>
        <v>0</v>
      </c>
    </row>
    <row r="176" spans="1:7" s="2964" customFormat="1">
      <c r="A176" s="2966">
        <v>50</v>
      </c>
      <c r="B176" s="2966" t="s">
        <v>66</v>
      </c>
      <c r="C176" s="2964" t="str">
        <f t="shared" ca="1" si="6"/>
        <v>Körnerhirse (Lebens-/Futtermittel)</v>
      </c>
      <c r="D176" s="2964" t="str">
        <f t="shared" ca="1" si="7"/>
        <v>Transp. u. Abkip. Getr. 6 t/ha (5,7 t Ki.)</v>
      </c>
      <c r="E176" s="2965">
        <f t="shared" ca="1" si="8"/>
        <v>0</v>
      </c>
    </row>
    <row r="177" spans="1:7" s="2964" customFormat="1">
      <c r="A177" s="2964">
        <v>51</v>
      </c>
      <c r="B177" s="2966" t="s">
        <v>66</v>
      </c>
      <c r="C177" s="2964" t="str">
        <f t="shared" ca="1" si="6"/>
        <v>Körnerhirse (Lebens-/Futtermittel)</v>
      </c>
      <c r="D177" s="2964" t="str">
        <f t="shared" ca="1" si="7"/>
        <v>Schwergrubber 3 m</v>
      </c>
      <c r="E177" s="2965">
        <f t="shared" ca="1" si="8"/>
        <v>0</v>
      </c>
    </row>
    <row r="178" spans="1:7" s="2964" customFormat="1">
      <c r="A178" s="2966">
        <v>52</v>
      </c>
      <c r="B178" s="2966" t="s">
        <v>66</v>
      </c>
      <c r="C178" s="2964" t="str">
        <f t="shared" ca="1" si="6"/>
        <v>Körnerhirse (Lebens-/Futtermittel)</v>
      </c>
      <c r="D178" s="2964">
        <f t="shared" ca="1" si="7"/>
        <v>0</v>
      </c>
      <c r="E178" s="2965">
        <f t="shared" ca="1" si="8"/>
        <v>0</v>
      </c>
    </row>
    <row r="179" spans="1:7" s="2964" customFormat="1">
      <c r="A179" s="2964">
        <v>53</v>
      </c>
      <c r="B179" s="2966" t="s">
        <v>66</v>
      </c>
      <c r="C179" s="2964" t="str">
        <f t="shared" ca="1" si="6"/>
        <v>Körnerhirse (Lebens-/Futtermittel)</v>
      </c>
      <c r="D179" s="2964">
        <f t="shared" ca="1" si="7"/>
        <v>0</v>
      </c>
      <c r="E179" s="2965">
        <f t="shared" ca="1" si="8"/>
        <v>0</v>
      </c>
    </row>
    <row r="180" spans="1:7" s="2964" customFormat="1">
      <c r="A180" s="2966">
        <v>54</v>
      </c>
      <c r="B180" s="2966" t="s">
        <v>66</v>
      </c>
      <c r="C180" s="2964" t="str">
        <f t="shared" ca="1" si="6"/>
        <v>Körnerhirse (Lebens-/Futtermittel)</v>
      </c>
      <c r="D180" s="2964">
        <f t="shared" ca="1" si="7"/>
        <v>0</v>
      </c>
      <c r="E180" s="2965">
        <f t="shared" ca="1" si="8"/>
        <v>0</v>
      </c>
    </row>
    <row r="181" spans="1:7" s="2964" customFormat="1">
      <c r="A181" s="2964">
        <v>55</v>
      </c>
      <c r="B181" s="2966" t="s">
        <v>66</v>
      </c>
      <c r="C181" s="2964" t="str">
        <f t="shared" ca="1" si="6"/>
        <v>Körnerhirse (Lebens-/Futtermittel)</v>
      </c>
      <c r="D181" s="2964">
        <f t="shared" ca="1" si="7"/>
        <v>0</v>
      </c>
      <c r="E181" s="2965">
        <f t="shared" ca="1" si="8"/>
        <v>0</v>
      </c>
    </row>
    <row r="182" spans="1:7" s="2964" customFormat="1">
      <c r="A182" s="2966">
        <v>56</v>
      </c>
      <c r="B182" s="2966" t="s">
        <v>66</v>
      </c>
      <c r="C182" s="2964" t="str">
        <f t="shared" ca="1" si="6"/>
        <v>Körnerhirse (Lebens-/Futtermittel)</v>
      </c>
      <c r="D182" s="2964">
        <f t="shared" ca="1" si="7"/>
        <v>0</v>
      </c>
      <c r="E182" s="2965">
        <f t="shared" ca="1" si="8"/>
        <v>0</v>
      </c>
    </row>
    <row r="183" spans="1:7" s="2964" customFormat="1">
      <c r="A183" s="2964">
        <v>57</v>
      </c>
      <c r="B183" s="2966" t="s">
        <v>66</v>
      </c>
      <c r="C183" s="2964" t="str">
        <f t="shared" ca="1" si="6"/>
        <v>Körnerhirse (Lebens-/Futtermittel)</v>
      </c>
      <c r="D183" s="2964">
        <f t="shared" ca="1" si="7"/>
        <v>0</v>
      </c>
      <c r="E183" s="2965">
        <f t="shared" ca="1" si="8"/>
        <v>0</v>
      </c>
    </row>
    <row r="184" spans="1:7">
      <c r="A184" s="15">
        <v>46</v>
      </c>
      <c r="B184" s="2966" t="s">
        <v>63</v>
      </c>
      <c r="C184" s="33" t="str">
        <f t="shared" ca="1" si="6"/>
        <v>Winterraps</v>
      </c>
      <c r="D184" s="33" t="str">
        <f t="shared" ca="1" si="7"/>
        <v>Drehpflug 2,10 m</v>
      </c>
      <c r="E184" s="608">
        <f t="shared" ca="1" si="8"/>
        <v>20</v>
      </c>
      <c r="G184" s="2964"/>
    </row>
    <row r="185" spans="1:7">
      <c r="A185" s="33">
        <v>47</v>
      </c>
      <c r="B185" s="2966" t="s">
        <v>63</v>
      </c>
      <c r="C185" s="33" t="str">
        <f t="shared" ca="1" si="6"/>
        <v>Winterraps</v>
      </c>
      <c r="D185" s="33" t="str">
        <f t="shared" ca="1" si="7"/>
        <v>Kreiselegge-Säkomb. 3 m</v>
      </c>
      <c r="E185" s="608">
        <f t="shared" ca="1" si="8"/>
        <v>0</v>
      </c>
      <c r="G185" s="2964"/>
    </row>
    <row r="186" spans="1:7">
      <c r="A186" s="15">
        <v>48</v>
      </c>
      <c r="B186" s="2966" t="s">
        <v>63</v>
      </c>
      <c r="C186" s="33" t="str">
        <f t="shared" ca="1" si="6"/>
        <v>Winterraps</v>
      </c>
      <c r="D186" s="33" t="str">
        <f t="shared" ca="1" si="7"/>
        <v xml:space="preserve">Düngerstreuer ab Hof 12 m, 400 kg/ha </v>
      </c>
      <c r="E186" s="608">
        <f t="shared" ca="1" si="8"/>
        <v>0</v>
      </c>
      <c r="G186" s="2964"/>
    </row>
    <row r="187" spans="1:7">
      <c r="A187" s="33">
        <v>49</v>
      </c>
      <c r="B187" s="2966" t="s">
        <v>63</v>
      </c>
      <c r="C187" s="33" t="str">
        <f t="shared" ca="1" si="6"/>
        <v>Winterraps</v>
      </c>
      <c r="D187" s="33" t="str">
        <f t="shared" ca="1" si="7"/>
        <v>Pflanzenschutzspritze 12 m, 300 l/ha</v>
      </c>
      <c r="E187" s="608">
        <f t="shared" ca="1" si="8"/>
        <v>0</v>
      </c>
      <c r="G187" s="2964"/>
    </row>
    <row r="188" spans="1:7">
      <c r="A188" s="15">
        <v>50</v>
      </c>
      <c r="B188" s="2966" t="s">
        <v>63</v>
      </c>
      <c r="C188" s="33" t="str">
        <f t="shared" ca="1" si="6"/>
        <v>Winterraps</v>
      </c>
      <c r="D188" s="33" t="str">
        <f t="shared" ca="1" si="7"/>
        <v>Transp. u. Abkip. Getr. 6 t/ha (5,7 t Ki.)</v>
      </c>
      <c r="E188" s="608">
        <f t="shared" ca="1" si="8"/>
        <v>0</v>
      </c>
      <c r="G188" s="2964"/>
    </row>
    <row r="189" spans="1:7">
      <c r="A189" s="33">
        <v>51</v>
      </c>
      <c r="B189" s="2966" t="s">
        <v>63</v>
      </c>
      <c r="C189" s="33" t="str">
        <f t="shared" ca="1" si="6"/>
        <v>Winterraps</v>
      </c>
      <c r="D189" s="33" t="str">
        <f t="shared" ca="1" si="7"/>
        <v>Schwergrubber 3 m</v>
      </c>
      <c r="E189" s="608">
        <f t="shared" ca="1" si="8"/>
        <v>0</v>
      </c>
      <c r="G189" s="2964"/>
    </row>
    <row r="190" spans="1:7">
      <c r="A190" s="15">
        <v>52</v>
      </c>
      <c r="B190" s="2966" t="s">
        <v>63</v>
      </c>
      <c r="C190" s="33" t="str">
        <f t="shared" ca="1" si="6"/>
        <v>Winterraps</v>
      </c>
      <c r="D190" s="33">
        <f t="shared" ca="1" si="7"/>
        <v>0</v>
      </c>
      <c r="E190" s="608">
        <f t="shared" ca="1" si="8"/>
        <v>0</v>
      </c>
      <c r="G190" s="2964"/>
    </row>
    <row r="191" spans="1:7">
      <c r="A191" s="33">
        <v>53</v>
      </c>
      <c r="B191" s="2966" t="s">
        <v>63</v>
      </c>
      <c r="C191" s="33" t="str">
        <f t="shared" ca="1" si="6"/>
        <v>Winterraps</v>
      </c>
      <c r="D191" s="33">
        <f t="shared" ca="1" si="7"/>
        <v>0</v>
      </c>
      <c r="E191" s="608">
        <f t="shared" ca="1" si="8"/>
        <v>0</v>
      </c>
      <c r="G191" s="2964"/>
    </row>
    <row r="192" spans="1:7">
      <c r="A192" s="15">
        <v>54</v>
      </c>
      <c r="B192" s="2966" t="s">
        <v>63</v>
      </c>
      <c r="C192" s="33" t="str">
        <f t="shared" ca="1" si="6"/>
        <v>Winterraps</v>
      </c>
      <c r="D192" s="33">
        <f t="shared" ca="1" si="7"/>
        <v>0</v>
      </c>
      <c r="E192" s="608">
        <f t="shared" ca="1" si="8"/>
        <v>0</v>
      </c>
      <c r="G192" s="2964"/>
    </row>
    <row r="193" spans="1:7">
      <c r="A193" s="33">
        <v>55</v>
      </c>
      <c r="B193" s="2966" t="s">
        <v>63</v>
      </c>
      <c r="C193" s="33" t="str">
        <f t="shared" ca="1" si="6"/>
        <v>Winterraps</v>
      </c>
      <c r="D193" s="33">
        <f t="shared" ca="1" si="7"/>
        <v>0</v>
      </c>
      <c r="E193" s="608">
        <f t="shared" ca="1" si="8"/>
        <v>0</v>
      </c>
      <c r="G193" s="2964"/>
    </row>
    <row r="194" spans="1:7">
      <c r="A194" s="15">
        <v>56</v>
      </c>
      <c r="B194" s="2966" t="s">
        <v>63</v>
      </c>
      <c r="C194" s="33" t="str">
        <f t="shared" ca="1" si="6"/>
        <v>Winterraps</v>
      </c>
      <c r="D194" s="33">
        <f t="shared" ca="1" si="7"/>
        <v>0</v>
      </c>
      <c r="E194" s="608">
        <f t="shared" ca="1" si="8"/>
        <v>0</v>
      </c>
      <c r="G194" s="2964"/>
    </row>
    <row r="195" spans="1:7">
      <c r="A195" s="33">
        <v>57</v>
      </c>
      <c r="B195" s="2966" t="s">
        <v>63</v>
      </c>
      <c r="C195" s="33" t="str">
        <f t="shared" ca="1" si="6"/>
        <v>Winterraps</v>
      </c>
      <c r="D195" s="33">
        <f t="shared" ca="1" si="7"/>
        <v>0</v>
      </c>
      <c r="E195" s="608">
        <f t="shared" ca="1" si="8"/>
        <v>0</v>
      </c>
      <c r="G195" s="2964"/>
    </row>
    <row r="196" spans="1:7" s="2964" customFormat="1">
      <c r="A196" s="2966">
        <v>46</v>
      </c>
      <c r="B196" s="2966" t="s">
        <v>61</v>
      </c>
      <c r="C196" s="2964" t="str">
        <f t="shared" ref="C196:C259" ca="1" si="9">INDIRECT("'"&amp;B196&amp;"'!$K$2")</f>
        <v xml:space="preserve">Sommerraps </v>
      </c>
      <c r="D196" s="2964" t="str">
        <f t="shared" ref="D196:D259" ca="1" si="10">INDIRECT("'"&amp;B196&amp;"'!C"&amp;A196)</f>
        <v>Drehpflug 2,10 m</v>
      </c>
      <c r="E196" s="2965">
        <f t="shared" ref="E196:E259" ca="1" si="11">INDIRECT("'"&amp;B196&amp;"'!Q"&amp;A196)</f>
        <v>0</v>
      </c>
    </row>
    <row r="197" spans="1:7" s="2964" customFormat="1">
      <c r="A197" s="2964">
        <v>47</v>
      </c>
      <c r="B197" s="2966" t="s">
        <v>61</v>
      </c>
      <c r="C197" s="2964" t="str">
        <f t="shared" ca="1" si="9"/>
        <v xml:space="preserve">Sommerraps </v>
      </c>
      <c r="D197" s="2964" t="str">
        <f t="shared" ca="1" si="10"/>
        <v>Kreiselegge-Säkomb. 3 m</v>
      </c>
      <c r="E197" s="2965">
        <f t="shared" ca="1" si="11"/>
        <v>0</v>
      </c>
    </row>
    <row r="198" spans="1:7" s="2964" customFormat="1">
      <c r="A198" s="2966">
        <v>48</v>
      </c>
      <c r="B198" s="2966" t="s">
        <v>61</v>
      </c>
      <c r="C198" s="2964" t="str">
        <f t="shared" ca="1" si="9"/>
        <v xml:space="preserve">Sommerraps </v>
      </c>
      <c r="D198" s="2964" t="str">
        <f t="shared" ca="1" si="10"/>
        <v xml:space="preserve">Düngerstreuer ab Hof 12 m, 400 kg/ha </v>
      </c>
      <c r="E198" s="2965">
        <f t="shared" ca="1" si="11"/>
        <v>0</v>
      </c>
    </row>
    <row r="199" spans="1:7" s="2964" customFormat="1">
      <c r="A199" s="2964">
        <v>49</v>
      </c>
      <c r="B199" s="2966" t="s">
        <v>61</v>
      </c>
      <c r="C199" s="2964" t="str">
        <f t="shared" ca="1" si="9"/>
        <v xml:space="preserve">Sommerraps </v>
      </c>
      <c r="D199" s="2964" t="str">
        <f t="shared" ca="1" si="10"/>
        <v>Pflanzenschutzspritze 12 m, 300 l/ha</v>
      </c>
      <c r="E199" s="2965">
        <f t="shared" ca="1" si="11"/>
        <v>0</v>
      </c>
    </row>
    <row r="200" spans="1:7" s="2964" customFormat="1">
      <c r="A200" s="2966">
        <v>50</v>
      </c>
      <c r="B200" s="2966" t="s">
        <v>61</v>
      </c>
      <c r="C200" s="2964" t="str">
        <f t="shared" ca="1" si="9"/>
        <v xml:space="preserve">Sommerraps </v>
      </c>
      <c r="D200" s="2964" t="str">
        <f t="shared" ca="1" si="10"/>
        <v>Transp. u. Abkip. Getr. 6 t/ha (5,7 t Ki.)</v>
      </c>
      <c r="E200" s="2965">
        <f t="shared" ca="1" si="11"/>
        <v>0</v>
      </c>
    </row>
    <row r="201" spans="1:7" s="2964" customFormat="1">
      <c r="A201" s="2964">
        <v>51</v>
      </c>
      <c r="B201" s="2966" t="s">
        <v>61</v>
      </c>
      <c r="C201" s="2964" t="str">
        <f t="shared" ca="1" si="9"/>
        <v xml:space="preserve">Sommerraps </v>
      </c>
      <c r="D201" s="2964" t="str">
        <f t="shared" ca="1" si="10"/>
        <v>Schwergrubber 3 m</v>
      </c>
      <c r="E201" s="2965">
        <f t="shared" ca="1" si="11"/>
        <v>0</v>
      </c>
    </row>
    <row r="202" spans="1:7" s="2964" customFormat="1">
      <c r="A202" s="2966">
        <v>52</v>
      </c>
      <c r="B202" s="2966" t="s">
        <v>61</v>
      </c>
      <c r="C202" s="2964" t="str">
        <f t="shared" ca="1" si="9"/>
        <v xml:space="preserve">Sommerraps </v>
      </c>
      <c r="D202" s="2964">
        <f t="shared" ca="1" si="10"/>
        <v>0</v>
      </c>
      <c r="E202" s="2965">
        <f t="shared" ca="1" si="11"/>
        <v>0</v>
      </c>
    </row>
    <row r="203" spans="1:7" s="2964" customFormat="1">
      <c r="A203" s="2964">
        <v>53</v>
      </c>
      <c r="B203" s="2966" t="s">
        <v>61</v>
      </c>
      <c r="C203" s="2964" t="str">
        <f t="shared" ca="1" si="9"/>
        <v xml:space="preserve">Sommerraps </v>
      </c>
      <c r="D203" s="2964">
        <f t="shared" ca="1" si="10"/>
        <v>0</v>
      </c>
      <c r="E203" s="2965">
        <f t="shared" ca="1" si="11"/>
        <v>0</v>
      </c>
    </row>
    <row r="204" spans="1:7" s="2964" customFormat="1">
      <c r="A204" s="2966">
        <v>54</v>
      </c>
      <c r="B204" s="2966" t="s">
        <v>61</v>
      </c>
      <c r="C204" s="2964" t="str">
        <f t="shared" ca="1" si="9"/>
        <v xml:space="preserve">Sommerraps </v>
      </c>
      <c r="D204" s="2964">
        <f t="shared" ca="1" si="10"/>
        <v>0</v>
      </c>
      <c r="E204" s="2965">
        <f t="shared" ca="1" si="11"/>
        <v>0</v>
      </c>
    </row>
    <row r="205" spans="1:7" s="2964" customFormat="1">
      <c r="A205" s="2964">
        <v>55</v>
      </c>
      <c r="B205" s="2966" t="s">
        <v>61</v>
      </c>
      <c r="C205" s="2964" t="str">
        <f t="shared" ca="1" si="9"/>
        <v xml:space="preserve">Sommerraps </v>
      </c>
      <c r="D205" s="2964">
        <f t="shared" ca="1" si="10"/>
        <v>0</v>
      </c>
      <c r="E205" s="2965">
        <f t="shared" ca="1" si="11"/>
        <v>0</v>
      </c>
    </row>
    <row r="206" spans="1:7" s="2964" customFormat="1">
      <c r="A206" s="2966">
        <v>56</v>
      </c>
      <c r="B206" s="2966" t="s">
        <v>61</v>
      </c>
      <c r="C206" s="2964" t="str">
        <f t="shared" ca="1" si="9"/>
        <v xml:space="preserve">Sommerraps </v>
      </c>
      <c r="D206" s="2964">
        <f t="shared" ca="1" si="10"/>
        <v>0</v>
      </c>
      <c r="E206" s="2965">
        <f t="shared" ca="1" si="11"/>
        <v>0</v>
      </c>
    </row>
    <row r="207" spans="1:7" s="2964" customFormat="1">
      <c r="A207" s="2964">
        <v>57</v>
      </c>
      <c r="B207" s="2966" t="s">
        <v>61</v>
      </c>
      <c r="C207" s="2964" t="str">
        <f t="shared" ca="1" si="9"/>
        <v xml:space="preserve">Sommerraps </v>
      </c>
      <c r="D207" s="2964" t="str">
        <f t="shared" ca="1" si="10"/>
        <v>Stroh-Rundballen 4 t/ha laden, abfahren, stapeln, 3-S-Kipp.</v>
      </c>
      <c r="E207" s="2965">
        <f t="shared" ca="1" si="11"/>
        <v>0</v>
      </c>
    </row>
    <row r="208" spans="1:7">
      <c r="A208" s="15">
        <v>46</v>
      </c>
      <c r="B208" s="2966" t="s">
        <v>59</v>
      </c>
      <c r="C208" s="33" t="str">
        <f t="shared" ca="1" si="9"/>
        <v xml:space="preserve">Sonnenblumen </v>
      </c>
      <c r="D208" s="33" t="str">
        <f t="shared" ca="1" si="10"/>
        <v>Drehpflug 2,10 m</v>
      </c>
      <c r="E208" s="608">
        <f t="shared" ca="1" si="11"/>
        <v>0</v>
      </c>
      <c r="G208" s="2964"/>
    </row>
    <row r="209" spans="1:7">
      <c r="A209" s="33">
        <v>47</v>
      </c>
      <c r="B209" s="2966" t="s">
        <v>59</v>
      </c>
      <c r="C209" s="33" t="str">
        <f t="shared" ca="1" si="9"/>
        <v xml:space="preserve">Sonnenblumen </v>
      </c>
      <c r="D209" s="33" t="str">
        <f t="shared" ca="1" si="10"/>
        <v>Kreiselegge 3 m</v>
      </c>
      <c r="E209" s="608">
        <f t="shared" ca="1" si="11"/>
        <v>0</v>
      </c>
      <c r="G209" s="2964"/>
    </row>
    <row r="210" spans="1:7">
      <c r="A210" s="15">
        <v>48</v>
      </c>
      <c r="B210" s="2966" t="s">
        <v>59</v>
      </c>
      <c r="C210" s="33" t="str">
        <f t="shared" ca="1" si="9"/>
        <v xml:space="preserve">Sonnenblumen </v>
      </c>
      <c r="D210" s="33" t="str">
        <f t="shared" ca="1" si="10"/>
        <v>Einzelkornsaat 4 r (Mais, Sonnenblume)</v>
      </c>
      <c r="E210" s="608">
        <f t="shared" ca="1" si="11"/>
        <v>0</v>
      </c>
      <c r="G210" s="2964"/>
    </row>
    <row r="211" spans="1:7">
      <c r="A211" s="33">
        <v>49</v>
      </c>
      <c r="B211" s="2966" t="s">
        <v>59</v>
      </c>
      <c r="C211" s="33" t="str">
        <f t="shared" ca="1" si="9"/>
        <v xml:space="preserve">Sonnenblumen </v>
      </c>
      <c r="D211" s="33" t="str">
        <f t="shared" ca="1" si="10"/>
        <v xml:space="preserve">Düngerstreuer ab Hof 12 m, 400 kg/ha </v>
      </c>
      <c r="E211" s="608">
        <f t="shared" ca="1" si="11"/>
        <v>0</v>
      </c>
      <c r="G211" s="2964"/>
    </row>
    <row r="212" spans="1:7">
      <c r="A212" s="15">
        <v>50</v>
      </c>
      <c r="B212" s="2966" t="s">
        <v>59</v>
      </c>
      <c r="C212" s="33" t="str">
        <f t="shared" ca="1" si="9"/>
        <v xml:space="preserve">Sonnenblumen </v>
      </c>
      <c r="D212" s="33" t="str">
        <f t="shared" ca="1" si="10"/>
        <v>Pflanzenschutzspritze 12 m, 300 l/ha</v>
      </c>
      <c r="E212" s="608">
        <f t="shared" ca="1" si="11"/>
        <v>0</v>
      </c>
      <c r="G212" s="2964"/>
    </row>
    <row r="213" spans="1:7">
      <c r="A213" s="33">
        <v>51</v>
      </c>
      <c r="B213" s="2966" t="s">
        <v>59</v>
      </c>
      <c r="C213" s="33" t="str">
        <f t="shared" ca="1" si="9"/>
        <v xml:space="preserve">Sonnenblumen </v>
      </c>
      <c r="D213" s="33" t="str">
        <f t="shared" ca="1" si="10"/>
        <v>Transp. u. Abkip. Getr. 6 t/ha (5,7 t Ki.)</v>
      </c>
      <c r="E213" s="608">
        <f t="shared" ca="1" si="11"/>
        <v>0</v>
      </c>
      <c r="G213" s="2964"/>
    </row>
    <row r="214" spans="1:7">
      <c r="A214" s="15">
        <v>52</v>
      </c>
      <c r="B214" s="2966" t="s">
        <v>59</v>
      </c>
      <c r="C214" s="33" t="str">
        <f t="shared" ca="1" si="9"/>
        <v xml:space="preserve">Sonnenblumen </v>
      </c>
      <c r="D214" s="33" t="str">
        <f t="shared" ca="1" si="10"/>
        <v>Schwergrubber 3 m</v>
      </c>
      <c r="E214" s="608">
        <f t="shared" ca="1" si="11"/>
        <v>0</v>
      </c>
      <c r="G214" s="2964"/>
    </row>
    <row r="215" spans="1:7">
      <c r="A215" s="33">
        <v>53</v>
      </c>
      <c r="B215" s="2966" t="s">
        <v>59</v>
      </c>
      <c r="C215" s="33" t="str">
        <f t="shared" ca="1" si="9"/>
        <v xml:space="preserve">Sonnenblumen </v>
      </c>
      <c r="D215" s="33">
        <f t="shared" ca="1" si="10"/>
        <v>0</v>
      </c>
      <c r="E215" s="608">
        <f t="shared" ca="1" si="11"/>
        <v>0</v>
      </c>
      <c r="G215" s="2964"/>
    </row>
    <row r="216" spans="1:7">
      <c r="A216" s="15">
        <v>54</v>
      </c>
      <c r="B216" s="2966" t="s">
        <v>59</v>
      </c>
      <c r="C216" s="33" t="str">
        <f t="shared" ca="1" si="9"/>
        <v xml:space="preserve">Sonnenblumen </v>
      </c>
      <c r="D216" s="33">
        <f t="shared" ca="1" si="10"/>
        <v>0</v>
      </c>
      <c r="E216" s="608">
        <f t="shared" ca="1" si="11"/>
        <v>0</v>
      </c>
      <c r="G216" s="2964"/>
    </row>
    <row r="217" spans="1:7">
      <c r="A217" s="33">
        <v>55</v>
      </c>
      <c r="B217" s="2966" t="s">
        <v>59</v>
      </c>
      <c r="C217" s="33" t="str">
        <f t="shared" ca="1" si="9"/>
        <v xml:space="preserve">Sonnenblumen </v>
      </c>
      <c r="D217" s="33">
        <f t="shared" ca="1" si="10"/>
        <v>0</v>
      </c>
      <c r="E217" s="608">
        <f t="shared" ca="1" si="11"/>
        <v>0</v>
      </c>
      <c r="G217" s="2964"/>
    </row>
    <row r="218" spans="1:7">
      <c r="A218" s="15">
        <v>56</v>
      </c>
      <c r="B218" s="2966" t="s">
        <v>59</v>
      </c>
      <c r="C218" s="33" t="str">
        <f t="shared" ca="1" si="9"/>
        <v xml:space="preserve">Sonnenblumen </v>
      </c>
      <c r="D218" s="33">
        <f t="shared" ca="1" si="10"/>
        <v>0</v>
      </c>
      <c r="E218" s="608">
        <f t="shared" ca="1" si="11"/>
        <v>0</v>
      </c>
      <c r="G218" s="2964"/>
    </row>
    <row r="219" spans="1:7">
      <c r="A219" s="33">
        <v>57</v>
      </c>
      <c r="B219" s="2966" t="s">
        <v>59</v>
      </c>
      <c r="C219" s="33" t="str">
        <f t="shared" ca="1" si="9"/>
        <v xml:space="preserve">Sonnenblumen </v>
      </c>
      <c r="D219" s="33" t="str">
        <f t="shared" ca="1" si="10"/>
        <v>Stroh-Rundballen 4 t/ha laden, abfahren, stapeln, 3-S-Kipp.</v>
      </c>
      <c r="E219" s="608">
        <f t="shared" ca="1" si="11"/>
        <v>0</v>
      </c>
      <c r="G219" s="2964"/>
    </row>
    <row r="220" spans="1:7" s="2964" customFormat="1">
      <c r="A220" s="2966">
        <v>46</v>
      </c>
      <c r="B220" s="2966" t="s">
        <v>58</v>
      </c>
      <c r="C220" s="2964" t="str">
        <f t="shared" ca="1" si="9"/>
        <v xml:space="preserve">Sojabohne </v>
      </c>
      <c r="D220" s="2964" t="str">
        <f t="shared" ca="1" si="10"/>
        <v>Drehpflug 2,10 m</v>
      </c>
      <c r="E220" s="2965">
        <f t="shared" ca="1" si="11"/>
        <v>0</v>
      </c>
    </row>
    <row r="221" spans="1:7" s="2964" customFormat="1">
      <c r="A221" s="2964">
        <v>47</v>
      </c>
      <c r="B221" s="2966" t="s">
        <v>58</v>
      </c>
      <c r="C221" s="2964" t="str">
        <f t="shared" ca="1" si="9"/>
        <v xml:space="preserve">Sojabohne </v>
      </c>
      <c r="D221" s="2964" t="str">
        <f t="shared" ca="1" si="10"/>
        <v>Kreiselegge-Säkomb. 3 m</v>
      </c>
      <c r="E221" s="2965">
        <f t="shared" ca="1" si="11"/>
        <v>0</v>
      </c>
    </row>
    <row r="222" spans="1:7" s="2964" customFormat="1">
      <c r="A222" s="2966">
        <v>48</v>
      </c>
      <c r="B222" s="2966" t="s">
        <v>58</v>
      </c>
      <c r="C222" s="2964" t="str">
        <f t="shared" ca="1" si="9"/>
        <v xml:space="preserve">Sojabohne </v>
      </c>
      <c r="D222" s="2964" t="str">
        <f t="shared" ca="1" si="10"/>
        <v xml:space="preserve">Düngerstreuer ab Hof 12 m, 400 kg/ha </v>
      </c>
      <c r="E222" s="2965">
        <f t="shared" ca="1" si="11"/>
        <v>0</v>
      </c>
    </row>
    <row r="223" spans="1:7" s="2964" customFormat="1">
      <c r="A223" s="2964">
        <v>49</v>
      </c>
      <c r="B223" s="2966" t="s">
        <v>58</v>
      </c>
      <c r="C223" s="2964" t="str">
        <f t="shared" ca="1" si="9"/>
        <v xml:space="preserve">Sojabohne </v>
      </c>
      <c r="D223" s="2964" t="str">
        <f t="shared" ca="1" si="10"/>
        <v>Pflanzenschutzspritze 12 m, 300 l/ha</v>
      </c>
      <c r="E223" s="2965">
        <f t="shared" ca="1" si="11"/>
        <v>0</v>
      </c>
    </row>
    <row r="224" spans="1:7" s="2964" customFormat="1">
      <c r="A224" s="2966">
        <v>50</v>
      </c>
      <c r="B224" s="2966" t="s">
        <v>58</v>
      </c>
      <c r="C224" s="2964" t="str">
        <f t="shared" ca="1" si="9"/>
        <v xml:space="preserve">Sojabohne </v>
      </c>
      <c r="D224" s="2964" t="str">
        <f t="shared" ca="1" si="10"/>
        <v>Transp. u. Abkip. Getr. 6 t/ha (5,7 t Ki.)</v>
      </c>
      <c r="E224" s="2965">
        <f t="shared" ca="1" si="11"/>
        <v>0</v>
      </c>
    </row>
    <row r="225" spans="1:7" s="2964" customFormat="1">
      <c r="A225" s="2964">
        <v>51</v>
      </c>
      <c r="B225" s="2966" t="s">
        <v>58</v>
      </c>
      <c r="C225" s="2964" t="str">
        <f t="shared" ca="1" si="9"/>
        <v xml:space="preserve">Sojabohne </v>
      </c>
      <c r="D225" s="2964" t="str">
        <f t="shared" ca="1" si="10"/>
        <v>Schwergrubber 3 m</v>
      </c>
      <c r="E225" s="2965">
        <f t="shared" ca="1" si="11"/>
        <v>0</v>
      </c>
    </row>
    <row r="226" spans="1:7" s="2964" customFormat="1">
      <c r="A226" s="2966">
        <v>52</v>
      </c>
      <c r="B226" s="2966" t="s">
        <v>58</v>
      </c>
      <c r="C226" s="2964" t="str">
        <f t="shared" ca="1" si="9"/>
        <v xml:space="preserve">Sojabohne </v>
      </c>
      <c r="D226" s="2964">
        <f t="shared" ca="1" si="10"/>
        <v>0</v>
      </c>
      <c r="E226" s="2965">
        <f t="shared" ca="1" si="11"/>
        <v>0</v>
      </c>
    </row>
    <row r="227" spans="1:7" s="2964" customFormat="1">
      <c r="A227" s="2964">
        <v>53</v>
      </c>
      <c r="B227" s="2966" t="s">
        <v>58</v>
      </c>
      <c r="C227" s="2964" t="str">
        <f t="shared" ca="1" si="9"/>
        <v xml:space="preserve">Sojabohne </v>
      </c>
      <c r="D227" s="2964">
        <f t="shared" ca="1" si="10"/>
        <v>0</v>
      </c>
      <c r="E227" s="2965">
        <f t="shared" ca="1" si="11"/>
        <v>0</v>
      </c>
    </row>
    <row r="228" spans="1:7" s="2964" customFormat="1">
      <c r="A228" s="2966">
        <v>54</v>
      </c>
      <c r="B228" s="2966" t="s">
        <v>58</v>
      </c>
      <c r="C228" s="2964" t="str">
        <f t="shared" ca="1" si="9"/>
        <v xml:space="preserve">Sojabohne </v>
      </c>
      <c r="D228" s="2964">
        <f t="shared" ca="1" si="10"/>
        <v>0</v>
      </c>
      <c r="E228" s="2965">
        <f t="shared" ca="1" si="11"/>
        <v>0</v>
      </c>
    </row>
    <row r="229" spans="1:7" s="2964" customFormat="1">
      <c r="A229" s="2964">
        <v>55</v>
      </c>
      <c r="B229" s="2966" t="s">
        <v>58</v>
      </c>
      <c r="C229" s="2964" t="str">
        <f t="shared" ca="1" si="9"/>
        <v xml:space="preserve">Sojabohne </v>
      </c>
      <c r="D229" s="2964">
        <f t="shared" ca="1" si="10"/>
        <v>0</v>
      </c>
      <c r="E229" s="2965">
        <f t="shared" ca="1" si="11"/>
        <v>0</v>
      </c>
    </row>
    <row r="230" spans="1:7" s="2964" customFormat="1">
      <c r="A230" s="2966">
        <v>56</v>
      </c>
      <c r="B230" s="2966" t="s">
        <v>58</v>
      </c>
      <c r="C230" s="2964" t="str">
        <f t="shared" ca="1" si="9"/>
        <v xml:space="preserve">Sojabohne </v>
      </c>
      <c r="D230" s="2964">
        <f t="shared" ca="1" si="10"/>
        <v>0</v>
      </c>
      <c r="E230" s="2965">
        <f t="shared" ca="1" si="11"/>
        <v>0</v>
      </c>
    </row>
    <row r="231" spans="1:7" s="2964" customFormat="1">
      <c r="A231" s="2964">
        <v>57</v>
      </c>
      <c r="B231" s="2966" t="s">
        <v>58</v>
      </c>
      <c r="C231" s="2964" t="str">
        <f t="shared" ca="1" si="9"/>
        <v xml:space="preserve">Sojabohne </v>
      </c>
      <c r="D231" s="2964" t="str">
        <f t="shared" ca="1" si="10"/>
        <v>Stroh-Rundballen 4 t/ha laden, abfahren, stapeln, 3-S-Kipp.</v>
      </c>
      <c r="E231" s="2965">
        <f t="shared" ca="1" si="11"/>
        <v>0</v>
      </c>
    </row>
    <row r="232" spans="1:7">
      <c r="A232" s="15">
        <v>46</v>
      </c>
      <c r="B232" s="2966" t="s">
        <v>56</v>
      </c>
      <c r="C232" s="33" t="str">
        <f t="shared" ca="1" si="9"/>
        <v xml:space="preserve">Öllein (Industrie) </v>
      </c>
      <c r="D232" s="33" t="str">
        <f t="shared" ca="1" si="10"/>
        <v>Drehpflug 2,10 m</v>
      </c>
      <c r="E232" s="608">
        <f t="shared" ca="1" si="11"/>
        <v>0</v>
      </c>
      <c r="G232" s="2964"/>
    </row>
    <row r="233" spans="1:7">
      <c r="A233" s="33">
        <v>47</v>
      </c>
      <c r="B233" s="2966" t="s">
        <v>56</v>
      </c>
      <c r="C233" s="33" t="str">
        <f t="shared" ca="1" si="9"/>
        <v xml:space="preserve">Öllein (Industrie) </v>
      </c>
      <c r="D233" s="33">
        <f t="shared" ca="1" si="10"/>
        <v>0</v>
      </c>
      <c r="E233" s="608">
        <f t="shared" ca="1" si="11"/>
        <v>0</v>
      </c>
      <c r="G233" s="2964"/>
    </row>
    <row r="234" spans="1:7">
      <c r="A234" s="15">
        <v>48</v>
      </c>
      <c r="B234" s="2966" t="s">
        <v>56</v>
      </c>
      <c r="C234" s="33" t="str">
        <f t="shared" ca="1" si="9"/>
        <v xml:space="preserve">Öllein (Industrie) </v>
      </c>
      <c r="D234" s="33" t="str">
        <f t="shared" ca="1" si="10"/>
        <v>Kreiselegge-Säkomb. 3 m</v>
      </c>
      <c r="E234" s="608">
        <f t="shared" ca="1" si="11"/>
        <v>0</v>
      </c>
      <c r="G234" s="2964"/>
    </row>
    <row r="235" spans="1:7">
      <c r="A235" s="33">
        <v>49</v>
      </c>
      <c r="B235" s="2966" t="s">
        <v>56</v>
      </c>
      <c r="C235" s="33" t="str">
        <f t="shared" ca="1" si="9"/>
        <v xml:space="preserve">Öllein (Industrie) </v>
      </c>
      <c r="D235" s="33" t="str">
        <f t="shared" ca="1" si="10"/>
        <v>Cambridgewalze 4,5 m</v>
      </c>
      <c r="E235" s="608">
        <f t="shared" ca="1" si="11"/>
        <v>0</v>
      </c>
      <c r="G235" s="2964"/>
    </row>
    <row r="236" spans="1:7">
      <c r="A236" s="15">
        <v>50</v>
      </c>
      <c r="B236" s="2966" t="s">
        <v>56</v>
      </c>
      <c r="C236" s="33" t="str">
        <f t="shared" ca="1" si="9"/>
        <v xml:space="preserve">Öllein (Industrie) </v>
      </c>
      <c r="D236" s="33" t="str">
        <f t="shared" ca="1" si="10"/>
        <v>Hackstriegel 9 m</v>
      </c>
      <c r="E236" s="608">
        <f t="shared" ca="1" si="11"/>
        <v>0</v>
      </c>
      <c r="G236" s="2964"/>
    </row>
    <row r="237" spans="1:7">
      <c r="A237" s="33">
        <v>51</v>
      </c>
      <c r="B237" s="2966" t="s">
        <v>56</v>
      </c>
      <c r="C237" s="33" t="str">
        <f t="shared" ca="1" si="9"/>
        <v xml:space="preserve">Öllein (Industrie) </v>
      </c>
      <c r="D237" s="33" t="str">
        <f t="shared" ca="1" si="10"/>
        <v>Pflanzenschutzspritze 12 m, 300 l/ha</v>
      </c>
      <c r="E237" s="608">
        <f t="shared" ca="1" si="11"/>
        <v>0</v>
      </c>
      <c r="G237" s="2964"/>
    </row>
    <row r="238" spans="1:7">
      <c r="A238" s="15">
        <v>52</v>
      </c>
      <c r="B238" s="2966" t="s">
        <v>56</v>
      </c>
      <c r="C238" s="33" t="str">
        <f t="shared" ca="1" si="9"/>
        <v xml:space="preserve">Öllein (Industrie) </v>
      </c>
      <c r="D238" s="33" t="str">
        <f t="shared" ca="1" si="10"/>
        <v xml:space="preserve">Düngerstreuer ab Hof 12 m, 400 kg/ha </v>
      </c>
      <c r="E238" s="608">
        <f t="shared" ca="1" si="11"/>
        <v>0</v>
      </c>
      <c r="G238" s="2964"/>
    </row>
    <row r="239" spans="1:7">
      <c r="A239" s="33">
        <v>53</v>
      </c>
      <c r="B239" s="2966" t="s">
        <v>56</v>
      </c>
      <c r="C239" s="33" t="str">
        <f t="shared" ca="1" si="9"/>
        <v xml:space="preserve">Öllein (Industrie) </v>
      </c>
      <c r="D239" s="33" t="str">
        <f t="shared" ca="1" si="10"/>
        <v>Transp. u. Abkip. Getr. 6 t/ha (5,7 t Ki.)</v>
      </c>
      <c r="E239" s="608">
        <f t="shared" ca="1" si="11"/>
        <v>0</v>
      </c>
      <c r="G239" s="2964"/>
    </row>
    <row r="240" spans="1:7">
      <c r="A240" s="15">
        <v>54</v>
      </c>
      <c r="B240" s="2966" t="s">
        <v>56</v>
      </c>
      <c r="C240" s="33" t="str">
        <f t="shared" ca="1" si="9"/>
        <v xml:space="preserve">Öllein (Industrie) </v>
      </c>
      <c r="D240" s="33" t="str">
        <f t="shared" ca="1" si="10"/>
        <v>Schwergrubber 3 m</v>
      </c>
      <c r="E240" s="608">
        <f t="shared" ca="1" si="11"/>
        <v>0</v>
      </c>
      <c r="G240" s="2964"/>
    </row>
    <row r="241" spans="1:7">
      <c r="A241" s="33">
        <v>55</v>
      </c>
      <c r="B241" s="2966" t="s">
        <v>56</v>
      </c>
      <c r="C241" s="33" t="str">
        <f t="shared" ca="1" si="9"/>
        <v xml:space="preserve">Öllein (Industrie) </v>
      </c>
      <c r="D241" s="33">
        <f t="shared" ca="1" si="10"/>
        <v>0</v>
      </c>
      <c r="E241" s="608">
        <f t="shared" ca="1" si="11"/>
        <v>0</v>
      </c>
      <c r="G241" s="2964"/>
    </row>
    <row r="242" spans="1:7">
      <c r="A242" s="15">
        <v>56</v>
      </c>
      <c r="B242" s="2966" t="s">
        <v>56</v>
      </c>
      <c r="C242" s="33" t="str">
        <f t="shared" ca="1" si="9"/>
        <v xml:space="preserve">Öllein (Industrie) </v>
      </c>
      <c r="D242" s="33">
        <f t="shared" ca="1" si="10"/>
        <v>0</v>
      </c>
      <c r="E242" s="608">
        <f t="shared" ca="1" si="11"/>
        <v>0</v>
      </c>
      <c r="G242" s="2964"/>
    </row>
    <row r="243" spans="1:7">
      <c r="A243" s="33">
        <v>57</v>
      </c>
      <c r="B243" s="2966" t="s">
        <v>56</v>
      </c>
      <c r="C243" s="33" t="str">
        <f t="shared" ca="1" si="9"/>
        <v xml:space="preserve">Öllein (Industrie) </v>
      </c>
      <c r="D243" s="33" t="str">
        <f t="shared" ca="1" si="10"/>
        <v>Stroh-Rundballen 4 t/ha laden, abfahren, stapeln, 3-S-Kipp.</v>
      </c>
      <c r="E243" s="608">
        <f t="shared" ca="1" si="11"/>
        <v>0</v>
      </c>
      <c r="G243" s="2964"/>
    </row>
    <row r="244" spans="1:7" s="2964" customFormat="1">
      <c r="A244" s="2966">
        <v>46</v>
      </c>
      <c r="B244" s="2966" t="s">
        <v>53</v>
      </c>
      <c r="C244" s="2964" t="str">
        <f t="shared" ca="1" si="9"/>
        <v xml:space="preserve">Futtererbsen </v>
      </c>
      <c r="D244" s="2964" t="str">
        <f t="shared" ca="1" si="10"/>
        <v>Drehpflug 2,10 m</v>
      </c>
      <c r="E244" s="2965">
        <f t="shared" ca="1" si="11"/>
        <v>10</v>
      </c>
    </row>
    <row r="245" spans="1:7" s="2964" customFormat="1">
      <c r="A245" s="2964">
        <v>47</v>
      </c>
      <c r="B245" s="2966" t="s">
        <v>53</v>
      </c>
      <c r="C245" s="2964" t="str">
        <f t="shared" ca="1" si="9"/>
        <v xml:space="preserve">Futtererbsen </v>
      </c>
      <c r="D245" s="2964" t="str">
        <f t="shared" ca="1" si="10"/>
        <v>Kreiselegge-Säkomb. 3 m</v>
      </c>
      <c r="E245" s="2965">
        <f t="shared" ca="1" si="11"/>
        <v>0</v>
      </c>
    </row>
    <row r="246" spans="1:7" s="2964" customFormat="1">
      <c r="A246" s="2966">
        <v>48</v>
      </c>
      <c r="B246" s="2966" t="s">
        <v>53</v>
      </c>
      <c r="C246" s="2964" t="str">
        <f t="shared" ca="1" si="9"/>
        <v xml:space="preserve">Futtererbsen </v>
      </c>
      <c r="D246" s="2964" t="str">
        <f t="shared" ca="1" si="10"/>
        <v xml:space="preserve">Düngerstreuer ab Hof 12 m, 400 kg/ha </v>
      </c>
      <c r="E246" s="2965">
        <f t="shared" ca="1" si="11"/>
        <v>0</v>
      </c>
    </row>
    <row r="247" spans="1:7" s="2964" customFormat="1">
      <c r="A247" s="2964">
        <v>49</v>
      </c>
      <c r="B247" s="2966" t="s">
        <v>53</v>
      </c>
      <c r="C247" s="2964" t="str">
        <f t="shared" ca="1" si="9"/>
        <v xml:space="preserve">Futtererbsen </v>
      </c>
      <c r="D247" s="2964" t="str">
        <f t="shared" ca="1" si="10"/>
        <v>Pflanzenschutzspritze 12 m, 300 l/ha</v>
      </c>
      <c r="E247" s="2965">
        <f t="shared" ca="1" si="11"/>
        <v>0</v>
      </c>
    </row>
    <row r="248" spans="1:7" s="2964" customFormat="1">
      <c r="A248" s="2966">
        <v>50</v>
      </c>
      <c r="B248" s="2966" t="s">
        <v>53</v>
      </c>
      <c r="C248" s="2964" t="str">
        <f t="shared" ca="1" si="9"/>
        <v xml:space="preserve">Futtererbsen </v>
      </c>
      <c r="D248" s="2964" t="str">
        <f t="shared" ca="1" si="10"/>
        <v>Transp. u. Abkip. Getr. 6 t/ha (5,7 t Ki.)</v>
      </c>
      <c r="E248" s="2965">
        <f t="shared" ca="1" si="11"/>
        <v>0</v>
      </c>
    </row>
    <row r="249" spans="1:7" s="2964" customFormat="1">
      <c r="A249" s="2964">
        <v>51</v>
      </c>
      <c r="B249" s="2966" t="s">
        <v>53</v>
      </c>
      <c r="C249" s="2964" t="str">
        <f t="shared" ca="1" si="9"/>
        <v xml:space="preserve">Futtererbsen </v>
      </c>
      <c r="D249" s="2964" t="str">
        <f t="shared" ca="1" si="10"/>
        <v>Schwergrubber 3 m</v>
      </c>
      <c r="E249" s="2965">
        <f t="shared" ca="1" si="11"/>
        <v>0</v>
      </c>
    </row>
    <row r="250" spans="1:7" s="2964" customFormat="1">
      <c r="A250" s="2966">
        <v>52</v>
      </c>
      <c r="B250" s="2966" t="s">
        <v>53</v>
      </c>
      <c r="C250" s="2964" t="str">
        <f t="shared" ca="1" si="9"/>
        <v xml:space="preserve">Futtererbsen </v>
      </c>
      <c r="D250" s="2964">
        <f t="shared" ca="1" si="10"/>
        <v>0</v>
      </c>
      <c r="E250" s="2965">
        <f t="shared" ca="1" si="11"/>
        <v>0</v>
      </c>
    </row>
    <row r="251" spans="1:7" s="2964" customFormat="1">
      <c r="A251" s="2964">
        <v>53</v>
      </c>
      <c r="B251" s="2966" t="s">
        <v>53</v>
      </c>
      <c r="C251" s="2964" t="str">
        <f t="shared" ca="1" si="9"/>
        <v xml:space="preserve">Futtererbsen </v>
      </c>
      <c r="D251" s="2964">
        <f t="shared" ca="1" si="10"/>
        <v>0</v>
      </c>
      <c r="E251" s="2965">
        <f t="shared" ca="1" si="11"/>
        <v>0</v>
      </c>
    </row>
    <row r="252" spans="1:7" s="2964" customFormat="1">
      <c r="A252" s="2966">
        <v>54</v>
      </c>
      <c r="B252" s="2966" t="s">
        <v>53</v>
      </c>
      <c r="C252" s="2964" t="str">
        <f t="shared" ca="1" si="9"/>
        <v xml:space="preserve">Futtererbsen </v>
      </c>
      <c r="D252" s="2964">
        <f t="shared" ca="1" si="10"/>
        <v>0</v>
      </c>
      <c r="E252" s="2965">
        <f t="shared" ca="1" si="11"/>
        <v>0</v>
      </c>
    </row>
    <row r="253" spans="1:7" s="2964" customFormat="1">
      <c r="A253" s="2964">
        <v>55</v>
      </c>
      <c r="B253" s="2966" t="s">
        <v>53</v>
      </c>
      <c r="C253" s="2964" t="str">
        <f t="shared" ca="1" si="9"/>
        <v xml:space="preserve">Futtererbsen </v>
      </c>
      <c r="D253" s="2964">
        <f t="shared" ca="1" si="10"/>
        <v>0</v>
      </c>
      <c r="E253" s="2965">
        <f t="shared" ca="1" si="11"/>
        <v>0</v>
      </c>
    </row>
    <row r="254" spans="1:7" s="2964" customFormat="1">
      <c r="A254" s="2966">
        <v>56</v>
      </c>
      <c r="B254" s="2966" t="s">
        <v>53</v>
      </c>
      <c r="C254" s="2964" t="str">
        <f t="shared" ca="1" si="9"/>
        <v xml:space="preserve">Futtererbsen </v>
      </c>
      <c r="D254" s="2964">
        <f t="shared" ca="1" si="10"/>
        <v>0</v>
      </c>
      <c r="E254" s="2965">
        <f t="shared" ca="1" si="11"/>
        <v>0</v>
      </c>
    </row>
    <row r="255" spans="1:7" s="2964" customFormat="1">
      <c r="A255" s="2964">
        <v>57</v>
      </c>
      <c r="B255" s="2966" t="s">
        <v>53</v>
      </c>
      <c r="C255" s="2964" t="str">
        <f t="shared" ca="1" si="9"/>
        <v xml:space="preserve">Futtererbsen </v>
      </c>
      <c r="D255" s="2964" t="str">
        <f t="shared" ca="1" si="10"/>
        <v>Stroh-Rundballen 4 t/ha laden, abfahren, stapeln, 3-S-Kipp.</v>
      </c>
      <c r="E255" s="2965">
        <f t="shared" ca="1" si="11"/>
        <v>0</v>
      </c>
    </row>
    <row r="256" spans="1:7">
      <c r="A256" s="15">
        <v>46</v>
      </c>
      <c r="B256" s="2966" t="s">
        <v>51</v>
      </c>
      <c r="C256" s="33" t="str">
        <f t="shared" ca="1" si="9"/>
        <v xml:space="preserve">Ackerbohnen </v>
      </c>
      <c r="D256" s="33" t="str">
        <f t="shared" ca="1" si="10"/>
        <v>Drehpflug 2,10 m</v>
      </c>
      <c r="E256" s="608">
        <f t="shared" ca="1" si="11"/>
        <v>0</v>
      </c>
      <c r="G256" s="2964"/>
    </row>
    <row r="257" spans="1:7">
      <c r="A257" s="33">
        <v>47</v>
      </c>
      <c r="B257" s="2966" t="s">
        <v>51</v>
      </c>
      <c r="C257" s="33" t="str">
        <f t="shared" ca="1" si="9"/>
        <v xml:space="preserve">Ackerbohnen </v>
      </c>
      <c r="D257" s="33" t="str">
        <f t="shared" ca="1" si="10"/>
        <v>Kreiselegge-Säkomb. 3 m</v>
      </c>
      <c r="E257" s="608">
        <f t="shared" ca="1" si="11"/>
        <v>0</v>
      </c>
      <c r="G257" s="2964"/>
    </row>
    <row r="258" spans="1:7">
      <c r="A258" s="15">
        <v>48</v>
      </c>
      <c r="B258" s="2966" t="s">
        <v>51</v>
      </c>
      <c r="C258" s="33" t="str">
        <f t="shared" ca="1" si="9"/>
        <v xml:space="preserve">Ackerbohnen </v>
      </c>
      <c r="D258" s="33" t="str">
        <f t="shared" ca="1" si="10"/>
        <v xml:space="preserve">Düngerstreuer ab Hof 12 m, 400 kg/ha </v>
      </c>
      <c r="E258" s="608">
        <f t="shared" ca="1" si="11"/>
        <v>0</v>
      </c>
      <c r="G258" s="2964"/>
    </row>
    <row r="259" spans="1:7">
      <c r="A259" s="33">
        <v>49</v>
      </c>
      <c r="B259" s="2966" t="s">
        <v>51</v>
      </c>
      <c r="C259" s="33" t="str">
        <f t="shared" ca="1" si="9"/>
        <v xml:space="preserve">Ackerbohnen </v>
      </c>
      <c r="D259" s="33" t="str">
        <f t="shared" ca="1" si="10"/>
        <v>Pflanzenschutzspritze 12 m, 300 l/ha</v>
      </c>
      <c r="E259" s="608">
        <f t="shared" ca="1" si="11"/>
        <v>0</v>
      </c>
      <c r="G259" s="2964"/>
    </row>
    <row r="260" spans="1:7">
      <c r="A260" s="15">
        <v>50</v>
      </c>
      <c r="B260" s="2966" t="s">
        <v>51</v>
      </c>
      <c r="C260" s="33" t="str">
        <f t="shared" ref="C260:C323" ca="1" si="12">INDIRECT("'"&amp;B260&amp;"'!$K$2")</f>
        <v xml:space="preserve">Ackerbohnen </v>
      </c>
      <c r="D260" s="33" t="str">
        <f t="shared" ref="D260:D323" ca="1" si="13">INDIRECT("'"&amp;B260&amp;"'!C"&amp;A260)</f>
        <v>Transp. u. Abkip. Getr. 6 t/ha (5,7 t Ki.)</v>
      </c>
      <c r="E260" s="608">
        <f t="shared" ref="E260:E323" ca="1" si="14">INDIRECT("'"&amp;B260&amp;"'!Q"&amp;A260)</f>
        <v>0</v>
      </c>
      <c r="G260" s="2964"/>
    </row>
    <row r="261" spans="1:7">
      <c r="A261" s="33">
        <v>51</v>
      </c>
      <c r="B261" s="2966" t="s">
        <v>51</v>
      </c>
      <c r="C261" s="33" t="str">
        <f t="shared" ca="1" si="12"/>
        <v xml:space="preserve">Ackerbohnen </v>
      </c>
      <c r="D261" s="33" t="str">
        <f t="shared" ca="1" si="13"/>
        <v>Schwergrubber 3 m</v>
      </c>
      <c r="E261" s="608">
        <f t="shared" ca="1" si="14"/>
        <v>0</v>
      </c>
      <c r="G261" s="2964"/>
    </row>
    <row r="262" spans="1:7">
      <c r="A262" s="15">
        <v>52</v>
      </c>
      <c r="B262" s="2966" t="s">
        <v>51</v>
      </c>
      <c r="C262" s="33" t="str">
        <f t="shared" ca="1" si="12"/>
        <v xml:space="preserve">Ackerbohnen </v>
      </c>
      <c r="D262" s="33">
        <f t="shared" ca="1" si="13"/>
        <v>0</v>
      </c>
      <c r="E262" s="608">
        <f t="shared" ca="1" si="14"/>
        <v>0</v>
      </c>
      <c r="G262" s="2964"/>
    </row>
    <row r="263" spans="1:7">
      <c r="A263" s="33">
        <v>53</v>
      </c>
      <c r="B263" s="2966" t="s">
        <v>51</v>
      </c>
      <c r="C263" s="33" t="str">
        <f t="shared" ca="1" si="12"/>
        <v xml:space="preserve">Ackerbohnen </v>
      </c>
      <c r="D263" s="33">
        <f t="shared" ca="1" si="13"/>
        <v>0</v>
      </c>
      <c r="E263" s="608">
        <f t="shared" ca="1" si="14"/>
        <v>0</v>
      </c>
      <c r="G263" s="2964"/>
    </row>
    <row r="264" spans="1:7">
      <c r="A264" s="15">
        <v>54</v>
      </c>
      <c r="B264" s="2966" t="s">
        <v>51</v>
      </c>
      <c r="C264" s="33" t="str">
        <f t="shared" ca="1" si="12"/>
        <v xml:space="preserve">Ackerbohnen </v>
      </c>
      <c r="D264" s="33">
        <f t="shared" ca="1" si="13"/>
        <v>0</v>
      </c>
      <c r="E264" s="608">
        <f t="shared" ca="1" si="14"/>
        <v>0</v>
      </c>
      <c r="G264" s="2964"/>
    </row>
    <row r="265" spans="1:7">
      <c r="A265" s="33">
        <v>55</v>
      </c>
      <c r="B265" s="2966" t="s">
        <v>51</v>
      </c>
      <c r="C265" s="33" t="str">
        <f t="shared" ca="1" si="12"/>
        <v xml:space="preserve">Ackerbohnen </v>
      </c>
      <c r="D265" s="33">
        <f t="shared" ca="1" si="13"/>
        <v>0</v>
      </c>
      <c r="E265" s="608">
        <f t="shared" ca="1" si="14"/>
        <v>0</v>
      </c>
      <c r="G265" s="2964"/>
    </row>
    <row r="266" spans="1:7">
      <c r="A266" s="15">
        <v>56</v>
      </c>
      <c r="B266" s="2966" t="s">
        <v>51</v>
      </c>
      <c r="C266" s="33" t="str">
        <f t="shared" ca="1" si="12"/>
        <v xml:space="preserve">Ackerbohnen </v>
      </c>
      <c r="D266" s="33">
        <f t="shared" ca="1" si="13"/>
        <v>0</v>
      </c>
      <c r="E266" s="608">
        <f t="shared" ca="1" si="14"/>
        <v>0</v>
      </c>
      <c r="G266" s="2964"/>
    </row>
    <row r="267" spans="1:7">
      <c r="A267" s="33">
        <v>57</v>
      </c>
      <c r="B267" s="2966" t="s">
        <v>51</v>
      </c>
      <c r="C267" s="33" t="str">
        <f t="shared" ca="1" si="12"/>
        <v xml:space="preserve">Ackerbohnen </v>
      </c>
      <c r="D267" s="33" t="str">
        <f t="shared" ca="1" si="13"/>
        <v>Stroh-Rundballen 4 t/ha laden, abfahren, stapeln, 3-S-Kipp.</v>
      </c>
      <c r="E267" s="608">
        <f t="shared" ca="1" si="14"/>
        <v>0</v>
      </c>
      <c r="G267" s="2964"/>
    </row>
    <row r="268" spans="1:7" s="2964" customFormat="1">
      <c r="A268" s="2966">
        <v>46</v>
      </c>
      <c r="B268" s="2966" t="s">
        <v>49</v>
      </c>
      <c r="C268" s="2964" t="str">
        <f t="shared" ca="1" si="12"/>
        <v xml:space="preserve">Blaue Lupine </v>
      </c>
      <c r="D268" s="2964" t="str">
        <f t="shared" ca="1" si="13"/>
        <v>Drehpflug 2,10 m</v>
      </c>
      <c r="E268" s="2965">
        <f t="shared" ca="1" si="14"/>
        <v>0</v>
      </c>
    </row>
    <row r="269" spans="1:7" s="2964" customFormat="1">
      <c r="A269" s="2964">
        <v>47</v>
      </c>
      <c r="B269" s="2966" t="s">
        <v>49</v>
      </c>
      <c r="C269" s="2964" t="str">
        <f t="shared" ca="1" si="12"/>
        <v xml:space="preserve">Blaue Lupine </v>
      </c>
      <c r="D269" s="2964" t="str">
        <f t="shared" ca="1" si="13"/>
        <v>Kreiselegge-Säkomb. 3 m</v>
      </c>
      <c r="E269" s="2965">
        <f t="shared" ca="1" si="14"/>
        <v>0</v>
      </c>
    </row>
    <row r="270" spans="1:7" s="2964" customFormat="1">
      <c r="A270" s="2966">
        <v>48</v>
      </c>
      <c r="B270" s="2966" t="s">
        <v>49</v>
      </c>
      <c r="C270" s="2964" t="str">
        <f t="shared" ca="1" si="12"/>
        <v xml:space="preserve">Blaue Lupine </v>
      </c>
      <c r="D270" s="2964" t="str">
        <f t="shared" ca="1" si="13"/>
        <v xml:space="preserve">Düngerstreuer ab Hof 12 m, 400 kg/ha </v>
      </c>
      <c r="E270" s="2965">
        <f t="shared" ca="1" si="14"/>
        <v>0</v>
      </c>
    </row>
    <row r="271" spans="1:7" s="2964" customFormat="1">
      <c r="A271" s="2964">
        <v>49</v>
      </c>
      <c r="B271" s="2966" t="s">
        <v>49</v>
      </c>
      <c r="C271" s="2964" t="str">
        <f t="shared" ca="1" si="12"/>
        <v xml:space="preserve">Blaue Lupine </v>
      </c>
      <c r="D271" s="2964" t="str">
        <f t="shared" ca="1" si="13"/>
        <v>Pflanzenschutzspritze 12 m, 300 l/ha</v>
      </c>
      <c r="E271" s="2965">
        <f t="shared" ca="1" si="14"/>
        <v>0</v>
      </c>
    </row>
    <row r="272" spans="1:7" s="2964" customFormat="1">
      <c r="A272" s="2966">
        <v>50</v>
      </c>
      <c r="B272" s="2966" t="s">
        <v>49</v>
      </c>
      <c r="C272" s="2964" t="str">
        <f t="shared" ca="1" si="12"/>
        <v xml:space="preserve">Blaue Lupine </v>
      </c>
      <c r="D272" s="2964" t="str">
        <f t="shared" ca="1" si="13"/>
        <v>Transp. u. Abkip. Getr. 6 t/ha (5,7 t Ki.)</v>
      </c>
      <c r="E272" s="2965">
        <f t="shared" ca="1" si="14"/>
        <v>0</v>
      </c>
    </row>
    <row r="273" spans="1:7" s="2964" customFormat="1">
      <c r="A273" s="2964">
        <v>51</v>
      </c>
      <c r="B273" s="2966" t="s">
        <v>49</v>
      </c>
      <c r="C273" s="2964" t="str">
        <f t="shared" ca="1" si="12"/>
        <v xml:space="preserve">Blaue Lupine </v>
      </c>
      <c r="D273" s="2964" t="str">
        <f t="shared" ca="1" si="13"/>
        <v>Schwergrubber 3 m</v>
      </c>
      <c r="E273" s="2965">
        <f t="shared" ca="1" si="14"/>
        <v>0</v>
      </c>
    </row>
    <row r="274" spans="1:7" s="2964" customFormat="1">
      <c r="A274" s="2966">
        <v>52</v>
      </c>
      <c r="B274" s="2966" t="s">
        <v>49</v>
      </c>
      <c r="C274" s="2964" t="str">
        <f t="shared" ca="1" si="12"/>
        <v xml:space="preserve">Blaue Lupine </v>
      </c>
      <c r="D274" s="2964">
        <f t="shared" ca="1" si="13"/>
        <v>0</v>
      </c>
      <c r="E274" s="2965">
        <f t="shared" ca="1" si="14"/>
        <v>0</v>
      </c>
    </row>
    <row r="275" spans="1:7" s="2964" customFormat="1">
      <c r="A275" s="2964">
        <v>53</v>
      </c>
      <c r="B275" s="2966" t="s">
        <v>49</v>
      </c>
      <c r="C275" s="2964" t="str">
        <f t="shared" ca="1" si="12"/>
        <v xml:space="preserve">Blaue Lupine </v>
      </c>
      <c r="D275" s="2964">
        <f t="shared" ca="1" si="13"/>
        <v>0</v>
      </c>
      <c r="E275" s="2965">
        <f t="shared" ca="1" si="14"/>
        <v>0</v>
      </c>
    </row>
    <row r="276" spans="1:7" s="2964" customFormat="1">
      <c r="A276" s="2966">
        <v>54</v>
      </c>
      <c r="B276" s="2966" t="s">
        <v>49</v>
      </c>
      <c r="C276" s="2964" t="str">
        <f t="shared" ca="1" si="12"/>
        <v xml:space="preserve">Blaue Lupine </v>
      </c>
      <c r="D276" s="2964">
        <f t="shared" ca="1" si="13"/>
        <v>0</v>
      </c>
      <c r="E276" s="2965">
        <f t="shared" ca="1" si="14"/>
        <v>0</v>
      </c>
    </row>
    <row r="277" spans="1:7" s="2964" customFormat="1">
      <c r="A277" s="2964">
        <v>55</v>
      </c>
      <c r="B277" s="2966" t="s">
        <v>49</v>
      </c>
      <c r="C277" s="2964" t="str">
        <f t="shared" ca="1" si="12"/>
        <v xml:space="preserve">Blaue Lupine </v>
      </c>
      <c r="D277" s="2964">
        <f t="shared" ca="1" si="13"/>
        <v>0</v>
      </c>
      <c r="E277" s="2965">
        <f t="shared" ca="1" si="14"/>
        <v>0</v>
      </c>
    </row>
    <row r="278" spans="1:7" s="2964" customFormat="1">
      <c r="A278" s="2966">
        <v>56</v>
      </c>
      <c r="B278" s="2966" t="s">
        <v>49</v>
      </c>
      <c r="C278" s="2964" t="str">
        <f t="shared" ca="1" si="12"/>
        <v xml:space="preserve">Blaue Lupine </v>
      </c>
      <c r="D278" s="2964">
        <f t="shared" ca="1" si="13"/>
        <v>0</v>
      </c>
      <c r="E278" s="2965">
        <f t="shared" ca="1" si="14"/>
        <v>0</v>
      </c>
    </row>
    <row r="279" spans="1:7" s="2964" customFormat="1">
      <c r="A279" s="2964">
        <v>57</v>
      </c>
      <c r="B279" s="2966" t="s">
        <v>49</v>
      </c>
      <c r="C279" s="2964" t="str">
        <f t="shared" ca="1" si="12"/>
        <v xml:space="preserve">Blaue Lupine </v>
      </c>
      <c r="D279" s="2964" t="str">
        <f t="shared" ca="1" si="13"/>
        <v>Stroh-Rundballen 4 t/ha laden, abfahren, stapeln, 3-S-Kipp.</v>
      </c>
      <c r="E279" s="2965">
        <f t="shared" ca="1" si="14"/>
        <v>0</v>
      </c>
    </row>
    <row r="280" spans="1:7">
      <c r="A280" s="15">
        <v>46</v>
      </c>
      <c r="B280" s="2966" t="s">
        <v>44</v>
      </c>
      <c r="C280" s="33" t="str">
        <f t="shared" ca="1" si="12"/>
        <v xml:space="preserve">Zuckerrüben </v>
      </c>
      <c r="D280" s="33" t="str">
        <f t="shared" ca="1" si="13"/>
        <v>Drehpflug 2,10 m</v>
      </c>
      <c r="E280" s="608">
        <f t="shared" ca="1" si="14"/>
        <v>0</v>
      </c>
      <c r="G280" s="2964"/>
    </row>
    <row r="281" spans="1:7">
      <c r="A281" s="33">
        <v>47</v>
      </c>
      <c r="B281" s="2966" t="s">
        <v>44</v>
      </c>
      <c r="C281" s="33" t="str">
        <f t="shared" ca="1" si="12"/>
        <v xml:space="preserve">Zuckerrüben </v>
      </c>
      <c r="D281" s="33" t="str">
        <f t="shared" ca="1" si="13"/>
        <v>Saatbettkombination 4 m</v>
      </c>
      <c r="E281" s="608">
        <f t="shared" ca="1" si="14"/>
        <v>0</v>
      </c>
      <c r="G281" s="2964"/>
    </row>
    <row r="282" spans="1:7">
      <c r="A282" s="15">
        <v>48</v>
      </c>
      <c r="B282" s="2966" t="s">
        <v>44</v>
      </c>
      <c r="C282" s="33" t="str">
        <f t="shared" ca="1" si="12"/>
        <v xml:space="preserve">Zuckerrüben </v>
      </c>
      <c r="D282" s="33" t="str">
        <f t="shared" ca="1" si="13"/>
        <v>Einzelkornsaat 6 r (Rüben)</v>
      </c>
      <c r="E282" s="608">
        <f t="shared" ca="1" si="14"/>
        <v>0</v>
      </c>
      <c r="G282" s="2964"/>
    </row>
    <row r="283" spans="1:7">
      <c r="A283" s="33">
        <v>49</v>
      </c>
      <c r="B283" s="2966" t="s">
        <v>44</v>
      </c>
      <c r="C283" s="33" t="str">
        <f t="shared" ca="1" si="12"/>
        <v xml:space="preserve">Zuckerrüben </v>
      </c>
      <c r="D283" s="33" t="str">
        <f t="shared" ca="1" si="13"/>
        <v xml:space="preserve">Düngerstreuer ab Hof 12 m, 400 kg/ha </v>
      </c>
      <c r="E283" s="608">
        <f t="shared" ca="1" si="14"/>
        <v>0</v>
      </c>
      <c r="G283" s="2964"/>
    </row>
    <row r="284" spans="1:7">
      <c r="A284" s="15">
        <v>50</v>
      </c>
      <c r="B284" s="2966" t="s">
        <v>44</v>
      </c>
      <c r="C284" s="33" t="str">
        <f t="shared" ca="1" si="12"/>
        <v xml:space="preserve">Zuckerrüben </v>
      </c>
      <c r="D284" s="33" t="str">
        <f t="shared" ca="1" si="13"/>
        <v>Pflanzenschutzspritze 12 m, 300 l/ha</v>
      </c>
      <c r="E284" s="608">
        <f t="shared" ca="1" si="14"/>
        <v>0</v>
      </c>
      <c r="G284" s="2964"/>
    </row>
    <row r="285" spans="1:7">
      <c r="A285" s="33">
        <v>51</v>
      </c>
      <c r="B285" s="2966" t="s">
        <v>44</v>
      </c>
      <c r="C285" s="33" t="str">
        <f t="shared" ca="1" si="12"/>
        <v xml:space="preserve">Zuckerrüben </v>
      </c>
      <c r="D285" s="33">
        <f t="shared" ca="1" si="13"/>
        <v>0</v>
      </c>
      <c r="E285" s="608">
        <f t="shared" ca="1" si="14"/>
        <v>0</v>
      </c>
      <c r="G285" s="2964"/>
    </row>
    <row r="286" spans="1:7">
      <c r="A286" s="15">
        <v>52</v>
      </c>
      <c r="B286" s="2966" t="s">
        <v>44</v>
      </c>
      <c r="C286" s="33" t="str">
        <f t="shared" ca="1" si="12"/>
        <v xml:space="preserve">Zuckerrüben </v>
      </c>
      <c r="D286" s="33">
        <f t="shared" ca="1" si="13"/>
        <v>0</v>
      </c>
      <c r="E286" s="608">
        <f t="shared" ca="1" si="14"/>
        <v>0</v>
      </c>
      <c r="G286" s="2964"/>
    </row>
    <row r="287" spans="1:7">
      <c r="A287" s="33">
        <v>53</v>
      </c>
      <c r="B287" s="2966" t="s">
        <v>44</v>
      </c>
      <c r="C287" s="33" t="str">
        <f t="shared" ca="1" si="12"/>
        <v xml:space="preserve">Zuckerrüben </v>
      </c>
      <c r="D287" s="33">
        <f t="shared" ca="1" si="13"/>
        <v>0</v>
      </c>
      <c r="E287" s="608">
        <f t="shared" ca="1" si="14"/>
        <v>0</v>
      </c>
      <c r="G287" s="2964"/>
    </row>
    <row r="288" spans="1:7">
      <c r="A288" s="15">
        <v>54</v>
      </c>
      <c r="B288" s="2966" t="s">
        <v>44</v>
      </c>
      <c r="C288" s="33" t="str">
        <f t="shared" ca="1" si="12"/>
        <v xml:space="preserve">Zuckerrüben </v>
      </c>
      <c r="D288" s="33">
        <f t="shared" ca="1" si="13"/>
        <v>0</v>
      </c>
      <c r="E288" s="608">
        <f t="shared" ca="1" si="14"/>
        <v>0</v>
      </c>
      <c r="G288" s="2964"/>
    </row>
    <row r="289" spans="1:7">
      <c r="A289" s="33">
        <v>55</v>
      </c>
      <c r="B289" s="2966" t="s">
        <v>44</v>
      </c>
      <c r="C289" s="33" t="str">
        <f t="shared" ca="1" si="12"/>
        <v xml:space="preserve">Zuckerrüben </v>
      </c>
      <c r="D289" s="33">
        <f t="shared" ca="1" si="13"/>
        <v>0</v>
      </c>
      <c r="E289" s="608">
        <f t="shared" ca="1" si="14"/>
        <v>0</v>
      </c>
      <c r="G289" s="2964"/>
    </row>
    <row r="290" spans="1:7">
      <c r="A290" s="15">
        <v>56</v>
      </c>
      <c r="B290" s="2966" t="s">
        <v>44</v>
      </c>
      <c r="C290" s="33" t="str">
        <f t="shared" ca="1" si="12"/>
        <v xml:space="preserve">Zuckerrüben </v>
      </c>
      <c r="D290" s="33">
        <f t="shared" ca="1" si="13"/>
        <v>0</v>
      </c>
      <c r="E290" s="608">
        <f t="shared" ca="1" si="14"/>
        <v>0</v>
      </c>
      <c r="G290" s="2964"/>
    </row>
    <row r="291" spans="1:7">
      <c r="A291" s="33">
        <v>57</v>
      </c>
      <c r="B291" s="2966" t="s">
        <v>44</v>
      </c>
      <c r="C291" s="33" t="str">
        <f t="shared" ca="1" si="12"/>
        <v xml:space="preserve">Zuckerrüben </v>
      </c>
      <c r="D291" s="33">
        <f t="shared" ca="1" si="13"/>
        <v>0</v>
      </c>
      <c r="E291" s="608">
        <f t="shared" ca="1" si="14"/>
        <v>0</v>
      </c>
      <c r="G291" s="2964"/>
    </row>
    <row r="292" spans="1:7" s="2964" customFormat="1">
      <c r="A292" s="2966">
        <v>46</v>
      </c>
      <c r="B292" s="2966" t="s">
        <v>42</v>
      </c>
      <c r="C292" s="2964" t="str">
        <f t="shared" ca="1" si="12"/>
        <v>Frühkartoffeln</v>
      </c>
      <c r="D292" s="2964" t="str">
        <f t="shared" ca="1" si="13"/>
        <v>Drehpflug 2,10 m</v>
      </c>
      <c r="E292" s="2965">
        <f t="shared" ca="1" si="14"/>
        <v>0</v>
      </c>
    </row>
    <row r="293" spans="1:7" s="2964" customFormat="1">
      <c r="A293" s="2964">
        <v>47</v>
      </c>
      <c r="B293" s="2966" t="s">
        <v>42</v>
      </c>
      <c r="C293" s="2964" t="str">
        <f t="shared" ca="1" si="12"/>
        <v>Frühkartoffeln</v>
      </c>
      <c r="D293" s="2964" t="str">
        <f t="shared" ca="1" si="13"/>
        <v>Kreiselegge-Säkomb. 3 m</v>
      </c>
      <c r="E293" s="2965">
        <f t="shared" ca="1" si="14"/>
        <v>0</v>
      </c>
    </row>
    <row r="294" spans="1:7" s="2964" customFormat="1">
      <c r="A294" s="2966">
        <v>48</v>
      </c>
      <c r="B294" s="2966" t="s">
        <v>42</v>
      </c>
      <c r="C294" s="2964" t="str">
        <f t="shared" ca="1" si="12"/>
        <v>Frühkartoffeln</v>
      </c>
      <c r="D294" s="2964" t="str">
        <f t="shared" ca="1" si="13"/>
        <v>Legemaschine mit starrem Bunker 4 r (Kartoffel)</v>
      </c>
      <c r="E294" s="2965">
        <f t="shared" ca="1" si="14"/>
        <v>0</v>
      </c>
    </row>
    <row r="295" spans="1:7" s="2964" customFormat="1">
      <c r="A295" s="2964">
        <v>49</v>
      </c>
      <c r="B295" s="2966" t="s">
        <v>42</v>
      </c>
      <c r="C295" s="2964" t="str">
        <f t="shared" ca="1" si="12"/>
        <v>Frühkartoffeln</v>
      </c>
      <c r="D295" s="2964" t="str">
        <f t="shared" ca="1" si="13"/>
        <v>Häufeln 4 r, Vorauflauf (Kartoffel)</v>
      </c>
      <c r="E295" s="2965">
        <f t="shared" ca="1" si="14"/>
        <v>0</v>
      </c>
    </row>
    <row r="296" spans="1:7" s="2964" customFormat="1">
      <c r="A296" s="2966">
        <v>50</v>
      </c>
      <c r="B296" s="2966" t="s">
        <v>42</v>
      </c>
      <c r="C296" s="2964" t="str">
        <f t="shared" ca="1" si="12"/>
        <v>Frühkartoffeln</v>
      </c>
      <c r="D296" s="2964" t="str">
        <f t="shared" ca="1" si="13"/>
        <v xml:space="preserve">Düngerstreuer ab Hof 12 m, 400 kg/ha </v>
      </c>
      <c r="E296" s="2965">
        <f t="shared" ca="1" si="14"/>
        <v>0</v>
      </c>
    </row>
    <row r="297" spans="1:7" s="2964" customFormat="1">
      <c r="A297" s="2964">
        <v>51</v>
      </c>
      <c r="B297" s="2966" t="s">
        <v>42</v>
      </c>
      <c r="C297" s="2964" t="str">
        <f t="shared" ca="1" si="12"/>
        <v>Frühkartoffeln</v>
      </c>
      <c r="D297" s="2964" t="str">
        <f t="shared" ca="1" si="13"/>
        <v>Pflanzenschutzspritze 12 m, 300 l/ha</v>
      </c>
      <c r="E297" s="2965">
        <f t="shared" ca="1" si="14"/>
        <v>0</v>
      </c>
    </row>
    <row r="298" spans="1:7" s="2964" customFormat="1">
      <c r="A298" s="2966">
        <v>52</v>
      </c>
      <c r="B298" s="2966" t="s">
        <v>42</v>
      </c>
      <c r="C298" s="2964" t="str">
        <f t="shared" ca="1" si="12"/>
        <v>Frühkartoffeln</v>
      </c>
      <c r="D298" s="2964" t="str">
        <f t="shared" ca="1" si="13"/>
        <v>Kartoff. Transp. z. Hof 45 t/ha (10,5 t Kipper)</v>
      </c>
      <c r="E298" s="2965">
        <f t="shared" ca="1" si="14"/>
        <v>0</v>
      </c>
    </row>
    <row r="299" spans="1:7" s="2964" customFormat="1">
      <c r="A299" s="2964">
        <v>53</v>
      </c>
      <c r="B299" s="2966" t="s">
        <v>42</v>
      </c>
      <c r="C299" s="2964" t="str">
        <f t="shared" ca="1" si="12"/>
        <v>Frühkartoffeln</v>
      </c>
      <c r="D299" s="2964">
        <f t="shared" ca="1" si="13"/>
        <v>0</v>
      </c>
      <c r="E299" s="2965">
        <f t="shared" ca="1" si="14"/>
        <v>0</v>
      </c>
    </row>
    <row r="300" spans="1:7" s="2964" customFormat="1">
      <c r="A300" s="2966">
        <v>54</v>
      </c>
      <c r="B300" s="2966" t="s">
        <v>42</v>
      </c>
      <c r="C300" s="2964" t="str">
        <f t="shared" ca="1" si="12"/>
        <v>Frühkartoffeln</v>
      </c>
      <c r="D300" s="2964">
        <f t="shared" ca="1" si="13"/>
        <v>0</v>
      </c>
      <c r="E300" s="2965">
        <f t="shared" ca="1" si="14"/>
        <v>0</v>
      </c>
    </row>
    <row r="301" spans="1:7" s="2964" customFormat="1">
      <c r="A301" s="2964">
        <v>55</v>
      </c>
      <c r="B301" s="2966" t="s">
        <v>42</v>
      </c>
      <c r="C301" s="2964" t="str">
        <f t="shared" ca="1" si="12"/>
        <v>Frühkartoffeln</v>
      </c>
      <c r="D301" s="2964">
        <f t="shared" ca="1" si="13"/>
        <v>0</v>
      </c>
      <c r="E301" s="2965">
        <f t="shared" ca="1" si="14"/>
        <v>0</v>
      </c>
    </row>
    <row r="302" spans="1:7" s="2964" customFormat="1">
      <c r="A302" s="2966">
        <v>56</v>
      </c>
      <c r="B302" s="2966" t="s">
        <v>42</v>
      </c>
      <c r="C302" s="2964" t="str">
        <f t="shared" ca="1" si="12"/>
        <v>Frühkartoffeln</v>
      </c>
      <c r="D302" s="2964">
        <f t="shared" ca="1" si="13"/>
        <v>0</v>
      </c>
      <c r="E302" s="2965">
        <f t="shared" ca="1" si="14"/>
        <v>0</v>
      </c>
    </row>
    <row r="303" spans="1:7" s="2964" customFormat="1">
      <c r="A303" s="2964">
        <v>57</v>
      </c>
      <c r="B303" s="2966" t="s">
        <v>42</v>
      </c>
      <c r="C303" s="2964" t="str">
        <f t="shared" ca="1" si="12"/>
        <v>Frühkartoffeln</v>
      </c>
      <c r="D303" s="2964">
        <f t="shared" ca="1" si="13"/>
        <v>0</v>
      </c>
      <c r="E303" s="2965">
        <f t="shared" ca="1" si="14"/>
        <v>0</v>
      </c>
    </row>
    <row r="304" spans="1:7">
      <c r="A304" s="15">
        <v>46</v>
      </c>
      <c r="B304" s="2966" t="s">
        <v>40</v>
      </c>
      <c r="C304" s="33" t="str">
        <f t="shared" ca="1" si="12"/>
        <v>Frühkartoffeln, Folie, beregnet</v>
      </c>
      <c r="D304" s="33" t="str">
        <f t="shared" ca="1" si="13"/>
        <v>Drehpflug 2,10 m</v>
      </c>
      <c r="E304" s="608">
        <f t="shared" ca="1" si="14"/>
        <v>0</v>
      </c>
      <c r="G304" s="2964"/>
    </row>
    <row r="305" spans="1:7">
      <c r="A305" s="33">
        <v>47</v>
      </c>
      <c r="B305" s="2966" t="s">
        <v>40</v>
      </c>
      <c r="C305" s="33" t="str">
        <f t="shared" ca="1" si="12"/>
        <v>Frühkartoffeln, Folie, beregnet</v>
      </c>
      <c r="D305" s="33" t="str">
        <f t="shared" ca="1" si="13"/>
        <v>Kreiselegge-Säkomb. 3 m</v>
      </c>
      <c r="E305" s="608">
        <f t="shared" ca="1" si="14"/>
        <v>0</v>
      </c>
      <c r="G305" s="2964"/>
    </row>
    <row r="306" spans="1:7">
      <c r="A306" s="15">
        <v>48</v>
      </c>
      <c r="B306" s="2966" t="s">
        <v>40</v>
      </c>
      <c r="C306" s="33" t="str">
        <f t="shared" ca="1" si="12"/>
        <v>Frühkartoffeln, Folie, beregnet</v>
      </c>
      <c r="D306" s="33" t="str">
        <f t="shared" ca="1" si="13"/>
        <v>Legemaschine mit starrem Bunker 4 r (Kartoffel)</v>
      </c>
      <c r="E306" s="608">
        <f t="shared" ca="1" si="14"/>
        <v>0</v>
      </c>
      <c r="G306" s="2964"/>
    </row>
    <row r="307" spans="1:7">
      <c r="A307" s="33">
        <v>49</v>
      </c>
      <c r="B307" s="2966" t="s">
        <v>40</v>
      </c>
      <c r="C307" s="33" t="str">
        <f t="shared" ca="1" si="12"/>
        <v>Frühkartoffeln, Folie, beregnet</v>
      </c>
      <c r="D307" s="33" t="str">
        <f t="shared" ca="1" si="13"/>
        <v>Häufeln 4 r, Vorauflauf (Kartoffel)</v>
      </c>
      <c r="E307" s="608">
        <f t="shared" ca="1" si="14"/>
        <v>0</v>
      </c>
      <c r="G307" s="2964"/>
    </row>
    <row r="308" spans="1:7">
      <c r="A308" s="15">
        <v>50</v>
      </c>
      <c r="B308" s="2966" t="s">
        <v>40</v>
      </c>
      <c r="C308" s="33" t="str">
        <f t="shared" ca="1" si="12"/>
        <v>Frühkartoffeln, Folie, beregnet</v>
      </c>
      <c r="D308" s="33" t="str">
        <f t="shared" ca="1" si="13"/>
        <v>Beregnung (Mobile Beregnungsmaschinen mit Einzelregnern)</v>
      </c>
      <c r="E308" s="608">
        <f t="shared" ca="1" si="14"/>
        <v>0</v>
      </c>
      <c r="G308" s="2964"/>
    </row>
    <row r="309" spans="1:7">
      <c r="A309" s="33">
        <v>51</v>
      </c>
      <c r="B309" s="2966" t="s">
        <v>40</v>
      </c>
      <c r="C309" s="33" t="str">
        <f t="shared" ca="1" si="12"/>
        <v>Frühkartoffeln, Folie, beregnet</v>
      </c>
      <c r="D309" s="33" t="str">
        <f t="shared" ca="1" si="13"/>
        <v>Folie legen, entfernen, entsorgen</v>
      </c>
      <c r="E309" s="608">
        <f t="shared" ca="1" si="14"/>
        <v>0</v>
      </c>
      <c r="G309" s="2964"/>
    </row>
    <row r="310" spans="1:7">
      <c r="A310" s="15">
        <v>52</v>
      </c>
      <c r="B310" s="2966" t="s">
        <v>40</v>
      </c>
      <c r="C310" s="33" t="str">
        <f t="shared" ca="1" si="12"/>
        <v>Frühkartoffeln, Folie, beregnet</v>
      </c>
      <c r="D310" s="33" t="str">
        <f t="shared" ca="1" si="13"/>
        <v xml:space="preserve">Düngerstreuer ab Hof 12 m, 400 kg/ha </v>
      </c>
      <c r="E310" s="608">
        <f t="shared" ca="1" si="14"/>
        <v>0</v>
      </c>
      <c r="G310" s="2964"/>
    </row>
    <row r="311" spans="1:7">
      <c r="A311" s="33">
        <v>53</v>
      </c>
      <c r="B311" s="2966" t="s">
        <v>40</v>
      </c>
      <c r="C311" s="33" t="str">
        <f t="shared" ca="1" si="12"/>
        <v>Frühkartoffeln, Folie, beregnet</v>
      </c>
      <c r="D311" s="33" t="str">
        <f t="shared" ca="1" si="13"/>
        <v>Pflanzenschutzspritze 12 m, 300 l/ha</v>
      </c>
      <c r="E311" s="608">
        <f t="shared" ca="1" si="14"/>
        <v>0</v>
      </c>
      <c r="G311" s="2964"/>
    </row>
    <row r="312" spans="1:7">
      <c r="A312" s="15">
        <v>54</v>
      </c>
      <c r="B312" s="2966" t="s">
        <v>40</v>
      </c>
      <c r="C312" s="33" t="str">
        <f t="shared" ca="1" si="12"/>
        <v>Frühkartoffeln, Folie, beregnet</v>
      </c>
      <c r="D312" s="33" t="str">
        <f t="shared" ca="1" si="13"/>
        <v>Kartoff. Transp. z. Hof 45 t/ha (10,5 t Kipper)</v>
      </c>
      <c r="E312" s="608">
        <f t="shared" ca="1" si="14"/>
        <v>0</v>
      </c>
      <c r="G312" s="2964"/>
    </row>
    <row r="313" spans="1:7">
      <c r="A313" s="33">
        <v>55</v>
      </c>
      <c r="B313" s="2966" t="s">
        <v>40</v>
      </c>
      <c r="C313" s="33" t="str">
        <f t="shared" ca="1" si="12"/>
        <v>Frühkartoffeln, Folie, beregnet</v>
      </c>
      <c r="D313" s="33">
        <f t="shared" ca="1" si="13"/>
        <v>0</v>
      </c>
      <c r="E313" s="608">
        <f t="shared" ca="1" si="14"/>
        <v>0</v>
      </c>
      <c r="G313" s="2964"/>
    </row>
    <row r="314" spans="1:7">
      <c r="A314" s="15">
        <v>56</v>
      </c>
      <c r="B314" s="2966" t="s">
        <v>40</v>
      </c>
      <c r="C314" s="33" t="str">
        <f t="shared" ca="1" si="12"/>
        <v>Frühkartoffeln, Folie, beregnet</v>
      </c>
      <c r="D314" s="33">
        <f t="shared" ca="1" si="13"/>
        <v>0</v>
      </c>
      <c r="E314" s="608">
        <f t="shared" ca="1" si="14"/>
        <v>0</v>
      </c>
      <c r="G314" s="2964"/>
    </row>
    <row r="315" spans="1:7">
      <c r="A315" s="33">
        <v>57</v>
      </c>
      <c r="B315" s="2966" t="s">
        <v>40</v>
      </c>
      <c r="C315" s="33" t="str">
        <f t="shared" ca="1" si="12"/>
        <v>Frühkartoffeln, Folie, beregnet</v>
      </c>
      <c r="D315" s="33">
        <f t="shared" ca="1" si="13"/>
        <v>0</v>
      </c>
      <c r="E315" s="608">
        <f t="shared" ca="1" si="14"/>
        <v>0</v>
      </c>
      <c r="G315" s="2964"/>
    </row>
    <row r="316" spans="1:7" s="2964" customFormat="1">
      <c r="A316" s="2966">
        <v>46</v>
      </c>
      <c r="B316" s="2966" t="s">
        <v>38</v>
      </c>
      <c r="C316" s="2964" t="str">
        <f t="shared" ca="1" si="12"/>
        <v>Speisekartoffeln spät</v>
      </c>
      <c r="D316" s="2964" t="str">
        <f t="shared" ca="1" si="13"/>
        <v>Drehpflug 2,10 m</v>
      </c>
      <c r="E316" s="2965">
        <f t="shared" ca="1" si="14"/>
        <v>10</v>
      </c>
    </row>
    <row r="317" spans="1:7" s="2964" customFormat="1">
      <c r="A317" s="2964">
        <v>47</v>
      </c>
      <c r="B317" s="2966" t="s">
        <v>38</v>
      </c>
      <c r="C317" s="2964" t="str">
        <f t="shared" ca="1" si="12"/>
        <v>Speisekartoffeln spät</v>
      </c>
      <c r="D317" s="2964" t="str">
        <f t="shared" ca="1" si="13"/>
        <v>Kreiselegge-Säkomb. 3 m</v>
      </c>
      <c r="E317" s="2965">
        <f t="shared" ca="1" si="14"/>
        <v>10</v>
      </c>
    </row>
    <row r="318" spans="1:7" s="2964" customFormat="1">
      <c r="A318" s="2966">
        <v>48</v>
      </c>
      <c r="B318" s="2966" t="s">
        <v>38</v>
      </c>
      <c r="C318" s="2964" t="str">
        <f t="shared" ca="1" si="12"/>
        <v>Speisekartoffeln spät</v>
      </c>
      <c r="D318" s="2964" t="str">
        <f t="shared" ca="1" si="13"/>
        <v>Legemaschine mit Kippbunker 4 r (Kartoffel)</v>
      </c>
      <c r="E318" s="2965">
        <f t="shared" ca="1" si="14"/>
        <v>10</v>
      </c>
    </row>
    <row r="319" spans="1:7" s="2964" customFormat="1">
      <c r="A319" s="2964">
        <v>49</v>
      </c>
      <c r="B319" s="2966" t="s">
        <v>38</v>
      </c>
      <c r="C319" s="2964" t="str">
        <f t="shared" ca="1" si="12"/>
        <v>Speisekartoffeln spät</v>
      </c>
      <c r="D319" s="2964" t="str">
        <f t="shared" ca="1" si="13"/>
        <v>Häufeln 4 r, Vorauflauf (Kartoffel)</v>
      </c>
      <c r="E319" s="2965">
        <f t="shared" ca="1" si="14"/>
        <v>10</v>
      </c>
    </row>
    <row r="320" spans="1:7" s="2964" customFormat="1">
      <c r="A320" s="2966">
        <v>50</v>
      </c>
      <c r="B320" s="2966" t="s">
        <v>38</v>
      </c>
      <c r="C320" s="2964" t="str">
        <f t="shared" ca="1" si="12"/>
        <v>Speisekartoffeln spät</v>
      </c>
      <c r="D320" s="2964" t="str">
        <f t="shared" ca="1" si="13"/>
        <v xml:space="preserve">Düngerstreuer ab Hof 12 m, 400 kg/ha </v>
      </c>
      <c r="E320" s="2965">
        <f t="shared" ca="1" si="14"/>
        <v>20</v>
      </c>
    </row>
    <row r="321" spans="1:7" s="2964" customFormat="1">
      <c r="A321" s="2964">
        <v>51</v>
      </c>
      <c r="B321" s="2966" t="s">
        <v>38</v>
      </c>
      <c r="C321" s="2964" t="str">
        <f t="shared" ca="1" si="12"/>
        <v>Speisekartoffeln spät</v>
      </c>
      <c r="D321" s="2964" t="str">
        <f t="shared" ca="1" si="13"/>
        <v>Pflanzenschutzspritze 12 m, 300 l/ha</v>
      </c>
      <c r="E321" s="2965">
        <f t="shared" ca="1" si="14"/>
        <v>100</v>
      </c>
    </row>
    <row r="322" spans="1:7" s="2964" customFormat="1">
      <c r="A322" s="2966">
        <v>52</v>
      </c>
      <c r="B322" s="2966" t="s">
        <v>38</v>
      </c>
      <c r="C322" s="2964" t="str">
        <f t="shared" ca="1" si="12"/>
        <v>Speisekartoffeln spät</v>
      </c>
      <c r="D322" s="2964" t="str">
        <f t="shared" ca="1" si="13"/>
        <v>Kartoff. Transp. z. Hof 45 t/ha (10,5 t Kipper)</v>
      </c>
      <c r="E322" s="2965">
        <f t="shared" ca="1" si="14"/>
        <v>38.095238095238095</v>
      </c>
    </row>
    <row r="323" spans="1:7" s="2964" customFormat="1">
      <c r="A323" s="2964">
        <v>53</v>
      </c>
      <c r="B323" s="2966" t="s">
        <v>38</v>
      </c>
      <c r="C323" s="2964" t="str">
        <f t="shared" ca="1" si="12"/>
        <v>Speisekartoffeln spät</v>
      </c>
      <c r="D323" s="2964">
        <f t="shared" ca="1" si="13"/>
        <v>0</v>
      </c>
      <c r="E323" s="2965">
        <f t="shared" ca="1" si="14"/>
        <v>0</v>
      </c>
    </row>
    <row r="324" spans="1:7" s="2964" customFormat="1">
      <c r="A324" s="2966">
        <v>54</v>
      </c>
      <c r="B324" s="2966" t="s">
        <v>38</v>
      </c>
      <c r="C324" s="2964" t="str">
        <f t="shared" ref="C324:C375" ca="1" si="15">INDIRECT("'"&amp;B324&amp;"'!$K$2")</f>
        <v>Speisekartoffeln spät</v>
      </c>
      <c r="D324" s="2964">
        <f t="shared" ref="D324:D375" ca="1" si="16">INDIRECT("'"&amp;B324&amp;"'!C"&amp;A324)</f>
        <v>0</v>
      </c>
      <c r="E324" s="2965">
        <f t="shared" ref="E324:E375" ca="1" si="17">INDIRECT("'"&amp;B324&amp;"'!Q"&amp;A324)</f>
        <v>0</v>
      </c>
    </row>
    <row r="325" spans="1:7" s="2964" customFormat="1">
      <c r="A325" s="2964">
        <v>55</v>
      </c>
      <c r="B325" s="2966" t="s">
        <v>38</v>
      </c>
      <c r="C325" s="2964" t="str">
        <f t="shared" ca="1" si="15"/>
        <v>Speisekartoffeln spät</v>
      </c>
      <c r="D325" s="2964">
        <f t="shared" ca="1" si="16"/>
        <v>0</v>
      </c>
      <c r="E325" s="2965">
        <f t="shared" ca="1" si="17"/>
        <v>0</v>
      </c>
    </row>
    <row r="326" spans="1:7" s="2964" customFormat="1">
      <c r="A326" s="2966">
        <v>56</v>
      </c>
      <c r="B326" s="2966" t="s">
        <v>38</v>
      </c>
      <c r="C326" s="2964" t="str">
        <f t="shared" ca="1" si="15"/>
        <v>Speisekartoffeln spät</v>
      </c>
      <c r="D326" s="2964">
        <f t="shared" ca="1" si="16"/>
        <v>0</v>
      </c>
      <c r="E326" s="2965">
        <f t="shared" ca="1" si="17"/>
        <v>0</v>
      </c>
    </row>
    <row r="327" spans="1:7" s="2964" customFormat="1">
      <c r="A327" s="2964">
        <v>57</v>
      </c>
      <c r="B327" s="2966" t="s">
        <v>38</v>
      </c>
      <c r="C327" s="2964" t="str">
        <f t="shared" ca="1" si="15"/>
        <v>Speisekartoffeln spät</v>
      </c>
      <c r="D327" s="2964">
        <f t="shared" ca="1" si="16"/>
        <v>0</v>
      </c>
      <c r="E327" s="2965">
        <f t="shared" ca="1" si="17"/>
        <v>0</v>
      </c>
    </row>
    <row r="328" spans="1:7">
      <c r="A328" s="15">
        <v>46</v>
      </c>
      <c r="B328" s="2966" t="s">
        <v>36</v>
      </c>
      <c r="C328" s="33" t="str">
        <f t="shared" ca="1" si="15"/>
        <v>Speisekartoffeln spät, beregnet</v>
      </c>
      <c r="D328" s="33" t="str">
        <f t="shared" ca="1" si="16"/>
        <v>Drehpflug 2,10 m</v>
      </c>
      <c r="E328" s="608">
        <f t="shared" ca="1" si="17"/>
        <v>0</v>
      </c>
      <c r="G328" s="2964"/>
    </row>
    <row r="329" spans="1:7">
      <c r="A329" s="33">
        <v>47</v>
      </c>
      <c r="B329" s="2966" t="s">
        <v>36</v>
      </c>
      <c r="C329" s="33" t="str">
        <f t="shared" ca="1" si="15"/>
        <v>Speisekartoffeln spät, beregnet</v>
      </c>
      <c r="D329" s="33" t="str">
        <f t="shared" ca="1" si="16"/>
        <v>Kreiselegge-Säkomb. 3 m</v>
      </c>
      <c r="E329" s="608">
        <f t="shared" ca="1" si="17"/>
        <v>0</v>
      </c>
      <c r="G329" s="2964"/>
    </row>
    <row r="330" spans="1:7">
      <c r="A330" s="15">
        <v>48</v>
      </c>
      <c r="B330" s="2966" t="s">
        <v>36</v>
      </c>
      <c r="C330" s="33" t="str">
        <f t="shared" ca="1" si="15"/>
        <v>Speisekartoffeln spät, beregnet</v>
      </c>
      <c r="D330" s="33" t="str">
        <f t="shared" ca="1" si="16"/>
        <v>Legemaschine mit Kippbunker 4 r (Kartoffel)</v>
      </c>
      <c r="E330" s="608">
        <f t="shared" ca="1" si="17"/>
        <v>0</v>
      </c>
      <c r="G330" s="2964"/>
    </row>
    <row r="331" spans="1:7">
      <c r="A331" s="33">
        <v>49</v>
      </c>
      <c r="B331" s="2966" t="s">
        <v>36</v>
      </c>
      <c r="C331" s="33" t="str">
        <f t="shared" ca="1" si="15"/>
        <v>Speisekartoffeln spät, beregnet</v>
      </c>
      <c r="D331" s="33" t="str">
        <f t="shared" ca="1" si="16"/>
        <v>Häufeln 4 r, Vorauflauf (Kartoffel)</v>
      </c>
      <c r="E331" s="608">
        <f t="shared" ca="1" si="17"/>
        <v>0</v>
      </c>
      <c r="G331" s="2964"/>
    </row>
    <row r="332" spans="1:7">
      <c r="A332" s="15">
        <v>50</v>
      </c>
      <c r="B332" s="2966" t="s">
        <v>36</v>
      </c>
      <c r="C332" s="33" t="str">
        <f t="shared" ca="1" si="15"/>
        <v>Speisekartoffeln spät, beregnet</v>
      </c>
      <c r="D332" s="33" t="str">
        <f t="shared" ca="1" si="16"/>
        <v>Beregnung (Mobile Beregnungsmaschinen mit Einzelregnern)</v>
      </c>
      <c r="E332" s="608">
        <f t="shared" ca="1" si="17"/>
        <v>0</v>
      </c>
      <c r="G332" s="2964"/>
    </row>
    <row r="333" spans="1:7">
      <c r="A333" s="33">
        <v>51</v>
      </c>
      <c r="B333" s="2966" t="s">
        <v>36</v>
      </c>
      <c r="C333" s="33" t="str">
        <f t="shared" ca="1" si="15"/>
        <v>Speisekartoffeln spät, beregnet</v>
      </c>
      <c r="D333" s="33" t="str">
        <f t="shared" ca="1" si="16"/>
        <v xml:space="preserve">Düngerstreuer ab Hof 12 m, 400 kg/ha </v>
      </c>
      <c r="E333" s="608">
        <f t="shared" ca="1" si="17"/>
        <v>0</v>
      </c>
      <c r="G333" s="2964"/>
    </row>
    <row r="334" spans="1:7">
      <c r="A334" s="15">
        <v>52</v>
      </c>
      <c r="B334" s="2966" t="s">
        <v>36</v>
      </c>
      <c r="C334" s="33" t="str">
        <f t="shared" ca="1" si="15"/>
        <v>Speisekartoffeln spät, beregnet</v>
      </c>
      <c r="D334" s="33" t="str">
        <f t="shared" ca="1" si="16"/>
        <v>Pflanzenschutzspritze 12 m, 300 l/ha</v>
      </c>
      <c r="E334" s="608">
        <f t="shared" ca="1" si="17"/>
        <v>0</v>
      </c>
      <c r="G334" s="2964"/>
    </row>
    <row r="335" spans="1:7">
      <c r="A335" s="33">
        <v>53</v>
      </c>
      <c r="B335" s="2966" t="s">
        <v>36</v>
      </c>
      <c r="C335" s="33" t="str">
        <f t="shared" ca="1" si="15"/>
        <v>Speisekartoffeln spät, beregnet</v>
      </c>
      <c r="D335" s="33" t="str">
        <f t="shared" ca="1" si="16"/>
        <v>Kartoff. Transp. z. Hof 45 t/ha (10,5 t Kipper)</v>
      </c>
      <c r="E335" s="608">
        <f t="shared" ca="1" si="17"/>
        <v>0</v>
      </c>
      <c r="G335" s="2964"/>
    </row>
    <row r="336" spans="1:7">
      <c r="A336" s="15">
        <v>54</v>
      </c>
      <c r="B336" s="2966" t="s">
        <v>36</v>
      </c>
      <c r="C336" s="33" t="str">
        <f t="shared" ca="1" si="15"/>
        <v>Speisekartoffeln spät, beregnet</v>
      </c>
      <c r="D336" s="33">
        <f t="shared" ca="1" si="16"/>
        <v>0</v>
      </c>
      <c r="E336" s="608">
        <f t="shared" ca="1" si="17"/>
        <v>0</v>
      </c>
      <c r="G336" s="2964"/>
    </row>
    <row r="337" spans="1:7">
      <c r="A337" s="33">
        <v>55</v>
      </c>
      <c r="B337" s="2966" t="s">
        <v>36</v>
      </c>
      <c r="C337" s="33" t="str">
        <f t="shared" ca="1" si="15"/>
        <v>Speisekartoffeln spät, beregnet</v>
      </c>
      <c r="D337" s="33">
        <f t="shared" ca="1" si="16"/>
        <v>0</v>
      </c>
      <c r="E337" s="608">
        <f t="shared" ca="1" si="17"/>
        <v>0</v>
      </c>
      <c r="G337" s="2964"/>
    </row>
    <row r="338" spans="1:7">
      <c r="A338" s="15">
        <v>56</v>
      </c>
      <c r="B338" s="2966" t="s">
        <v>36</v>
      </c>
      <c r="C338" s="33" t="str">
        <f t="shared" ca="1" si="15"/>
        <v>Speisekartoffeln spät, beregnet</v>
      </c>
      <c r="D338" s="33">
        <f t="shared" ca="1" si="16"/>
        <v>0</v>
      </c>
      <c r="E338" s="608">
        <f t="shared" ca="1" si="17"/>
        <v>0</v>
      </c>
      <c r="G338" s="2964"/>
    </row>
    <row r="339" spans="1:7">
      <c r="A339" s="33">
        <v>57</v>
      </c>
      <c r="B339" s="2966" t="s">
        <v>36</v>
      </c>
      <c r="C339" s="33" t="str">
        <f t="shared" ca="1" si="15"/>
        <v>Speisekartoffeln spät, beregnet</v>
      </c>
      <c r="D339" s="33">
        <f t="shared" ca="1" si="16"/>
        <v>0</v>
      </c>
      <c r="E339" s="608">
        <f t="shared" ca="1" si="17"/>
        <v>0</v>
      </c>
      <c r="G339" s="2964"/>
    </row>
    <row r="340" spans="1:7" s="2964" customFormat="1">
      <c r="A340" s="2966">
        <v>46</v>
      </c>
      <c r="B340" s="2966" t="s">
        <v>988</v>
      </c>
      <c r="C340" s="2964" t="e">
        <f t="shared" ca="1" si="15"/>
        <v>#REF!</v>
      </c>
      <c r="D340" s="2964" t="e">
        <f t="shared" ca="1" si="16"/>
        <v>#REF!</v>
      </c>
      <c r="E340" s="2965" t="e">
        <f t="shared" ca="1" si="17"/>
        <v>#REF!</v>
      </c>
    </row>
    <row r="341" spans="1:7" s="2964" customFormat="1">
      <c r="A341" s="2964">
        <v>47</v>
      </c>
      <c r="B341" s="2966" t="s">
        <v>988</v>
      </c>
      <c r="C341" s="2964" t="e">
        <f t="shared" ca="1" si="15"/>
        <v>#REF!</v>
      </c>
      <c r="D341" s="2964" t="e">
        <f t="shared" ca="1" si="16"/>
        <v>#REF!</v>
      </c>
      <c r="E341" s="2965" t="e">
        <f t="shared" ca="1" si="17"/>
        <v>#REF!</v>
      </c>
    </row>
    <row r="342" spans="1:7" s="2964" customFormat="1">
      <c r="A342" s="2966">
        <v>48</v>
      </c>
      <c r="B342" s="2966" t="s">
        <v>988</v>
      </c>
      <c r="C342" s="2964" t="e">
        <f t="shared" ca="1" si="15"/>
        <v>#REF!</v>
      </c>
      <c r="D342" s="2964" t="e">
        <f t="shared" ca="1" si="16"/>
        <v>#REF!</v>
      </c>
      <c r="E342" s="2965" t="e">
        <f t="shared" ca="1" si="17"/>
        <v>#REF!</v>
      </c>
    </row>
    <row r="343" spans="1:7" s="2964" customFormat="1">
      <c r="A343" s="2964">
        <v>49</v>
      </c>
      <c r="B343" s="2966" t="s">
        <v>988</v>
      </c>
      <c r="C343" s="2964" t="e">
        <f t="shared" ca="1" si="15"/>
        <v>#REF!</v>
      </c>
      <c r="D343" s="2964" t="e">
        <f t="shared" ca="1" si="16"/>
        <v>#REF!</v>
      </c>
      <c r="E343" s="2965" t="e">
        <f t="shared" ca="1" si="17"/>
        <v>#REF!</v>
      </c>
    </row>
    <row r="344" spans="1:7" s="2964" customFormat="1">
      <c r="A344" s="2966">
        <v>50</v>
      </c>
      <c r="B344" s="2966" t="s">
        <v>988</v>
      </c>
      <c r="C344" s="2964" t="e">
        <f t="shared" ca="1" si="15"/>
        <v>#REF!</v>
      </c>
      <c r="D344" s="2964" t="e">
        <f t="shared" ca="1" si="16"/>
        <v>#REF!</v>
      </c>
      <c r="E344" s="2965" t="e">
        <f t="shared" ca="1" si="17"/>
        <v>#REF!</v>
      </c>
    </row>
    <row r="345" spans="1:7" s="2964" customFormat="1">
      <c r="A345" s="2964">
        <v>51</v>
      </c>
      <c r="B345" s="2966" t="s">
        <v>988</v>
      </c>
      <c r="C345" s="2964" t="e">
        <f t="shared" ca="1" si="15"/>
        <v>#REF!</v>
      </c>
      <c r="D345" s="2964" t="e">
        <f t="shared" ca="1" si="16"/>
        <v>#REF!</v>
      </c>
      <c r="E345" s="2965" t="e">
        <f t="shared" ca="1" si="17"/>
        <v>#REF!</v>
      </c>
    </row>
    <row r="346" spans="1:7" s="2964" customFormat="1">
      <c r="A346" s="2966">
        <v>52</v>
      </c>
      <c r="B346" s="2966" t="s">
        <v>988</v>
      </c>
      <c r="C346" s="2964" t="e">
        <f t="shared" ca="1" si="15"/>
        <v>#REF!</v>
      </c>
      <c r="D346" s="2964" t="e">
        <f t="shared" ca="1" si="16"/>
        <v>#REF!</v>
      </c>
      <c r="E346" s="2965" t="e">
        <f t="shared" ca="1" si="17"/>
        <v>#REF!</v>
      </c>
    </row>
    <row r="347" spans="1:7" s="2964" customFormat="1">
      <c r="A347" s="2964">
        <v>53</v>
      </c>
      <c r="B347" s="2966" t="s">
        <v>988</v>
      </c>
      <c r="C347" s="2964" t="e">
        <f t="shared" ca="1" si="15"/>
        <v>#REF!</v>
      </c>
      <c r="D347" s="2964" t="e">
        <f t="shared" ca="1" si="16"/>
        <v>#REF!</v>
      </c>
      <c r="E347" s="2965" t="e">
        <f t="shared" ca="1" si="17"/>
        <v>#REF!</v>
      </c>
    </row>
    <row r="348" spans="1:7" s="2964" customFormat="1">
      <c r="A348" s="2966">
        <v>54</v>
      </c>
      <c r="B348" s="2966" t="s">
        <v>988</v>
      </c>
      <c r="C348" s="2964" t="e">
        <f t="shared" ca="1" si="15"/>
        <v>#REF!</v>
      </c>
      <c r="D348" s="2964" t="e">
        <f t="shared" ca="1" si="16"/>
        <v>#REF!</v>
      </c>
      <c r="E348" s="2965" t="e">
        <f t="shared" ca="1" si="17"/>
        <v>#REF!</v>
      </c>
    </row>
    <row r="349" spans="1:7" s="2964" customFormat="1">
      <c r="A349" s="2964">
        <v>55</v>
      </c>
      <c r="B349" s="2966" t="s">
        <v>988</v>
      </c>
      <c r="C349" s="2964" t="e">
        <f t="shared" ca="1" si="15"/>
        <v>#REF!</v>
      </c>
      <c r="D349" s="2964" t="e">
        <f t="shared" ca="1" si="16"/>
        <v>#REF!</v>
      </c>
      <c r="E349" s="2965" t="e">
        <f t="shared" ca="1" si="17"/>
        <v>#REF!</v>
      </c>
    </row>
    <row r="350" spans="1:7" s="2964" customFormat="1">
      <c r="A350" s="2966">
        <v>56</v>
      </c>
      <c r="B350" s="2966" t="s">
        <v>988</v>
      </c>
      <c r="C350" s="2964" t="e">
        <f t="shared" ca="1" si="15"/>
        <v>#REF!</v>
      </c>
      <c r="D350" s="2964" t="e">
        <f t="shared" ca="1" si="16"/>
        <v>#REF!</v>
      </c>
      <c r="E350" s="2965" t="e">
        <f t="shared" ca="1" si="17"/>
        <v>#REF!</v>
      </c>
    </row>
    <row r="351" spans="1:7" s="2964" customFormat="1">
      <c r="A351" s="2964">
        <v>57</v>
      </c>
      <c r="B351" s="2966" t="s">
        <v>988</v>
      </c>
      <c r="C351" s="2964" t="e">
        <f t="shared" ca="1" si="15"/>
        <v>#REF!</v>
      </c>
      <c r="D351" s="2964" t="e">
        <f t="shared" ca="1" si="16"/>
        <v>#REF!</v>
      </c>
      <c r="E351" s="2965" t="e">
        <f t="shared" ca="1" si="17"/>
        <v>#REF!</v>
      </c>
    </row>
    <row r="352" spans="1:7">
      <c r="A352" s="15">
        <v>46</v>
      </c>
      <c r="B352" s="2966" t="s">
        <v>28</v>
      </c>
      <c r="C352" s="33" t="e">
        <f t="shared" ca="1" si="15"/>
        <v>#REF!</v>
      </c>
      <c r="D352" s="33" t="e">
        <f t="shared" ca="1" si="16"/>
        <v>#REF!</v>
      </c>
      <c r="E352" s="608" t="e">
        <f t="shared" ca="1" si="17"/>
        <v>#REF!</v>
      </c>
      <c r="G352" s="2964"/>
    </row>
    <row r="353" spans="1:7">
      <c r="A353" s="33">
        <v>47</v>
      </c>
      <c r="B353" s="2966" t="s">
        <v>28</v>
      </c>
      <c r="C353" s="33" t="e">
        <f t="shared" ca="1" si="15"/>
        <v>#REF!</v>
      </c>
      <c r="D353" s="33" t="e">
        <f t="shared" ca="1" si="16"/>
        <v>#REF!</v>
      </c>
      <c r="E353" s="608" t="e">
        <f t="shared" ca="1" si="17"/>
        <v>#REF!</v>
      </c>
      <c r="G353" s="2964"/>
    </row>
    <row r="354" spans="1:7">
      <c r="A354" s="15">
        <v>48</v>
      </c>
      <c r="B354" s="2966" t="s">
        <v>28</v>
      </c>
      <c r="C354" s="33" t="e">
        <f t="shared" ca="1" si="15"/>
        <v>#REF!</v>
      </c>
      <c r="D354" s="33" t="e">
        <f t="shared" ca="1" si="16"/>
        <v>#REF!</v>
      </c>
      <c r="E354" s="608" t="e">
        <f t="shared" ca="1" si="17"/>
        <v>#REF!</v>
      </c>
      <c r="G354" s="2964"/>
    </row>
    <row r="355" spans="1:7">
      <c r="A355" s="33">
        <v>49</v>
      </c>
      <c r="B355" s="2966" t="s">
        <v>28</v>
      </c>
      <c r="C355" s="33" t="e">
        <f t="shared" ca="1" si="15"/>
        <v>#REF!</v>
      </c>
      <c r="D355" s="33" t="e">
        <f t="shared" ca="1" si="16"/>
        <v>#REF!</v>
      </c>
      <c r="E355" s="608" t="e">
        <f t="shared" ca="1" si="17"/>
        <v>#REF!</v>
      </c>
      <c r="G355" s="2964"/>
    </row>
    <row r="356" spans="1:7">
      <c r="A356" s="15">
        <v>50</v>
      </c>
      <c r="B356" s="2966" t="s">
        <v>28</v>
      </c>
      <c r="C356" s="33" t="e">
        <f t="shared" ca="1" si="15"/>
        <v>#REF!</v>
      </c>
      <c r="D356" s="33" t="e">
        <f t="shared" ca="1" si="16"/>
        <v>#REF!</v>
      </c>
      <c r="E356" s="608" t="e">
        <f t="shared" ca="1" si="17"/>
        <v>#REF!</v>
      </c>
      <c r="G356" s="2964"/>
    </row>
    <row r="357" spans="1:7">
      <c r="A357" s="33">
        <v>51</v>
      </c>
      <c r="B357" s="2966" t="s">
        <v>28</v>
      </c>
      <c r="C357" s="33" t="e">
        <f t="shared" ca="1" si="15"/>
        <v>#REF!</v>
      </c>
      <c r="D357" s="33" t="e">
        <f t="shared" ca="1" si="16"/>
        <v>#REF!</v>
      </c>
      <c r="E357" s="608" t="e">
        <f t="shared" ca="1" si="17"/>
        <v>#REF!</v>
      </c>
      <c r="G357" s="2964"/>
    </row>
    <row r="358" spans="1:7">
      <c r="A358" s="15">
        <v>52</v>
      </c>
      <c r="B358" s="2966" t="s">
        <v>28</v>
      </c>
      <c r="C358" s="33" t="e">
        <f t="shared" ca="1" si="15"/>
        <v>#REF!</v>
      </c>
      <c r="D358" s="33" t="e">
        <f t="shared" ca="1" si="16"/>
        <v>#REF!</v>
      </c>
      <c r="E358" s="608" t="e">
        <f t="shared" ca="1" si="17"/>
        <v>#REF!</v>
      </c>
      <c r="G358" s="2964"/>
    </row>
    <row r="359" spans="1:7">
      <c r="A359" s="33">
        <v>53</v>
      </c>
      <c r="B359" s="2966" t="s">
        <v>28</v>
      </c>
      <c r="C359" s="33" t="e">
        <f t="shared" ca="1" si="15"/>
        <v>#REF!</v>
      </c>
      <c r="D359" s="33" t="e">
        <f t="shared" ca="1" si="16"/>
        <v>#REF!</v>
      </c>
      <c r="E359" s="608" t="e">
        <f t="shared" ca="1" si="17"/>
        <v>#REF!</v>
      </c>
      <c r="G359" s="2964"/>
    </row>
    <row r="360" spans="1:7">
      <c r="A360" s="15">
        <v>54</v>
      </c>
      <c r="B360" s="2966" t="s">
        <v>28</v>
      </c>
      <c r="C360" s="33" t="e">
        <f t="shared" ca="1" si="15"/>
        <v>#REF!</v>
      </c>
      <c r="D360" s="33" t="e">
        <f t="shared" ca="1" si="16"/>
        <v>#REF!</v>
      </c>
      <c r="E360" s="608" t="e">
        <f t="shared" ca="1" si="17"/>
        <v>#REF!</v>
      </c>
      <c r="G360" s="2964"/>
    </row>
    <row r="361" spans="1:7">
      <c r="A361" s="33">
        <v>55</v>
      </c>
      <c r="B361" s="2966" t="s">
        <v>28</v>
      </c>
      <c r="C361" s="33" t="e">
        <f t="shared" ca="1" si="15"/>
        <v>#REF!</v>
      </c>
      <c r="D361" s="33" t="e">
        <f t="shared" ca="1" si="16"/>
        <v>#REF!</v>
      </c>
      <c r="E361" s="608" t="e">
        <f t="shared" ca="1" si="17"/>
        <v>#REF!</v>
      </c>
      <c r="G361" s="2964"/>
    </row>
    <row r="362" spans="1:7">
      <c r="A362" s="15">
        <v>56</v>
      </c>
      <c r="B362" s="2966" t="s">
        <v>28</v>
      </c>
      <c r="C362" s="33" t="e">
        <f t="shared" ca="1" si="15"/>
        <v>#REF!</v>
      </c>
      <c r="D362" s="33" t="e">
        <f t="shared" ca="1" si="16"/>
        <v>#REF!</v>
      </c>
      <c r="E362" s="608" t="e">
        <f t="shared" ca="1" si="17"/>
        <v>#REF!</v>
      </c>
      <c r="G362" s="2964"/>
    </row>
    <row r="363" spans="1:7">
      <c r="A363" s="33">
        <v>57</v>
      </c>
      <c r="B363" s="2966" t="s">
        <v>28</v>
      </c>
      <c r="C363" s="33" t="e">
        <f t="shared" ca="1" si="15"/>
        <v>#REF!</v>
      </c>
      <c r="D363" s="33" t="e">
        <f t="shared" ca="1" si="16"/>
        <v>#REF!</v>
      </c>
      <c r="E363" s="608" t="e">
        <f t="shared" ca="1" si="17"/>
        <v>#REF!</v>
      </c>
      <c r="G363" s="2964"/>
    </row>
    <row r="364" spans="1:7" s="2964" customFormat="1">
      <c r="A364" s="2966">
        <v>46</v>
      </c>
      <c r="B364" s="2966" t="s">
        <v>987</v>
      </c>
      <c r="C364" s="2964" t="str">
        <f t="shared" ca="1" si="15"/>
        <v>Begrünung</v>
      </c>
      <c r="D364" s="2964" t="str">
        <f t="shared" ca="1" si="16"/>
        <v>Schwergrubber 3 m</v>
      </c>
      <c r="E364" s="2965">
        <f t="shared" ca="1" si="17"/>
        <v>0</v>
      </c>
    </row>
    <row r="365" spans="1:7" s="2964" customFormat="1">
      <c r="A365" s="2964">
        <v>47</v>
      </c>
      <c r="B365" s="2966" t="s">
        <v>987</v>
      </c>
      <c r="C365" s="2964" t="str">
        <f t="shared" ca="1" si="15"/>
        <v>Begrünung</v>
      </c>
      <c r="D365" s="2964" t="str">
        <f t="shared" ca="1" si="16"/>
        <v>Kreiselegge-Säkomb. 3 m</v>
      </c>
      <c r="E365" s="2965">
        <f t="shared" ca="1" si="17"/>
        <v>0</v>
      </c>
    </row>
    <row r="366" spans="1:7" s="2964" customFormat="1">
      <c r="A366" s="2966">
        <v>48</v>
      </c>
      <c r="B366" s="2966" t="s">
        <v>987</v>
      </c>
      <c r="C366" s="2964" t="str">
        <f t="shared" ca="1" si="15"/>
        <v>Begrünung</v>
      </c>
      <c r="D366" s="2964" t="str">
        <f t="shared" ca="1" si="16"/>
        <v>Cambridgewalze 4,5 m</v>
      </c>
      <c r="E366" s="2965">
        <f t="shared" ca="1" si="17"/>
        <v>0</v>
      </c>
    </row>
    <row r="367" spans="1:7" s="2964" customFormat="1">
      <c r="A367" s="2964">
        <v>49</v>
      </c>
      <c r="B367" s="2966" t="s">
        <v>987</v>
      </c>
      <c r="C367" s="2964" t="str">
        <f t="shared" ca="1" si="15"/>
        <v>Begrünung</v>
      </c>
      <c r="D367" s="2964" t="str">
        <f t="shared" ca="1" si="16"/>
        <v>Mulchgerät 3 m</v>
      </c>
      <c r="E367" s="2965">
        <f t="shared" ca="1" si="17"/>
        <v>0</v>
      </c>
    </row>
    <row r="368" spans="1:7" s="2964" customFormat="1">
      <c r="A368" s="2966">
        <v>50</v>
      </c>
      <c r="B368" s="2966" t="s">
        <v>987</v>
      </c>
      <c r="C368" s="2964" t="str">
        <f t="shared" ca="1" si="15"/>
        <v>Begrünung</v>
      </c>
      <c r="D368" s="2964">
        <f t="shared" ca="1" si="16"/>
        <v>0</v>
      </c>
      <c r="E368" s="2965">
        <f t="shared" ca="1" si="17"/>
        <v>0</v>
      </c>
    </row>
    <row r="369" spans="1:7" s="2964" customFormat="1">
      <c r="A369" s="2964">
        <v>51</v>
      </c>
      <c r="B369" s="2966" t="s">
        <v>987</v>
      </c>
      <c r="C369" s="2964" t="str">
        <f t="shared" ca="1" si="15"/>
        <v>Begrünung</v>
      </c>
      <c r="D369" s="2964">
        <f t="shared" ca="1" si="16"/>
        <v>0</v>
      </c>
      <c r="E369" s="2965">
        <f t="shared" ca="1" si="17"/>
        <v>0</v>
      </c>
    </row>
    <row r="370" spans="1:7" s="2964" customFormat="1">
      <c r="A370" s="2966">
        <v>52</v>
      </c>
      <c r="B370" s="2966" t="s">
        <v>987</v>
      </c>
      <c r="C370" s="2964" t="str">
        <f t="shared" ca="1" si="15"/>
        <v>Begrünung</v>
      </c>
      <c r="D370" s="2964">
        <f t="shared" ca="1" si="16"/>
        <v>0</v>
      </c>
      <c r="E370" s="2965">
        <f t="shared" ca="1" si="17"/>
        <v>0</v>
      </c>
    </row>
    <row r="371" spans="1:7" s="2964" customFormat="1">
      <c r="A371" s="2964">
        <v>53</v>
      </c>
      <c r="B371" s="2966" t="s">
        <v>987</v>
      </c>
      <c r="C371" s="2964" t="str">
        <f t="shared" ca="1" si="15"/>
        <v>Begrünung</v>
      </c>
      <c r="D371" s="2964">
        <f t="shared" ca="1" si="16"/>
        <v>0</v>
      </c>
      <c r="E371" s="2965">
        <f t="shared" ca="1" si="17"/>
        <v>0</v>
      </c>
    </row>
    <row r="372" spans="1:7" s="2964" customFormat="1">
      <c r="A372" s="2966">
        <v>54</v>
      </c>
      <c r="B372" s="2966" t="s">
        <v>987</v>
      </c>
      <c r="C372" s="2964" t="str">
        <f t="shared" ca="1" si="15"/>
        <v>Begrünung</v>
      </c>
      <c r="D372" s="2964">
        <f t="shared" ca="1" si="16"/>
        <v>0</v>
      </c>
      <c r="E372" s="2965">
        <f t="shared" ca="1" si="17"/>
        <v>0</v>
      </c>
    </row>
    <row r="373" spans="1:7" s="2964" customFormat="1">
      <c r="A373" s="2964">
        <v>55</v>
      </c>
      <c r="B373" s="2966" t="s">
        <v>987</v>
      </c>
      <c r="C373" s="2964" t="str">
        <f t="shared" ca="1" si="15"/>
        <v>Begrünung</v>
      </c>
      <c r="D373" s="2964">
        <f t="shared" ca="1" si="16"/>
        <v>0</v>
      </c>
      <c r="E373" s="2965">
        <f t="shared" ca="1" si="17"/>
        <v>0</v>
      </c>
    </row>
    <row r="374" spans="1:7" s="2964" customFormat="1">
      <c r="A374" s="2966">
        <v>56</v>
      </c>
      <c r="B374" s="2966" t="s">
        <v>987</v>
      </c>
      <c r="C374" s="2964" t="str">
        <f t="shared" ca="1" si="15"/>
        <v>Begrünung</v>
      </c>
      <c r="D374" s="2964">
        <f t="shared" ca="1" si="16"/>
        <v>0</v>
      </c>
      <c r="E374" s="2965">
        <f t="shared" ca="1" si="17"/>
        <v>0</v>
      </c>
    </row>
    <row r="375" spans="1:7" s="2964" customFormat="1">
      <c r="A375" s="2964">
        <v>57</v>
      </c>
      <c r="B375" s="2966" t="s">
        <v>987</v>
      </c>
      <c r="C375" s="2964" t="str">
        <f t="shared" ca="1" si="15"/>
        <v>Begrünung</v>
      </c>
      <c r="D375" s="2964">
        <f t="shared" ca="1" si="16"/>
        <v>0</v>
      </c>
      <c r="E375" s="2965">
        <f t="shared" ca="1" si="17"/>
        <v>0</v>
      </c>
    </row>
    <row r="376" spans="1:7">
      <c r="A376" s="15"/>
      <c r="B376" s="15"/>
      <c r="G376" s="2964"/>
    </row>
    <row r="377" spans="1:7">
      <c r="B377" s="15"/>
      <c r="G377" s="2964"/>
    </row>
    <row r="378" spans="1:7">
      <c r="A378" s="15"/>
      <c r="B378" s="15"/>
      <c r="G378" s="2964"/>
    </row>
    <row r="379" spans="1:7">
      <c r="B379" s="15"/>
      <c r="G379" s="2964"/>
    </row>
    <row r="380" spans="1:7">
      <c r="A380" s="15"/>
      <c r="B380" s="15"/>
      <c r="G380" s="2964"/>
    </row>
    <row r="381" spans="1:7">
      <c r="B381" s="15"/>
      <c r="G381" s="2964"/>
    </row>
    <row r="382" spans="1:7">
      <c r="A382" s="15"/>
      <c r="B382" s="15"/>
      <c r="G382" s="2964"/>
    </row>
    <row r="383" spans="1:7">
      <c r="B383" s="15"/>
      <c r="G383" s="2964"/>
    </row>
    <row r="384" spans="1:7">
      <c r="A384" s="15"/>
      <c r="B384" s="15"/>
      <c r="G384" s="2964"/>
    </row>
    <row r="385" spans="1:7">
      <c r="B385" s="15"/>
      <c r="G385" s="2964"/>
    </row>
    <row r="386" spans="1:7">
      <c r="A386" s="15"/>
      <c r="B386" s="15"/>
      <c r="G386" s="2964"/>
    </row>
    <row r="387" spans="1:7">
      <c r="B387" s="15"/>
      <c r="G387" s="2964"/>
    </row>
  </sheetData>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5">
    <tabColor rgb="FF00B0F0"/>
    <pageSetUpPr fitToPage="1"/>
  </sheetPr>
  <dimension ref="A1:AQ171"/>
  <sheetViews>
    <sheetView showZeros="0" zoomScaleNormal="100" workbookViewId="0">
      <pane ySplit="6" topLeftCell="A7" activePane="bottomLeft" state="frozen"/>
      <selection activeCell="AF19" sqref="AF19"/>
      <selection pane="bottomLeft" activeCell="A7" sqref="A7"/>
    </sheetView>
  </sheetViews>
  <sheetFormatPr baseColWidth="10" defaultColWidth="11.25" defaultRowHeight="14.25"/>
  <cols>
    <col min="1" max="1" width="3.375" style="1" customWidth="1"/>
    <col min="2" max="2" width="3.375" style="4" customWidth="1"/>
    <col min="3" max="3" width="5.625" style="4" customWidth="1"/>
    <col min="4" max="4" width="11.75" style="4" customWidth="1"/>
    <col min="5" max="5" width="8.75" style="4" customWidth="1"/>
    <col min="6" max="6" width="8.75" style="1044" customWidth="1"/>
    <col min="7" max="9" width="9.625" style="19" customWidth="1"/>
    <col min="10" max="10" width="9.625" style="1978" customWidth="1"/>
    <col min="11" max="14" width="9.625" style="4" customWidth="1"/>
    <col min="15" max="15" width="23.25" style="4" bestFit="1" customWidth="1"/>
    <col min="16" max="16" width="9.625" style="1977" customWidth="1"/>
    <col min="17" max="17" width="24.625" style="1976" hidden="1" customWidth="1"/>
    <col min="18" max="30" width="14.875" style="33" hidden="1" customWidth="1"/>
    <col min="31" max="31" width="14.875" style="1975" hidden="1" customWidth="1"/>
    <col min="32" max="38" width="14.875" style="33" hidden="1" customWidth="1"/>
    <col min="39" max="42" width="11.625" style="33" hidden="1" customWidth="1"/>
    <col min="43" max="43" width="9.625" style="33" hidden="1" customWidth="1"/>
    <col min="44" max="16384" width="11.25" style="33"/>
  </cols>
  <sheetData>
    <row r="1" spans="1:43" s="1" customFormat="1" ht="14.1" customHeight="1">
      <c r="A1" s="49"/>
      <c r="B1" s="4"/>
      <c r="C1" s="1941"/>
      <c r="D1" s="4"/>
      <c r="E1" s="4"/>
      <c r="F1" s="1044"/>
      <c r="G1" s="19"/>
      <c r="H1" s="19"/>
      <c r="I1" s="19"/>
      <c r="J1" s="1978"/>
      <c r="K1" s="4"/>
      <c r="L1" s="4"/>
      <c r="M1" s="4"/>
      <c r="N1" s="4"/>
      <c r="O1" s="4"/>
      <c r="P1" s="5"/>
      <c r="Q1" s="33"/>
      <c r="R1" s="33"/>
      <c r="S1" s="33"/>
      <c r="T1" s="33"/>
      <c r="Z1" s="2036"/>
    </row>
    <row r="2" spans="1:43" s="1" customFormat="1" ht="21.95" customHeight="1">
      <c r="A2" s="2038"/>
      <c r="B2" s="118" t="s">
        <v>285</v>
      </c>
      <c r="C2" s="2037"/>
      <c r="D2" s="2007"/>
      <c r="E2" s="2007"/>
      <c r="F2" s="2009"/>
      <c r="G2" s="1111"/>
      <c r="H2" s="33"/>
      <c r="I2" s="33"/>
      <c r="K2" s="320"/>
      <c r="L2" s="320"/>
      <c r="M2" s="320"/>
      <c r="N2" s="320"/>
      <c r="O2" s="320" t="s">
        <v>1276</v>
      </c>
      <c r="P2" s="5"/>
      <c r="Q2" s="29"/>
      <c r="Z2" s="2036"/>
    </row>
    <row r="3" spans="1:43" s="1" customFormat="1" ht="31.5" customHeight="1">
      <c r="A3" s="2033"/>
      <c r="B3" s="2035"/>
      <c r="C3" s="2007"/>
      <c r="D3" s="1938"/>
      <c r="E3" s="1113"/>
      <c r="F3" s="1114"/>
      <c r="G3" s="1111"/>
      <c r="H3" s="33"/>
      <c r="I3" s="33"/>
      <c r="J3" s="2034"/>
      <c r="N3" s="4160" t="s">
        <v>2124</v>
      </c>
      <c r="O3" s="3449">
        <f>'SDK1'!O3</f>
        <v>0</v>
      </c>
      <c r="P3" s="5"/>
      <c r="Q3" s="29"/>
      <c r="R3" s="1991"/>
      <c r="S3" s="1991"/>
      <c r="T3" s="1991"/>
      <c r="U3" s="1991"/>
      <c r="V3" s="1991"/>
      <c r="W3" s="1991"/>
      <c r="X3" s="1991"/>
      <c r="Y3" s="1991"/>
      <c r="Z3" s="2004"/>
      <c r="AA3" s="1991"/>
      <c r="AB3" s="1991"/>
      <c r="AC3" s="1991"/>
      <c r="AD3" s="1991"/>
      <c r="AH3" s="1991"/>
      <c r="AI3" s="1991"/>
      <c r="AJ3" s="1991"/>
      <c r="AK3" s="1991"/>
      <c r="AL3" s="1991"/>
      <c r="AM3" s="1991"/>
      <c r="AN3" s="1991"/>
      <c r="AO3" s="1991"/>
      <c r="AP3" s="1991"/>
    </row>
    <row r="4" spans="1:43" s="1" customFormat="1" ht="9" customHeight="1">
      <c r="A4" s="2033"/>
      <c r="C4" s="2007"/>
      <c r="D4" s="2007"/>
      <c r="E4" s="2007"/>
      <c r="F4" s="2009"/>
      <c r="G4" s="2007"/>
      <c r="H4" s="2007"/>
      <c r="I4" s="2007"/>
      <c r="J4" s="2008"/>
      <c r="K4" s="2007"/>
      <c r="L4" s="2007"/>
      <c r="M4" s="2007"/>
      <c r="N4" s="4160"/>
      <c r="O4" s="2007"/>
      <c r="P4" s="5"/>
      <c r="Q4" s="29"/>
      <c r="R4" s="1991"/>
      <c r="S4" s="1991"/>
      <c r="T4" s="1991"/>
      <c r="U4" s="1991"/>
      <c r="V4" s="1991"/>
      <c r="W4" s="1991"/>
      <c r="X4" s="1991"/>
      <c r="Y4" s="1991"/>
      <c r="Z4" s="2004"/>
      <c r="AA4" s="1991"/>
      <c r="AB4" s="1991"/>
      <c r="AC4" s="1991"/>
      <c r="AD4" s="1991"/>
      <c r="AH4" s="1991"/>
      <c r="AI4" s="1991"/>
      <c r="AJ4" s="1991"/>
      <c r="AK4" s="1991"/>
      <c r="AL4" s="1991"/>
      <c r="AM4" s="1991"/>
      <c r="AN4" s="1991"/>
      <c r="AO4" s="1991"/>
      <c r="AP4" s="1991"/>
    </row>
    <row r="5" spans="1:43" s="1" customFormat="1" ht="15.75" customHeight="1">
      <c r="A5" s="2033"/>
      <c r="B5" s="48"/>
      <c r="C5" s="3202" t="s">
        <v>116</v>
      </c>
      <c r="D5" s="3440">
        <v>45644</v>
      </c>
      <c r="E5" s="3202"/>
      <c r="F5" s="224"/>
      <c r="G5" s="269"/>
      <c r="H5" s="269"/>
      <c r="I5" s="269"/>
      <c r="J5" s="269"/>
      <c r="K5" s="4028"/>
      <c r="L5" s="4028"/>
      <c r="M5" s="4028"/>
      <c r="N5" s="4160"/>
      <c r="O5" s="3257" t="s">
        <v>283</v>
      </c>
      <c r="P5" s="1071"/>
      <c r="Q5" s="5"/>
      <c r="S5" s="1991"/>
      <c r="T5" s="1991"/>
      <c r="U5" s="1991"/>
      <c r="V5" s="1991"/>
      <c r="W5" s="1991"/>
      <c r="X5" s="1991"/>
      <c r="Y5" s="1991"/>
      <c r="Z5" s="1991"/>
      <c r="AA5" s="2004"/>
      <c r="AB5" s="1991"/>
      <c r="AC5" s="1991"/>
      <c r="AD5" s="1991"/>
      <c r="AH5" s="1991"/>
      <c r="AI5" s="306" t="s">
        <v>282</v>
      </c>
      <c r="AJ5" s="3318"/>
      <c r="AK5" s="35" t="s">
        <v>281</v>
      </c>
      <c r="AL5" s="3364">
        <v>2</v>
      </c>
      <c r="AM5" s="309" t="str">
        <f>VLOOKUP(AL5,AH6:AI7,2,FALSE)</f>
        <v>ohne Mehrwertsteuer (Option)</v>
      </c>
      <c r="AN5" s="309"/>
      <c r="AO5" s="309"/>
      <c r="AP5" s="309"/>
      <c r="AQ5" s="1991"/>
    </row>
    <row r="6" spans="1:43" s="1" customFormat="1" ht="15.6" customHeight="1">
      <c r="A6" s="1996">
        <f>ROWS($A$6:A6)</f>
        <v>1</v>
      </c>
      <c r="B6" s="48"/>
      <c r="C6" s="3202"/>
      <c r="D6" s="3202"/>
      <c r="E6" s="3202"/>
      <c r="F6" s="224"/>
      <c r="G6" s="311">
        <v>2017</v>
      </c>
      <c r="H6" s="3242">
        <v>2018</v>
      </c>
      <c r="I6" s="3242">
        <v>2019</v>
      </c>
      <c r="J6" s="3242">
        <v>2020</v>
      </c>
      <c r="K6" s="3243">
        <v>2021</v>
      </c>
      <c r="L6" s="2939">
        <v>2022</v>
      </c>
      <c r="M6" s="2939">
        <v>2023</v>
      </c>
      <c r="N6" s="2939" t="s">
        <v>2138</v>
      </c>
      <c r="O6" s="3998" t="s">
        <v>2138</v>
      </c>
      <c r="P6" s="265"/>
      <c r="Q6" s="5"/>
      <c r="R6" s="29"/>
      <c r="S6" s="1991"/>
      <c r="T6" s="1991"/>
      <c r="U6" s="1991"/>
      <c r="V6" s="1991"/>
      <c r="W6" s="1991"/>
      <c r="X6" s="1991"/>
      <c r="Y6" s="1991"/>
      <c r="Z6" s="1991"/>
      <c r="AA6" s="2004"/>
      <c r="AB6" s="1991"/>
      <c r="AC6" s="1991"/>
      <c r="AD6" s="1991"/>
      <c r="AH6" s="307">
        <v>1</v>
      </c>
      <c r="AI6" s="306" t="s">
        <v>1904</v>
      </c>
      <c r="AJ6" s="306" t="s">
        <v>279</v>
      </c>
      <c r="AK6" s="256"/>
      <c r="AL6" s="256"/>
      <c r="AM6" s="256"/>
      <c r="AN6" s="256"/>
      <c r="AO6" s="256"/>
      <c r="AP6" s="256"/>
      <c r="AQ6" s="1991"/>
    </row>
    <row r="7" spans="1:43" s="1" customFormat="1" ht="31.9" customHeight="1">
      <c r="A7" s="1996">
        <f>ROWS($A$6:A7)</f>
        <v>2</v>
      </c>
      <c r="B7" s="1068"/>
      <c r="C7" s="48"/>
      <c r="D7" s="3202"/>
      <c r="E7" s="3202"/>
      <c r="F7" s="3202"/>
      <c r="G7" s="311"/>
      <c r="H7" s="311"/>
      <c r="I7" s="3303"/>
      <c r="J7" s="3303"/>
      <c r="K7" s="3303"/>
      <c r="L7" s="3303"/>
      <c r="M7" s="3303"/>
      <c r="N7" s="3303"/>
      <c r="O7" s="3303"/>
      <c r="P7" s="1991"/>
      <c r="Q7" s="1991"/>
      <c r="R7" s="1991"/>
      <c r="S7" s="1991"/>
      <c r="T7" s="1991"/>
      <c r="U7" s="1991"/>
      <c r="V7" s="1991"/>
      <c r="W7" s="1991"/>
      <c r="X7" s="1991"/>
      <c r="Y7" s="2028" t="s">
        <v>1358</v>
      </c>
      <c r="Z7" s="2027" t="s">
        <v>1357</v>
      </c>
      <c r="AA7" s="1991"/>
      <c r="AB7" s="1991"/>
      <c r="AC7" s="1991"/>
      <c r="AD7" s="1991"/>
      <c r="AH7" s="307">
        <v>2</v>
      </c>
      <c r="AI7" s="306" t="s">
        <v>277</v>
      </c>
      <c r="AJ7" s="256"/>
      <c r="AK7" s="256"/>
      <c r="AL7" s="256"/>
      <c r="AM7" s="256"/>
      <c r="AN7" s="256"/>
      <c r="AO7" s="256"/>
      <c r="AP7" s="1991"/>
    </row>
    <row r="8" spans="1:43" s="1" customFormat="1" ht="19.899999999999999" customHeight="1">
      <c r="A8" s="1996">
        <f>ROWS($A$6:A8)</f>
        <v>3</v>
      </c>
      <c r="B8" s="3236" t="s">
        <v>280</v>
      </c>
      <c r="C8" s="3237"/>
      <c r="D8" s="3237"/>
      <c r="E8" s="3237"/>
      <c r="F8" s="3238"/>
      <c r="G8" s="3239"/>
      <c r="H8" s="3239"/>
      <c r="I8" s="3239"/>
      <c r="J8" s="266"/>
      <c r="K8" s="266"/>
      <c r="L8" s="266"/>
      <c r="M8" s="266"/>
      <c r="N8" s="266"/>
      <c r="O8" s="3240" t="str">
        <f>IF(AL5=1,"mit MwSt.","ohne MwSt.")</f>
        <v>ohne MwSt.</v>
      </c>
      <c r="P8" s="265"/>
      <c r="Q8" s="5"/>
      <c r="R8" s="29"/>
      <c r="S8" s="1991"/>
      <c r="T8" s="1991"/>
      <c r="U8" s="1991"/>
      <c r="V8" s="1991"/>
      <c r="W8" s="1991"/>
      <c r="X8" s="1991"/>
      <c r="Y8" s="2000"/>
      <c r="Z8" s="1999"/>
      <c r="AA8" s="2004"/>
      <c r="AB8" s="1991"/>
      <c r="AC8" s="1991"/>
      <c r="AD8" s="1991"/>
      <c r="AH8" s="1991"/>
      <c r="AI8" s="1991"/>
      <c r="AJ8" s="1991"/>
      <c r="AK8" s="1991"/>
      <c r="AL8" s="1991"/>
      <c r="AM8" s="1991"/>
      <c r="AN8" s="1991"/>
      <c r="AO8" s="1991"/>
      <c r="AP8" s="1991"/>
      <c r="AQ8" s="1991"/>
    </row>
    <row r="9" spans="1:43" s="1989" customFormat="1" ht="15.6" customHeight="1">
      <c r="A9" s="1996">
        <f>ROWS($A$6:A9)</f>
        <v>4</v>
      </c>
      <c r="B9" s="23"/>
      <c r="C9" s="78" t="s">
        <v>278</v>
      </c>
      <c r="D9" s="78"/>
      <c r="E9" s="78"/>
      <c r="F9" s="22"/>
      <c r="G9" s="303">
        <v>10.7</v>
      </c>
      <c r="H9" s="303">
        <v>10.7</v>
      </c>
      <c r="I9" s="303">
        <v>10.7</v>
      </c>
      <c r="J9" s="303">
        <v>10.7</v>
      </c>
      <c r="K9" s="303">
        <v>10.7</v>
      </c>
      <c r="L9" s="3848">
        <v>9.5</v>
      </c>
      <c r="M9" s="303">
        <v>9</v>
      </c>
      <c r="N9" s="3302">
        <v>9</v>
      </c>
      <c r="O9" s="3259">
        <f>IF($AL$5=2,0,HLOOKUP($O$6,$H$6:$N$12,A9))</f>
        <v>0</v>
      </c>
      <c r="P9" s="2024" t="s">
        <v>1213</v>
      </c>
      <c r="Q9" s="5"/>
      <c r="R9" s="29"/>
      <c r="Y9" s="3384" t="s">
        <v>1355</v>
      </c>
      <c r="Z9" s="1999"/>
      <c r="AA9" s="2001"/>
      <c r="AI9" s="2031" t="e">
        <f>HLOOKUP($O$6,$G$6:$K$74,4)</f>
        <v>#N/A</v>
      </c>
    </row>
    <row r="10" spans="1:43" s="1989" customFormat="1" ht="15.6" customHeight="1">
      <c r="A10" s="1996">
        <f>ROWS($A$6:A10)</f>
        <v>5</v>
      </c>
      <c r="B10" s="23"/>
      <c r="C10" s="78" t="s">
        <v>276</v>
      </c>
      <c r="D10" s="78"/>
      <c r="E10" s="78"/>
      <c r="F10" s="22"/>
      <c r="G10" s="303">
        <v>7</v>
      </c>
      <c r="H10" s="303">
        <v>7</v>
      </c>
      <c r="I10" s="303">
        <v>7</v>
      </c>
      <c r="J10" s="303">
        <v>7</v>
      </c>
      <c r="K10" s="303">
        <v>7</v>
      </c>
      <c r="L10" s="3848">
        <v>7</v>
      </c>
      <c r="M10" s="303">
        <v>7</v>
      </c>
      <c r="N10" s="3302">
        <v>7</v>
      </c>
      <c r="O10" s="3260">
        <f>IF($AL$5=2,0,HLOOKUP($O$6,$H$6:$N$12,A10))</f>
        <v>0</v>
      </c>
      <c r="P10" s="2024"/>
      <c r="Q10" s="5"/>
      <c r="R10" s="29"/>
      <c r="Y10" s="3384" t="s">
        <v>1355</v>
      </c>
      <c r="Z10" s="1999"/>
      <c r="AA10" s="2001"/>
      <c r="AI10" s="2031" t="e">
        <f>HLOOKUP($O$6,$G$6:$K$74,5)</f>
        <v>#N/A</v>
      </c>
    </row>
    <row r="11" spans="1:43" s="1989" customFormat="1" ht="15.6" customHeight="1">
      <c r="A11" s="1996">
        <f>ROWS($A$6:A11)</f>
        <v>6</v>
      </c>
      <c r="B11" s="23"/>
      <c r="C11" s="78" t="s">
        <v>275</v>
      </c>
      <c r="D11" s="78"/>
      <c r="E11" s="78"/>
      <c r="F11" s="22"/>
      <c r="G11" s="303">
        <v>19</v>
      </c>
      <c r="H11" s="303">
        <v>19</v>
      </c>
      <c r="I11" s="303">
        <v>19</v>
      </c>
      <c r="J11" s="303">
        <v>19</v>
      </c>
      <c r="K11" s="303">
        <v>19</v>
      </c>
      <c r="L11" s="3848">
        <v>19</v>
      </c>
      <c r="M11" s="303">
        <v>19</v>
      </c>
      <c r="N11" s="3302">
        <v>19</v>
      </c>
      <c r="O11" s="3260">
        <f>IF($AL$5=2,0,HLOOKUP($O$6,$H$6:$N$12,A11))</f>
        <v>0</v>
      </c>
      <c r="P11" s="2024"/>
      <c r="Q11" s="5"/>
      <c r="R11" s="29"/>
      <c r="Y11" s="3384" t="s">
        <v>1355</v>
      </c>
      <c r="Z11" s="1999"/>
      <c r="AA11" s="2001"/>
      <c r="AH11" s="2032"/>
      <c r="AI11" s="2031" t="e">
        <f>HLOOKUP($O$6,$G$6:$K$74,6)</f>
        <v>#N/A</v>
      </c>
    </row>
    <row r="12" spans="1:43" s="1989" customFormat="1" ht="15.6" customHeight="1">
      <c r="A12" s="1996">
        <f>ROWS($A$6:A12)</f>
        <v>7</v>
      </c>
      <c r="B12" s="23"/>
      <c r="C12" s="78" t="s">
        <v>274</v>
      </c>
      <c r="D12" s="78"/>
      <c r="E12" s="78"/>
      <c r="F12" s="22"/>
      <c r="G12" s="303">
        <v>12</v>
      </c>
      <c r="H12" s="303">
        <v>12</v>
      </c>
      <c r="I12" s="303">
        <v>12</v>
      </c>
      <c r="J12" s="303">
        <v>12</v>
      </c>
      <c r="K12" s="303">
        <v>12</v>
      </c>
      <c r="L12" s="3848">
        <v>12</v>
      </c>
      <c r="M12" s="303">
        <v>12</v>
      </c>
      <c r="N12" s="3302">
        <v>12</v>
      </c>
      <c r="O12" s="3260">
        <f>IF($AL$5=2,0,HLOOKUP($O$6,$H$6:$N$12,A12))</f>
        <v>0</v>
      </c>
      <c r="P12" s="2024"/>
      <c r="Q12" s="5"/>
      <c r="R12" s="29"/>
      <c r="Y12" s="3384" t="s">
        <v>1355</v>
      </c>
      <c r="Z12" s="1999"/>
      <c r="AI12" s="2031" t="e">
        <f>HLOOKUP($O$6,$G$6:$K$74,7)</f>
        <v>#N/A</v>
      </c>
    </row>
    <row r="13" spans="1:43" s="1989" customFormat="1" ht="20.45" customHeight="1">
      <c r="A13" s="1996">
        <f>ROWS($A$6:A13)</f>
        <v>8</v>
      </c>
      <c r="B13" s="1"/>
      <c r="C13" s="2007"/>
      <c r="D13" s="2007"/>
      <c r="E13" s="2007"/>
      <c r="F13" s="2009"/>
      <c r="G13" s="2007"/>
      <c r="H13" s="2007"/>
      <c r="I13" s="2007"/>
      <c r="J13" s="1120"/>
      <c r="K13" s="1"/>
      <c r="L13" s="1"/>
      <c r="M13" s="1"/>
      <c r="N13" s="1"/>
      <c r="O13" s="33"/>
      <c r="P13" s="5"/>
      <c r="Q13" s="29"/>
      <c r="Y13" s="1062"/>
      <c r="Z13" s="1062"/>
    </row>
    <row r="14" spans="1:43" s="1989" customFormat="1" ht="16.149999999999999" customHeight="1" thickBot="1">
      <c r="A14" s="1996">
        <f>ROWS($A$6:A14)</f>
        <v>9</v>
      </c>
      <c r="B14" s="3244" t="s">
        <v>1936</v>
      </c>
      <c r="C14" s="3245"/>
      <c r="D14" s="3228"/>
      <c r="E14" s="3228"/>
      <c r="F14" s="3252"/>
      <c r="G14" s="4245"/>
      <c r="H14" s="4245"/>
      <c r="I14" s="4245"/>
      <c r="J14" s="4245"/>
      <c r="K14" s="4245"/>
      <c r="L14" s="4245"/>
      <c r="M14" s="4245"/>
      <c r="N14" s="4246"/>
      <c r="O14" s="3274" t="str">
        <f>IF(AL5=1,"mit MwSt.","ohne MwSt.")</f>
        <v>ohne MwSt.</v>
      </c>
      <c r="P14" s="5"/>
      <c r="Q14" s="29"/>
      <c r="U14" s="2029" t="s">
        <v>183</v>
      </c>
      <c r="V14" s="2029" t="s">
        <v>1363</v>
      </c>
      <c r="W14" s="2029"/>
      <c r="X14" s="2029" t="s">
        <v>1362</v>
      </c>
      <c r="Y14" s="1062"/>
      <c r="Z14" s="1062"/>
    </row>
    <row r="15" spans="1:43" s="1989" customFormat="1" ht="15.6" customHeight="1">
      <c r="A15" s="1996">
        <f>ROWS($A$6:A15)</f>
        <v>10</v>
      </c>
      <c r="B15" s="3227"/>
      <c r="C15" s="3234" t="s">
        <v>272</v>
      </c>
      <c r="D15" s="3228"/>
      <c r="E15" s="3228"/>
      <c r="F15" s="3233"/>
      <c r="G15" s="4247"/>
      <c r="H15" s="4247"/>
      <c r="I15" s="4247"/>
      <c r="J15" s="4247"/>
      <c r="K15" s="4247"/>
      <c r="L15" s="4247"/>
      <c r="M15" s="4247"/>
      <c r="N15" s="4248"/>
      <c r="O15" s="3253">
        <f>O9/100</f>
        <v>0</v>
      </c>
      <c r="Q15" s="29"/>
      <c r="U15" s="2029"/>
      <c r="V15" s="2029"/>
      <c r="W15" s="2029"/>
      <c r="X15" s="2029"/>
      <c r="AH15" s="1"/>
      <c r="AM15" s="299" t="s">
        <v>2086</v>
      </c>
      <c r="AQ15" s="298" t="s">
        <v>2088</v>
      </c>
    </row>
    <row r="16" spans="1:43" s="1989" customFormat="1" ht="15.75">
      <c r="A16" s="1996">
        <f>ROWS($A$6:A16)</f>
        <v>11</v>
      </c>
      <c r="B16" s="3248"/>
      <c r="C16" s="3249" t="s">
        <v>269</v>
      </c>
      <c r="D16" s="3249"/>
      <c r="E16" s="3249" t="s">
        <v>1354</v>
      </c>
      <c r="F16" s="3254"/>
      <c r="G16" s="288"/>
      <c r="H16" s="288">
        <v>31.5</v>
      </c>
      <c r="I16" s="288">
        <v>26.35</v>
      </c>
      <c r="J16" s="247">
        <v>23.42</v>
      </c>
      <c r="K16" s="247">
        <v>36.1</v>
      </c>
      <c r="L16" s="247">
        <v>46.3</v>
      </c>
      <c r="M16" s="247">
        <v>30.2</v>
      </c>
      <c r="N16" s="245">
        <f t="shared" ref="N16:N30" si="0">AVERAGE(K16:M16)</f>
        <v>37.533333333333339</v>
      </c>
      <c r="O16" s="3251">
        <f t="shared" ref="O16:O33" si="1">HLOOKUP($O$6,$G$6:$N$74,A16)*(100+$O$9)/100</f>
        <v>37.533333333333339</v>
      </c>
      <c r="Q16" s="29">
        <v>1</v>
      </c>
      <c r="R16" s="29"/>
      <c r="S16" s="29"/>
      <c r="U16" s="2029"/>
      <c r="V16" s="2029"/>
      <c r="W16" s="2029"/>
      <c r="X16" s="2029"/>
      <c r="Y16" s="2010" t="s">
        <v>1932</v>
      </c>
      <c r="Z16" s="2013"/>
      <c r="AB16" s="1986"/>
      <c r="AC16" s="1986"/>
      <c r="AD16" s="1986"/>
      <c r="AE16" s="1986"/>
      <c r="AF16" s="1986"/>
      <c r="AG16" s="1986"/>
      <c r="AH16" s="1"/>
      <c r="AM16" s="285" t="s">
        <v>2087</v>
      </c>
      <c r="AQ16"/>
    </row>
    <row r="17" spans="1:43" s="1989" customFormat="1" ht="15" customHeight="1">
      <c r="A17" s="1996">
        <f>ROWS($A$6:A17)</f>
        <v>12</v>
      </c>
      <c r="B17" s="1060"/>
      <c r="C17" s="78" t="s">
        <v>269</v>
      </c>
      <c r="D17" s="78"/>
      <c r="E17" s="78" t="s">
        <v>1353</v>
      </c>
      <c r="F17" s="1118"/>
      <c r="G17" s="288">
        <v>45</v>
      </c>
      <c r="H17" s="288">
        <v>42</v>
      </c>
      <c r="I17" s="288">
        <v>40.1</v>
      </c>
      <c r="J17" s="247">
        <v>37.21</v>
      </c>
      <c r="K17" s="247">
        <v>49.2</v>
      </c>
      <c r="L17" s="247">
        <v>52.3</v>
      </c>
      <c r="M17" s="247">
        <v>51.5</v>
      </c>
      <c r="N17" s="3937">
        <f t="shared" si="0"/>
        <v>51</v>
      </c>
      <c r="O17" s="3251">
        <f t="shared" si="1"/>
        <v>51</v>
      </c>
      <c r="Q17" s="29">
        <v>2</v>
      </c>
      <c r="R17" s="29"/>
      <c r="S17" s="29"/>
      <c r="U17" s="2030" t="b">
        <v>1</v>
      </c>
      <c r="V17" s="2029"/>
      <c r="W17" s="2029"/>
      <c r="Y17" s="2010" t="s">
        <v>1932</v>
      </c>
      <c r="Z17" s="2013"/>
      <c r="AA17" s="1986"/>
      <c r="AB17" s="1986"/>
      <c r="AC17" s="1986"/>
      <c r="AD17" s="1986"/>
      <c r="AE17" s="1986"/>
      <c r="AF17" s="1986"/>
      <c r="AG17" s="1986"/>
      <c r="AH17" s="1"/>
      <c r="AI17" s="3582"/>
      <c r="AM17" s="285" t="s">
        <v>2087</v>
      </c>
      <c r="AQ17" s="3965">
        <v>44835</v>
      </c>
    </row>
    <row r="18" spans="1:43" s="1989" customFormat="1" ht="15" customHeight="1">
      <c r="A18" s="1996">
        <f>ROWS($A$6:A18)</f>
        <v>13</v>
      </c>
      <c r="B18" s="1060"/>
      <c r="C18" s="78" t="s">
        <v>84</v>
      </c>
      <c r="D18" s="78"/>
      <c r="E18" s="78"/>
      <c r="F18" s="1118"/>
      <c r="G18" s="288">
        <v>62</v>
      </c>
      <c r="H18" s="288">
        <v>44</v>
      </c>
      <c r="I18" s="288">
        <v>44.3</v>
      </c>
      <c r="J18" s="247">
        <v>54.5</v>
      </c>
      <c r="K18" s="247">
        <v>52.5</v>
      </c>
      <c r="L18" s="247">
        <v>40.9</v>
      </c>
      <c r="M18" s="247">
        <v>38.6</v>
      </c>
      <c r="N18" s="3937">
        <f t="shared" si="0"/>
        <v>44</v>
      </c>
      <c r="O18" s="3251">
        <f t="shared" si="1"/>
        <v>44</v>
      </c>
      <c r="Q18" s="29"/>
      <c r="U18" s="2030"/>
      <c r="V18" s="2029"/>
      <c r="W18" s="2029"/>
      <c r="Y18" s="2010" t="s">
        <v>1932</v>
      </c>
      <c r="Z18" s="2013"/>
      <c r="AA18" s="1986"/>
      <c r="AB18" s="1986"/>
      <c r="AC18" s="1986"/>
      <c r="AD18" s="1986"/>
      <c r="AE18" s="1986"/>
      <c r="AF18" s="1986"/>
      <c r="AG18" s="1986"/>
      <c r="AI18" s="3582"/>
      <c r="AM18" s="285" t="s">
        <v>2087</v>
      </c>
      <c r="AQ18"/>
    </row>
    <row r="19" spans="1:43" s="1989" customFormat="1" ht="15" customHeight="1">
      <c r="A19" s="1996">
        <f>ROWS($A$6:A19)</f>
        <v>14</v>
      </c>
      <c r="B19" s="1060"/>
      <c r="C19" s="78" t="s">
        <v>90</v>
      </c>
      <c r="D19" s="78"/>
      <c r="E19" s="78"/>
      <c r="F19" s="1118"/>
      <c r="G19" s="288">
        <v>37</v>
      </c>
      <c r="H19" s="288">
        <v>35</v>
      </c>
      <c r="I19" s="288">
        <v>33.5</v>
      </c>
      <c r="J19" s="247">
        <v>28.55</v>
      </c>
      <c r="K19" s="247">
        <v>33.1</v>
      </c>
      <c r="L19" s="247">
        <v>44.2</v>
      </c>
      <c r="M19" s="247">
        <v>31.6</v>
      </c>
      <c r="N19" s="3937">
        <f t="shared" si="0"/>
        <v>36.300000000000004</v>
      </c>
      <c r="O19" s="3251">
        <f t="shared" si="1"/>
        <v>36.300000000000004</v>
      </c>
      <c r="Q19" s="29"/>
      <c r="U19" s="2030" t="b">
        <v>0</v>
      </c>
      <c r="V19" s="2029"/>
      <c r="W19" s="2029"/>
      <c r="Y19" s="2010" t="s">
        <v>1932</v>
      </c>
      <c r="Z19" s="2013"/>
      <c r="AA19" s="1986"/>
      <c r="AB19" s="1986"/>
      <c r="AC19" s="1986"/>
      <c r="AD19" s="1986"/>
      <c r="AE19" s="1986"/>
      <c r="AF19" s="1986"/>
      <c r="AG19" s="1986"/>
      <c r="AH19" s="1986"/>
      <c r="AI19" s="3582"/>
      <c r="AM19" s="285" t="s">
        <v>2087</v>
      </c>
      <c r="AQ19"/>
    </row>
    <row r="20" spans="1:43" s="1989" customFormat="1" ht="15" customHeight="1">
      <c r="A20" s="1996">
        <f>ROWS($A$6:A20)</f>
        <v>15</v>
      </c>
      <c r="B20" s="1060"/>
      <c r="C20" s="78" t="s">
        <v>75</v>
      </c>
      <c r="D20" s="78"/>
      <c r="E20" s="78"/>
      <c r="F20" s="1118"/>
      <c r="G20" s="288">
        <v>38</v>
      </c>
      <c r="H20" s="288">
        <v>34</v>
      </c>
      <c r="I20" s="288">
        <v>35.299999999999997</v>
      </c>
      <c r="J20" s="247">
        <v>36.56</v>
      </c>
      <c r="K20" s="247">
        <v>34.700000000000003</v>
      </c>
      <c r="L20" s="247">
        <v>44.5</v>
      </c>
      <c r="M20" s="247">
        <v>39.5</v>
      </c>
      <c r="N20" s="3937">
        <f t="shared" si="0"/>
        <v>39.56666666666667</v>
      </c>
      <c r="O20" s="3251">
        <f t="shared" si="1"/>
        <v>39.56666666666667</v>
      </c>
      <c r="Q20" s="29" t="s">
        <v>2228</v>
      </c>
      <c r="Y20" s="2010" t="s">
        <v>1932</v>
      </c>
      <c r="Z20" s="2013"/>
      <c r="AA20" s="1986"/>
      <c r="AH20" s="1986"/>
      <c r="AI20" s="3582"/>
      <c r="AM20" s="285" t="s">
        <v>2087</v>
      </c>
      <c r="AQ20"/>
    </row>
    <row r="21" spans="1:43" s="1989" customFormat="1" ht="15" customHeight="1">
      <c r="A21" s="1996">
        <f>ROWS($A$6:A21)</f>
        <v>16</v>
      </c>
      <c r="B21" s="1060"/>
      <c r="C21" s="78" t="s">
        <v>86</v>
      </c>
      <c r="D21" s="78"/>
      <c r="E21" s="78"/>
      <c r="F21" s="1118"/>
      <c r="G21" s="288">
        <v>34</v>
      </c>
      <c r="H21" s="288">
        <v>32.700000000000003</v>
      </c>
      <c r="I21" s="288">
        <v>27.4</v>
      </c>
      <c r="J21" s="247">
        <v>24.32</v>
      </c>
      <c r="K21" s="247">
        <v>35.200000000000003</v>
      </c>
      <c r="L21" s="247">
        <v>43.6</v>
      </c>
      <c r="M21" s="247">
        <v>28.9</v>
      </c>
      <c r="N21" s="3937">
        <f t="shared" si="0"/>
        <v>35.900000000000006</v>
      </c>
      <c r="O21" s="3251">
        <f t="shared" si="1"/>
        <v>35.900000000000006</v>
      </c>
      <c r="Q21" s="29"/>
      <c r="Y21" s="2010" t="s">
        <v>1991</v>
      </c>
      <c r="Z21" s="2013"/>
      <c r="AH21" s="1986"/>
      <c r="AI21" s="3582"/>
      <c r="AM21" s="285" t="s">
        <v>2087</v>
      </c>
      <c r="AQ21"/>
    </row>
    <row r="22" spans="1:43" s="1989" customFormat="1" ht="15" customHeight="1">
      <c r="A22" s="1996">
        <f>ROWS($A$6:A22)</f>
        <v>17</v>
      </c>
      <c r="B22" s="1060"/>
      <c r="C22" s="78" t="s">
        <v>77</v>
      </c>
      <c r="D22" s="78"/>
      <c r="E22" s="78"/>
      <c r="F22" s="1118"/>
      <c r="G22" s="288">
        <v>37</v>
      </c>
      <c r="H22" s="288">
        <v>43</v>
      </c>
      <c r="I22" s="288">
        <v>36.799999999999997</v>
      </c>
      <c r="J22" s="247">
        <v>43.95</v>
      </c>
      <c r="K22" s="247">
        <v>44.7</v>
      </c>
      <c r="L22" s="247">
        <v>54</v>
      </c>
      <c r="M22" s="247">
        <v>52.25</v>
      </c>
      <c r="N22" s="3937">
        <f t="shared" si="0"/>
        <v>50.316666666666663</v>
      </c>
      <c r="O22" s="3251">
        <f t="shared" si="1"/>
        <v>50.316666666666663</v>
      </c>
      <c r="Q22" s="29"/>
      <c r="Y22" s="2010" t="s">
        <v>1337</v>
      </c>
      <c r="Z22" s="2014"/>
      <c r="AH22" s="1986"/>
      <c r="AI22" s="3582"/>
      <c r="AM22" s="285" t="s">
        <v>2087</v>
      </c>
      <c r="AQ22"/>
    </row>
    <row r="23" spans="1:43" s="1989" customFormat="1" ht="15">
      <c r="A23" s="1996">
        <f>ROWS($A$6:A23)</f>
        <v>18</v>
      </c>
      <c r="B23" s="1060"/>
      <c r="C23" s="78" t="s">
        <v>52</v>
      </c>
      <c r="D23" s="78"/>
      <c r="E23" s="78"/>
      <c r="F23" s="1118"/>
      <c r="G23" s="288">
        <v>47</v>
      </c>
      <c r="H23" s="288">
        <v>45</v>
      </c>
      <c r="I23" s="288">
        <v>46.9</v>
      </c>
      <c r="J23" s="247">
        <v>47.21</v>
      </c>
      <c r="K23" s="247">
        <v>47.1</v>
      </c>
      <c r="L23" s="247">
        <v>63.8</v>
      </c>
      <c r="M23" s="247">
        <v>56.3</v>
      </c>
      <c r="N23" s="3937">
        <f t="shared" si="0"/>
        <v>55.733333333333327</v>
      </c>
      <c r="O23" s="3251">
        <f t="shared" si="1"/>
        <v>55.733333333333327</v>
      </c>
      <c r="Y23" s="2010" t="s">
        <v>1932</v>
      </c>
      <c r="Z23" s="2013" t="s">
        <v>1336</v>
      </c>
      <c r="AA23" s="1986"/>
      <c r="AB23" s="1986"/>
      <c r="AC23" s="1986"/>
      <c r="AD23" s="1986"/>
      <c r="AE23" s="1986"/>
      <c r="AF23" s="1986"/>
      <c r="AG23" s="1986"/>
      <c r="AH23" s="1986"/>
      <c r="AM23" s="285" t="s">
        <v>2087</v>
      </c>
      <c r="AQ23"/>
    </row>
    <row r="24" spans="1:43" s="1989" customFormat="1" ht="15">
      <c r="A24" s="1996">
        <f>ROWS($A$6:A24)</f>
        <v>19</v>
      </c>
      <c r="B24" s="1060"/>
      <c r="C24" s="78" t="s">
        <v>54</v>
      </c>
      <c r="D24" s="78"/>
      <c r="E24" s="78"/>
      <c r="F24" s="1118"/>
      <c r="G24" s="288">
        <v>47</v>
      </c>
      <c r="H24" s="288">
        <v>46</v>
      </c>
      <c r="I24" s="288">
        <v>45.3</v>
      </c>
      <c r="J24" s="247">
        <v>41.62</v>
      </c>
      <c r="K24" s="247">
        <v>47.1</v>
      </c>
      <c r="L24" s="247">
        <v>64.8</v>
      </c>
      <c r="M24" s="247">
        <v>51.3</v>
      </c>
      <c r="N24" s="3937">
        <f t="shared" si="0"/>
        <v>54.4</v>
      </c>
      <c r="O24" s="3251">
        <f t="shared" si="1"/>
        <v>54.4</v>
      </c>
      <c r="Y24" s="2010" t="s">
        <v>1932</v>
      </c>
      <c r="Z24" s="2013" t="s">
        <v>1336</v>
      </c>
      <c r="AA24" s="1986"/>
      <c r="AB24" s="1986"/>
      <c r="AC24" s="1986"/>
      <c r="AD24" s="1986"/>
      <c r="AE24" s="1986"/>
      <c r="AF24" s="1986"/>
      <c r="AG24" s="1986"/>
      <c r="AH24" s="1986"/>
      <c r="AM24" s="285" t="s">
        <v>2087</v>
      </c>
      <c r="AQ24"/>
    </row>
    <row r="25" spans="1:43" s="1989" customFormat="1" ht="15">
      <c r="A25" s="1996">
        <f>ROWS($A$6:A25)</f>
        <v>20</v>
      </c>
      <c r="B25" s="1060"/>
      <c r="C25" s="78" t="s">
        <v>1352</v>
      </c>
      <c r="D25" s="78"/>
      <c r="E25" s="78"/>
      <c r="F25" s="1118"/>
      <c r="G25" s="288">
        <v>64</v>
      </c>
      <c r="H25" s="288">
        <v>46</v>
      </c>
      <c r="I25" s="288">
        <v>46</v>
      </c>
      <c r="J25" s="247">
        <v>57</v>
      </c>
      <c r="K25" s="247">
        <v>60.48</v>
      </c>
      <c r="L25" s="247">
        <v>55.05</v>
      </c>
      <c r="M25" s="247">
        <v>70.849999999999994</v>
      </c>
      <c r="N25" s="3937">
        <f t="shared" si="0"/>
        <v>62.126666666666665</v>
      </c>
      <c r="O25" s="3251">
        <f t="shared" si="1"/>
        <v>62.126666666666658</v>
      </c>
      <c r="P25" s="2026"/>
      <c r="Q25" s="5"/>
      <c r="Y25" s="2010" t="s">
        <v>1938</v>
      </c>
      <c r="Z25" s="2013" t="s">
        <v>1336</v>
      </c>
      <c r="AA25" s="1986"/>
      <c r="AB25" s="1986"/>
      <c r="AC25" s="1986"/>
      <c r="AD25" s="1986"/>
      <c r="AE25" s="1986"/>
      <c r="AF25" s="1986"/>
      <c r="AG25" s="1986"/>
      <c r="AH25" s="1986"/>
      <c r="AM25" s="285" t="s">
        <v>2087</v>
      </c>
      <c r="AQ25"/>
    </row>
    <row r="26" spans="1:43" s="1989" customFormat="1" ht="15">
      <c r="A26" s="1996">
        <f>ROWS($A$6:A26)</f>
        <v>21</v>
      </c>
      <c r="B26" s="1060"/>
      <c r="C26" s="78" t="s">
        <v>70</v>
      </c>
      <c r="D26" s="78"/>
      <c r="E26" s="1050"/>
      <c r="F26" s="1118"/>
      <c r="G26" s="288">
        <v>39</v>
      </c>
      <c r="H26" s="288">
        <v>37</v>
      </c>
      <c r="I26" s="288">
        <v>46.8</v>
      </c>
      <c r="J26" s="247">
        <v>31.75</v>
      </c>
      <c r="K26" s="247">
        <v>36.6</v>
      </c>
      <c r="L26" s="247">
        <v>48.6</v>
      </c>
      <c r="M26" s="247">
        <v>32.6</v>
      </c>
      <c r="N26" s="3937">
        <f t="shared" si="0"/>
        <v>39.266666666666673</v>
      </c>
      <c r="O26" s="3251">
        <f t="shared" si="1"/>
        <v>39.266666666666673</v>
      </c>
      <c r="P26" s="265"/>
      <c r="Q26" s="2025"/>
      <c r="R26" s="29"/>
      <c r="Y26" s="2010" t="s">
        <v>1932</v>
      </c>
      <c r="Z26" s="2013" t="s">
        <v>1336</v>
      </c>
      <c r="AA26" s="1986"/>
      <c r="AB26" s="1986"/>
      <c r="AC26" s="1986"/>
      <c r="AD26" s="1986"/>
      <c r="AE26" s="1986"/>
      <c r="AF26" s="1986"/>
      <c r="AG26" s="1986"/>
      <c r="AH26" s="1986"/>
      <c r="AM26" s="285" t="s">
        <v>2087</v>
      </c>
      <c r="AQ26" s="3965">
        <v>44866</v>
      </c>
    </row>
    <row r="27" spans="1:43" s="1989" customFormat="1" ht="15">
      <c r="A27" s="1996">
        <f>ROWS($A$6:A27)</f>
        <v>22</v>
      </c>
      <c r="B27" s="1060"/>
      <c r="C27" s="78" t="s">
        <v>1257</v>
      </c>
      <c r="D27" s="78"/>
      <c r="E27" s="78"/>
      <c r="F27" s="1118"/>
      <c r="G27" s="288">
        <v>62</v>
      </c>
      <c r="H27" s="288">
        <v>74</v>
      </c>
      <c r="I27" s="288">
        <v>74.8</v>
      </c>
      <c r="J27" s="247">
        <v>82.3</v>
      </c>
      <c r="K27" s="247">
        <v>86.8</v>
      </c>
      <c r="L27" s="247">
        <v>80.400000000000006</v>
      </c>
      <c r="M27" s="247">
        <v>72.900000000000006</v>
      </c>
      <c r="N27" s="3937">
        <f t="shared" si="0"/>
        <v>80.033333333333331</v>
      </c>
      <c r="O27" s="3251">
        <f t="shared" si="1"/>
        <v>80.033333333333331</v>
      </c>
      <c r="P27" s="1995"/>
      <c r="Q27" s="5"/>
      <c r="R27" s="29"/>
      <c r="Y27" s="2010" t="s">
        <v>1932</v>
      </c>
      <c r="Z27" s="2014"/>
      <c r="AA27" s="1986"/>
      <c r="AB27" s="1986"/>
      <c r="AC27" s="1986"/>
      <c r="AD27" s="1986"/>
      <c r="AE27" s="1986"/>
      <c r="AF27" s="1986"/>
      <c r="AG27" s="1986"/>
      <c r="AH27" s="1986"/>
      <c r="AM27" s="285" t="s">
        <v>2087</v>
      </c>
      <c r="AQ27"/>
    </row>
    <row r="28" spans="1:43" s="1989" customFormat="1" ht="15">
      <c r="A28" s="1996">
        <f>ROWS($A$6:A28)</f>
        <v>23</v>
      </c>
      <c r="B28" s="1060"/>
      <c r="C28" s="78" t="s">
        <v>1351</v>
      </c>
      <c r="D28" s="78"/>
      <c r="E28" s="78"/>
      <c r="F28" s="1118"/>
      <c r="G28" s="288">
        <v>9</v>
      </c>
      <c r="H28" s="288">
        <v>9</v>
      </c>
      <c r="I28" s="288">
        <v>9</v>
      </c>
      <c r="J28" s="247">
        <v>9</v>
      </c>
      <c r="K28" s="247">
        <v>9</v>
      </c>
      <c r="L28" s="247">
        <v>9</v>
      </c>
      <c r="M28" s="247">
        <v>9</v>
      </c>
      <c r="N28" s="3937">
        <f t="shared" si="0"/>
        <v>9</v>
      </c>
      <c r="O28" s="3251">
        <f t="shared" si="1"/>
        <v>9</v>
      </c>
      <c r="P28" s="1995"/>
      <c r="Q28" s="5"/>
      <c r="R28" s="29"/>
      <c r="Y28" s="2010" t="s">
        <v>1350</v>
      </c>
      <c r="Z28" s="2014" t="s">
        <v>1347</v>
      </c>
      <c r="AA28" s="1986"/>
      <c r="AB28" s="1986"/>
      <c r="AC28" s="1986"/>
      <c r="AD28" s="1986"/>
      <c r="AE28" s="1986"/>
      <c r="AF28" s="1986"/>
      <c r="AG28" s="1986"/>
      <c r="AH28" s="1986"/>
      <c r="AM28" s="285" t="s">
        <v>2087</v>
      </c>
      <c r="AQ28"/>
    </row>
    <row r="29" spans="1:43" s="1989" customFormat="1" ht="15">
      <c r="A29" s="1996">
        <f>ROWS($A$6:A29)</f>
        <v>24</v>
      </c>
      <c r="B29" s="1060"/>
      <c r="C29" s="78" t="s">
        <v>1349</v>
      </c>
      <c r="D29" s="78"/>
      <c r="E29" s="1050"/>
      <c r="F29" s="1118"/>
      <c r="G29" s="288">
        <v>23</v>
      </c>
      <c r="H29" s="288">
        <v>15</v>
      </c>
      <c r="I29" s="288">
        <v>15</v>
      </c>
      <c r="J29" s="247">
        <v>15</v>
      </c>
      <c r="K29" s="247">
        <v>15</v>
      </c>
      <c r="L29" s="247">
        <v>15</v>
      </c>
      <c r="M29" s="247">
        <v>15</v>
      </c>
      <c r="N29" s="3937">
        <f t="shared" si="0"/>
        <v>15</v>
      </c>
      <c r="O29" s="3251">
        <f t="shared" si="1"/>
        <v>15</v>
      </c>
      <c r="P29" s="1995"/>
      <c r="Q29" s="5"/>
      <c r="R29" s="29"/>
      <c r="Y29" s="2010" t="s">
        <v>1348</v>
      </c>
      <c r="Z29" s="2014" t="s">
        <v>1347</v>
      </c>
      <c r="AA29" s="1986"/>
      <c r="AB29" s="1986"/>
      <c r="AC29" s="1986"/>
      <c r="AD29" s="1986"/>
      <c r="AE29" s="1986"/>
      <c r="AF29" s="1986"/>
      <c r="AG29" s="1986"/>
      <c r="AH29" s="1986"/>
      <c r="AM29" s="285" t="s">
        <v>2087</v>
      </c>
      <c r="AQ29"/>
    </row>
    <row r="30" spans="1:43" s="1989" customFormat="1" ht="15">
      <c r="A30" s="1996">
        <f>ROWS($A$6:A30)</f>
        <v>25</v>
      </c>
      <c r="B30" s="1060"/>
      <c r="C30" s="78" t="s">
        <v>1346</v>
      </c>
      <c r="D30" s="78"/>
      <c r="E30" s="78"/>
      <c r="F30" s="1118"/>
      <c r="G30" s="288">
        <v>80</v>
      </c>
      <c r="H30" s="288">
        <v>76</v>
      </c>
      <c r="I30" s="288">
        <v>70</v>
      </c>
      <c r="J30" s="247">
        <v>71.7</v>
      </c>
      <c r="K30" s="247">
        <v>97.3</v>
      </c>
      <c r="L30" s="247">
        <v>100</v>
      </c>
      <c r="M30" s="247">
        <v>67</v>
      </c>
      <c r="N30" s="3937">
        <f t="shared" si="0"/>
        <v>88.100000000000009</v>
      </c>
      <c r="O30" s="3251">
        <f t="shared" si="1"/>
        <v>88.1</v>
      </c>
      <c r="P30" s="2023"/>
      <c r="Q30" s="5"/>
      <c r="R30" s="29"/>
      <c r="Y30" s="2010" t="s">
        <v>1978</v>
      </c>
      <c r="Z30" s="2014"/>
      <c r="AA30" s="1986"/>
      <c r="AB30" s="1986"/>
      <c r="AC30" s="1986"/>
      <c r="AD30" s="2015"/>
      <c r="AE30" s="1986"/>
      <c r="AF30" s="1986"/>
      <c r="AG30" s="1986"/>
      <c r="AH30" s="1986"/>
      <c r="AM30" s="285" t="s">
        <v>2087</v>
      </c>
      <c r="AQ30" s="3965">
        <v>44835</v>
      </c>
    </row>
    <row r="31" spans="1:43" s="1989" customFormat="1" ht="24.95" hidden="1" customHeight="1">
      <c r="A31" s="1996">
        <f>ROWS($A$6:A31)</f>
        <v>26</v>
      </c>
      <c r="B31" s="1060"/>
      <c r="C31" s="78" t="s">
        <v>1345</v>
      </c>
      <c r="D31" s="78"/>
      <c r="E31" s="78"/>
      <c r="F31" s="1118"/>
      <c r="G31" s="288">
        <v>92</v>
      </c>
      <c r="H31" s="288">
        <v>90</v>
      </c>
      <c r="I31" s="288">
        <v>87</v>
      </c>
      <c r="J31" s="247">
        <v>89</v>
      </c>
      <c r="K31" s="247">
        <v>100</v>
      </c>
      <c r="L31" s="247">
        <v>118</v>
      </c>
      <c r="M31" s="247"/>
      <c r="N31" s="3937">
        <f t="shared" ref="N31:N50" si="2">AVERAGE(J31:L31)</f>
        <v>102.33333333333333</v>
      </c>
      <c r="O31" s="3251">
        <f t="shared" si="1"/>
        <v>102.33333333333331</v>
      </c>
      <c r="P31" s="5"/>
      <c r="Q31" s="29"/>
      <c r="Y31" s="2010" t="s">
        <v>1978</v>
      </c>
      <c r="Z31" s="2014"/>
      <c r="AA31" s="1986"/>
      <c r="AB31" s="1986"/>
      <c r="AC31" s="1986"/>
      <c r="AD31" s="1986"/>
      <c r="AE31" s="1986"/>
      <c r="AF31" s="1986"/>
      <c r="AG31" s="1986"/>
      <c r="AH31" s="1986"/>
      <c r="AM31" s="285" t="s">
        <v>2087</v>
      </c>
      <c r="AQ31" s="3965">
        <v>44835</v>
      </c>
    </row>
    <row r="32" spans="1:43" s="1989" customFormat="1" ht="24.95" hidden="1" customHeight="1">
      <c r="A32" s="1996">
        <f>ROWS($A$6:A32)</f>
        <v>27</v>
      </c>
      <c r="B32" s="1060"/>
      <c r="C32" s="78" t="s">
        <v>1344</v>
      </c>
      <c r="D32" s="78"/>
      <c r="E32" s="78"/>
      <c r="F32" s="1118"/>
      <c r="G32" s="288"/>
      <c r="H32" s="288"/>
      <c r="I32" s="288"/>
      <c r="J32" s="247">
        <v>0</v>
      </c>
      <c r="K32" s="247"/>
      <c r="L32" s="247"/>
      <c r="M32" s="247"/>
      <c r="N32" s="3937">
        <f t="shared" si="2"/>
        <v>0</v>
      </c>
      <c r="O32" s="3251">
        <f t="shared" si="1"/>
        <v>0</v>
      </c>
      <c r="P32" s="33"/>
      <c r="Q32" s="33"/>
      <c r="R32" s="33"/>
      <c r="Y32" s="2020" t="s">
        <v>1343</v>
      </c>
      <c r="Z32" s="2019">
        <v>457.10936216216214</v>
      </c>
      <c r="AA32" s="1986"/>
      <c r="AB32" s="1986"/>
      <c r="AC32" s="1986"/>
      <c r="AD32" s="1986"/>
      <c r="AE32" s="1986"/>
      <c r="AF32" s="1986"/>
      <c r="AG32" s="1986"/>
      <c r="AH32" s="1986"/>
      <c r="AM32" s="285" t="s">
        <v>2087</v>
      </c>
    </row>
    <row r="33" spans="1:39" s="1" customFormat="1" ht="24.95" hidden="1" customHeight="1">
      <c r="A33" s="1996">
        <f>ROWS($A$6:A33)</f>
        <v>28</v>
      </c>
      <c r="B33" s="1060"/>
      <c r="C33" s="78"/>
      <c r="D33" s="78"/>
      <c r="E33" s="78"/>
      <c r="F33" s="1118"/>
      <c r="G33" s="288"/>
      <c r="H33" s="288"/>
      <c r="I33" s="288"/>
      <c r="J33" s="247" t="e">
        <v>#N/A</v>
      </c>
      <c r="K33" s="247"/>
      <c r="L33" s="247"/>
      <c r="M33" s="247"/>
      <c r="N33" s="3937" t="e">
        <f t="shared" si="2"/>
        <v>#N/A</v>
      </c>
      <c r="O33" s="3251" t="e">
        <f t="shared" si="1"/>
        <v>#N/A</v>
      </c>
      <c r="P33" s="33"/>
      <c r="Q33" s="33"/>
      <c r="R33" s="33"/>
      <c r="S33" s="1991"/>
      <c r="T33" s="1991"/>
      <c r="U33" s="1991"/>
      <c r="V33" s="1991"/>
      <c r="W33" s="1991"/>
      <c r="X33" s="1991"/>
      <c r="Y33" s="2017" t="s">
        <v>1342</v>
      </c>
      <c r="Z33" s="2016" t="s">
        <v>1341</v>
      </c>
      <c r="AA33" s="2019"/>
      <c r="AB33" s="2019"/>
      <c r="AC33" s="2019"/>
      <c r="AD33" s="2019"/>
      <c r="AE33" s="2019"/>
      <c r="AF33" s="2019"/>
      <c r="AG33" s="2019"/>
      <c r="AH33" s="2018"/>
      <c r="AM33" s="285" t="s">
        <v>2087</v>
      </c>
    </row>
    <row r="34" spans="1:39" s="1" customFormat="1" ht="24.95" hidden="1" customHeight="1">
      <c r="A34" s="1996">
        <f>ROWS($A$6:A34)</f>
        <v>29</v>
      </c>
      <c r="B34" s="1060"/>
      <c r="C34" s="78"/>
      <c r="D34" s="78"/>
      <c r="E34" s="78"/>
      <c r="F34" s="1118"/>
      <c r="G34" s="288"/>
      <c r="H34" s="288"/>
      <c r="I34" s="288"/>
      <c r="J34" s="247"/>
      <c r="K34" s="247"/>
      <c r="L34" s="247"/>
      <c r="M34" s="247"/>
      <c r="N34" s="3937"/>
      <c r="O34" s="3251"/>
      <c r="P34" s="33"/>
      <c r="Q34" s="33"/>
      <c r="R34" s="33"/>
      <c r="S34" s="33"/>
      <c r="T34" s="33"/>
      <c r="U34" s="33"/>
      <c r="V34" s="77"/>
      <c r="Y34" s="2010" t="s">
        <v>1340</v>
      </c>
      <c r="Z34" s="2014"/>
      <c r="AA34" s="3588"/>
      <c r="AB34" s="3587"/>
      <c r="AC34" s="3587"/>
      <c r="AD34" s="3587"/>
      <c r="AE34" s="3587"/>
      <c r="AF34" s="3587"/>
      <c r="AG34" s="3587"/>
      <c r="AH34" s="3587"/>
      <c r="AM34" s="285"/>
    </row>
    <row r="35" spans="1:39" s="1" customFormat="1" ht="24.95" hidden="1" customHeight="1">
      <c r="A35" s="1996">
        <f>ROWS($A$6:A35)</f>
        <v>30</v>
      </c>
      <c r="B35" s="1060"/>
      <c r="C35" s="78"/>
      <c r="D35" s="78"/>
      <c r="E35" s="78"/>
      <c r="F35" s="1118"/>
      <c r="G35" s="288"/>
      <c r="H35" s="288"/>
      <c r="I35" s="288"/>
      <c r="J35" s="247"/>
      <c r="K35" s="247"/>
      <c r="L35" s="247"/>
      <c r="M35" s="247"/>
      <c r="N35" s="3937"/>
      <c r="O35" s="3251"/>
      <c r="P35" s="33"/>
      <c r="Q35" s="33"/>
      <c r="R35" s="33"/>
      <c r="S35" s="33"/>
      <c r="T35" s="33"/>
      <c r="U35" s="33"/>
      <c r="V35" s="77"/>
      <c r="Y35" s="2010" t="s">
        <v>1340</v>
      </c>
      <c r="Z35" s="2014"/>
      <c r="AA35" s="1986"/>
      <c r="AB35" s="1986"/>
      <c r="AC35" s="1986"/>
      <c r="AD35" s="1986"/>
      <c r="AE35" s="1986"/>
      <c r="AF35" s="1986"/>
      <c r="AG35" s="1986"/>
      <c r="AH35" s="1986"/>
      <c r="AM35" s="285"/>
    </row>
    <row r="36" spans="1:39" s="1989" customFormat="1" ht="24.95" hidden="1" customHeight="1">
      <c r="A36" s="1996">
        <f>ROWS($A$6:A36)</f>
        <v>31</v>
      </c>
      <c r="B36" s="1060"/>
      <c r="C36" s="78"/>
      <c r="D36" s="78"/>
      <c r="E36" s="78"/>
      <c r="F36" s="1118"/>
      <c r="G36" s="288"/>
      <c r="H36" s="288"/>
      <c r="I36" s="288"/>
      <c r="J36" s="247" t="e">
        <v>#N/A</v>
      </c>
      <c r="K36" s="247"/>
      <c r="L36" s="247"/>
      <c r="M36" s="247"/>
      <c r="N36" s="3937" t="e">
        <f t="shared" si="2"/>
        <v>#N/A</v>
      </c>
      <c r="O36" s="3251" t="e">
        <f>HLOOKUP($O$6,$G$6:$N$74,A36)*(100+$O$9)/100</f>
        <v>#N/A</v>
      </c>
      <c r="P36" s="33"/>
      <c r="Q36" s="33"/>
      <c r="R36" s="33"/>
      <c r="S36" s="33"/>
      <c r="T36" s="33"/>
      <c r="U36" s="33"/>
      <c r="V36" s="2022"/>
      <c r="W36" s="77"/>
      <c r="Y36" s="2010"/>
      <c r="Z36" s="2014"/>
      <c r="AA36" s="1986"/>
      <c r="AB36" s="1986"/>
      <c r="AC36" s="1986"/>
      <c r="AD36" s="1986"/>
      <c r="AE36" s="1986"/>
      <c r="AF36" s="1986"/>
      <c r="AG36" s="1986"/>
      <c r="AH36" s="1986"/>
      <c r="AM36" s="285"/>
    </row>
    <row r="37" spans="1:39" s="1986" customFormat="1" ht="24.95" hidden="1" customHeight="1">
      <c r="A37" s="1996">
        <f>ROWS($A$6:A37)</f>
        <v>32</v>
      </c>
      <c r="B37" s="1060"/>
      <c r="C37" s="78"/>
      <c r="D37" s="78"/>
      <c r="E37" s="78"/>
      <c r="F37" s="1118"/>
      <c r="G37" s="288"/>
      <c r="H37" s="288"/>
      <c r="I37" s="288"/>
      <c r="J37" s="247" t="e">
        <v>#N/A</v>
      </c>
      <c r="K37" s="247"/>
      <c r="L37" s="247"/>
      <c r="M37" s="247"/>
      <c r="N37" s="3937" t="e">
        <f t="shared" si="2"/>
        <v>#N/A</v>
      </c>
      <c r="O37" s="3251" t="e">
        <f>HLOOKUP($O$6,$G$6:$N$74,A37)*(100+$O$9)/100</f>
        <v>#N/A</v>
      </c>
      <c r="P37" s="33"/>
      <c r="Q37" s="33"/>
      <c r="R37" s="33"/>
      <c r="S37" s="33"/>
      <c r="T37" s="33"/>
      <c r="U37" s="33"/>
      <c r="V37" s="2022"/>
      <c r="W37" s="77"/>
      <c r="Y37" s="2010"/>
      <c r="Z37" s="2014"/>
      <c r="AM37" s="285"/>
    </row>
    <row r="38" spans="1:39" s="1986" customFormat="1" ht="24.95" hidden="1" customHeight="1">
      <c r="A38" s="1996">
        <f>ROWS($A$6:A38)</f>
        <v>33</v>
      </c>
      <c r="B38" s="1060"/>
      <c r="C38" s="78"/>
      <c r="D38" s="78"/>
      <c r="E38" s="78"/>
      <c r="F38" s="1118"/>
      <c r="G38" s="288"/>
      <c r="H38" s="288"/>
      <c r="I38" s="288"/>
      <c r="J38" s="247"/>
      <c r="K38" s="247"/>
      <c r="L38" s="247"/>
      <c r="M38" s="247"/>
      <c r="N38" s="3937"/>
      <c r="O38" s="3251"/>
      <c r="P38" s="33"/>
      <c r="Q38" s="33"/>
      <c r="R38" s="33"/>
      <c r="S38" s="33"/>
      <c r="T38" s="33"/>
      <c r="U38" s="33"/>
      <c r="V38" s="2022"/>
      <c r="W38" s="77"/>
      <c r="Y38" s="2010" t="s">
        <v>1932</v>
      </c>
      <c r="Z38" s="2013" t="s">
        <v>1339</v>
      </c>
      <c r="AM38" s="285"/>
    </row>
    <row r="39" spans="1:39" s="1986" customFormat="1" ht="24.95" hidden="1" customHeight="1">
      <c r="A39" s="1996">
        <f>ROWS($A$6:A39)</f>
        <v>34</v>
      </c>
      <c r="B39" s="1060"/>
      <c r="C39" s="78"/>
      <c r="D39" s="78"/>
      <c r="E39" s="78"/>
      <c r="F39" s="1118"/>
      <c r="G39" s="288"/>
      <c r="H39" s="288"/>
      <c r="I39" s="288"/>
      <c r="J39" s="247"/>
      <c r="K39" s="247"/>
      <c r="L39" s="247"/>
      <c r="M39" s="247"/>
      <c r="N39" s="3937"/>
      <c r="O39" s="3251"/>
      <c r="P39" s="33"/>
      <c r="Q39" s="33"/>
      <c r="R39" s="33"/>
      <c r="S39" s="33"/>
      <c r="T39" s="33"/>
      <c r="U39" s="33"/>
      <c r="V39" s="2022"/>
      <c r="W39" s="77"/>
      <c r="Y39" s="2010" t="s">
        <v>1932</v>
      </c>
      <c r="Z39" s="2013" t="s">
        <v>1336</v>
      </c>
      <c r="AM39" s="285" t="s">
        <v>2087</v>
      </c>
    </row>
    <row r="40" spans="1:39" s="1986" customFormat="1" ht="24.95" hidden="1" customHeight="1">
      <c r="A40" s="1996">
        <f>ROWS($A$6:A40)</f>
        <v>35</v>
      </c>
      <c r="B40" s="1060"/>
      <c r="C40" s="78" t="s">
        <v>907</v>
      </c>
      <c r="D40" s="78"/>
      <c r="E40" s="78"/>
      <c r="F40" s="1118"/>
      <c r="G40" s="288">
        <v>34</v>
      </c>
      <c r="H40" s="288">
        <v>32</v>
      </c>
      <c r="I40" s="288">
        <v>30.4</v>
      </c>
      <c r="J40" s="247">
        <v>24.32</v>
      </c>
      <c r="K40" s="247">
        <v>34.799999999999997</v>
      </c>
      <c r="L40" s="247">
        <v>44.5</v>
      </c>
      <c r="M40" s="247"/>
      <c r="N40" s="3937">
        <f t="shared" si="2"/>
        <v>34.54</v>
      </c>
      <c r="O40" s="3251">
        <f>HLOOKUP($O$6,$G$6:$N$74,A40)*(100+$O$9)/100</f>
        <v>34.54</v>
      </c>
      <c r="P40" s="33"/>
      <c r="Q40" s="33"/>
      <c r="R40" s="33"/>
      <c r="S40" s="33"/>
      <c r="T40" s="33"/>
      <c r="U40" s="33"/>
      <c r="V40" s="2022"/>
      <c r="W40" s="77"/>
      <c r="Y40" s="2010" t="s">
        <v>1932</v>
      </c>
      <c r="Z40" s="2014"/>
      <c r="AM40" s="285" t="s">
        <v>2087</v>
      </c>
    </row>
    <row r="41" spans="1:39" s="1986" customFormat="1" ht="15">
      <c r="A41" s="1996">
        <f>ROWS($A$6:A41)</f>
        <v>36</v>
      </c>
      <c r="B41" s="1060"/>
      <c r="C41" s="78" t="s">
        <v>1338</v>
      </c>
      <c r="D41" s="78"/>
      <c r="E41" s="78"/>
      <c r="F41" s="1118"/>
      <c r="G41" s="288">
        <v>4</v>
      </c>
      <c r="H41" s="288">
        <v>4</v>
      </c>
      <c r="I41" s="288">
        <v>4</v>
      </c>
      <c r="J41" s="247">
        <v>4</v>
      </c>
      <c r="K41" s="247">
        <v>4</v>
      </c>
      <c r="L41" s="247">
        <v>4</v>
      </c>
      <c r="M41" s="247">
        <v>4</v>
      </c>
      <c r="N41" s="3937">
        <f>AVERAGE(K41:M41)</f>
        <v>4</v>
      </c>
      <c r="O41" s="3251">
        <f>HLOOKUP($O$6,$G$6:$N$74,A41)*(100+$O$9)/100</f>
        <v>4</v>
      </c>
      <c r="P41" s="33"/>
      <c r="Q41" s="33"/>
      <c r="R41" s="33"/>
      <c r="S41" s="33"/>
      <c r="T41" s="33"/>
      <c r="U41" s="33"/>
      <c r="V41" s="2022"/>
      <c r="W41" s="77"/>
      <c r="Y41" s="2010"/>
      <c r="Z41" s="2014"/>
      <c r="AM41" s="285" t="s">
        <v>2087</v>
      </c>
    </row>
    <row r="42" spans="1:39" s="1986" customFormat="1" ht="0.95" customHeight="1">
      <c r="A42" s="1996">
        <f>ROWS($A$6:A42)</f>
        <v>37</v>
      </c>
      <c r="B42" s="1060"/>
      <c r="C42" s="78"/>
      <c r="D42" s="78"/>
      <c r="E42" s="78"/>
      <c r="F42" s="1118"/>
      <c r="G42" s="288"/>
      <c r="H42" s="288"/>
      <c r="I42" s="288"/>
      <c r="J42" s="247"/>
      <c r="K42" s="247"/>
      <c r="L42" s="247"/>
      <c r="M42" s="247"/>
      <c r="N42" s="3937"/>
      <c r="O42" s="3251"/>
      <c r="P42" s="33"/>
      <c r="Q42" s="33"/>
      <c r="R42" s="33"/>
      <c r="S42" s="33"/>
      <c r="T42" s="33"/>
      <c r="U42" s="33"/>
      <c r="V42" s="2022"/>
      <c r="W42" s="77"/>
      <c r="Y42" s="2010"/>
      <c r="Z42" s="2014"/>
      <c r="AM42" s="285"/>
    </row>
    <row r="43" spans="1:39" s="1986" customFormat="1" ht="15">
      <c r="A43" s="1996">
        <f>ROWS($A$6:A43)</f>
        <v>38</v>
      </c>
      <c r="B43" s="1060"/>
      <c r="C43" s="78" t="s">
        <v>64</v>
      </c>
      <c r="D43" s="78"/>
      <c r="E43" s="78"/>
      <c r="F43" s="1118"/>
      <c r="G43" s="288">
        <v>62</v>
      </c>
      <c r="H43" s="288">
        <v>59</v>
      </c>
      <c r="I43" s="288">
        <v>59.4</v>
      </c>
      <c r="J43" s="247">
        <v>87.26</v>
      </c>
      <c r="K43" s="247">
        <v>96</v>
      </c>
      <c r="L43" s="247">
        <v>106.3</v>
      </c>
      <c r="M43" s="247">
        <v>70.5</v>
      </c>
      <c r="N43" s="3937">
        <f>AVERAGE(K43:M43)</f>
        <v>90.933333333333337</v>
      </c>
      <c r="O43" s="3251">
        <f t="shared" ref="O43:O51" si="3">HLOOKUP($O$6,$G$6:$N$74,A43)*(100+$O$9)/100</f>
        <v>90.933333333333337</v>
      </c>
      <c r="P43" s="33"/>
      <c r="Q43" s="33"/>
      <c r="R43" s="33"/>
      <c r="S43" s="33"/>
      <c r="T43" s="33"/>
      <c r="U43" s="33"/>
      <c r="V43" s="2022"/>
      <c r="W43" s="77"/>
      <c r="Y43" s="2010" t="s">
        <v>1939</v>
      </c>
      <c r="Z43" s="2013" t="s">
        <v>1336</v>
      </c>
      <c r="AM43" s="285" t="s">
        <v>2087</v>
      </c>
    </row>
    <row r="44" spans="1:39" s="1986" customFormat="1" ht="15">
      <c r="A44" s="1996">
        <f>ROWS($A$6:A44)</f>
        <v>39</v>
      </c>
      <c r="B44" s="1060"/>
      <c r="C44" s="78" t="s">
        <v>60</v>
      </c>
      <c r="D44" s="78"/>
      <c r="E44" s="78"/>
      <c r="F44" s="1118"/>
      <c r="G44" s="288">
        <v>49</v>
      </c>
      <c r="H44" s="288">
        <v>46</v>
      </c>
      <c r="I44" s="288">
        <v>47.6</v>
      </c>
      <c r="J44" s="247">
        <v>69.91</v>
      </c>
      <c r="K44" s="247"/>
      <c r="L44" s="247">
        <v>97.2</v>
      </c>
      <c r="M44" s="247">
        <v>57.84</v>
      </c>
      <c r="N44" s="3937">
        <f>AVERAGE(K44:M44)</f>
        <v>77.52000000000001</v>
      </c>
      <c r="O44" s="3251">
        <f t="shared" si="3"/>
        <v>77.52000000000001</v>
      </c>
      <c r="P44" s="33"/>
      <c r="Q44" s="33"/>
      <c r="R44" s="33"/>
      <c r="S44" s="33"/>
      <c r="T44" s="33"/>
      <c r="U44" s="33"/>
      <c r="V44" s="2022"/>
      <c r="Y44" s="2010" t="s">
        <v>1939</v>
      </c>
      <c r="Z44" s="2013" t="s">
        <v>1336</v>
      </c>
      <c r="AM44" s="285" t="s">
        <v>2087</v>
      </c>
    </row>
    <row r="45" spans="1:39" s="1986" customFormat="1" ht="15" hidden="1" customHeight="1">
      <c r="A45" s="3910">
        <f>ROWS($A$6:A45)</f>
        <v>40</v>
      </c>
      <c r="B45" s="1060"/>
      <c r="C45" s="78"/>
      <c r="D45" s="78"/>
      <c r="E45" s="78"/>
      <c r="F45" s="1118"/>
      <c r="G45" s="288"/>
      <c r="H45" s="288"/>
      <c r="I45" s="288"/>
      <c r="J45" s="247" t="e">
        <v>#N/A</v>
      </c>
      <c r="K45" s="247"/>
      <c r="L45" s="247"/>
      <c r="M45" s="247"/>
      <c r="N45" s="3937" t="e">
        <f t="shared" si="2"/>
        <v>#N/A</v>
      </c>
      <c r="O45" s="3911" t="e">
        <f t="shared" si="3"/>
        <v>#N/A</v>
      </c>
      <c r="P45" s="33"/>
      <c r="Q45" s="33"/>
      <c r="R45" s="33"/>
      <c r="S45" s="33"/>
      <c r="T45" s="15"/>
      <c r="U45" s="33"/>
      <c r="V45" s="2022"/>
      <c r="Y45" s="2010"/>
      <c r="Z45" s="2014"/>
      <c r="AM45" s="285" t="s">
        <v>2087</v>
      </c>
    </row>
    <row r="46" spans="1:39" s="1986" customFormat="1" ht="15" hidden="1" customHeight="1">
      <c r="A46" s="3910">
        <f>ROWS($A$6:A46)</f>
        <v>41</v>
      </c>
      <c r="B46" s="1060"/>
      <c r="C46" s="290"/>
      <c r="D46" s="290"/>
      <c r="E46" s="290"/>
      <c r="F46" s="290"/>
      <c r="G46" s="288"/>
      <c r="H46" s="288"/>
      <c r="I46" s="288"/>
      <c r="J46" s="247" t="e">
        <v>#N/A</v>
      </c>
      <c r="K46" s="247"/>
      <c r="L46" s="247"/>
      <c r="M46" s="247"/>
      <c r="N46" s="3937" t="e">
        <f t="shared" si="2"/>
        <v>#N/A</v>
      </c>
      <c r="O46" s="3911" t="e">
        <f t="shared" si="3"/>
        <v>#N/A</v>
      </c>
      <c r="P46" s="33"/>
      <c r="Q46" s="33"/>
      <c r="R46" s="33"/>
      <c r="S46" s="33"/>
      <c r="T46" s="33"/>
      <c r="U46" s="33"/>
      <c r="V46" s="2022"/>
      <c r="Y46" s="2010"/>
      <c r="Z46" s="2014"/>
      <c r="AM46" s="285" t="s">
        <v>2087</v>
      </c>
    </row>
    <row r="47" spans="1:39" s="1986" customFormat="1" ht="15" hidden="1" customHeight="1">
      <c r="A47" s="3910">
        <f>ROWS($A$6:A47)</f>
        <v>42</v>
      </c>
      <c r="B47" s="1060"/>
      <c r="C47" s="290"/>
      <c r="D47" s="290"/>
      <c r="E47" s="290"/>
      <c r="F47" s="290"/>
      <c r="G47" s="288"/>
      <c r="H47" s="288"/>
      <c r="I47" s="288"/>
      <c r="J47" s="247" t="e">
        <v>#N/A</v>
      </c>
      <c r="K47" s="247"/>
      <c r="L47" s="247"/>
      <c r="M47" s="247"/>
      <c r="N47" s="3937" t="e">
        <f t="shared" si="2"/>
        <v>#N/A</v>
      </c>
      <c r="O47" s="3911" t="e">
        <f t="shared" si="3"/>
        <v>#N/A</v>
      </c>
      <c r="P47" s="33"/>
      <c r="Q47" s="33"/>
      <c r="R47" s="33"/>
      <c r="S47" s="33"/>
      <c r="T47" s="33"/>
      <c r="U47" s="33"/>
      <c r="V47" s="2022"/>
      <c r="Y47" s="85"/>
      <c r="Z47" s="2005"/>
      <c r="AM47" s="285" t="s">
        <v>2087</v>
      </c>
    </row>
    <row r="48" spans="1:39" s="1986" customFormat="1" ht="15" customHeight="1">
      <c r="A48" s="3910">
        <f>ROWS($A$6:A48)</f>
        <v>43</v>
      </c>
      <c r="B48" s="1060"/>
      <c r="C48" s="290" t="s">
        <v>2022</v>
      </c>
      <c r="D48" s="290"/>
      <c r="E48" s="290"/>
      <c r="F48" s="290"/>
      <c r="G48" s="288"/>
      <c r="H48" s="288">
        <v>15</v>
      </c>
      <c r="I48" s="288">
        <v>15</v>
      </c>
      <c r="J48" s="247">
        <v>15</v>
      </c>
      <c r="K48" s="247">
        <v>15</v>
      </c>
      <c r="L48" s="247">
        <v>15</v>
      </c>
      <c r="M48" s="247">
        <v>15</v>
      </c>
      <c r="N48" s="3937">
        <f>AVERAGE(K48:M48)</f>
        <v>15</v>
      </c>
      <c r="O48" s="3911">
        <f t="shared" si="3"/>
        <v>15</v>
      </c>
      <c r="P48" s="33"/>
      <c r="Q48" s="33"/>
      <c r="R48" s="33"/>
      <c r="S48" s="33"/>
      <c r="T48" s="33"/>
      <c r="U48" s="33"/>
      <c r="V48" s="2022"/>
      <c r="Y48" s="85"/>
      <c r="Z48" s="78"/>
      <c r="AM48" s="285" t="s">
        <v>2087</v>
      </c>
    </row>
    <row r="49" spans="1:39" s="1986" customFormat="1" ht="15">
      <c r="A49" s="1996">
        <f>ROWS($A$6:A49)</f>
        <v>44</v>
      </c>
      <c r="B49" s="1060"/>
      <c r="C49" s="78" t="s">
        <v>1212</v>
      </c>
      <c r="D49" s="78"/>
      <c r="E49" s="78"/>
      <c r="F49" s="1118"/>
      <c r="G49" s="288">
        <v>31</v>
      </c>
      <c r="H49" s="288">
        <v>31</v>
      </c>
      <c r="I49" s="288">
        <v>31</v>
      </c>
      <c r="J49" s="247">
        <v>24.32</v>
      </c>
      <c r="K49" s="247">
        <v>35.200000000000003</v>
      </c>
      <c r="L49" s="247">
        <v>43.6</v>
      </c>
      <c r="M49" s="247">
        <v>28.9</v>
      </c>
      <c r="N49" s="3937">
        <f>AVERAGE(K49:M49)</f>
        <v>35.900000000000006</v>
      </c>
      <c r="O49" s="3251">
        <f t="shared" si="3"/>
        <v>35.900000000000006</v>
      </c>
      <c r="P49" s="33"/>
      <c r="Q49" s="33"/>
      <c r="R49" s="33"/>
      <c r="S49" s="33"/>
      <c r="T49" s="33"/>
      <c r="U49" s="33"/>
      <c r="V49" s="2022"/>
      <c r="Y49" s="2010" t="s">
        <v>1337</v>
      </c>
      <c r="Z49" s="2013" t="s">
        <v>1336</v>
      </c>
      <c r="AA49" s="1922"/>
      <c r="AB49" s="1922"/>
      <c r="AC49" s="1922"/>
      <c r="AD49" s="1922"/>
      <c r="AE49" s="1922"/>
      <c r="AF49" s="1922"/>
      <c r="AG49" s="1922"/>
      <c r="AH49" s="1922"/>
      <c r="AM49" s="285"/>
    </row>
    <row r="50" spans="1:39" s="1986" customFormat="1" ht="15" hidden="1" customHeight="1">
      <c r="A50" s="1996">
        <f>ROWS($A$6:A50)</f>
        <v>45</v>
      </c>
      <c r="B50" s="1060"/>
      <c r="C50" s="290"/>
      <c r="D50" s="290"/>
      <c r="E50" s="290"/>
      <c r="F50" s="2012"/>
      <c r="G50" s="2011"/>
      <c r="H50" s="2011"/>
      <c r="I50" s="3385"/>
      <c r="J50" s="3849" t="e">
        <v>#N/A</v>
      </c>
      <c r="K50" s="3849"/>
      <c r="L50" s="247"/>
      <c r="M50" s="247"/>
      <c r="N50" s="3937" t="e">
        <f t="shared" si="2"/>
        <v>#N/A</v>
      </c>
      <c r="O50" s="3251" t="e">
        <f t="shared" si="3"/>
        <v>#N/A</v>
      </c>
      <c r="P50" s="33"/>
      <c r="Q50" s="33"/>
      <c r="R50" s="33"/>
      <c r="S50" s="33"/>
      <c r="T50" s="33"/>
      <c r="U50" s="33"/>
      <c r="V50" s="2022"/>
      <c r="W50" s="77"/>
      <c r="Y50" s="85"/>
      <c r="Z50" s="2005"/>
      <c r="AA50" s="1922"/>
      <c r="AB50" s="1922"/>
      <c r="AC50" s="1922"/>
      <c r="AD50" s="1922"/>
      <c r="AE50" s="1922"/>
      <c r="AF50" s="1922"/>
      <c r="AG50" s="1922"/>
      <c r="AH50" s="1922"/>
      <c r="AM50" s="285"/>
    </row>
    <row r="51" spans="1:39" s="1986" customFormat="1" ht="18">
      <c r="A51" s="1996">
        <f>ROWS($A$6:A51)</f>
        <v>46</v>
      </c>
      <c r="B51" s="4"/>
      <c r="C51" s="1886" t="s">
        <v>1335</v>
      </c>
      <c r="D51" s="1056"/>
      <c r="E51" s="1056"/>
      <c r="F51" s="2356"/>
      <c r="G51" s="288">
        <v>13.6</v>
      </c>
      <c r="H51" s="288">
        <v>13</v>
      </c>
      <c r="I51" s="288">
        <v>13</v>
      </c>
      <c r="J51" s="247">
        <v>10</v>
      </c>
      <c r="K51" s="247">
        <v>12</v>
      </c>
      <c r="L51" s="247">
        <v>12</v>
      </c>
      <c r="M51" s="247">
        <v>12</v>
      </c>
      <c r="N51" s="3937">
        <f>AVERAGE(K51:M51)</f>
        <v>12</v>
      </c>
      <c r="O51" s="3251">
        <f t="shared" si="3"/>
        <v>12</v>
      </c>
      <c r="P51" s="33"/>
      <c r="Q51" s="33"/>
      <c r="R51" s="33"/>
      <c r="S51" s="33"/>
      <c r="T51" s="33"/>
      <c r="U51" s="33"/>
      <c r="V51" s="2022"/>
      <c r="W51" s="77"/>
      <c r="Y51" s="2010" t="s">
        <v>1334</v>
      </c>
      <c r="Z51" s="2002"/>
      <c r="AA51" s="1922"/>
      <c r="AB51" s="1922"/>
      <c r="AC51" s="1922"/>
      <c r="AD51" s="1922"/>
      <c r="AE51" s="1922"/>
      <c r="AF51" s="1922"/>
      <c r="AG51" s="1922"/>
      <c r="AH51" s="1922"/>
      <c r="AM51" s="285"/>
    </row>
    <row r="52" spans="1:39" s="1986" customFormat="1" ht="15.6" customHeight="1">
      <c r="A52" s="1996">
        <f>ROWS($A$6:A52)</f>
        <v>47</v>
      </c>
      <c r="B52" s="1"/>
      <c r="C52" s="1"/>
      <c r="D52" s="1"/>
      <c r="E52" s="1"/>
      <c r="F52" s="1"/>
      <c r="G52" s="1"/>
      <c r="H52" s="1"/>
      <c r="I52" s="1"/>
      <c r="J52" s="1120"/>
      <c r="K52" s="247"/>
      <c r="N52" s="1"/>
      <c r="O52" s="3251"/>
      <c r="P52" s="33"/>
      <c r="Q52" s="33"/>
      <c r="R52" s="33"/>
      <c r="S52" s="33"/>
      <c r="T52" s="33"/>
      <c r="U52" s="33"/>
      <c r="V52" s="2021"/>
      <c r="W52" s="77"/>
      <c r="Y52" s="2002"/>
      <c r="Z52" s="1991"/>
      <c r="AA52" s="1991"/>
      <c r="AB52" s="1991"/>
      <c r="AC52" s="1991"/>
      <c r="AD52" s="1991"/>
      <c r="AE52" s="1991"/>
      <c r="AF52" s="1991"/>
      <c r="AG52" s="1991"/>
      <c r="AH52" s="1"/>
    </row>
    <row r="53" spans="1:39" s="1986" customFormat="1" ht="18">
      <c r="A53" s="1996">
        <f>ROWS($A$6:A53)</f>
        <v>48</v>
      </c>
      <c r="B53" s="3244" t="s">
        <v>1935</v>
      </c>
      <c r="C53" s="3245"/>
      <c r="D53" s="3228"/>
      <c r="E53" s="3228"/>
      <c r="F53" s="3233"/>
      <c r="G53" s="4245"/>
      <c r="H53" s="4245"/>
      <c r="I53" s="4245"/>
      <c r="J53" s="4245"/>
      <c r="K53" s="4245"/>
      <c r="L53" s="4245"/>
      <c r="M53" s="4245"/>
      <c r="N53" s="4246"/>
      <c r="O53" s="3246" t="str">
        <f>IF(AL5=1,"mit MwSt.","ohne MwSt.")</f>
        <v>ohne MwSt.</v>
      </c>
      <c r="P53" s="33"/>
      <c r="Q53" s="33"/>
      <c r="R53" s="33"/>
      <c r="S53" s="33"/>
      <c r="T53" s="33"/>
      <c r="U53" s="33"/>
      <c r="Y53" s="85"/>
      <c r="Z53" s="1922"/>
      <c r="AA53" s="1991"/>
      <c r="AB53" s="1991"/>
      <c r="AC53" s="1991"/>
      <c r="AD53" s="1991"/>
      <c r="AE53" s="1991"/>
      <c r="AF53" s="1991"/>
      <c r="AG53" s="1"/>
      <c r="AH53" s="1"/>
    </row>
    <row r="54" spans="1:39" s="1986" customFormat="1" ht="15.6" customHeight="1">
      <c r="A54" s="1996">
        <f>ROWS($A$6:A54)</f>
        <v>49</v>
      </c>
      <c r="B54" s="3227"/>
      <c r="C54" s="3232" t="s">
        <v>248</v>
      </c>
      <c r="D54" s="3228"/>
      <c r="E54" s="3228"/>
      <c r="F54" s="3233"/>
      <c r="G54" s="4247"/>
      <c r="H54" s="4247"/>
      <c r="I54" s="4247"/>
      <c r="J54" s="4247"/>
      <c r="K54" s="4247"/>
      <c r="L54" s="4247"/>
      <c r="M54" s="4247"/>
      <c r="N54" s="4248"/>
      <c r="O54" s="3247">
        <f>O11/100</f>
        <v>0</v>
      </c>
      <c r="P54" s="33"/>
      <c r="Q54" s="33"/>
      <c r="R54" s="33"/>
      <c r="S54" s="33"/>
      <c r="T54" s="33"/>
      <c r="U54" s="33"/>
      <c r="Y54" s="2003"/>
      <c r="Z54" s="2002"/>
      <c r="AA54" s="1922"/>
      <c r="AB54" s="1922"/>
      <c r="AC54" s="1922"/>
      <c r="AD54" s="1922"/>
      <c r="AE54" s="1922"/>
      <c r="AF54" s="1922"/>
      <c r="AG54" s="1922"/>
      <c r="AH54" s="1922"/>
    </row>
    <row r="55" spans="1:39" s="1986" customFormat="1" ht="15.6" customHeight="1">
      <c r="A55" s="1996">
        <f>ROWS($A$6:A55)</f>
        <v>50</v>
      </c>
      <c r="B55" s="3248"/>
      <c r="C55" s="3249" t="s">
        <v>247</v>
      </c>
      <c r="D55" s="3249"/>
      <c r="E55" s="3249" t="s">
        <v>246</v>
      </c>
      <c r="F55" s="3250"/>
      <c r="G55" s="262">
        <v>3.25</v>
      </c>
      <c r="H55" s="3277">
        <v>3.25</v>
      </c>
      <c r="I55" s="261">
        <v>3.25</v>
      </c>
      <c r="J55" s="261">
        <v>4.3</v>
      </c>
      <c r="K55" s="262">
        <v>4.3</v>
      </c>
      <c r="L55" s="247">
        <v>5</v>
      </c>
      <c r="M55" s="247">
        <v>5</v>
      </c>
      <c r="N55" s="245">
        <f>AVERAGE(I55:M55)</f>
        <v>4.37</v>
      </c>
      <c r="O55" s="3251">
        <f>HLOOKUP($O$6,$G$6:$N$58,A55)*(100+$O$11)/100</f>
        <v>4.37</v>
      </c>
      <c r="P55" s="33"/>
      <c r="Q55" s="33"/>
      <c r="R55" s="33"/>
      <c r="S55" s="33"/>
      <c r="T55" s="33"/>
      <c r="U55" s="33"/>
      <c r="Y55" s="2003"/>
      <c r="Z55" s="2002"/>
      <c r="AA55" s="1991"/>
      <c r="AB55" s="1991"/>
      <c r="AC55" s="1991"/>
      <c r="AD55" s="1991"/>
      <c r="AE55" s="1991"/>
      <c r="AF55" s="1991"/>
      <c r="AG55" s="1991"/>
      <c r="AH55" s="1"/>
    </row>
    <row r="56" spans="1:39" s="1986" customFormat="1" ht="15.6" customHeight="1">
      <c r="A56" s="1996">
        <f>ROWS($A$6:A56)</f>
        <v>51</v>
      </c>
      <c r="B56" s="1060"/>
      <c r="C56" s="78" t="s">
        <v>1356</v>
      </c>
      <c r="D56" s="78"/>
      <c r="E56" s="78" t="s">
        <v>244</v>
      </c>
      <c r="F56" s="9"/>
      <c r="G56" s="248">
        <v>1.27</v>
      </c>
      <c r="H56" s="247">
        <v>1.27</v>
      </c>
      <c r="I56" s="246">
        <v>1.27</v>
      </c>
      <c r="J56" s="246">
        <v>1.4</v>
      </c>
      <c r="K56" s="248">
        <v>1.4</v>
      </c>
      <c r="L56" s="247">
        <v>1.4</v>
      </c>
      <c r="M56" s="247">
        <v>1.4</v>
      </c>
      <c r="N56" s="3937">
        <f t="shared" ref="N56:N58" si="4">AVERAGE(I56:M56)</f>
        <v>1.3740000000000001</v>
      </c>
      <c r="O56" s="3251">
        <f>HLOOKUP($O$6,$G$6:$N$58,A56)*(100+$O$11)/100</f>
        <v>1.3740000000000001</v>
      </c>
      <c r="P56" s="33"/>
      <c r="Q56" s="33"/>
      <c r="R56" s="33"/>
      <c r="S56" s="33"/>
      <c r="T56" s="33"/>
      <c r="U56" s="33"/>
      <c r="V56" s="33"/>
      <c r="W56" s="33"/>
      <c r="X56" s="33"/>
      <c r="Y56" s="2003"/>
      <c r="Z56" s="2002"/>
      <c r="AA56" s="1991"/>
      <c r="AB56" s="1991"/>
      <c r="AC56" s="1991"/>
      <c r="AD56" s="1991"/>
      <c r="AE56" s="1991"/>
      <c r="AF56" s="1991"/>
      <c r="AG56" s="1991"/>
      <c r="AH56" s="1"/>
    </row>
    <row r="57" spans="1:39" s="1986" customFormat="1" ht="15.6" customHeight="1">
      <c r="A57" s="1996">
        <f>ROWS($A$6:A57)</f>
        <v>52</v>
      </c>
      <c r="B57" s="1060"/>
      <c r="C57" s="78" t="s">
        <v>243</v>
      </c>
      <c r="D57" s="78"/>
      <c r="E57" s="78" t="s">
        <v>242</v>
      </c>
      <c r="F57" s="9"/>
      <c r="G57" s="248">
        <v>1.1499999999999999</v>
      </c>
      <c r="H57" s="247">
        <v>1.1499999999999999</v>
      </c>
      <c r="I57" s="246">
        <v>1.1499999999999999</v>
      </c>
      <c r="J57" s="246">
        <v>1.4</v>
      </c>
      <c r="K57" s="248">
        <v>1.4</v>
      </c>
      <c r="L57" s="247">
        <v>1.4</v>
      </c>
      <c r="M57" s="247">
        <v>1.4</v>
      </c>
      <c r="N57" s="3937">
        <f t="shared" si="4"/>
        <v>1.35</v>
      </c>
      <c r="O57" s="3251">
        <f>HLOOKUP($O$6,$G$6:$N$58,A57)*(100+$O$11)/100</f>
        <v>1.35</v>
      </c>
      <c r="P57" s="33"/>
      <c r="Q57" s="33"/>
      <c r="R57" s="33"/>
      <c r="S57" s="33"/>
      <c r="T57" s="33"/>
      <c r="U57" s="33"/>
      <c r="V57" s="33"/>
      <c r="W57" s="33"/>
      <c r="X57" s="33"/>
      <c r="Y57" s="2000"/>
      <c r="Z57" s="1999"/>
      <c r="AA57" s="1991"/>
      <c r="AB57" s="1991"/>
      <c r="AC57" s="1991"/>
      <c r="AD57" s="1991"/>
      <c r="AE57" s="1991"/>
      <c r="AF57" s="1991"/>
      <c r="AG57" s="1991"/>
      <c r="AH57" s="1"/>
    </row>
    <row r="58" spans="1:39" s="1986" customFormat="1" ht="15.6" customHeight="1">
      <c r="A58" s="1996">
        <f>ROWS($A$6:A58)</f>
        <v>53</v>
      </c>
      <c r="B58" s="78"/>
      <c r="C58" s="78" t="s">
        <v>241</v>
      </c>
      <c r="D58" s="78"/>
      <c r="E58" s="78" t="s">
        <v>240</v>
      </c>
      <c r="F58" s="9"/>
      <c r="G58" s="248">
        <v>0.5</v>
      </c>
      <c r="H58" s="247">
        <v>0.5</v>
      </c>
      <c r="I58" s="248">
        <v>0.5</v>
      </c>
      <c r="J58" s="248">
        <v>0.5</v>
      </c>
      <c r="K58" s="248">
        <v>0.5</v>
      </c>
      <c r="L58" s="247">
        <v>0.5</v>
      </c>
      <c r="M58" s="247">
        <v>0.5</v>
      </c>
      <c r="N58" s="3937">
        <f t="shared" si="4"/>
        <v>0.5</v>
      </c>
      <c r="O58" s="3251">
        <f>HLOOKUP($O$6,$G$6:$N$58,A58)*(100+$O$11)/100</f>
        <v>0.5</v>
      </c>
      <c r="P58" s="33"/>
      <c r="Q58" s="33"/>
      <c r="R58" s="33"/>
      <c r="S58" s="33"/>
      <c r="T58" s="33"/>
      <c r="U58" s="33"/>
      <c r="V58" s="33"/>
      <c r="W58" s="33"/>
      <c r="X58" s="33"/>
      <c r="Y58" s="1998"/>
      <c r="Z58" s="1997"/>
      <c r="AA58" s="1989"/>
      <c r="AB58" s="1989"/>
      <c r="AC58" s="1989"/>
      <c r="AD58" s="1989"/>
      <c r="AE58" s="1989"/>
      <c r="AF58" s="1989"/>
      <c r="AG58" s="1989"/>
      <c r="AH58" s="1989"/>
    </row>
    <row r="59" spans="1:39" s="1986" customFormat="1" ht="15.6" customHeight="1">
      <c r="A59" s="1996">
        <f>ROWS($A$6:A59)</f>
        <v>54</v>
      </c>
      <c r="P59" s="33"/>
      <c r="Q59" s="33"/>
      <c r="R59" s="33"/>
      <c r="S59" s="33"/>
      <c r="T59" s="33"/>
      <c r="U59" s="33"/>
      <c r="V59" s="33"/>
      <c r="W59" s="33"/>
      <c r="X59" s="33"/>
    </row>
    <row r="60" spans="1:39" s="1986" customFormat="1" ht="20.25" customHeight="1">
      <c r="A60" s="1996">
        <f>ROWS($A$6:A60)</f>
        <v>55</v>
      </c>
      <c r="B60" s="3244" t="s">
        <v>1361</v>
      </c>
      <c r="C60" s="3228"/>
      <c r="D60" s="3228"/>
      <c r="E60" s="3229"/>
      <c r="F60" s="3230"/>
      <c r="G60" s="3231"/>
      <c r="H60" s="3231"/>
      <c r="I60" s="3231"/>
      <c r="P60" s="33"/>
      <c r="Q60" s="33"/>
      <c r="R60" s="33"/>
      <c r="S60" s="33"/>
      <c r="T60" s="33"/>
      <c r="U60" s="33"/>
      <c r="V60" s="33"/>
      <c r="W60" s="33"/>
      <c r="X60" s="33"/>
      <c r="Y60" s="33"/>
      <c r="Z60" s="33"/>
      <c r="AA60" s="33"/>
      <c r="AB60" s="33"/>
      <c r="AF60" s="1993"/>
    </row>
    <row r="61" spans="1:39" s="1986" customFormat="1" ht="15.6" customHeight="1">
      <c r="A61" s="1996">
        <f>ROWS($A$6:A61)</f>
        <v>56</v>
      </c>
      <c r="B61" s="3228"/>
      <c r="C61" s="3228"/>
      <c r="D61" s="3228"/>
      <c r="E61" s="3229"/>
      <c r="F61" s="3230"/>
      <c r="G61" s="3231"/>
      <c r="H61" s="3231"/>
      <c r="I61" s="3231"/>
      <c r="P61" s="33"/>
      <c r="Q61" s="33"/>
      <c r="R61" s="33"/>
      <c r="S61" s="33"/>
      <c r="T61" s="33"/>
      <c r="U61" s="33"/>
      <c r="V61" s="33"/>
      <c r="W61" s="33"/>
      <c r="X61" s="33"/>
      <c r="Y61" s="33"/>
      <c r="Z61" s="33"/>
      <c r="AA61" s="33"/>
      <c r="AB61" s="33"/>
      <c r="AF61" s="1993"/>
    </row>
    <row r="62" spans="1:39" s="1986" customFormat="1" ht="15.6" customHeight="1">
      <c r="A62" s="1996">
        <f>ROWS($A$6:A62)</f>
        <v>57</v>
      </c>
      <c r="C62" s="4243" t="s">
        <v>1989</v>
      </c>
      <c r="D62" s="4243"/>
      <c r="E62" s="4243"/>
      <c r="F62" s="4243"/>
      <c r="G62" s="4243"/>
      <c r="H62" s="4243"/>
      <c r="I62" s="4243"/>
      <c r="P62" s="33"/>
      <c r="Q62" s="33"/>
      <c r="R62" s="33"/>
      <c r="S62" s="33"/>
      <c r="T62" s="33"/>
      <c r="U62" s="33"/>
      <c r="V62" s="33"/>
      <c r="W62" s="33"/>
      <c r="X62" s="33"/>
      <c r="Y62" s="33"/>
      <c r="Z62" s="33"/>
      <c r="AA62" s="33"/>
      <c r="AB62" s="33"/>
      <c r="AF62" s="1993"/>
    </row>
    <row r="63" spans="1:39" s="1986" customFormat="1" ht="15" customHeight="1">
      <c r="A63" s="1996">
        <f>ROWS($A$6:A63)</f>
        <v>58</v>
      </c>
      <c r="C63" s="4244"/>
      <c r="D63" s="4244"/>
      <c r="E63" s="4244"/>
      <c r="F63" s="4244"/>
      <c r="G63" s="4244"/>
      <c r="H63" s="4244"/>
      <c r="I63" s="4244"/>
      <c r="P63" s="33"/>
      <c r="Q63" s="33"/>
      <c r="R63" s="33"/>
      <c r="S63" s="33"/>
      <c r="T63" s="33"/>
      <c r="U63" s="33"/>
      <c r="V63" s="33"/>
      <c r="W63" s="33"/>
      <c r="X63" s="33"/>
      <c r="Y63" s="33"/>
      <c r="Z63" s="33"/>
      <c r="AA63" s="33"/>
      <c r="AB63" s="33"/>
      <c r="AF63" s="1993"/>
    </row>
    <row r="64" spans="1:39" s="1986" customFormat="1" ht="15.6" customHeight="1">
      <c r="A64" s="1996">
        <f>ROWS($A$6:A64)</f>
        <v>59</v>
      </c>
      <c r="C64" s="4243" t="s">
        <v>1360</v>
      </c>
      <c r="D64" s="4243"/>
      <c r="E64" s="4243"/>
      <c r="F64" s="4243"/>
      <c r="G64" s="4243"/>
      <c r="H64" s="4243"/>
      <c r="I64" s="4243"/>
      <c r="P64" s="33"/>
      <c r="Q64" s="33"/>
      <c r="R64" s="33"/>
      <c r="S64" s="33"/>
      <c r="T64" s="33"/>
      <c r="U64" s="33"/>
      <c r="V64" s="33"/>
      <c r="W64" s="33"/>
      <c r="X64" s="33"/>
      <c r="Y64" s="33"/>
      <c r="Z64" s="33"/>
      <c r="AA64" s="33"/>
      <c r="AB64" s="33"/>
      <c r="AF64" s="1993"/>
    </row>
    <row r="65" spans="1:33" s="1986" customFormat="1" ht="15.6" customHeight="1">
      <c r="A65" s="1996">
        <f>ROWS($A$6:A65)</f>
        <v>60</v>
      </c>
      <c r="C65" s="4243"/>
      <c r="D65" s="4243"/>
      <c r="E65" s="4243"/>
      <c r="F65" s="4243"/>
      <c r="G65" s="4243"/>
      <c r="H65" s="4243"/>
      <c r="I65" s="4243"/>
      <c r="P65" s="33"/>
      <c r="Q65" s="33"/>
      <c r="R65" s="33"/>
      <c r="S65" s="33"/>
      <c r="T65" s="33"/>
      <c r="U65" s="33"/>
      <c r="V65" s="33"/>
      <c r="W65" s="33"/>
      <c r="X65" s="33"/>
      <c r="Y65" s="33"/>
      <c r="Z65" s="33"/>
      <c r="AA65" s="33"/>
      <c r="AB65" s="33"/>
      <c r="AF65" s="1993"/>
    </row>
    <row r="66" spans="1:33" s="1986" customFormat="1" ht="45.6" customHeight="1">
      <c r="A66" s="1996">
        <f>ROWS($A$6:A66)</f>
        <v>61</v>
      </c>
      <c r="B66" s="4242" t="s">
        <v>1359</v>
      </c>
      <c r="C66" s="4242"/>
      <c r="D66" s="4242"/>
      <c r="E66" s="4242"/>
      <c r="F66" s="4242"/>
      <c r="G66" s="4242"/>
      <c r="H66" s="4242"/>
      <c r="J66" s="3314"/>
      <c r="K66" s="3314"/>
      <c r="L66" s="3847"/>
      <c r="M66" s="4117"/>
      <c r="N66" s="1989"/>
      <c r="O66" s="1989"/>
      <c r="P66" s="33"/>
      <c r="Q66" s="33"/>
      <c r="R66" s="33"/>
      <c r="S66" s="33"/>
      <c r="T66" s="33"/>
      <c r="U66" s="33"/>
      <c r="V66" s="33"/>
      <c r="W66" s="33"/>
      <c r="X66" s="33"/>
      <c r="Y66" s="33"/>
      <c r="Z66" s="33"/>
      <c r="AA66" s="33"/>
      <c r="AB66" s="33"/>
      <c r="AF66" s="1993"/>
    </row>
    <row r="67" spans="1:33" s="1922" customFormat="1" ht="15.6" customHeight="1">
      <c r="A67" s="1996">
        <f>ROWS($A$6:A67)</f>
        <v>62</v>
      </c>
      <c r="B67" s="3314"/>
      <c r="C67" s="3314"/>
      <c r="D67" s="3314"/>
      <c r="E67" s="3314"/>
      <c r="F67" s="3314"/>
      <c r="G67" s="3314"/>
      <c r="H67" s="3314"/>
      <c r="I67" s="3314"/>
      <c r="J67" s="3314"/>
      <c r="K67" s="3314"/>
      <c r="L67" s="3847"/>
      <c r="M67" s="4117"/>
      <c r="N67" s="3297"/>
      <c r="O67" s="1989"/>
      <c r="P67" s="33"/>
      <c r="Q67" s="33"/>
      <c r="R67" s="33"/>
      <c r="S67" s="33"/>
      <c r="T67" s="33"/>
      <c r="U67" s="33"/>
      <c r="V67" s="33"/>
      <c r="W67" s="33"/>
      <c r="X67" s="33"/>
      <c r="Y67" s="33"/>
      <c r="Z67" s="33"/>
      <c r="AA67" s="33"/>
      <c r="AB67" s="33"/>
      <c r="AF67" s="2006"/>
    </row>
    <row r="68" spans="1:33" s="1922" customFormat="1" ht="15.6" customHeight="1">
      <c r="A68" s="1996">
        <f>ROWS($A$6:A68)</f>
        <v>63</v>
      </c>
      <c r="P68" s="33"/>
      <c r="Q68" s="33"/>
      <c r="R68" s="33"/>
      <c r="S68" s="33"/>
      <c r="T68" s="33"/>
      <c r="U68" s="33"/>
      <c r="V68" s="33"/>
      <c r="W68" s="33"/>
      <c r="X68" s="33"/>
      <c r="Y68" s="33"/>
      <c r="Z68" s="33"/>
      <c r="AA68" s="33"/>
      <c r="AB68" s="33"/>
      <c r="AF68" s="2006"/>
    </row>
    <row r="69" spans="1:33" s="1922" customFormat="1" ht="20.25" customHeight="1">
      <c r="A69" s="1996">
        <f>ROWS($A$6:A69)</f>
        <v>64</v>
      </c>
      <c r="B69" s="3244" t="s">
        <v>239</v>
      </c>
      <c r="C69" s="3245"/>
      <c r="D69" s="3245"/>
      <c r="E69" s="3245"/>
      <c r="F69" s="3255"/>
      <c r="G69" s="3256"/>
      <c r="H69" s="3256"/>
      <c r="I69" s="3256"/>
      <c r="J69" s="3256"/>
      <c r="K69" s="3256"/>
      <c r="L69" s="3256"/>
      <c r="M69" s="3256"/>
      <c r="N69" s="3256"/>
      <c r="O69" s="3251"/>
      <c r="P69" s="33"/>
      <c r="Q69" s="33"/>
      <c r="R69" s="33"/>
      <c r="S69" s="33"/>
      <c r="T69" s="33"/>
      <c r="U69" s="33"/>
      <c r="V69" s="33"/>
      <c r="W69" s="33"/>
      <c r="X69" s="33"/>
      <c r="Y69" s="33"/>
      <c r="Z69" s="33"/>
      <c r="AA69" s="33"/>
      <c r="AB69" s="33"/>
      <c r="AF69" s="2006"/>
    </row>
    <row r="70" spans="1:33" s="1" customFormat="1" ht="15.6" customHeight="1">
      <c r="A70" s="1996">
        <f>ROWS($A$6:A70)</f>
        <v>65</v>
      </c>
      <c r="B70" s="3441"/>
      <c r="C70" s="3237"/>
      <c r="D70" s="3237"/>
      <c r="E70" s="3237"/>
      <c r="F70" s="3238"/>
      <c r="G70" s="3239"/>
      <c r="H70" s="3239"/>
      <c r="I70" s="3239"/>
      <c r="J70" s="266"/>
      <c r="K70" s="266"/>
      <c r="L70" s="266"/>
      <c r="M70" s="266"/>
      <c r="N70" s="266">
        <v>2023</v>
      </c>
      <c r="O70" s="3442"/>
      <c r="P70" s="33"/>
      <c r="Q70" s="33"/>
      <c r="R70" s="33"/>
      <c r="S70" s="33"/>
      <c r="T70" s="33"/>
      <c r="U70" s="33"/>
      <c r="V70" s="33"/>
      <c r="W70" s="33"/>
      <c r="X70" s="33"/>
      <c r="Y70" s="33"/>
      <c r="Z70" s="33"/>
      <c r="AA70" s="33"/>
      <c r="AB70" s="33"/>
      <c r="AC70" s="1991"/>
      <c r="AD70" s="1991"/>
      <c r="AE70" s="1991"/>
      <c r="AF70" s="2004"/>
      <c r="AG70" s="1991"/>
    </row>
    <row r="71" spans="1:33" s="1" customFormat="1" ht="19.899999999999999" customHeight="1">
      <c r="A71" s="1996">
        <f>ROWS($A$6:A71)</f>
        <v>66</v>
      </c>
      <c r="B71" s="23"/>
      <c r="C71" s="78" t="s">
        <v>238</v>
      </c>
      <c r="D71" s="78"/>
      <c r="E71" s="78"/>
      <c r="F71" s="22"/>
      <c r="G71" s="247">
        <v>2</v>
      </c>
      <c r="H71" s="246">
        <v>2</v>
      </c>
      <c r="I71" s="248">
        <v>1.5</v>
      </c>
      <c r="J71" s="288">
        <v>1.5</v>
      </c>
      <c r="K71" s="288">
        <v>1.5</v>
      </c>
      <c r="L71" s="288">
        <v>1.5</v>
      </c>
      <c r="M71" s="247">
        <v>2</v>
      </c>
      <c r="N71" s="245">
        <v>2</v>
      </c>
      <c r="O71" s="3251">
        <f>HLOOKUP($O$6,$G$6:$N$74,A71)*(100+$O$9)/100</f>
        <v>2</v>
      </c>
      <c r="P71" s="33"/>
      <c r="Q71" s="33"/>
      <c r="R71" s="33"/>
      <c r="S71" s="33"/>
      <c r="T71" s="33"/>
      <c r="U71" s="33"/>
      <c r="V71" s="33"/>
      <c r="W71" s="33"/>
      <c r="X71" s="33"/>
      <c r="Y71" s="33"/>
      <c r="Z71" s="33"/>
      <c r="AA71" s="33"/>
      <c r="AB71" s="1991"/>
      <c r="AC71" s="1991"/>
      <c r="AD71" s="1991"/>
      <c r="AE71" s="2004"/>
      <c r="AF71" s="1991"/>
      <c r="AG71" s="1991"/>
    </row>
    <row r="72" spans="1:33" s="1922" customFormat="1" ht="15.6" customHeight="1">
      <c r="A72" s="1996">
        <f>ROWS($A$6:A72)</f>
        <v>67</v>
      </c>
      <c r="B72" s="1060"/>
      <c r="C72" s="78" t="s">
        <v>237</v>
      </c>
      <c r="D72" s="78"/>
      <c r="E72" s="78"/>
      <c r="F72" s="9"/>
      <c r="G72" s="247">
        <v>2</v>
      </c>
      <c r="H72" s="246">
        <v>2</v>
      </c>
      <c r="I72" s="248">
        <v>1.5</v>
      </c>
      <c r="J72" s="288">
        <v>1.5</v>
      </c>
      <c r="K72" s="288">
        <v>1.5</v>
      </c>
      <c r="L72" s="288">
        <v>1.5</v>
      </c>
      <c r="M72" s="247">
        <v>2</v>
      </c>
      <c r="N72" s="245">
        <v>2</v>
      </c>
      <c r="O72" s="3911">
        <f>HLOOKUP($O$6,$G$6:$N$74,A72)*(100+$O$9)/100</f>
        <v>2</v>
      </c>
      <c r="P72" s="29"/>
      <c r="Q72" s="33"/>
      <c r="R72" s="33"/>
      <c r="S72" s="33"/>
      <c r="T72" s="33"/>
      <c r="U72" s="33"/>
      <c r="V72" s="33"/>
      <c r="W72" s="33"/>
      <c r="X72" s="33"/>
      <c r="Y72" s="33"/>
      <c r="Z72" s="33"/>
      <c r="AA72" s="33"/>
      <c r="AE72" s="2006"/>
    </row>
    <row r="73" spans="1:33" s="1" customFormat="1" ht="21.2" customHeight="1">
      <c r="A73" s="1996">
        <f>ROWS($A$6:A73)</f>
        <v>68</v>
      </c>
      <c r="B73" s="1060"/>
      <c r="C73" s="78" t="s">
        <v>236</v>
      </c>
      <c r="D73" s="78"/>
      <c r="E73" s="78"/>
      <c r="F73" s="9"/>
      <c r="G73" s="247">
        <v>3</v>
      </c>
      <c r="H73" s="246">
        <v>3</v>
      </c>
      <c r="I73" s="248">
        <v>2.5</v>
      </c>
      <c r="J73" s="288">
        <v>2.5</v>
      </c>
      <c r="K73" s="288">
        <v>2.5</v>
      </c>
      <c r="L73" s="288">
        <v>2.5</v>
      </c>
      <c r="M73" s="247">
        <v>3</v>
      </c>
      <c r="N73" s="245">
        <v>3</v>
      </c>
      <c r="O73" s="3911">
        <f>HLOOKUP($O$6,$G$6:$N$74,A73)*(100+$O$9)/100</f>
        <v>3</v>
      </c>
      <c r="P73" s="1066"/>
      <c r="Q73" s="5"/>
      <c r="R73" s="33"/>
      <c r="S73" s="33"/>
      <c r="T73" s="33"/>
      <c r="U73" s="33"/>
      <c r="V73" s="33"/>
      <c r="W73" s="33"/>
      <c r="X73" s="33"/>
      <c r="Y73" s="33"/>
      <c r="Z73" s="33"/>
      <c r="AA73" s="33"/>
      <c r="AB73" s="33"/>
      <c r="AC73" s="1991"/>
      <c r="AD73" s="1991"/>
      <c r="AE73" s="1991"/>
      <c r="AF73" s="2004"/>
      <c r="AG73" s="1991"/>
    </row>
    <row r="74" spans="1:33" s="1" customFormat="1" ht="11.25" customHeight="1">
      <c r="A74" s="1996">
        <f>ROWS($A$6:A74)</f>
        <v>69</v>
      </c>
      <c r="B74" s="4"/>
      <c r="C74" s="4"/>
      <c r="D74" s="4"/>
      <c r="E74" s="17"/>
      <c r="F74" s="1044"/>
      <c r="G74" s="1985"/>
      <c r="H74" s="1985"/>
      <c r="I74" s="1985"/>
      <c r="J74" s="1985"/>
      <c r="K74" s="1985"/>
      <c r="L74" s="1985"/>
      <c r="M74" s="1985"/>
      <c r="N74" s="1985"/>
      <c r="O74" s="1985"/>
      <c r="P74" s="265"/>
      <c r="Q74" s="5"/>
      <c r="R74" s="29"/>
      <c r="S74" s="1991"/>
      <c r="T74" s="1991"/>
      <c r="U74" s="1991"/>
      <c r="V74" s="1991"/>
      <c r="W74" s="1991"/>
      <c r="X74" s="1991"/>
      <c r="Y74" s="1991"/>
      <c r="Z74" s="1991"/>
      <c r="AA74" s="1991"/>
      <c r="AB74" s="1991"/>
      <c r="AC74" s="1991"/>
      <c r="AD74" s="1991"/>
      <c r="AE74" s="1991"/>
      <c r="AF74" s="2004"/>
      <c r="AG74" s="1991"/>
    </row>
    <row r="75" spans="1:33" s="1" customFormat="1" ht="15.6" customHeight="1">
      <c r="A75" s="1996">
        <f>ROWS($A$6:A75)</f>
        <v>70</v>
      </c>
      <c r="P75" s="1995"/>
      <c r="Q75" s="5"/>
      <c r="R75" s="29"/>
      <c r="S75" s="1991"/>
      <c r="T75" s="1991"/>
      <c r="U75" s="1991"/>
      <c r="V75" s="1991"/>
      <c r="W75" s="1991"/>
      <c r="X75" s="1991"/>
      <c r="Y75" s="1991"/>
      <c r="Z75" s="1991"/>
      <c r="AA75" s="1991"/>
      <c r="AB75" s="1991"/>
      <c r="AC75" s="1991"/>
      <c r="AD75" s="1991"/>
      <c r="AE75" s="1991"/>
      <c r="AF75" s="2004"/>
      <c r="AG75" s="1991"/>
    </row>
    <row r="76" spans="1:33" s="1989" customFormat="1" ht="15.6" customHeight="1">
      <c r="A76" s="1996">
        <f>ROWS($A$6:A76)</f>
        <v>71</v>
      </c>
      <c r="P76" s="1995"/>
      <c r="Q76" s="5"/>
      <c r="R76" s="29"/>
      <c r="AF76" s="2001"/>
    </row>
    <row r="77" spans="1:33" s="1986" customFormat="1" ht="15.6" customHeight="1">
      <c r="A77" s="1996">
        <f>ROWS($A$6:A77)</f>
        <v>72</v>
      </c>
      <c r="P77" s="1995"/>
      <c r="Q77" s="29"/>
      <c r="AF77" s="1993"/>
    </row>
    <row r="78" spans="1:33" s="1986" customFormat="1" ht="15.6" customHeight="1">
      <c r="A78" s="1996">
        <f>ROWS($A$6:A78)</f>
        <v>73</v>
      </c>
      <c r="P78" s="29"/>
      <c r="Q78" s="29"/>
      <c r="AE78" s="1993"/>
    </row>
    <row r="79" spans="1:33" s="1986" customFormat="1" ht="15.6" customHeight="1">
      <c r="A79" s="1996">
        <f>ROWS($A$6:A79)</f>
        <v>74</v>
      </c>
      <c r="P79" s="29"/>
      <c r="Q79" s="29"/>
      <c r="AE79" s="1993"/>
    </row>
    <row r="80" spans="1:33" s="1986" customFormat="1" ht="15.6" customHeight="1">
      <c r="C80" s="1052"/>
      <c r="J80" s="1994"/>
      <c r="P80" s="29"/>
      <c r="Q80" s="29"/>
      <c r="S80" s="1986" t="s">
        <v>1213</v>
      </c>
      <c r="AE80" s="1993"/>
    </row>
    <row r="81" spans="1:28" ht="21.6" customHeight="1">
      <c r="A81" s="1922"/>
      <c r="B81" s="3235"/>
      <c r="K81" s="1989"/>
      <c r="L81" s="1989"/>
      <c r="M81" s="1989"/>
      <c r="N81" s="1989"/>
      <c r="O81" s="1989"/>
      <c r="P81" s="5"/>
    </row>
    <row r="82" spans="1:28" ht="16.149999999999999" customHeight="1">
      <c r="A82" s="33"/>
      <c r="B82" s="3235"/>
      <c r="K82" s="1989"/>
      <c r="L82" s="1989"/>
      <c r="M82" s="1989"/>
      <c r="N82" s="1989"/>
      <c r="O82" s="1989"/>
      <c r="P82" s="5"/>
    </row>
    <row r="83" spans="1:28" ht="16.149999999999999" customHeight="1">
      <c r="A83" s="33"/>
      <c r="B83" s="3235"/>
      <c r="K83" s="1989"/>
      <c r="L83" s="1989"/>
      <c r="M83" s="1989"/>
      <c r="N83" s="1989"/>
      <c r="O83" s="1989"/>
      <c r="P83" s="5"/>
    </row>
    <row r="84" spans="1:28" ht="16.149999999999999" customHeight="1">
      <c r="A84" s="33"/>
      <c r="B84" s="3235"/>
      <c r="K84" s="1989"/>
      <c r="L84" s="1989"/>
      <c r="M84" s="1989"/>
      <c r="N84" s="1989"/>
      <c r="O84" s="1989"/>
      <c r="P84" s="5"/>
    </row>
    <row r="85" spans="1:28" ht="15.75">
      <c r="A85" s="33"/>
      <c r="B85" s="3235"/>
      <c r="K85" s="1989"/>
      <c r="L85" s="1989"/>
      <c r="M85" s="1989"/>
      <c r="N85" s="1989"/>
      <c r="O85" s="1989"/>
      <c r="P85" s="5"/>
    </row>
    <row r="86" spans="1:28" ht="15.75">
      <c r="A86" s="33"/>
      <c r="B86" s="3235"/>
      <c r="K86" s="1989"/>
      <c r="L86" s="1989"/>
      <c r="M86" s="1989"/>
      <c r="N86" s="1989"/>
      <c r="O86" s="1989"/>
      <c r="P86" s="5"/>
    </row>
    <row r="87" spans="1:28" ht="15">
      <c r="A87" s="33"/>
      <c r="B87" s="33"/>
      <c r="C87" s="33"/>
      <c r="D87" s="33"/>
      <c r="E87" s="33"/>
      <c r="F87" s="654"/>
      <c r="G87" s="1985"/>
      <c r="H87" s="1985"/>
      <c r="I87" s="1985"/>
      <c r="J87" s="1985"/>
      <c r="K87" s="1985"/>
      <c r="L87" s="1985"/>
      <c r="M87" s="1985"/>
      <c r="N87" s="1985"/>
      <c r="O87" s="1985"/>
      <c r="P87" s="1989"/>
    </row>
    <row r="88" spans="1:28" ht="15">
      <c r="A88" s="33"/>
      <c r="B88" s="33"/>
      <c r="C88" s="15"/>
      <c r="D88" s="33"/>
      <c r="E88" s="33"/>
      <c r="F88" s="654"/>
      <c r="G88" s="1985"/>
      <c r="H88" s="1985"/>
      <c r="I88" s="1985"/>
      <c r="J88" s="1985"/>
      <c r="K88" s="1985"/>
      <c r="L88" s="1985"/>
      <c r="M88" s="1985"/>
      <c r="N88" s="1985"/>
      <c r="O88" s="1985"/>
      <c r="P88" s="1989"/>
    </row>
    <row r="89" spans="1:28">
      <c r="A89" s="33"/>
      <c r="B89" s="33"/>
      <c r="C89" s="33"/>
      <c r="D89" s="33"/>
      <c r="E89" s="33"/>
      <c r="F89" s="654"/>
      <c r="G89" s="1985"/>
      <c r="H89" s="1985"/>
      <c r="I89" s="1985"/>
      <c r="J89" s="1985"/>
      <c r="K89" s="1985"/>
      <c r="L89" s="1985"/>
      <c r="M89" s="1985"/>
      <c r="N89" s="1985"/>
      <c r="O89" s="1985"/>
    </row>
    <row r="90" spans="1:28">
      <c r="A90" s="33"/>
      <c r="B90" s="33"/>
      <c r="C90" s="33"/>
      <c r="D90" s="33"/>
      <c r="E90" s="33"/>
      <c r="F90" s="654"/>
      <c r="G90" s="1985"/>
      <c r="H90" s="1985"/>
      <c r="I90" s="1985"/>
      <c r="J90" s="1985"/>
      <c r="K90" s="1985"/>
      <c r="L90" s="1985"/>
      <c r="M90" s="1985"/>
      <c r="N90" s="1985"/>
      <c r="O90" s="1985"/>
    </row>
    <row r="91" spans="1:28">
      <c r="A91" s="33"/>
      <c r="B91" s="33"/>
      <c r="C91" s="33"/>
      <c r="D91" s="33"/>
      <c r="E91" s="33"/>
      <c r="F91" s="654"/>
      <c r="G91" s="1985"/>
      <c r="H91" s="1985"/>
      <c r="I91" s="1985"/>
      <c r="J91" s="1985"/>
      <c r="K91" s="1985"/>
      <c r="L91" s="1985"/>
      <c r="M91" s="1985"/>
      <c r="N91" s="1985"/>
      <c r="O91" s="1985"/>
    </row>
    <row r="92" spans="1:28" ht="18">
      <c r="A92" s="33"/>
      <c r="B92" s="33"/>
      <c r="C92" s="33"/>
      <c r="D92" s="33"/>
      <c r="E92" s="33"/>
      <c r="F92" s="654"/>
      <c r="G92" s="1985"/>
      <c r="H92" s="1985"/>
      <c r="I92" s="1985"/>
      <c r="J92" s="1985"/>
      <c r="K92" s="1985"/>
      <c r="L92" s="1985"/>
      <c r="M92" s="1985"/>
      <c r="N92" s="1985"/>
      <c r="O92" s="1985"/>
      <c r="P92" s="1992"/>
      <c r="Q92" s="1992"/>
      <c r="U92" s="3"/>
      <c r="V92" s="1"/>
      <c r="W92" s="1989" t="s">
        <v>1333</v>
      </c>
      <c r="X92" s="1"/>
      <c r="Y92" s="1"/>
      <c r="Z92" s="1"/>
      <c r="AA92" s="1991"/>
      <c r="AB92" s="1991"/>
    </row>
    <row r="93" spans="1:28" ht="18">
      <c r="A93" s="33"/>
      <c r="B93" s="33"/>
      <c r="C93" s="33"/>
      <c r="D93" s="33"/>
      <c r="E93" s="33"/>
      <c r="F93" s="654"/>
      <c r="G93" s="1985"/>
      <c r="H93" s="1985"/>
      <c r="I93" s="1985"/>
      <c r="J93" s="1985"/>
      <c r="K93" s="1985"/>
      <c r="L93" s="1985"/>
      <c r="M93" s="1985"/>
      <c r="N93" s="1985"/>
      <c r="O93" s="1985"/>
      <c r="U93" s="3"/>
      <c r="V93" s="1"/>
      <c r="W93" s="1"/>
      <c r="X93" s="1"/>
      <c r="Y93" s="1"/>
      <c r="Z93" s="1"/>
      <c r="AA93" s="1991"/>
      <c r="AB93" s="1990" t="s">
        <v>1332</v>
      </c>
    </row>
    <row r="94" spans="1:28" ht="15">
      <c r="A94" s="33"/>
      <c r="B94" s="33"/>
      <c r="C94" s="1984"/>
      <c r="D94" s="33"/>
      <c r="E94" s="33"/>
      <c r="F94" s="654"/>
      <c r="G94" s="10"/>
      <c r="H94" s="10"/>
      <c r="I94" s="10"/>
      <c r="J94" s="10"/>
      <c r="K94" s="10"/>
      <c r="L94" s="10"/>
      <c r="M94" s="10"/>
      <c r="N94" s="10"/>
      <c r="O94" s="10"/>
      <c r="P94" s="1985"/>
      <c r="Q94" s="1985"/>
      <c r="U94" s="29"/>
      <c r="V94" s="1989"/>
      <c r="W94" s="1989" t="s">
        <v>1331</v>
      </c>
      <c r="X94" s="1989" t="s">
        <v>1330</v>
      </c>
      <c r="Y94" s="1989" t="s">
        <v>1329</v>
      </c>
      <c r="Z94" s="1989" t="s">
        <v>1328</v>
      </c>
      <c r="AA94" s="1989" t="s">
        <v>1313</v>
      </c>
      <c r="AB94" s="1989"/>
    </row>
    <row r="95" spans="1:28" ht="15">
      <c r="A95" s="33"/>
      <c r="B95" s="33"/>
      <c r="C95" s="33"/>
      <c r="D95" s="33"/>
      <c r="E95" s="33"/>
      <c r="F95" s="654"/>
      <c r="G95" s="33"/>
      <c r="H95" s="33"/>
      <c r="I95" s="33"/>
      <c r="J95" s="1132"/>
      <c r="K95" s="33"/>
      <c r="L95" s="33"/>
      <c r="M95" s="33"/>
      <c r="N95" s="33"/>
      <c r="O95" s="33"/>
      <c r="P95" s="1985"/>
      <c r="Q95" s="1985"/>
      <c r="U95" s="29"/>
      <c r="V95" s="1986"/>
      <c r="W95" s="1987" t="s">
        <v>1327</v>
      </c>
      <c r="X95" s="1989" t="s">
        <v>1326</v>
      </c>
      <c r="Y95" s="1989" t="s">
        <v>1325</v>
      </c>
      <c r="Z95" s="1989" t="s">
        <v>1324</v>
      </c>
      <c r="AA95" s="1989" t="s">
        <v>1323</v>
      </c>
      <c r="AB95" s="1986"/>
    </row>
    <row r="96" spans="1:28">
      <c r="A96" s="33"/>
      <c r="B96" s="1922"/>
      <c r="E96" s="17"/>
      <c r="F96" s="1980"/>
      <c r="G96" s="1982"/>
      <c r="H96" s="1982"/>
      <c r="I96" s="1982"/>
      <c r="J96" s="1982"/>
      <c r="K96" s="1982"/>
      <c r="L96" s="1982"/>
      <c r="M96" s="1982"/>
      <c r="N96" s="1982"/>
      <c r="O96" s="1982"/>
      <c r="P96" s="1985"/>
      <c r="Q96" s="1985"/>
      <c r="U96" s="29"/>
      <c r="V96" s="1986"/>
      <c r="W96" s="1986" t="s">
        <v>1322</v>
      </c>
      <c r="X96" s="1986" t="s">
        <v>1321</v>
      </c>
      <c r="Y96" s="1986" t="s">
        <v>1320</v>
      </c>
      <c r="Z96" s="1987" t="s">
        <v>1319</v>
      </c>
      <c r="AA96" s="1986" t="s">
        <v>1318</v>
      </c>
      <c r="AB96" s="1986"/>
    </row>
    <row r="97" spans="1:28">
      <c r="A97" s="33"/>
      <c r="B97" s="1922"/>
      <c r="E97" s="17"/>
      <c r="F97" s="1980"/>
      <c r="G97" s="1982"/>
      <c r="H97" s="1982"/>
      <c r="I97" s="1982"/>
      <c r="J97" s="1982"/>
      <c r="K97" s="1982"/>
      <c r="L97" s="1982"/>
      <c r="M97" s="1982"/>
      <c r="N97" s="1982"/>
      <c r="O97" s="1982"/>
      <c r="P97" s="1985"/>
      <c r="Q97" s="1985"/>
      <c r="U97" s="29"/>
      <c r="V97" s="1986"/>
      <c r="W97" s="1986" t="s">
        <v>1317</v>
      </c>
      <c r="X97" s="1986" t="s">
        <v>1316</v>
      </c>
      <c r="Y97" s="1986" t="s">
        <v>1315</v>
      </c>
      <c r="Z97" s="1987" t="s">
        <v>1314</v>
      </c>
      <c r="AA97" s="1986" t="s">
        <v>1313</v>
      </c>
      <c r="AB97" s="1986"/>
    </row>
    <row r="98" spans="1:28">
      <c r="A98" s="33"/>
      <c r="B98" s="1922"/>
      <c r="C98" s="33"/>
      <c r="D98" s="33"/>
      <c r="E98" s="33"/>
      <c r="F98" s="1980"/>
      <c r="G98" s="1982"/>
      <c r="H98" s="1982"/>
      <c r="I98" s="1982"/>
      <c r="J98" s="1982"/>
      <c r="K98" s="1982"/>
      <c r="L98" s="1982"/>
      <c r="M98" s="1982"/>
      <c r="N98" s="1982"/>
      <c r="O98" s="1982"/>
      <c r="P98" s="1985"/>
      <c r="Q98" s="1985"/>
      <c r="U98" s="1987"/>
      <c r="V98" s="1986"/>
      <c r="W98" s="1986" t="s">
        <v>1312</v>
      </c>
      <c r="X98" s="1986" t="s">
        <v>1311</v>
      </c>
      <c r="Y98" s="1986" t="s">
        <v>1310</v>
      </c>
      <c r="Z98" s="1986" t="s">
        <v>1309</v>
      </c>
      <c r="AA98" s="1986" t="s">
        <v>1308</v>
      </c>
      <c r="AB98" s="1986"/>
    </row>
    <row r="99" spans="1:28">
      <c r="A99" s="33"/>
      <c r="B99" s="1922"/>
      <c r="C99" s="33"/>
      <c r="D99" s="33"/>
      <c r="E99" s="33"/>
      <c r="F99" s="1980"/>
      <c r="G99" s="1982"/>
      <c r="H99" s="1982"/>
      <c r="I99" s="1982"/>
      <c r="J99" s="1982"/>
      <c r="K99" s="1982"/>
      <c r="L99" s="1982"/>
      <c r="M99" s="1982"/>
      <c r="N99" s="1982"/>
      <c r="O99" s="1982"/>
      <c r="P99" s="1985"/>
      <c r="Q99" s="1985"/>
      <c r="U99" s="1987"/>
      <c r="V99" s="1986"/>
      <c r="W99" s="1986"/>
      <c r="X99" s="1986"/>
      <c r="Y99" s="1986"/>
      <c r="Z99" s="1986"/>
      <c r="AA99" s="1986"/>
      <c r="AB99" s="1986"/>
    </row>
    <row r="100" spans="1:28">
      <c r="A100" s="33"/>
      <c r="B100" s="1922"/>
      <c r="C100" s="33"/>
      <c r="D100" s="33"/>
      <c r="E100" s="33"/>
      <c r="F100" s="1980"/>
      <c r="G100" s="1982"/>
      <c r="H100" s="1982"/>
      <c r="I100" s="1982"/>
      <c r="J100" s="1982"/>
      <c r="K100" s="1982"/>
      <c r="L100" s="1982"/>
      <c r="M100" s="1982"/>
      <c r="N100" s="1982"/>
      <c r="O100" s="1982"/>
      <c r="P100" s="1985"/>
      <c r="Q100" s="1985"/>
      <c r="U100" s="1987"/>
      <c r="V100" s="1986"/>
      <c r="W100" s="1986" t="s">
        <v>1305</v>
      </c>
      <c r="X100" s="1986" t="s">
        <v>1304</v>
      </c>
      <c r="Y100" s="1986" t="s">
        <v>1303</v>
      </c>
      <c r="Z100" s="1986" t="s">
        <v>1307</v>
      </c>
      <c r="AA100" s="1986" t="s">
        <v>1306</v>
      </c>
      <c r="AB100" s="1986"/>
    </row>
    <row r="101" spans="1:28">
      <c r="A101" s="33"/>
      <c r="B101" s="1922"/>
      <c r="C101" s="33"/>
      <c r="D101" s="33"/>
      <c r="E101" s="33"/>
      <c r="F101" s="1980"/>
      <c r="G101" s="1982"/>
      <c r="H101" s="1982"/>
      <c r="I101" s="1982"/>
      <c r="J101" s="1982"/>
      <c r="K101" s="1982"/>
      <c r="L101" s="1982"/>
      <c r="M101" s="1982"/>
      <c r="N101" s="1982"/>
      <c r="O101" s="1982"/>
      <c r="P101" s="1985"/>
      <c r="Q101" s="1985"/>
      <c r="U101" s="1987"/>
      <c r="V101" s="1988"/>
      <c r="W101" s="1986" t="s">
        <v>1305</v>
      </c>
      <c r="X101" s="1986" t="s">
        <v>1304</v>
      </c>
      <c r="Y101" s="1986" t="s">
        <v>1303</v>
      </c>
      <c r="Z101" s="1986" t="s">
        <v>1302</v>
      </c>
      <c r="AA101" s="1986" t="s">
        <v>1301</v>
      </c>
      <c r="AB101" s="1986"/>
    </row>
    <row r="102" spans="1:28">
      <c r="A102" s="33"/>
      <c r="B102" s="1922"/>
      <c r="C102" s="33"/>
      <c r="D102" s="33"/>
      <c r="E102" s="33"/>
      <c r="F102" s="1980"/>
      <c r="G102" s="1982"/>
      <c r="H102" s="1982"/>
      <c r="I102" s="1982"/>
      <c r="J102" s="1982"/>
      <c r="K102" s="1982"/>
      <c r="L102" s="1982"/>
      <c r="M102" s="1982"/>
      <c r="N102" s="1982"/>
      <c r="O102" s="1982"/>
      <c r="P102" s="1985"/>
      <c r="Q102" s="1985"/>
      <c r="U102" s="1987"/>
      <c r="V102" s="1986"/>
      <c r="W102" s="1986"/>
      <c r="X102" s="1986"/>
      <c r="Y102" s="1986"/>
      <c r="Z102" s="1986"/>
      <c r="AA102" s="1986"/>
      <c r="AB102" s="1986"/>
    </row>
    <row r="103" spans="1:28">
      <c r="A103" s="33"/>
      <c r="B103" s="1922"/>
      <c r="C103" s="15"/>
      <c r="D103" s="33"/>
      <c r="E103" s="33"/>
      <c r="F103" s="1980"/>
      <c r="G103" s="1982"/>
      <c r="H103" s="1982"/>
      <c r="I103" s="1982"/>
      <c r="J103" s="1982"/>
      <c r="K103" s="1982"/>
      <c r="L103" s="1982"/>
      <c r="M103" s="1982"/>
      <c r="N103" s="1982"/>
      <c r="O103" s="1982"/>
      <c r="P103" s="1985"/>
      <c r="Q103" s="1985"/>
      <c r="U103" s="1987"/>
      <c r="V103" s="1986"/>
      <c r="W103" s="1986" t="s">
        <v>1300</v>
      </c>
      <c r="X103" s="1986" t="s">
        <v>1299</v>
      </c>
      <c r="Y103" s="1986" t="s">
        <v>1298</v>
      </c>
      <c r="Z103" s="1986" t="s">
        <v>1297</v>
      </c>
      <c r="AA103" s="1986" t="s">
        <v>1296</v>
      </c>
      <c r="AB103" s="1986"/>
    </row>
    <row r="104" spans="1:28">
      <c r="A104" s="33"/>
      <c r="B104" s="1922"/>
      <c r="C104" s="15"/>
      <c r="D104" s="33"/>
      <c r="E104" s="33"/>
      <c r="F104" s="1980"/>
      <c r="G104" s="1982"/>
      <c r="H104" s="1982"/>
      <c r="I104" s="1982"/>
      <c r="J104" s="1982"/>
      <c r="K104" s="1982"/>
      <c r="L104" s="1982"/>
      <c r="M104" s="1982"/>
      <c r="N104" s="1982"/>
      <c r="O104" s="1982"/>
      <c r="P104" s="1985"/>
      <c r="Q104" s="1985"/>
      <c r="U104" s="1986"/>
      <c r="V104" s="1986"/>
      <c r="W104" s="1986"/>
      <c r="X104" s="1986"/>
      <c r="Y104" s="1986"/>
      <c r="Z104" s="1987"/>
      <c r="AA104" s="1986"/>
      <c r="AB104" s="1986"/>
    </row>
    <row r="105" spans="1:28">
      <c r="A105" s="33"/>
      <c r="B105" s="1922"/>
      <c r="C105" s="33"/>
      <c r="D105" s="33"/>
      <c r="E105" s="33"/>
      <c r="F105" s="1980"/>
      <c r="G105" s="1982"/>
      <c r="H105" s="1982"/>
      <c r="I105" s="1982"/>
      <c r="J105" s="1982"/>
      <c r="K105" s="1982"/>
      <c r="L105" s="1982"/>
      <c r="M105" s="1982"/>
      <c r="N105" s="1982"/>
      <c r="O105" s="1982"/>
      <c r="P105" s="1985"/>
      <c r="Q105" s="1985"/>
      <c r="U105" s="1987"/>
      <c r="V105" s="1986"/>
      <c r="W105" s="1986"/>
      <c r="X105" s="1986"/>
      <c r="Y105" s="1986"/>
      <c r="Z105" s="1987"/>
      <c r="AA105" s="1986"/>
      <c r="AB105" s="1986"/>
    </row>
    <row r="106" spans="1:28">
      <c r="A106" s="33"/>
      <c r="B106" s="1922"/>
      <c r="C106" s="15"/>
      <c r="D106" s="33"/>
      <c r="E106" s="33"/>
      <c r="F106" s="1980"/>
      <c r="G106" s="1982"/>
      <c r="H106" s="1982"/>
      <c r="I106" s="1982"/>
      <c r="J106" s="1982"/>
      <c r="K106" s="1982"/>
      <c r="L106" s="1982"/>
      <c r="M106" s="1982"/>
      <c r="N106" s="1982"/>
      <c r="O106" s="1982"/>
      <c r="P106" s="1985"/>
      <c r="Q106" s="1985"/>
      <c r="U106" s="1987"/>
      <c r="V106" s="1986"/>
      <c r="W106" s="1986"/>
      <c r="X106" s="1986"/>
      <c r="Y106" s="1986"/>
      <c r="Z106" s="1986"/>
      <c r="AA106" s="1986"/>
      <c r="AB106" s="1986"/>
    </row>
    <row r="107" spans="1:28">
      <c r="A107" s="33"/>
      <c r="B107" s="1922"/>
      <c r="C107" s="15"/>
      <c r="D107" s="33"/>
      <c r="E107" s="33"/>
      <c r="F107" s="1980"/>
      <c r="G107" s="1982"/>
      <c r="H107" s="1982"/>
      <c r="I107" s="1982"/>
      <c r="J107" s="1982"/>
      <c r="K107" s="1982"/>
      <c r="L107" s="1982"/>
      <c r="M107" s="1982"/>
      <c r="N107" s="1982"/>
      <c r="O107" s="1982"/>
      <c r="P107" s="1985"/>
      <c r="Q107" s="1985"/>
      <c r="U107" s="1987"/>
      <c r="V107" s="1986"/>
      <c r="W107" s="1986"/>
      <c r="X107" s="1986"/>
      <c r="Y107" s="1986"/>
      <c r="Z107" s="1986"/>
      <c r="AA107" s="1986"/>
      <c r="AB107" s="1986"/>
    </row>
    <row r="108" spans="1:28">
      <c r="A108" s="33"/>
      <c r="B108" s="1922"/>
      <c r="C108" s="15"/>
      <c r="D108" s="33"/>
      <c r="E108" s="33"/>
      <c r="F108" s="1980"/>
      <c r="G108" s="1982"/>
      <c r="H108" s="1982"/>
      <c r="I108" s="1982"/>
      <c r="J108" s="1982"/>
      <c r="K108" s="1982"/>
      <c r="L108" s="1982"/>
      <c r="M108" s="1982"/>
      <c r="N108" s="1982"/>
      <c r="O108" s="1982"/>
      <c r="P108" s="1985"/>
      <c r="Q108" s="1985"/>
      <c r="U108" s="1987"/>
      <c r="V108" s="1986"/>
      <c r="W108" s="1986"/>
      <c r="X108" s="1986"/>
      <c r="Y108" s="1986"/>
      <c r="Z108" s="1986"/>
      <c r="AA108" s="1986"/>
      <c r="AB108" s="1986"/>
    </row>
    <row r="109" spans="1:28">
      <c r="A109" s="33"/>
      <c r="B109" s="1922"/>
      <c r="C109" s="15"/>
      <c r="D109" s="33"/>
      <c r="E109" s="33"/>
      <c r="F109" s="1980"/>
      <c r="G109" s="1982"/>
      <c r="H109" s="1982"/>
      <c r="I109" s="1982"/>
      <c r="J109" s="1982"/>
      <c r="K109" s="1982"/>
      <c r="L109" s="1982"/>
      <c r="M109" s="1982"/>
      <c r="N109" s="1982"/>
      <c r="O109" s="1982"/>
      <c r="P109" s="1985"/>
      <c r="Q109" s="1985"/>
      <c r="U109" s="1987"/>
      <c r="V109" s="1986"/>
      <c r="W109" s="1986" t="s">
        <v>1295</v>
      </c>
      <c r="X109" s="1986" t="s">
        <v>1294</v>
      </c>
      <c r="Y109" s="1986" t="s">
        <v>1293</v>
      </c>
      <c r="Z109" s="29" t="s">
        <v>1292</v>
      </c>
      <c r="AA109" s="1986" t="s">
        <v>1291</v>
      </c>
      <c r="AB109" s="1986"/>
    </row>
    <row r="110" spans="1:28">
      <c r="A110" s="33"/>
      <c r="B110" s="1922"/>
      <c r="C110" s="33"/>
      <c r="D110" s="33"/>
      <c r="E110" s="33"/>
      <c r="F110" s="1980"/>
      <c r="G110" s="1982"/>
      <c r="H110" s="1982"/>
      <c r="I110" s="1982"/>
      <c r="J110" s="1982"/>
      <c r="K110" s="1982"/>
      <c r="L110" s="1982"/>
      <c r="M110" s="1982"/>
      <c r="N110" s="1982"/>
      <c r="O110" s="1982"/>
      <c r="P110" s="1985"/>
      <c r="Q110" s="1985"/>
    </row>
    <row r="111" spans="1:28">
      <c r="A111" s="33"/>
      <c r="B111" s="1922"/>
      <c r="C111" s="15"/>
      <c r="D111" s="33"/>
      <c r="E111" s="33"/>
      <c r="F111" s="1980"/>
      <c r="G111" s="1982"/>
      <c r="H111" s="1982"/>
      <c r="I111" s="1982"/>
      <c r="J111" s="1982"/>
      <c r="K111" s="1982"/>
      <c r="L111" s="1982"/>
      <c r="M111" s="1982"/>
      <c r="N111" s="1982"/>
      <c r="O111" s="1982"/>
      <c r="P111" s="1985"/>
      <c r="Q111" s="1985"/>
    </row>
    <row r="112" spans="1:28">
      <c r="A112" s="33"/>
      <c r="B112" s="1922"/>
      <c r="C112" s="33"/>
      <c r="D112" s="33"/>
      <c r="E112" s="33"/>
      <c r="F112" s="1980"/>
      <c r="G112" s="1982"/>
      <c r="H112" s="1982"/>
      <c r="I112" s="1982"/>
      <c r="J112" s="1982"/>
      <c r="K112" s="1982"/>
      <c r="L112" s="1982"/>
      <c r="M112" s="1982"/>
      <c r="N112" s="1982"/>
      <c r="O112" s="1982"/>
      <c r="P112" s="1985"/>
      <c r="Q112" s="1985"/>
    </row>
    <row r="113" spans="1:19">
      <c r="A113" s="33"/>
      <c r="B113" s="1922"/>
      <c r="C113" s="33"/>
      <c r="D113" s="33"/>
      <c r="E113" s="33"/>
      <c r="F113" s="1980"/>
      <c r="G113" s="1982"/>
      <c r="H113" s="1982"/>
      <c r="I113" s="1982"/>
      <c r="J113" s="1982"/>
      <c r="K113" s="1982"/>
      <c r="L113" s="1982"/>
      <c r="M113" s="1982"/>
      <c r="N113" s="1982"/>
      <c r="O113" s="1982"/>
      <c r="P113" s="1985"/>
      <c r="Q113" s="1985"/>
    </row>
    <row r="114" spans="1:19">
      <c r="A114" s="33"/>
      <c r="B114" s="1922"/>
      <c r="C114" s="1922"/>
      <c r="D114" s="1922"/>
      <c r="E114" s="1922"/>
      <c r="F114" s="1980"/>
      <c r="G114" s="1922"/>
      <c r="H114" s="1922"/>
      <c r="I114" s="1922"/>
      <c r="J114" s="1979"/>
      <c r="K114" s="1922"/>
      <c r="L114" s="1922"/>
      <c r="M114" s="1922"/>
      <c r="N114" s="1922"/>
      <c r="O114" s="1922"/>
      <c r="P114" s="1985"/>
      <c r="Q114" s="1985"/>
    </row>
    <row r="115" spans="1:19">
      <c r="A115" s="33"/>
      <c r="B115" s="1922"/>
      <c r="C115" s="1922"/>
      <c r="D115" s="1922"/>
      <c r="E115" s="1922"/>
      <c r="F115" s="1980"/>
      <c r="G115" s="1922"/>
      <c r="H115" s="1922"/>
      <c r="I115" s="1922"/>
      <c r="J115" s="1979"/>
      <c r="K115" s="1922"/>
      <c r="L115" s="1922"/>
      <c r="M115" s="1922"/>
      <c r="N115" s="1922"/>
      <c r="O115" s="1922"/>
      <c r="P115" s="10"/>
      <c r="Q115" s="10"/>
      <c r="S115" s="1984"/>
    </row>
    <row r="116" spans="1:19">
      <c r="A116" s="33"/>
      <c r="B116" s="1922"/>
      <c r="C116" s="1922"/>
      <c r="D116" s="1922"/>
      <c r="E116" s="1922"/>
      <c r="F116" s="1980"/>
      <c r="G116" s="1922"/>
      <c r="H116" s="1922"/>
      <c r="I116" s="1922"/>
      <c r="J116" s="1979"/>
      <c r="K116" s="1922"/>
      <c r="L116" s="1922"/>
      <c r="M116" s="1922"/>
      <c r="N116" s="1922"/>
      <c r="O116" s="1922"/>
      <c r="S116" s="1984"/>
    </row>
    <row r="117" spans="1:19" ht="15">
      <c r="A117" s="1922"/>
      <c r="B117" s="1922"/>
      <c r="C117" s="1922"/>
      <c r="D117" s="1922"/>
      <c r="E117" s="1922"/>
      <c r="F117" s="1980"/>
      <c r="G117" s="1922"/>
      <c r="H117" s="1922"/>
      <c r="I117" s="1922"/>
      <c r="J117" s="1979"/>
      <c r="K117" s="1922"/>
      <c r="L117" s="1922"/>
      <c r="M117" s="1922"/>
      <c r="N117" s="1922"/>
      <c r="O117" s="1922"/>
      <c r="P117" s="1982"/>
      <c r="Q117" s="1982"/>
      <c r="S117" s="1981"/>
    </row>
    <row r="118" spans="1:19" ht="15">
      <c r="A118" s="1922"/>
      <c r="B118" s="1922"/>
      <c r="C118" s="1922"/>
      <c r="D118" s="1922"/>
      <c r="E118" s="1922"/>
      <c r="F118" s="1980"/>
      <c r="G118" s="1922"/>
      <c r="H118" s="1922"/>
      <c r="I118" s="1922"/>
      <c r="J118" s="1979"/>
      <c r="K118" s="1922"/>
      <c r="L118" s="1922"/>
      <c r="M118" s="1922"/>
      <c r="N118" s="1922"/>
      <c r="O118" s="1922"/>
      <c r="P118" s="1982"/>
      <c r="Q118" s="1982"/>
      <c r="S118" s="1981"/>
    </row>
    <row r="119" spans="1:19" ht="15">
      <c r="A119" s="1922"/>
      <c r="B119" s="1922"/>
      <c r="C119" s="1922"/>
      <c r="D119" s="1922"/>
      <c r="E119" s="1922"/>
      <c r="F119" s="1980"/>
      <c r="G119" s="1922"/>
      <c r="H119" s="1922"/>
      <c r="I119" s="1922"/>
      <c r="J119" s="1979"/>
      <c r="K119" s="1922"/>
      <c r="L119" s="1922"/>
      <c r="M119" s="1922"/>
      <c r="N119" s="1922"/>
      <c r="O119" s="1922"/>
      <c r="P119" s="1982"/>
      <c r="Q119" s="1982"/>
      <c r="S119" s="1981"/>
    </row>
    <row r="120" spans="1:19" ht="15">
      <c r="A120" s="1922"/>
      <c r="B120" s="1922"/>
      <c r="C120" s="1922"/>
      <c r="D120" s="1922"/>
      <c r="E120" s="1922"/>
      <c r="F120" s="1980"/>
      <c r="G120" s="1922"/>
      <c r="H120" s="1922"/>
      <c r="I120" s="1922"/>
      <c r="J120" s="1979"/>
      <c r="K120" s="1922"/>
      <c r="L120" s="1922"/>
      <c r="M120" s="1922"/>
      <c r="N120" s="1922"/>
      <c r="O120" s="1922"/>
      <c r="P120" s="1982"/>
      <c r="Q120" s="1982"/>
      <c r="S120" s="1981"/>
    </row>
    <row r="121" spans="1:19" ht="15">
      <c r="A121" s="1922"/>
      <c r="B121" s="1922"/>
      <c r="C121" s="1922"/>
      <c r="D121" s="1922"/>
      <c r="E121" s="1922"/>
      <c r="F121" s="1980"/>
      <c r="G121" s="1922"/>
      <c r="H121" s="1922"/>
      <c r="I121" s="1922"/>
      <c r="J121" s="1979"/>
      <c r="K121" s="1922"/>
      <c r="L121" s="1922"/>
      <c r="M121" s="1922"/>
      <c r="N121" s="1922"/>
      <c r="O121" s="1922"/>
      <c r="P121" s="1982"/>
      <c r="Q121" s="1982"/>
      <c r="S121" s="1981"/>
    </row>
    <row r="122" spans="1:19" ht="15">
      <c r="A122" s="1922"/>
      <c r="B122" s="1922"/>
      <c r="C122" s="1922"/>
      <c r="D122" s="1922"/>
      <c r="E122" s="1922"/>
      <c r="F122" s="1980"/>
      <c r="G122" s="1922"/>
      <c r="H122" s="1922"/>
      <c r="I122" s="1922"/>
      <c r="J122" s="1979"/>
      <c r="K122" s="1922"/>
      <c r="L122" s="1922"/>
      <c r="M122" s="1922"/>
      <c r="N122" s="1922"/>
      <c r="O122" s="1922"/>
      <c r="P122" s="1982"/>
      <c r="Q122" s="1982"/>
      <c r="S122" s="1981"/>
    </row>
    <row r="123" spans="1:19" ht="15">
      <c r="A123" s="1922"/>
      <c r="B123" s="1922"/>
      <c r="C123" s="1922"/>
      <c r="D123" s="1922"/>
      <c r="E123" s="1922"/>
      <c r="F123" s="1980"/>
      <c r="G123" s="1922"/>
      <c r="H123" s="1922"/>
      <c r="I123" s="1922"/>
      <c r="J123" s="1979"/>
      <c r="K123" s="1922"/>
      <c r="L123" s="1922"/>
      <c r="M123" s="1922"/>
      <c r="N123" s="1922"/>
      <c r="O123" s="1922"/>
      <c r="P123" s="1982"/>
      <c r="Q123" s="1982"/>
      <c r="S123" s="1981"/>
    </row>
    <row r="124" spans="1:19" ht="15">
      <c r="A124" s="1922"/>
      <c r="B124" s="1922"/>
      <c r="C124" s="1922"/>
      <c r="D124" s="1922"/>
      <c r="E124" s="1922"/>
      <c r="F124" s="1980"/>
      <c r="G124" s="1922"/>
      <c r="H124" s="1922"/>
      <c r="I124" s="1922"/>
      <c r="J124" s="1979"/>
      <c r="K124" s="1922"/>
      <c r="L124" s="1922"/>
      <c r="M124" s="1922"/>
      <c r="N124" s="1922"/>
      <c r="O124" s="1922"/>
      <c r="P124" s="1982"/>
      <c r="Q124" s="1982"/>
      <c r="S124" s="1981"/>
    </row>
    <row r="125" spans="1:19" ht="15">
      <c r="A125" s="1922"/>
      <c r="B125" s="1922"/>
      <c r="C125" s="1922"/>
      <c r="D125" s="1922"/>
      <c r="E125" s="1922"/>
      <c r="F125" s="1980"/>
      <c r="G125" s="1922"/>
      <c r="H125" s="1922"/>
      <c r="I125" s="1922"/>
      <c r="J125" s="1979"/>
      <c r="K125" s="1922"/>
      <c r="L125" s="1922"/>
      <c r="M125" s="1922"/>
      <c r="N125" s="1922"/>
      <c r="O125" s="1922"/>
      <c r="P125" s="1982"/>
      <c r="Q125" s="1982"/>
      <c r="S125" s="1981"/>
    </row>
    <row r="126" spans="1:19" ht="15">
      <c r="A126" s="1922"/>
      <c r="B126" s="1922"/>
      <c r="C126" s="1922"/>
      <c r="D126" s="1922"/>
      <c r="E126" s="1922"/>
      <c r="F126" s="1980"/>
      <c r="G126" s="1922"/>
      <c r="H126" s="1922"/>
      <c r="I126" s="1922"/>
      <c r="J126" s="1979"/>
      <c r="K126" s="1922"/>
      <c r="L126" s="1922"/>
      <c r="M126" s="1922"/>
      <c r="N126" s="1922"/>
      <c r="O126" s="1922"/>
      <c r="P126" s="1982"/>
      <c r="Q126" s="1982"/>
      <c r="S126" s="1981"/>
    </row>
    <row r="127" spans="1:19" ht="15">
      <c r="A127" s="1922"/>
      <c r="B127" s="1922"/>
      <c r="C127" s="1922"/>
      <c r="D127" s="1922"/>
      <c r="E127" s="1922"/>
      <c r="F127" s="1980"/>
      <c r="G127" s="1922"/>
      <c r="H127" s="1922"/>
      <c r="I127" s="1922"/>
      <c r="J127" s="1979"/>
      <c r="K127" s="1922"/>
      <c r="L127" s="1922"/>
      <c r="M127" s="1922"/>
      <c r="N127" s="1922"/>
      <c r="O127" s="1922"/>
      <c r="P127" s="1982"/>
      <c r="Q127" s="1982"/>
      <c r="S127" s="1981"/>
    </row>
    <row r="128" spans="1:19" ht="15">
      <c r="A128" s="1922"/>
      <c r="B128" s="1922"/>
      <c r="C128" s="1922"/>
      <c r="D128" s="1922"/>
      <c r="E128" s="1922"/>
      <c r="F128" s="1980"/>
      <c r="G128" s="1922"/>
      <c r="H128" s="1922"/>
      <c r="I128" s="1922"/>
      <c r="J128" s="1979"/>
      <c r="K128" s="1922"/>
      <c r="L128" s="1922"/>
      <c r="M128" s="1922"/>
      <c r="N128" s="1922"/>
      <c r="O128" s="1922"/>
      <c r="P128" s="1982"/>
      <c r="Q128" s="1982"/>
      <c r="S128" s="1981"/>
    </row>
    <row r="129" spans="1:19" ht="15">
      <c r="A129" s="1922"/>
      <c r="B129" s="1922"/>
      <c r="C129" s="1922"/>
      <c r="D129" s="1922"/>
      <c r="E129" s="1922"/>
      <c r="F129" s="1980"/>
      <c r="G129" s="1922"/>
      <c r="H129" s="1922"/>
      <c r="I129" s="1922"/>
      <c r="J129" s="1979"/>
      <c r="K129" s="1922"/>
      <c r="L129" s="1922"/>
      <c r="M129" s="1922"/>
      <c r="N129" s="1922"/>
      <c r="O129" s="1922"/>
      <c r="P129" s="1982"/>
      <c r="Q129" s="1982"/>
      <c r="S129" s="1981"/>
    </row>
    <row r="130" spans="1:19" ht="15">
      <c r="A130" s="1922"/>
      <c r="B130" s="1922"/>
      <c r="C130" s="1922"/>
      <c r="D130" s="1922"/>
      <c r="E130" s="1922"/>
      <c r="F130" s="1980"/>
      <c r="G130" s="1922"/>
      <c r="H130" s="1922"/>
      <c r="I130" s="1922"/>
      <c r="J130" s="1979"/>
      <c r="K130" s="1922"/>
      <c r="L130" s="1922"/>
      <c r="M130" s="1922"/>
      <c r="N130" s="1922"/>
      <c r="O130" s="1922"/>
      <c r="P130" s="1982"/>
      <c r="Q130" s="1982"/>
      <c r="S130" s="1981"/>
    </row>
    <row r="131" spans="1:19">
      <c r="A131" s="1922"/>
      <c r="B131" s="1922"/>
      <c r="C131" s="1922"/>
      <c r="D131" s="1922"/>
      <c r="E131" s="1922"/>
      <c r="F131" s="1980"/>
      <c r="G131" s="1922"/>
      <c r="H131" s="1922"/>
      <c r="I131" s="1922"/>
      <c r="J131" s="1979"/>
      <c r="K131" s="1922"/>
      <c r="L131" s="1922"/>
      <c r="M131" s="1922"/>
      <c r="N131" s="1922"/>
      <c r="O131" s="1922"/>
      <c r="P131" s="1982"/>
      <c r="Q131" s="1982"/>
      <c r="S131" s="1983"/>
    </row>
    <row r="132" spans="1:19">
      <c r="A132" s="1922"/>
      <c r="B132" s="1922"/>
      <c r="C132" s="1922"/>
      <c r="D132" s="1922"/>
      <c r="E132" s="1922"/>
      <c r="F132" s="1980"/>
      <c r="G132" s="1922"/>
      <c r="H132" s="1922"/>
      <c r="I132" s="1922"/>
      <c r="J132" s="1979"/>
      <c r="K132" s="1922"/>
      <c r="L132" s="1922"/>
      <c r="M132" s="1922"/>
      <c r="N132" s="1922"/>
      <c r="O132" s="1922"/>
      <c r="P132" s="1982"/>
      <c r="Q132" s="1982"/>
      <c r="S132" s="1983"/>
    </row>
    <row r="133" spans="1:19">
      <c r="A133" s="1922"/>
      <c r="B133" s="1922"/>
      <c r="C133" s="1922"/>
      <c r="D133" s="1922"/>
      <c r="E133" s="1922"/>
      <c r="F133" s="1980"/>
      <c r="G133" s="1922"/>
      <c r="H133" s="1922"/>
      <c r="I133" s="1922"/>
      <c r="J133" s="1979"/>
      <c r="K133" s="1922"/>
      <c r="L133" s="1922"/>
      <c r="M133" s="1922"/>
      <c r="N133" s="1922"/>
      <c r="O133" s="1922"/>
      <c r="P133" s="1982"/>
      <c r="Q133" s="1982"/>
      <c r="S133" s="1983"/>
    </row>
    <row r="134" spans="1:19" ht="15">
      <c r="A134" s="1922"/>
      <c r="B134" s="1922"/>
      <c r="C134" s="1922"/>
      <c r="D134" s="1922"/>
      <c r="E134" s="1922"/>
      <c r="F134" s="1980"/>
      <c r="G134" s="1922"/>
      <c r="H134" s="1922"/>
      <c r="I134" s="1922"/>
      <c r="J134" s="1979"/>
      <c r="K134" s="1922"/>
      <c r="L134" s="1922"/>
      <c r="M134" s="1922"/>
      <c r="N134" s="1922"/>
      <c r="O134" s="1922"/>
      <c r="P134" s="1982"/>
      <c r="Q134" s="1982"/>
      <c r="R134" s="1981"/>
      <c r="S134" s="1981"/>
    </row>
    <row r="135" spans="1:19">
      <c r="A135" s="1922"/>
      <c r="B135" s="1922"/>
      <c r="C135" s="1922"/>
      <c r="D135" s="1922"/>
      <c r="E135" s="1922"/>
      <c r="F135" s="1980"/>
      <c r="G135" s="1922"/>
      <c r="H135" s="1922"/>
      <c r="I135" s="1922"/>
      <c r="J135" s="1979"/>
      <c r="K135" s="1922"/>
      <c r="L135" s="1922"/>
      <c r="M135" s="1922"/>
      <c r="N135" s="1922"/>
      <c r="O135" s="1922"/>
    </row>
    <row r="136" spans="1:19">
      <c r="A136" s="1922"/>
      <c r="B136" s="1922"/>
      <c r="C136" s="1922"/>
      <c r="D136" s="1922"/>
      <c r="E136" s="1922"/>
      <c r="F136" s="1980"/>
      <c r="G136" s="1922"/>
      <c r="H136" s="1922"/>
      <c r="I136" s="1922"/>
      <c r="J136" s="1979"/>
      <c r="K136" s="1922"/>
      <c r="L136" s="1922"/>
      <c r="M136" s="1922"/>
      <c r="N136" s="1922"/>
      <c r="O136" s="1922"/>
    </row>
    <row r="137" spans="1:19">
      <c r="A137" s="1922"/>
      <c r="B137" s="1922"/>
      <c r="C137" s="1922"/>
      <c r="D137" s="1922"/>
      <c r="E137" s="1922"/>
      <c r="F137" s="1980"/>
      <c r="G137" s="1922"/>
      <c r="H137" s="1922"/>
      <c r="I137" s="1922"/>
      <c r="J137" s="1979"/>
      <c r="K137" s="1922"/>
      <c r="L137" s="1922"/>
      <c r="M137" s="1922"/>
      <c r="N137" s="1922"/>
      <c r="O137" s="1922"/>
    </row>
    <row r="138" spans="1:19">
      <c r="A138" s="1922"/>
      <c r="B138" s="1922"/>
      <c r="C138" s="1922"/>
      <c r="D138" s="1922"/>
      <c r="E138" s="1922"/>
      <c r="F138" s="1980"/>
      <c r="G138" s="1922"/>
      <c r="H138" s="1922"/>
      <c r="I138" s="1922"/>
      <c r="J138" s="1979"/>
      <c r="K138" s="1922"/>
      <c r="L138" s="1922"/>
      <c r="M138" s="1922"/>
      <c r="N138" s="1922"/>
      <c r="O138" s="1922"/>
    </row>
    <row r="139" spans="1:19">
      <c r="A139" s="1922"/>
      <c r="B139" s="1922"/>
      <c r="C139" s="1922"/>
      <c r="D139" s="1922"/>
      <c r="E139" s="1922"/>
      <c r="F139" s="1980"/>
      <c r="G139" s="1922"/>
      <c r="H139" s="1922"/>
      <c r="I139" s="1922"/>
      <c r="J139" s="1979"/>
      <c r="K139" s="1922"/>
      <c r="L139" s="1922"/>
      <c r="M139" s="1922"/>
      <c r="N139" s="1922"/>
      <c r="O139" s="1922"/>
    </row>
    <row r="140" spans="1:19">
      <c r="A140" s="1922"/>
      <c r="B140" s="1922"/>
      <c r="C140" s="1922"/>
      <c r="D140" s="1922"/>
      <c r="E140" s="1922"/>
      <c r="F140" s="1980"/>
      <c r="G140" s="1922"/>
      <c r="H140" s="1922"/>
      <c r="I140" s="1922"/>
      <c r="J140" s="1979"/>
      <c r="K140" s="1922"/>
      <c r="L140" s="1922"/>
      <c r="M140" s="1922"/>
      <c r="N140" s="1922"/>
      <c r="O140" s="1922"/>
    </row>
    <row r="141" spans="1:19">
      <c r="A141" s="1922"/>
      <c r="B141" s="1922"/>
      <c r="C141" s="1922"/>
      <c r="D141" s="1922"/>
      <c r="E141" s="1922"/>
      <c r="F141" s="1980"/>
      <c r="G141" s="1922"/>
      <c r="H141" s="1922"/>
      <c r="I141" s="1922"/>
      <c r="J141" s="1979"/>
      <c r="K141" s="1922"/>
      <c r="L141" s="1922"/>
      <c r="M141" s="1922"/>
      <c r="N141" s="1922"/>
      <c r="O141" s="1922"/>
    </row>
    <row r="142" spans="1:19">
      <c r="A142" s="1922"/>
      <c r="B142" s="1922"/>
      <c r="C142" s="1922"/>
      <c r="D142" s="1922"/>
      <c r="E142" s="1922"/>
      <c r="F142" s="1980"/>
      <c r="G142" s="1922"/>
      <c r="H142" s="1922"/>
      <c r="I142" s="1922"/>
      <c r="J142" s="1979"/>
      <c r="K142" s="1922"/>
      <c r="L142" s="1922"/>
      <c r="M142" s="1922"/>
      <c r="N142" s="1922"/>
      <c r="O142" s="1922"/>
    </row>
    <row r="143" spans="1:19">
      <c r="A143" s="1922"/>
      <c r="B143" s="1922"/>
      <c r="C143" s="1922"/>
      <c r="D143" s="1922"/>
      <c r="E143" s="1922"/>
      <c r="F143" s="1980"/>
      <c r="G143" s="1922"/>
      <c r="H143" s="1922"/>
      <c r="I143" s="1922"/>
      <c r="J143" s="1979"/>
      <c r="K143" s="1922"/>
      <c r="L143" s="1922"/>
      <c r="M143" s="1922"/>
      <c r="N143" s="1922"/>
      <c r="O143" s="1922"/>
    </row>
    <row r="144" spans="1:19">
      <c r="A144" s="1922"/>
      <c r="B144" s="1922"/>
      <c r="C144" s="1922"/>
      <c r="D144" s="1922"/>
      <c r="E144" s="1922"/>
      <c r="F144" s="1980"/>
      <c r="G144" s="1922"/>
      <c r="H144" s="1922"/>
      <c r="I144" s="1922"/>
      <c r="J144" s="1979"/>
      <c r="K144" s="1922"/>
      <c r="L144" s="1922"/>
      <c r="M144" s="1922"/>
      <c r="N144" s="1922"/>
      <c r="O144" s="1922"/>
    </row>
    <row r="145" spans="1:15">
      <c r="A145" s="1922"/>
      <c r="B145" s="1922"/>
      <c r="C145" s="1922"/>
      <c r="D145" s="1922"/>
      <c r="E145" s="1922"/>
      <c r="F145" s="1980"/>
      <c r="G145" s="1922"/>
      <c r="H145" s="1922"/>
      <c r="I145" s="1922"/>
      <c r="J145" s="1979"/>
      <c r="K145" s="1922"/>
      <c r="L145" s="1922"/>
      <c r="M145" s="1922"/>
      <c r="N145" s="1922"/>
      <c r="O145" s="1922"/>
    </row>
    <row r="146" spans="1:15">
      <c r="A146" s="1922"/>
      <c r="B146" s="1922"/>
      <c r="C146" s="1922"/>
      <c r="D146" s="1922"/>
      <c r="E146" s="1922"/>
      <c r="F146" s="1980"/>
      <c r="G146" s="1922"/>
      <c r="H146" s="1922"/>
      <c r="I146" s="1922"/>
      <c r="J146" s="1979"/>
      <c r="K146" s="1922"/>
      <c r="L146" s="1922"/>
      <c r="M146" s="1922"/>
      <c r="N146" s="1922"/>
      <c r="O146" s="1922"/>
    </row>
    <row r="147" spans="1:15">
      <c r="A147" s="1922"/>
      <c r="B147" s="1922"/>
      <c r="C147" s="1922"/>
      <c r="D147" s="1922"/>
      <c r="E147" s="1922"/>
      <c r="F147" s="1980"/>
      <c r="G147" s="1922"/>
      <c r="H147" s="1922"/>
      <c r="I147" s="1922"/>
      <c r="J147" s="1979"/>
      <c r="K147" s="1922"/>
      <c r="L147" s="1922"/>
      <c r="M147" s="1922"/>
      <c r="N147" s="1922"/>
      <c r="O147" s="1922"/>
    </row>
    <row r="148" spans="1:15">
      <c r="A148" s="1922"/>
      <c r="B148" s="1922"/>
      <c r="C148" s="1922"/>
      <c r="D148" s="1922"/>
      <c r="E148" s="1922"/>
      <c r="F148" s="1980"/>
      <c r="G148" s="1922"/>
      <c r="H148" s="1922"/>
      <c r="I148" s="1922"/>
      <c r="J148" s="1979"/>
      <c r="K148" s="1922"/>
      <c r="L148" s="1922"/>
      <c r="M148" s="1922"/>
      <c r="N148" s="1922"/>
      <c r="O148" s="1922"/>
    </row>
    <row r="149" spans="1:15">
      <c r="A149" s="1922"/>
      <c r="B149" s="1922"/>
      <c r="C149" s="1922"/>
      <c r="D149" s="1922"/>
      <c r="E149" s="1922"/>
      <c r="F149" s="1980"/>
      <c r="G149" s="1922"/>
      <c r="H149" s="1922"/>
      <c r="I149" s="1922"/>
      <c r="J149" s="1979"/>
      <c r="K149" s="1922"/>
      <c r="L149" s="1922"/>
      <c r="M149" s="1922"/>
      <c r="N149" s="1922"/>
      <c r="O149" s="1922"/>
    </row>
    <row r="150" spans="1:15">
      <c r="A150" s="1922"/>
      <c r="B150" s="1922"/>
      <c r="C150" s="1922"/>
      <c r="D150" s="1922"/>
      <c r="E150" s="1922"/>
      <c r="F150" s="1980"/>
      <c r="G150" s="1922"/>
      <c r="H150" s="1922"/>
      <c r="I150" s="1922"/>
      <c r="J150" s="1979"/>
      <c r="K150" s="1922"/>
      <c r="L150" s="1922"/>
      <c r="M150" s="1922"/>
      <c r="N150" s="1922"/>
      <c r="O150" s="1922"/>
    </row>
    <row r="151" spans="1:15">
      <c r="A151" s="1922"/>
    </row>
    <row r="152" spans="1:15">
      <c r="A152" s="1922"/>
    </row>
    <row r="153" spans="1:15">
      <c r="A153" s="1922"/>
    </row>
    <row r="154" spans="1:15">
      <c r="A154" s="1922"/>
    </row>
    <row r="155" spans="1:15">
      <c r="A155" s="1922"/>
    </row>
    <row r="156" spans="1:15">
      <c r="A156" s="1922"/>
    </row>
    <row r="157" spans="1:15">
      <c r="A157" s="1922"/>
    </row>
    <row r="158" spans="1:15">
      <c r="A158" s="1922"/>
    </row>
    <row r="159" spans="1:15">
      <c r="A159" s="1922"/>
    </row>
    <row r="160" spans="1:15">
      <c r="A160" s="1922"/>
    </row>
    <row r="161" spans="1:1">
      <c r="A161" s="1922"/>
    </row>
    <row r="162" spans="1:1">
      <c r="A162" s="1922"/>
    </row>
    <row r="163" spans="1:1">
      <c r="A163" s="1922"/>
    </row>
    <row r="164" spans="1:1">
      <c r="A164" s="1922"/>
    </row>
    <row r="165" spans="1:1">
      <c r="A165" s="1922"/>
    </row>
    <row r="166" spans="1:1">
      <c r="A166" s="1922"/>
    </row>
    <row r="167" spans="1:1">
      <c r="A167" s="1922"/>
    </row>
    <row r="168" spans="1:1">
      <c r="A168" s="1922"/>
    </row>
    <row r="169" spans="1:1">
      <c r="A169" s="1922"/>
    </row>
    <row r="170" spans="1:1">
      <c r="A170" s="1922"/>
    </row>
    <row r="171" spans="1:1">
      <c r="A171" s="1922"/>
    </row>
  </sheetData>
  <mergeCells count="6">
    <mergeCell ref="N3:N5"/>
    <mergeCell ref="B66:H66"/>
    <mergeCell ref="C62:I63"/>
    <mergeCell ref="C64:I65"/>
    <mergeCell ref="G53:N54"/>
    <mergeCell ref="G14:N1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73" firstPageNumber="6" orientation="portrait" useFirstPageNumber="1" r:id="rId1"/>
  <headerFooter alignWithMargins="0">
    <oddFooter>&amp;L&amp;11LEL Schwäbisch Gmünd&amp;C&amp;11 &amp;R&amp;11&amp;F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9</xdr:col>
                    <xdr:colOff>161925</xdr:colOff>
                    <xdr:row>60</xdr:row>
                    <xdr:rowOff>104775</xdr:rowOff>
                  </from>
                  <to>
                    <xdr:col>9</xdr:col>
                    <xdr:colOff>361950</xdr:colOff>
                    <xdr:row>61</xdr:row>
                    <xdr:rowOff>152400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9</xdr:col>
                    <xdr:colOff>152400</xdr:colOff>
                    <xdr:row>63</xdr:row>
                    <xdr:rowOff>114300</xdr:rowOff>
                  </from>
                  <to>
                    <xdr:col>9</xdr:col>
                    <xdr:colOff>381000</xdr:colOff>
                    <xdr:row>64</xdr:row>
                    <xdr:rowOff>152400</xdr:rowOff>
                  </to>
                </anchor>
              </controlPr>
            </control>
          </mc:Choice>
        </mc:AlternateContent>
        <mc:AlternateContent xmlns:mc="http://schemas.openxmlformats.org/markup-compatibility/2006">
          <mc:Choice Requires="x14">
            <control shapeId="56323" r:id="rId6" name="Drop Down 3">
              <controlPr defaultSize="0" autoLine="0" autoPict="0">
                <anchor moveWithCells="1">
                  <from>
                    <xdr:col>8</xdr:col>
                    <xdr:colOff>57150</xdr:colOff>
                    <xdr:row>6</xdr:row>
                    <xdr:rowOff>57150</xdr:rowOff>
                  </from>
                  <to>
                    <xdr:col>10</xdr:col>
                    <xdr:colOff>704850</xdr:colOff>
                    <xdr:row>6</xdr:row>
                    <xdr:rowOff>352425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rgb="FF00B0F0"/>
    <pageSetUpPr fitToPage="1"/>
  </sheetPr>
  <dimension ref="A1:AP118"/>
  <sheetViews>
    <sheetView showZeros="0" zoomScaleNormal="100" workbookViewId="0"/>
  </sheetViews>
  <sheetFormatPr baseColWidth="10" defaultColWidth="10.5" defaultRowHeight="12.75"/>
  <cols>
    <col min="1" max="1" width="1.5" style="31" customWidth="1"/>
    <col min="2" max="2" width="4.25" style="32" customWidth="1"/>
    <col min="3" max="5" width="11.375" style="32" customWidth="1"/>
    <col min="6" max="6" width="17.125" style="32" customWidth="1"/>
    <col min="7" max="8" width="9.875" style="32" customWidth="1"/>
    <col min="9" max="13" width="9.875" style="39" customWidth="1"/>
    <col min="14" max="14" width="10.75" style="32" customWidth="1"/>
    <col min="15" max="15" width="4.5" style="32" customWidth="1"/>
    <col min="16" max="18" width="9.875" style="32" customWidth="1"/>
    <col min="19" max="21" width="9.875" style="32" hidden="1" customWidth="1"/>
    <col min="22" max="25" width="6.625" style="39" hidden="1" customWidth="1"/>
    <col min="26" max="26" width="7.25" style="32" hidden="1" customWidth="1"/>
    <col min="27" max="27" width="0" style="31" hidden="1" customWidth="1"/>
    <col min="28" max="16384" width="10.5" style="31"/>
  </cols>
  <sheetData>
    <row r="1" spans="1:42" ht="16.5" customHeight="1">
      <c r="N1" s="32">
        <f>COLUMN()-2</f>
        <v>12</v>
      </c>
    </row>
    <row r="2" spans="1:42" ht="24" customHeight="1">
      <c r="A2" s="313"/>
      <c r="B2" s="375" t="s">
        <v>224</v>
      </c>
      <c r="C2" s="31"/>
      <c r="D2" s="31"/>
      <c r="E2" s="31"/>
      <c r="F2" s="31"/>
      <c r="G2" s="31"/>
      <c r="H2" s="31"/>
      <c r="I2" s="374"/>
      <c r="J2" s="31"/>
      <c r="K2" s="373"/>
      <c r="L2" s="4257" t="s">
        <v>184</v>
      </c>
      <c r="M2" s="4257"/>
      <c r="N2" s="4257"/>
      <c r="P2" s="321"/>
      <c r="Q2" s="31"/>
      <c r="S2" s="31"/>
      <c r="T2" s="31"/>
      <c r="U2" s="31"/>
      <c r="V2" s="31"/>
      <c r="W2" s="31"/>
      <c r="X2" s="31"/>
      <c r="Y2" s="31"/>
      <c r="Z2" s="31"/>
    </row>
    <row r="3" spans="1:42" ht="18" customHeight="1">
      <c r="A3" s="313"/>
      <c r="B3" s="31"/>
      <c r="C3" s="31"/>
      <c r="D3" s="31"/>
      <c r="E3" s="31"/>
      <c r="F3" s="370"/>
      <c r="G3" s="31"/>
      <c r="H3" s="31"/>
      <c r="I3" s="32"/>
      <c r="J3" s="31"/>
      <c r="K3" s="373"/>
      <c r="L3" s="31"/>
      <c r="M3" s="31"/>
      <c r="N3" s="48">
        <f>'SDK1'!O3</f>
        <v>0</v>
      </c>
      <c r="P3" s="372"/>
      <c r="Q3" s="31"/>
      <c r="R3" s="371"/>
      <c r="S3" s="370"/>
      <c r="T3" s="31"/>
      <c r="U3" s="31"/>
      <c r="V3" s="31"/>
      <c r="W3" s="31"/>
      <c r="X3" s="31"/>
      <c r="Y3" s="259"/>
      <c r="Z3" s="31"/>
      <c r="AA3" s="256"/>
      <c r="AB3" s="256"/>
      <c r="AC3" s="256"/>
      <c r="AD3" s="256"/>
      <c r="AE3" s="256"/>
      <c r="AF3" s="256"/>
      <c r="AG3" s="256"/>
      <c r="AH3" s="256"/>
      <c r="AI3" s="256"/>
      <c r="AJ3" s="256"/>
      <c r="AK3" s="256"/>
      <c r="AL3" s="256"/>
      <c r="AM3" s="256"/>
      <c r="AN3" s="256"/>
      <c r="AO3" s="256"/>
    </row>
    <row r="4" spans="1:42" ht="9" customHeight="1">
      <c r="A4" s="313"/>
      <c r="C4" s="31"/>
      <c r="D4" s="31"/>
      <c r="E4" s="31"/>
      <c r="F4" s="31"/>
      <c r="G4" s="31"/>
      <c r="H4" s="31"/>
      <c r="I4" s="31"/>
      <c r="J4" s="31"/>
      <c r="K4" s="31"/>
      <c r="L4" s="31"/>
      <c r="M4" s="31"/>
      <c r="N4" s="31"/>
      <c r="P4" s="31"/>
      <c r="Q4" s="31"/>
      <c r="R4" s="31"/>
      <c r="S4" s="31"/>
      <c r="T4" s="31"/>
      <c r="U4" s="31"/>
      <c r="V4" s="31"/>
      <c r="W4" s="31"/>
      <c r="X4" s="31"/>
      <c r="Y4" s="31"/>
      <c r="Z4" s="31"/>
      <c r="AA4" s="256"/>
      <c r="AB4" s="256"/>
      <c r="AC4" s="256"/>
      <c r="AD4" s="256"/>
      <c r="AE4" s="256"/>
      <c r="AF4" s="256"/>
      <c r="AG4" s="256"/>
      <c r="AH4" s="256"/>
      <c r="AI4" s="256"/>
      <c r="AJ4" s="256"/>
      <c r="AK4" s="256"/>
      <c r="AL4" s="256"/>
      <c r="AM4" s="256"/>
      <c r="AN4" s="256"/>
      <c r="AO4" s="256"/>
    </row>
    <row r="5" spans="1:42" ht="16.899999999999999" customHeight="1">
      <c r="A5" s="313"/>
      <c r="B5" s="3948"/>
      <c r="C5" s="3854"/>
      <c r="D5" s="3854"/>
      <c r="E5" s="3402"/>
      <c r="F5" s="3402"/>
      <c r="G5" s="3957" t="s">
        <v>284</v>
      </c>
      <c r="H5" s="366"/>
      <c r="I5" s="3947"/>
      <c r="J5" s="3947"/>
      <c r="K5" s="3947"/>
      <c r="L5" s="3947"/>
      <c r="M5" s="3947"/>
      <c r="N5" s="3957" t="s">
        <v>283</v>
      </c>
      <c r="P5" s="31"/>
      <c r="Q5" s="31"/>
      <c r="R5" s="31"/>
      <c r="S5" s="31"/>
      <c r="T5" s="31"/>
      <c r="U5" s="31"/>
      <c r="V5" s="31"/>
      <c r="W5" s="31"/>
      <c r="X5" s="31"/>
      <c r="Y5" s="31"/>
      <c r="Z5" s="31"/>
      <c r="AA5" s="256"/>
      <c r="AB5" s="256"/>
      <c r="AC5" s="256"/>
      <c r="AD5" s="256"/>
      <c r="AE5" s="256"/>
    </row>
    <row r="6" spans="1:42" ht="16.899999999999999" customHeight="1">
      <c r="A6" s="313"/>
      <c r="B6" s="3948"/>
      <c r="C6" s="3948"/>
      <c r="D6" s="3948"/>
      <c r="E6" s="3948"/>
      <c r="F6" s="3948"/>
      <c r="G6" s="3404">
        <v>2017</v>
      </c>
      <c r="H6" s="3404">
        <v>2018</v>
      </c>
      <c r="I6" s="3404">
        <v>2019</v>
      </c>
      <c r="J6" s="366">
        <v>2020</v>
      </c>
      <c r="K6" s="366">
        <v>2021</v>
      </c>
      <c r="L6" s="366">
        <v>2022</v>
      </c>
      <c r="M6" s="366">
        <v>2023</v>
      </c>
      <c r="N6" s="3945">
        <v>2023</v>
      </c>
      <c r="P6" s="31"/>
      <c r="Q6" s="31"/>
      <c r="R6" s="31"/>
      <c r="S6" s="31"/>
      <c r="T6" s="31"/>
      <c r="U6" s="31"/>
      <c r="V6" s="31"/>
      <c r="W6" s="31"/>
      <c r="X6" s="31"/>
      <c r="Y6" s="31"/>
      <c r="Z6" s="31"/>
      <c r="AA6" s="256"/>
      <c r="AB6" s="256"/>
      <c r="AC6" s="256"/>
      <c r="AD6" s="256"/>
      <c r="AE6" s="256"/>
    </row>
    <row r="7" spans="1:42" ht="51.95" customHeight="1">
      <c r="A7" s="313"/>
      <c r="B7" s="368"/>
      <c r="C7" s="4255" t="s">
        <v>2107</v>
      </c>
      <c r="D7" s="4256"/>
      <c r="E7" s="4256"/>
      <c r="F7" s="4256"/>
      <c r="G7" s="4256"/>
      <c r="H7" s="4256"/>
      <c r="I7" s="4256"/>
      <c r="J7" s="4256"/>
      <c r="K7" s="4256"/>
      <c r="L7" s="4256"/>
      <c r="M7" s="4256"/>
      <c r="N7" s="4256"/>
      <c r="P7" s="31"/>
      <c r="Q7" s="136"/>
      <c r="R7" s="136"/>
      <c r="S7" s="136"/>
      <c r="T7" s="136"/>
      <c r="U7" s="136"/>
      <c r="V7" s="136"/>
      <c r="W7" s="136"/>
      <c r="X7" s="136"/>
      <c r="Y7" s="136"/>
      <c r="Z7" s="136"/>
      <c r="AA7" s="136"/>
      <c r="AB7" s="256"/>
      <c r="AC7" s="256"/>
      <c r="AD7" s="256"/>
      <c r="AE7" s="256"/>
    </row>
    <row r="8" spans="1:42" ht="18" customHeight="1">
      <c r="A8" s="313"/>
      <c r="B8" s="3405" t="s">
        <v>297</v>
      </c>
      <c r="C8" s="743"/>
      <c r="D8" s="3948"/>
      <c r="E8" s="3948"/>
      <c r="F8" s="3948"/>
      <c r="G8" s="366"/>
      <c r="H8" s="366"/>
      <c r="I8" s="366"/>
      <c r="J8" s="366"/>
      <c r="K8" s="366"/>
      <c r="L8" s="366"/>
      <c r="M8" s="366"/>
      <c r="N8" s="366"/>
      <c r="O8" s="366"/>
      <c r="P8" s="31"/>
      <c r="Q8" s="136"/>
      <c r="R8" s="136"/>
      <c r="S8" s="136"/>
      <c r="T8" s="136"/>
      <c r="U8" s="136"/>
      <c r="V8" s="136"/>
      <c r="W8" s="136"/>
      <c r="X8" s="136"/>
      <c r="Y8" s="136"/>
      <c r="Z8" s="136"/>
      <c r="AA8" s="136"/>
      <c r="AB8" s="256"/>
      <c r="AC8" s="256"/>
      <c r="AD8" s="256"/>
      <c r="AE8" s="256"/>
    </row>
    <row r="9" spans="1:42" ht="16.899999999999999" customHeight="1">
      <c r="A9" s="313"/>
      <c r="B9" s="3872" t="s">
        <v>287</v>
      </c>
      <c r="C9" s="239" t="s">
        <v>296</v>
      </c>
      <c r="D9" s="279"/>
      <c r="E9" s="312"/>
      <c r="F9" s="312"/>
      <c r="G9" s="344"/>
      <c r="H9" s="344"/>
      <c r="I9" s="344"/>
      <c r="J9" s="344"/>
      <c r="K9" s="344"/>
      <c r="L9" s="344"/>
      <c r="M9" s="344"/>
      <c r="N9" s="344"/>
      <c r="P9" s="31"/>
      <c r="Q9" s="31"/>
      <c r="R9" s="31"/>
      <c r="S9" s="31"/>
      <c r="T9" s="31"/>
      <c r="U9" s="31"/>
      <c r="V9" s="31"/>
      <c r="W9" s="31"/>
      <c r="X9" s="31"/>
      <c r="Y9" s="31"/>
      <c r="Z9" s="31"/>
      <c r="AA9" s="256"/>
      <c r="AB9" s="256"/>
      <c r="AC9" s="256"/>
      <c r="AD9" s="256"/>
      <c r="AE9" s="256"/>
    </row>
    <row r="10" spans="1:42" ht="16.899999999999999" customHeight="1">
      <c r="A10" s="313"/>
      <c r="B10" s="73"/>
      <c r="C10" s="272"/>
      <c r="D10" s="45"/>
      <c r="E10" s="3299"/>
      <c r="F10" s="3299"/>
      <c r="G10" s="366"/>
      <c r="H10" s="366"/>
      <c r="I10" s="3961"/>
      <c r="J10" s="366"/>
      <c r="K10" s="366"/>
      <c r="L10" s="365"/>
      <c r="M10" s="365"/>
      <c r="N10" s="3406"/>
      <c r="P10" s="31"/>
      <c r="Q10" s="31"/>
      <c r="R10" s="31"/>
      <c r="S10" s="31"/>
      <c r="T10" s="31"/>
      <c r="U10" s="31"/>
      <c r="V10" s="31"/>
      <c r="W10" s="31"/>
      <c r="X10" s="31"/>
      <c r="Y10" s="31"/>
      <c r="Z10" s="31"/>
      <c r="AA10" s="256"/>
      <c r="AB10" s="256"/>
      <c r="AC10" s="256"/>
      <c r="AD10" s="256"/>
      <c r="AE10" s="256"/>
    </row>
    <row r="11" spans="1:42" s="231" customFormat="1" ht="16.899999999999999" customHeight="1">
      <c r="B11" s="3407">
        <v>1</v>
      </c>
      <c r="C11" s="3956" t="s">
        <v>2038</v>
      </c>
      <c r="D11" s="3408"/>
      <c r="E11" s="3408"/>
      <c r="F11" s="699"/>
      <c r="G11" s="335"/>
      <c r="H11" s="335"/>
      <c r="I11" s="335"/>
      <c r="J11" s="335"/>
      <c r="K11" s="335"/>
      <c r="L11" s="361"/>
      <c r="M11" s="359">
        <v>80</v>
      </c>
      <c r="N11" s="3409">
        <f>HLOOKUP($N$6,$G$6:M11,ROWS($N$6:N11),FALSE)</f>
        <v>80</v>
      </c>
      <c r="O11" s="45"/>
      <c r="P11"/>
      <c r="Q11"/>
      <c r="R11"/>
      <c r="S11" s="31"/>
      <c r="T11" s="31"/>
      <c r="U11" s="31"/>
      <c r="V11" s="31"/>
      <c r="W11" s="31"/>
      <c r="X11" s="31"/>
      <c r="Y11" s="31"/>
      <c r="Z11" s="31"/>
      <c r="AF11" s="31"/>
      <c r="AG11" s="31"/>
      <c r="AH11" s="31"/>
      <c r="AI11" s="31"/>
      <c r="AJ11" s="31"/>
      <c r="AK11" s="31"/>
      <c r="AL11" s="31"/>
      <c r="AM11" s="31"/>
      <c r="AN11" s="31"/>
      <c r="AO11" s="31"/>
      <c r="AP11" s="31"/>
    </row>
    <row r="12" spans="1:42" s="231" customFormat="1" ht="16.899999999999999" customHeight="1">
      <c r="B12" s="3410">
        <f>B11+1</f>
        <v>2</v>
      </c>
      <c r="C12" s="3958" t="s">
        <v>2039</v>
      </c>
      <c r="D12" s="3948"/>
      <c r="E12" s="3948"/>
      <c r="F12" s="3949"/>
      <c r="G12" s="361">
        <v>350</v>
      </c>
      <c r="H12" s="361">
        <v>350</v>
      </c>
      <c r="I12" s="361">
        <v>350</v>
      </c>
      <c r="J12" s="361">
        <v>350</v>
      </c>
      <c r="K12" s="361">
        <v>350</v>
      </c>
      <c r="L12" s="361">
        <v>350</v>
      </c>
      <c r="M12" s="359">
        <v>430</v>
      </c>
      <c r="N12" s="3409">
        <f>HLOOKUP($N$6,$G$6:M12,ROWS($N$6:N12),FALSE)</f>
        <v>430</v>
      </c>
      <c r="P12" s="363"/>
      <c r="Q12" s="31"/>
      <c r="R12" s="31"/>
      <c r="S12" s="31"/>
      <c r="T12" s="31"/>
      <c r="U12" s="31"/>
      <c r="V12" s="31"/>
      <c r="W12" s="31"/>
      <c r="X12" s="31"/>
      <c r="Y12" s="31"/>
      <c r="Z12" s="31"/>
      <c r="AF12" s="31"/>
      <c r="AG12" s="31"/>
      <c r="AH12" s="31"/>
      <c r="AI12" s="31"/>
      <c r="AJ12" s="31"/>
      <c r="AK12" s="31"/>
      <c r="AL12" s="31"/>
      <c r="AM12" s="31"/>
      <c r="AN12" s="31"/>
      <c r="AO12" s="31"/>
      <c r="AP12" s="31"/>
    </row>
    <row r="13" spans="1:42" s="231" customFormat="1" ht="16.899999999999999" customHeight="1">
      <c r="B13" s="3410">
        <f>B12+1</f>
        <v>3</v>
      </c>
      <c r="C13" s="3958" t="s">
        <v>2040</v>
      </c>
      <c r="D13" s="3299"/>
      <c r="E13" s="3299"/>
      <c r="F13" s="3300"/>
      <c r="G13" s="2982">
        <v>935</v>
      </c>
      <c r="H13" s="2982">
        <v>935</v>
      </c>
      <c r="I13" s="361">
        <v>935</v>
      </c>
      <c r="J13" s="361">
        <v>935</v>
      </c>
      <c r="K13" s="361">
        <v>935</v>
      </c>
      <c r="L13" s="361">
        <v>935</v>
      </c>
      <c r="M13" s="359">
        <v>950</v>
      </c>
      <c r="N13" s="3409">
        <f>HLOOKUP($N$6,$G$6:M13,ROWS($N$6:N13),FALSE)</f>
        <v>950</v>
      </c>
      <c r="O13" s="45"/>
      <c r="P13" s="31"/>
      <c r="Q13" s="31"/>
      <c r="R13" s="31"/>
      <c r="S13" s="31"/>
      <c r="T13" s="31"/>
      <c r="U13" s="31"/>
      <c r="V13" s="31"/>
      <c r="W13" s="31"/>
      <c r="X13" s="31"/>
      <c r="Y13" s="31"/>
      <c r="Z13" s="31"/>
      <c r="AF13" s="31"/>
      <c r="AG13" s="31"/>
      <c r="AH13" s="31"/>
      <c r="AI13" s="31"/>
      <c r="AJ13" s="31"/>
      <c r="AK13" s="31"/>
      <c r="AL13" s="31"/>
      <c r="AM13" s="31"/>
      <c r="AN13" s="31"/>
      <c r="AO13" s="31"/>
      <c r="AP13" s="31"/>
    </row>
    <row r="14" spans="1:42" s="42" customFormat="1" ht="16.899999999999999" customHeight="1">
      <c r="B14" s="3410">
        <f t="shared" ref="B14:B49" si="0">B13+1</f>
        <v>4</v>
      </c>
      <c r="C14" s="3958" t="s">
        <v>2041</v>
      </c>
      <c r="D14" s="3299"/>
      <c r="E14" s="3299"/>
      <c r="F14" s="3300"/>
      <c r="G14" s="2982">
        <v>1275</v>
      </c>
      <c r="H14" s="2982">
        <v>1275</v>
      </c>
      <c r="I14" s="361">
        <v>1275</v>
      </c>
      <c r="J14" s="361">
        <v>1275</v>
      </c>
      <c r="K14" s="361">
        <v>1275</v>
      </c>
      <c r="L14" s="361">
        <v>1275</v>
      </c>
      <c r="M14" s="359">
        <v>1450</v>
      </c>
      <c r="N14" s="3409">
        <f>HLOOKUP($N$6,$G$6:M14,ROWS($N$6:N14),FALSE)</f>
        <v>1450</v>
      </c>
      <c r="O14" s="45"/>
      <c r="P14" s="3952"/>
      <c r="Q14" s="31"/>
      <c r="R14" s="31"/>
      <c r="S14" s="31"/>
      <c r="T14" s="31"/>
      <c r="U14" s="31"/>
      <c r="V14" s="31"/>
      <c r="W14" s="31"/>
      <c r="X14" s="31"/>
      <c r="Y14" s="31"/>
      <c r="Z14" s="31"/>
      <c r="AF14" s="31"/>
      <c r="AG14" s="31"/>
      <c r="AH14" s="31"/>
      <c r="AI14" s="31"/>
      <c r="AJ14" s="31"/>
      <c r="AK14" s="31"/>
      <c r="AL14" s="31"/>
      <c r="AM14" s="31"/>
      <c r="AN14" s="31"/>
      <c r="AO14" s="31"/>
      <c r="AP14" s="31"/>
    </row>
    <row r="15" spans="1:42" s="42" customFormat="1" ht="16.5" customHeight="1">
      <c r="B15" s="3410">
        <f t="shared" si="0"/>
        <v>5</v>
      </c>
      <c r="C15" s="3960" t="s">
        <v>2042</v>
      </c>
      <c r="D15" s="3411"/>
      <c r="E15" s="3411"/>
      <c r="F15" s="3055"/>
      <c r="G15" s="361">
        <v>230</v>
      </c>
      <c r="H15" s="361">
        <v>230</v>
      </c>
      <c r="I15" s="361">
        <v>230</v>
      </c>
      <c r="J15" s="361">
        <v>230</v>
      </c>
      <c r="K15" s="361">
        <v>230</v>
      </c>
      <c r="L15" s="361">
        <v>230</v>
      </c>
      <c r="M15" s="359">
        <v>240</v>
      </c>
      <c r="N15" s="3409">
        <f>HLOOKUP($N$6,$G$6:M15,ROWS($N$6:N15),FALSE)</f>
        <v>240</v>
      </c>
      <c r="O15" s="45"/>
      <c r="P15" s="31"/>
      <c r="Q15" s="31"/>
      <c r="R15" s="31"/>
      <c r="S15" s="31"/>
      <c r="T15" s="31"/>
      <c r="U15" s="31"/>
      <c r="V15" s="31"/>
      <c r="W15" s="31"/>
      <c r="X15" s="31"/>
      <c r="Y15" s="31"/>
      <c r="Z15" s="31"/>
      <c r="AF15" s="31"/>
      <c r="AG15" s="31"/>
      <c r="AH15" s="31"/>
      <c r="AI15" s="31"/>
      <c r="AJ15" s="31"/>
      <c r="AK15" s="31"/>
      <c r="AL15" s="31"/>
      <c r="AM15" s="31"/>
      <c r="AN15" s="31"/>
      <c r="AO15" s="31"/>
      <c r="AP15" s="31"/>
    </row>
    <row r="16" spans="1:42" s="42" customFormat="1" ht="16.899999999999999" customHeight="1">
      <c r="B16" s="3410">
        <f t="shared" si="0"/>
        <v>6</v>
      </c>
      <c r="C16" s="3960" t="s">
        <v>2043</v>
      </c>
      <c r="D16" s="3411"/>
      <c r="E16" s="3411"/>
      <c r="F16" s="3055"/>
      <c r="G16" s="2982">
        <v>550</v>
      </c>
      <c r="H16" s="2982">
        <v>550</v>
      </c>
      <c r="I16" s="361">
        <v>550</v>
      </c>
      <c r="J16" s="361">
        <v>550</v>
      </c>
      <c r="K16" s="361">
        <v>550</v>
      </c>
      <c r="L16" s="361">
        <v>550</v>
      </c>
      <c r="M16" s="359">
        <v>680</v>
      </c>
      <c r="N16" s="3409">
        <f>HLOOKUP($N$6,$G$6:M16,ROWS($N$6:N16),FALSE)</f>
        <v>680</v>
      </c>
      <c r="O16" s="45"/>
      <c r="P16" s="31"/>
      <c r="Q16" s="31"/>
      <c r="R16" s="31"/>
      <c r="S16" s="31"/>
      <c r="T16" s="31"/>
      <c r="U16" s="31"/>
      <c r="V16" s="31"/>
      <c r="W16" s="31"/>
      <c r="X16" s="31"/>
      <c r="Y16" s="31"/>
      <c r="Z16" s="31"/>
      <c r="AF16" s="31"/>
      <c r="AG16" s="31"/>
      <c r="AH16" s="31"/>
      <c r="AI16" s="31"/>
      <c r="AJ16" s="31"/>
      <c r="AK16" s="31"/>
      <c r="AL16" s="31"/>
      <c r="AM16" s="31"/>
      <c r="AN16" s="31"/>
      <c r="AO16" s="31"/>
      <c r="AP16" s="31"/>
    </row>
    <row r="17" spans="2:42" s="42" customFormat="1" ht="16.899999999999999" customHeight="1">
      <c r="B17" s="3410">
        <f t="shared" si="0"/>
        <v>7</v>
      </c>
      <c r="C17" s="3958" t="s">
        <v>2044</v>
      </c>
      <c r="D17" s="3057"/>
      <c r="E17" s="3057"/>
      <c r="F17" s="3058"/>
      <c r="G17" s="2982">
        <v>750</v>
      </c>
      <c r="H17" s="2982">
        <v>750</v>
      </c>
      <c r="I17" s="361">
        <v>750</v>
      </c>
      <c r="J17" s="361">
        <v>750</v>
      </c>
      <c r="K17" s="361">
        <v>750</v>
      </c>
      <c r="L17" s="361">
        <v>750</v>
      </c>
      <c r="M17" s="359">
        <v>1000</v>
      </c>
      <c r="N17" s="3409">
        <f>HLOOKUP($N$6,$G$6:M17,ROWS($N$6:N17),FALSE)</f>
        <v>1000</v>
      </c>
      <c r="O17" s="362"/>
      <c r="P17" s="35"/>
      <c r="Q17" s="31"/>
      <c r="R17" s="31"/>
      <c r="S17" s="31"/>
      <c r="T17" s="31"/>
      <c r="U17" s="31"/>
      <c r="V17" s="31"/>
      <c r="W17" s="31"/>
      <c r="X17" s="31"/>
      <c r="Y17" s="31"/>
      <c r="Z17" s="31"/>
      <c r="AF17" s="31"/>
      <c r="AG17" s="31"/>
      <c r="AH17" s="31"/>
      <c r="AI17" s="31"/>
      <c r="AJ17" s="31"/>
      <c r="AK17" s="31"/>
      <c r="AL17" s="31"/>
      <c r="AM17" s="31"/>
      <c r="AN17" s="31"/>
      <c r="AO17" s="31"/>
      <c r="AP17" s="31"/>
    </row>
    <row r="18" spans="2:42" s="42" customFormat="1" ht="16.5" customHeight="1">
      <c r="B18" s="3410">
        <f t="shared" si="0"/>
        <v>8</v>
      </c>
      <c r="C18" s="3955" t="s">
        <v>2045</v>
      </c>
      <c r="D18" s="3412"/>
      <c r="E18" s="3412"/>
      <c r="F18" s="3301"/>
      <c r="G18" s="361">
        <v>90</v>
      </c>
      <c r="H18" s="361">
        <v>90</v>
      </c>
      <c r="I18" s="361">
        <v>90</v>
      </c>
      <c r="J18" s="361">
        <v>90</v>
      </c>
      <c r="K18" s="361">
        <v>90</v>
      </c>
      <c r="L18" s="361">
        <v>90</v>
      </c>
      <c r="M18" s="359">
        <v>100</v>
      </c>
      <c r="N18" s="3409">
        <f>HLOOKUP($N$6,$G$6:M18,ROWS($N$6:N18),FALSE)</f>
        <v>100</v>
      </c>
      <c r="O18" s="45"/>
      <c r="P18" s="31"/>
      <c r="Q18" s="31"/>
      <c r="R18" s="31"/>
      <c r="S18" s="31"/>
      <c r="T18" s="31"/>
      <c r="U18" s="31"/>
      <c r="V18" s="31"/>
      <c r="W18" s="31"/>
      <c r="X18" s="31"/>
      <c r="Y18" s="31"/>
      <c r="Z18" s="31"/>
      <c r="AF18" s="31"/>
      <c r="AG18" s="31"/>
      <c r="AH18" s="31"/>
      <c r="AI18" s="31"/>
      <c r="AJ18" s="31"/>
      <c r="AK18" s="31"/>
      <c r="AL18" s="31"/>
      <c r="AM18" s="31"/>
      <c r="AN18" s="31"/>
      <c r="AO18" s="31"/>
      <c r="AP18" s="31"/>
    </row>
    <row r="19" spans="2:42" s="42" customFormat="1" ht="16.899999999999999" customHeight="1">
      <c r="B19" s="3410">
        <f t="shared" si="0"/>
        <v>9</v>
      </c>
      <c r="C19" s="3955" t="s">
        <v>2046</v>
      </c>
      <c r="D19" s="3412"/>
      <c r="E19" s="3412"/>
      <c r="F19" s="3301"/>
      <c r="G19" s="361">
        <v>80</v>
      </c>
      <c r="H19" s="361">
        <v>80</v>
      </c>
      <c r="I19" s="361">
        <v>80</v>
      </c>
      <c r="J19" s="361">
        <v>80</v>
      </c>
      <c r="K19" s="361">
        <v>80</v>
      </c>
      <c r="L19" s="361">
        <v>80</v>
      </c>
      <c r="M19" s="359">
        <v>80</v>
      </c>
      <c r="N19" s="3409">
        <f>HLOOKUP($N$6,$G$6:M19,ROWS($N$6:N19),FALSE)</f>
        <v>80</v>
      </c>
      <c r="O19" s="45"/>
      <c r="P19" s="31"/>
      <c r="Q19" s="31"/>
      <c r="R19" s="31"/>
      <c r="S19" s="31"/>
      <c r="T19" s="31"/>
      <c r="U19" s="31"/>
      <c r="V19" s="31"/>
      <c r="W19" s="31"/>
      <c r="X19" s="31"/>
      <c r="Y19" s="31"/>
      <c r="Z19" s="31"/>
      <c r="AF19" s="31"/>
      <c r="AG19" s="31"/>
      <c r="AH19" s="31"/>
      <c r="AI19" s="31"/>
      <c r="AJ19" s="31"/>
      <c r="AK19" s="31"/>
      <c r="AL19" s="31"/>
      <c r="AM19" s="31"/>
      <c r="AN19" s="31"/>
      <c r="AO19" s="31"/>
      <c r="AP19" s="31"/>
    </row>
    <row r="20" spans="2:42" s="42" customFormat="1" ht="16.899999999999999" customHeight="1">
      <c r="B20" s="3410">
        <f t="shared" si="0"/>
        <v>10</v>
      </c>
      <c r="C20" s="3056" t="s">
        <v>2047</v>
      </c>
      <c r="D20" s="3057"/>
      <c r="E20" s="3057"/>
      <c r="F20" s="3058"/>
      <c r="G20" s="361">
        <v>60</v>
      </c>
      <c r="H20" s="361">
        <v>60</v>
      </c>
      <c r="I20" s="361">
        <v>60</v>
      </c>
      <c r="J20" s="361">
        <v>60</v>
      </c>
      <c r="K20" s="361">
        <v>60</v>
      </c>
      <c r="L20" s="361">
        <v>60</v>
      </c>
      <c r="M20" s="359">
        <v>60</v>
      </c>
      <c r="N20" s="3409">
        <f>HLOOKUP($N$6,$G$6:M20,ROWS($N$6:N20),FALSE)</f>
        <v>60</v>
      </c>
      <c r="O20" s="45"/>
      <c r="P20" s="35"/>
      <c r="Q20" s="31"/>
      <c r="R20" s="31"/>
      <c r="S20" s="31"/>
      <c r="T20" s="31"/>
      <c r="U20" s="31"/>
      <c r="V20" s="31"/>
      <c r="W20" s="31"/>
      <c r="X20" s="31"/>
      <c r="Y20" s="31"/>
      <c r="Z20" s="31"/>
      <c r="AF20" s="31"/>
      <c r="AG20" s="31"/>
      <c r="AH20" s="31"/>
      <c r="AI20" s="31"/>
      <c r="AJ20" s="31"/>
      <c r="AK20" s="31"/>
      <c r="AL20" s="31"/>
      <c r="AM20" s="31"/>
      <c r="AN20" s="31"/>
      <c r="AO20" s="31"/>
      <c r="AP20" s="31"/>
    </row>
    <row r="21" spans="2:42" s="42" customFormat="1" ht="16.899999999999999" customHeight="1">
      <c r="B21" s="3410">
        <f t="shared" si="0"/>
        <v>11</v>
      </c>
      <c r="C21" s="3958" t="s">
        <v>2048</v>
      </c>
      <c r="D21" s="3057"/>
      <c r="E21" s="3057"/>
      <c r="F21" s="3058"/>
      <c r="G21" s="361"/>
      <c r="H21" s="361"/>
      <c r="I21" s="361">
        <v>540</v>
      </c>
      <c r="J21" s="361">
        <v>540</v>
      </c>
      <c r="K21" s="361">
        <v>540</v>
      </c>
      <c r="L21" s="361">
        <v>540</v>
      </c>
      <c r="M21" s="359">
        <v>650</v>
      </c>
      <c r="N21" s="3409">
        <f>HLOOKUP($N$6,$G$6:M21,ROWS($N$6:N21),FALSE)</f>
        <v>650</v>
      </c>
      <c r="O21" s="45"/>
      <c r="P21" s="35"/>
      <c r="Q21" s="31"/>
      <c r="R21" s="31"/>
      <c r="S21" s="31"/>
      <c r="T21" s="31"/>
      <c r="U21" s="31"/>
      <c r="V21" s="31"/>
      <c r="W21" s="31"/>
      <c r="X21" s="31"/>
      <c r="Y21" s="31"/>
      <c r="Z21" s="31"/>
      <c r="AF21" s="31"/>
      <c r="AG21" s="31"/>
      <c r="AH21" s="31"/>
      <c r="AI21" s="31"/>
      <c r="AJ21" s="31"/>
      <c r="AK21" s="31"/>
      <c r="AL21" s="31"/>
      <c r="AM21" s="31"/>
      <c r="AN21" s="31"/>
      <c r="AO21" s="31"/>
      <c r="AP21" s="31"/>
    </row>
    <row r="22" spans="2:42" s="42" customFormat="1" ht="16.899999999999999" customHeight="1">
      <c r="B22" s="3410">
        <f t="shared" si="0"/>
        <v>12</v>
      </c>
      <c r="C22" s="3056" t="s">
        <v>2049</v>
      </c>
      <c r="D22" s="3057"/>
      <c r="E22" s="3057"/>
      <c r="F22" s="3058"/>
      <c r="G22" s="361"/>
      <c r="H22" s="361"/>
      <c r="I22" s="361">
        <v>730</v>
      </c>
      <c r="J22" s="361">
        <v>730</v>
      </c>
      <c r="K22" s="361">
        <v>730</v>
      </c>
      <c r="L22" s="361">
        <v>730</v>
      </c>
      <c r="M22" s="359">
        <v>730</v>
      </c>
      <c r="N22" s="3409">
        <f>HLOOKUP($N$6,$G$6:M22,ROWS($N$6:N22),FALSE)</f>
        <v>730</v>
      </c>
      <c r="O22" s="227"/>
      <c r="P22" s="35"/>
      <c r="Q22" s="31"/>
      <c r="R22" s="31"/>
      <c r="S22" s="31"/>
      <c r="T22" s="31"/>
      <c r="U22" s="31"/>
      <c r="V22" s="31"/>
      <c r="W22" s="31"/>
      <c r="X22" s="31"/>
      <c r="Y22" s="31"/>
      <c r="Z22" s="31"/>
      <c r="AF22" s="31"/>
      <c r="AG22" s="31"/>
      <c r="AH22" s="31"/>
      <c r="AI22" s="31"/>
      <c r="AJ22" s="31"/>
      <c r="AK22" s="31"/>
      <c r="AL22" s="31"/>
      <c r="AM22" s="31"/>
      <c r="AN22" s="31"/>
      <c r="AO22" s="31"/>
      <c r="AP22" s="31"/>
    </row>
    <row r="23" spans="2:42" s="42" customFormat="1" ht="16.899999999999999" customHeight="1">
      <c r="B23" s="3410">
        <f t="shared" si="0"/>
        <v>13</v>
      </c>
      <c r="C23" s="3056" t="s">
        <v>2050</v>
      </c>
      <c r="D23" s="3057"/>
      <c r="E23" s="3057"/>
      <c r="F23" s="3058"/>
      <c r="G23" s="361"/>
      <c r="H23" s="361"/>
      <c r="I23" s="361"/>
      <c r="J23" s="361"/>
      <c r="K23" s="361"/>
      <c r="L23" s="361"/>
      <c r="M23" s="359">
        <v>130</v>
      </c>
      <c r="N23" s="3409">
        <f>HLOOKUP($N$6,$G$6:M23,ROWS($N$6:N23),FALSE)</f>
        <v>130</v>
      </c>
      <c r="O23" s="45"/>
      <c r="P23" s="35"/>
      <c r="Q23" s="31"/>
      <c r="R23" s="31"/>
      <c r="S23" s="31"/>
      <c r="T23" s="31"/>
      <c r="U23" s="31"/>
      <c r="V23" s="31"/>
      <c r="W23" s="31"/>
      <c r="X23" s="31"/>
      <c r="Y23" s="31"/>
      <c r="Z23" s="31"/>
      <c r="AF23" s="31"/>
      <c r="AG23" s="31"/>
      <c r="AH23" s="31"/>
      <c r="AI23" s="31"/>
      <c r="AJ23" s="31"/>
      <c r="AK23" s="31"/>
      <c r="AL23" s="31"/>
      <c r="AM23" s="31"/>
      <c r="AN23" s="31"/>
      <c r="AO23" s="31"/>
      <c r="AP23" s="31"/>
    </row>
    <row r="24" spans="2:42" s="42" customFormat="1" ht="16.899999999999999" customHeight="1">
      <c r="B24" s="3410">
        <f t="shared" si="0"/>
        <v>14</v>
      </c>
      <c r="C24" s="3056" t="s">
        <v>2051</v>
      </c>
      <c r="D24" s="3299"/>
      <c r="E24" s="3299"/>
      <c r="F24" s="3300"/>
      <c r="G24" s="361"/>
      <c r="H24" s="361"/>
      <c r="I24" s="361"/>
      <c r="J24" s="361"/>
      <c r="K24" s="361"/>
      <c r="L24" s="361"/>
      <c r="M24" s="359">
        <v>100</v>
      </c>
      <c r="N24" s="3409">
        <f>HLOOKUP($N$6,$G$6:M24,ROWS($N$6:N24),FALSE)</f>
        <v>100</v>
      </c>
      <c r="O24" s="45"/>
      <c r="P24" s="31"/>
      <c r="Q24" s="31"/>
      <c r="R24" s="31"/>
      <c r="S24" s="31"/>
      <c r="T24" s="31"/>
      <c r="U24" s="31"/>
      <c r="V24" s="31"/>
      <c r="W24" s="31"/>
      <c r="X24" s="31"/>
      <c r="Y24" s="31"/>
      <c r="Z24" s="31"/>
      <c r="AF24" s="31"/>
      <c r="AG24" s="31"/>
      <c r="AH24" s="31"/>
      <c r="AI24" s="31"/>
      <c r="AJ24" s="31"/>
      <c r="AK24" s="31"/>
      <c r="AL24" s="31"/>
      <c r="AM24" s="31"/>
      <c r="AN24" s="31"/>
      <c r="AO24" s="31"/>
      <c r="AP24" s="31"/>
    </row>
    <row r="25" spans="2:42" s="42" customFormat="1" ht="16.899999999999999" customHeight="1">
      <c r="B25" s="3410">
        <f t="shared" si="0"/>
        <v>15</v>
      </c>
      <c r="C25" s="3056" t="s">
        <v>2052</v>
      </c>
      <c r="D25" s="3299"/>
      <c r="E25" s="3299"/>
      <c r="F25" s="3300"/>
      <c r="G25" s="361"/>
      <c r="H25" s="361"/>
      <c r="I25" s="361"/>
      <c r="J25" s="361"/>
      <c r="K25" s="361"/>
      <c r="L25" s="361"/>
      <c r="M25" s="359">
        <v>50</v>
      </c>
      <c r="N25" s="3409">
        <f>HLOOKUP($N$6,$G$6:M25,ROWS($N$6:N25),FALSE)</f>
        <v>50</v>
      </c>
      <c r="O25" s="45"/>
      <c r="P25" s="31"/>
      <c r="Q25" s="31"/>
      <c r="R25" s="31"/>
      <c r="S25" s="31"/>
      <c r="T25" s="31"/>
      <c r="U25" s="31"/>
      <c r="V25" s="31"/>
      <c r="W25" s="31"/>
      <c r="X25" s="31"/>
      <c r="Y25" s="31"/>
      <c r="Z25" s="31"/>
      <c r="AF25" s="31"/>
      <c r="AG25" s="31"/>
      <c r="AH25" s="31"/>
      <c r="AI25" s="31"/>
      <c r="AJ25" s="31"/>
      <c r="AK25" s="31"/>
      <c r="AL25" s="31"/>
      <c r="AM25" s="31"/>
      <c r="AN25" s="31"/>
      <c r="AO25" s="31"/>
      <c r="AP25" s="31"/>
    </row>
    <row r="26" spans="2:42" s="42" customFormat="1" ht="16.899999999999999" customHeight="1">
      <c r="B26" s="3410">
        <f t="shared" si="0"/>
        <v>16</v>
      </c>
      <c r="C26" s="3056" t="s">
        <v>2053</v>
      </c>
      <c r="D26" s="3953"/>
      <c r="E26" s="3953"/>
      <c r="F26" s="3954"/>
      <c r="G26" s="361"/>
      <c r="H26" s="361"/>
      <c r="I26" s="361"/>
      <c r="J26" s="361"/>
      <c r="K26" s="361"/>
      <c r="L26" s="361"/>
      <c r="M26" s="359">
        <v>150</v>
      </c>
      <c r="N26" s="3409"/>
      <c r="O26" s="3852"/>
      <c r="P26" s="3952"/>
      <c r="Q26" s="3952"/>
      <c r="R26" s="3952"/>
      <c r="S26" s="3952"/>
      <c r="T26" s="3952"/>
      <c r="U26" s="3952"/>
      <c r="V26" s="3952"/>
      <c r="W26" s="3952"/>
      <c r="X26" s="3952"/>
      <c r="Y26" s="3952"/>
      <c r="Z26" s="3952"/>
      <c r="AF26" s="3952"/>
      <c r="AG26" s="3952"/>
      <c r="AH26" s="3952"/>
      <c r="AI26" s="3952"/>
      <c r="AJ26" s="3952"/>
      <c r="AK26" s="3952"/>
      <c r="AL26" s="3952"/>
      <c r="AM26" s="3952"/>
      <c r="AN26" s="3952"/>
      <c r="AO26" s="3952"/>
      <c r="AP26" s="3952"/>
    </row>
    <row r="27" spans="2:42" s="42" customFormat="1" ht="16.899999999999999" customHeight="1">
      <c r="B27" s="3410">
        <f t="shared" si="0"/>
        <v>17</v>
      </c>
      <c r="C27" s="3056" t="s">
        <v>2054</v>
      </c>
      <c r="D27" s="3953"/>
      <c r="E27" s="3953"/>
      <c r="F27" s="3954"/>
      <c r="G27" s="361"/>
      <c r="H27" s="361"/>
      <c r="I27" s="361"/>
      <c r="J27" s="361"/>
      <c r="K27" s="361"/>
      <c r="L27" s="361"/>
      <c r="M27" s="359">
        <v>230</v>
      </c>
      <c r="N27" s="3409"/>
      <c r="O27" s="3852"/>
      <c r="P27" s="3952"/>
      <c r="Q27" s="3952"/>
      <c r="R27" s="3952"/>
      <c r="S27" s="3952"/>
      <c r="T27" s="3952"/>
      <c r="U27" s="3952"/>
      <c r="V27" s="3952"/>
      <c r="W27" s="3952"/>
      <c r="X27" s="3952"/>
      <c r="Y27" s="3952"/>
      <c r="Z27" s="3952"/>
      <c r="AF27" s="3952"/>
      <c r="AG27" s="3952"/>
      <c r="AH27" s="3952"/>
      <c r="AI27" s="3952"/>
      <c r="AJ27" s="3952"/>
      <c r="AK27" s="3952"/>
      <c r="AL27" s="3952"/>
      <c r="AM27" s="3952"/>
      <c r="AN27" s="3952"/>
      <c r="AO27" s="3952"/>
      <c r="AP27" s="3952"/>
    </row>
    <row r="28" spans="2:42" s="42" customFormat="1" ht="16.899999999999999" customHeight="1">
      <c r="B28" s="3410">
        <f t="shared" si="0"/>
        <v>18</v>
      </c>
      <c r="C28" s="3958" t="s">
        <v>2055</v>
      </c>
      <c r="D28" s="3953"/>
      <c r="E28" s="3953"/>
      <c r="F28" s="3954"/>
      <c r="G28" s="361"/>
      <c r="H28" s="361"/>
      <c r="I28" s="361"/>
      <c r="J28" s="361"/>
      <c r="K28" s="361"/>
      <c r="L28" s="361"/>
      <c r="M28" s="359">
        <v>500</v>
      </c>
      <c r="N28" s="3409"/>
      <c r="O28" s="3852"/>
      <c r="P28" s="3952"/>
      <c r="Q28" s="3952"/>
      <c r="R28" s="3952"/>
      <c r="S28" s="3952"/>
      <c r="T28" s="3952"/>
      <c r="U28" s="3952"/>
      <c r="V28" s="3952"/>
      <c r="W28" s="3952"/>
      <c r="X28" s="3952"/>
      <c r="Y28" s="3952"/>
      <c r="Z28" s="3952"/>
      <c r="AF28" s="3952"/>
      <c r="AG28" s="3952"/>
      <c r="AH28" s="3952"/>
      <c r="AI28" s="3952"/>
      <c r="AJ28" s="3952"/>
      <c r="AK28" s="3952"/>
      <c r="AL28" s="3952"/>
      <c r="AM28" s="3952"/>
      <c r="AN28" s="3952"/>
      <c r="AO28" s="3952"/>
      <c r="AP28" s="3952"/>
    </row>
    <row r="29" spans="2:42" s="42" customFormat="1" ht="16.899999999999999" customHeight="1">
      <c r="B29" s="3410">
        <f t="shared" si="0"/>
        <v>19</v>
      </c>
      <c r="C29" s="3056" t="s">
        <v>2056</v>
      </c>
      <c r="D29" s="3299"/>
      <c r="E29" s="3299"/>
      <c r="F29" s="3300"/>
      <c r="G29" s="361"/>
      <c r="H29" s="361"/>
      <c r="I29" s="361"/>
      <c r="J29" s="361"/>
      <c r="K29" s="361"/>
      <c r="L29" s="361"/>
      <c r="M29" s="359">
        <v>260</v>
      </c>
      <c r="N29" s="3409">
        <f>HLOOKUP($N$6,$G$6:M29,ROWS($N$6:N29),FALSE)</f>
        <v>260</v>
      </c>
      <c r="O29" s="45"/>
      <c r="P29" s="31"/>
      <c r="Q29" s="31"/>
      <c r="R29" s="31"/>
      <c r="S29" s="31"/>
      <c r="T29" s="31"/>
      <c r="U29" s="31"/>
      <c r="V29" s="31"/>
      <c r="W29" s="31"/>
      <c r="X29" s="31"/>
      <c r="Y29" s="31"/>
      <c r="Z29" s="31"/>
      <c r="AF29" s="31"/>
      <c r="AG29" s="31"/>
      <c r="AH29" s="31"/>
      <c r="AI29" s="31"/>
      <c r="AJ29" s="31"/>
      <c r="AK29" s="31"/>
      <c r="AL29" s="31"/>
      <c r="AM29" s="31"/>
      <c r="AN29" s="31"/>
      <c r="AO29" s="31"/>
      <c r="AP29" s="31"/>
    </row>
    <row r="30" spans="2:42" s="42" customFormat="1" ht="16.899999999999999" customHeight="1">
      <c r="B30" s="3410">
        <f t="shared" si="0"/>
        <v>20</v>
      </c>
      <c r="C30" s="3056" t="s">
        <v>2057</v>
      </c>
      <c r="D30" s="3299"/>
      <c r="E30" s="3299"/>
      <c r="F30" s="3300"/>
      <c r="G30" s="361">
        <v>80</v>
      </c>
      <c r="H30" s="361">
        <v>80</v>
      </c>
      <c r="I30" s="361">
        <v>80</v>
      </c>
      <c r="J30" s="361">
        <v>80</v>
      </c>
      <c r="K30" s="361">
        <v>80</v>
      </c>
      <c r="L30" s="361">
        <v>80</v>
      </c>
      <c r="M30" s="359">
        <v>50</v>
      </c>
      <c r="N30" s="3409">
        <f>HLOOKUP($N$6,$G$6:M30,ROWS($N$6:N30),FALSE)</f>
        <v>50</v>
      </c>
      <c r="O30" s="45"/>
      <c r="P30" s="31"/>
      <c r="Q30" s="31"/>
      <c r="R30" s="31"/>
      <c r="S30" s="31"/>
      <c r="T30" s="31"/>
      <c r="U30" s="31"/>
      <c r="V30" s="31"/>
      <c r="W30" s="31"/>
      <c r="X30" s="31"/>
      <c r="Y30" s="31"/>
      <c r="Z30" s="31"/>
      <c r="AF30" s="31"/>
      <c r="AG30" s="31"/>
      <c r="AH30" s="31"/>
      <c r="AI30" s="31"/>
      <c r="AJ30" s="31"/>
      <c r="AK30" s="31"/>
      <c r="AL30" s="31"/>
      <c r="AM30" s="31"/>
      <c r="AN30" s="31"/>
      <c r="AO30" s="31"/>
      <c r="AP30" s="31"/>
    </row>
    <row r="31" spans="2:42" s="42" customFormat="1" ht="16.899999999999999" customHeight="1">
      <c r="B31" s="3410">
        <f t="shared" si="0"/>
        <v>21</v>
      </c>
      <c r="C31" s="3056" t="s">
        <v>2058</v>
      </c>
      <c r="D31" s="3299"/>
      <c r="E31" s="3299"/>
      <c r="F31" s="3300"/>
      <c r="G31" s="361">
        <v>120</v>
      </c>
      <c r="H31" s="361">
        <v>120</v>
      </c>
      <c r="I31" s="361">
        <v>120</v>
      </c>
      <c r="J31" s="361">
        <v>120</v>
      </c>
      <c r="K31" s="361">
        <v>120</v>
      </c>
      <c r="L31" s="361">
        <v>120</v>
      </c>
      <c r="M31" s="359">
        <v>100</v>
      </c>
      <c r="N31" s="3409">
        <f>HLOOKUP($N$6,$G$6:M31,ROWS($N$6:N31),FALSE)</f>
        <v>100</v>
      </c>
      <c r="O31" s="45"/>
      <c r="P31" s="31"/>
      <c r="Q31" s="31"/>
      <c r="R31" s="31"/>
      <c r="S31" s="31"/>
      <c r="T31" s="31"/>
      <c r="U31" s="31"/>
      <c r="V31" s="31"/>
      <c r="W31" s="31"/>
      <c r="X31" s="31"/>
      <c r="Y31" s="31"/>
      <c r="Z31" s="31"/>
      <c r="AF31" s="31"/>
      <c r="AG31" s="31"/>
      <c r="AH31" s="31"/>
      <c r="AI31" s="31"/>
      <c r="AJ31" s="31"/>
      <c r="AK31" s="31"/>
      <c r="AL31" s="31"/>
      <c r="AM31" s="31"/>
      <c r="AN31" s="31"/>
      <c r="AO31" s="31"/>
      <c r="AP31" s="31"/>
    </row>
    <row r="32" spans="2:42" s="42" customFormat="1" ht="16.899999999999999" customHeight="1">
      <c r="B32" s="3410">
        <f t="shared" si="0"/>
        <v>22</v>
      </c>
      <c r="C32" s="3056"/>
      <c r="D32" s="3299"/>
      <c r="E32" s="3299"/>
      <c r="F32" s="3300"/>
      <c r="G32" s="361"/>
      <c r="H32" s="361"/>
      <c r="I32" s="361"/>
      <c r="J32" s="361"/>
      <c r="K32" s="361"/>
      <c r="L32" s="361"/>
      <c r="M32" s="359"/>
      <c r="N32" s="3409">
        <f>HLOOKUP($N$6,$G$6:M32,ROWS($N$6:N32),FALSE)</f>
        <v>0</v>
      </c>
      <c r="O32" s="45"/>
      <c r="P32" s="31"/>
      <c r="Q32" s="31"/>
      <c r="R32" s="31"/>
      <c r="S32" s="31"/>
      <c r="T32" s="31"/>
      <c r="U32" s="31"/>
      <c r="V32" s="31"/>
      <c r="W32" s="31"/>
      <c r="X32" s="31"/>
      <c r="Y32" s="31"/>
      <c r="Z32" s="31"/>
      <c r="AF32" s="31"/>
      <c r="AG32" s="31"/>
      <c r="AH32" s="31"/>
      <c r="AI32" s="31"/>
      <c r="AJ32" s="31"/>
      <c r="AK32" s="31"/>
      <c r="AL32" s="31"/>
      <c r="AM32" s="31"/>
      <c r="AN32" s="31"/>
      <c r="AO32" s="31"/>
      <c r="AP32" s="31"/>
    </row>
    <row r="33" spans="2:42" s="42" customFormat="1" ht="16.899999999999999" customHeight="1">
      <c r="B33" s="3410">
        <f t="shared" si="0"/>
        <v>23</v>
      </c>
      <c r="C33" s="3958" t="s">
        <v>2059</v>
      </c>
      <c r="D33" s="3299"/>
      <c r="E33" s="3299"/>
      <c r="F33" s="3300"/>
      <c r="G33" s="361"/>
      <c r="H33" s="361"/>
      <c r="I33" s="361"/>
      <c r="J33" s="361"/>
      <c r="K33" s="361"/>
      <c r="L33" s="361"/>
      <c r="M33" s="359">
        <v>1300</v>
      </c>
      <c r="N33" s="3409">
        <f>HLOOKUP($N$6,$G$6:M33,ROWS($N$6:N33),FALSE)</f>
        <v>1300</v>
      </c>
      <c r="O33" s="45"/>
      <c r="P33" s="31"/>
      <c r="Q33" s="31"/>
      <c r="R33" s="31"/>
      <c r="S33" s="31"/>
      <c r="T33" s="31"/>
      <c r="U33" s="31"/>
      <c r="V33" s="31"/>
      <c r="W33" s="31"/>
      <c r="X33" s="31"/>
      <c r="Y33" s="31"/>
      <c r="Z33" s="31"/>
      <c r="AF33" s="31"/>
      <c r="AG33" s="31"/>
      <c r="AH33" s="31"/>
      <c r="AI33" s="31"/>
      <c r="AJ33" s="31"/>
      <c r="AK33" s="31"/>
      <c r="AL33" s="31"/>
      <c r="AM33" s="31"/>
      <c r="AN33" s="31"/>
      <c r="AO33" s="31"/>
      <c r="AP33" s="31"/>
    </row>
    <row r="34" spans="2:42" s="42" customFormat="1" ht="16.899999999999999" customHeight="1">
      <c r="B34" s="3410">
        <f t="shared" si="0"/>
        <v>24</v>
      </c>
      <c r="C34" s="3958" t="s">
        <v>2060</v>
      </c>
      <c r="D34" s="3953"/>
      <c r="E34" s="3953"/>
      <c r="F34" s="3954"/>
      <c r="G34" s="361"/>
      <c r="H34" s="361"/>
      <c r="I34" s="361"/>
      <c r="J34" s="361"/>
      <c r="K34" s="361"/>
      <c r="L34" s="361"/>
      <c r="M34" s="359">
        <v>500</v>
      </c>
      <c r="N34" s="3409">
        <f>HLOOKUP($N$6,$G$6:M34,ROWS($N$6:N34),FALSE)</f>
        <v>500</v>
      </c>
      <c r="O34" s="45"/>
      <c r="P34" s="31"/>
      <c r="Q34" s="31"/>
      <c r="R34" s="31"/>
      <c r="S34" s="31"/>
      <c r="T34" s="31"/>
      <c r="U34" s="31"/>
      <c r="V34" s="31"/>
      <c r="W34" s="31"/>
      <c r="X34" s="31"/>
      <c r="Y34" s="31"/>
      <c r="Z34" s="31"/>
      <c r="AF34" s="31"/>
      <c r="AG34" s="31"/>
      <c r="AH34" s="31"/>
      <c r="AI34" s="31"/>
      <c r="AJ34" s="31"/>
      <c r="AK34" s="31"/>
      <c r="AL34" s="31"/>
      <c r="AM34" s="31"/>
      <c r="AN34" s="31"/>
      <c r="AO34" s="31"/>
      <c r="AP34" s="31"/>
    </row>
    <row r="35" spans="2:42" s="42" customFormat="1" ht="16.899999999999999" customHeight="1">
      <c r="B35" s="3410">
        <f t="shared" si="0"/>
        <v>25</v>
      </c>
      <c r="C35" s="3958" t="s">
        <v>2061</v>
      </c>
      <c r="D35" s="3953"/>
      <c r="E35" s="3953"/>
      <c r="F35" s="3954"/>
      <c r="G35" s="361"/>
      <c r="H35" s="361"/>
      <c r="I35" s="361"/>
      <c r="J35" s="361"/>
      <c r="K35" s="361"/>
      <c r="L35" s="361"/>
      <c r="M35" s="359">
        <v>600</v>
      </c>
      <c r="N35" s="3409">
        <f>HLOOKUP($N$6,$G$6:M35,ROWS($N$6:N35),FALSE)</f>
        <v>600</v>
      </c>
      <c r="O35" s="3852"/>
      <c r="P35" s="3952"/>
      <c r="Q35" s="3952"/>
      <c r="R35" s="3952"/>
      <c r="S35" s="3952"/>
      <c r="T35" s="3952"/>
      <c r="U35" s="3952"/>
      <c r="V35" s="3952"/>
      <c r="W35" s="3952"/>
      <c r="X35" s="3952"/>
      <c r="Y35" s="3952"/>
      <c r="Z35" s="3952"/>
      <c r="AF35" s="3952"/>
      <c r="AG35" s="3952"/>
      <c r="AH35" s="3952"/>
      <c r="AI35" s="3952"/>
      <c r="AJ35" s="3952"/>
      <c r="AK35" s="3952"/>
      <c r="AL35" s="3952"/>
      <c r="AM35" s="3952"/>
      <c r="AN35" s="3952"/>
      <c r="AO35" s="3952"/>
      <c r="AP35" s="3952"/>
    </row>
    <row r="36" spans="2:42" s="42" customFormat="1" ht="16.899999999999999" customHeight="1">
      <c r="B36" s="3410">
        <f t="shared" si="0"/>
        <v>26</v>
      </c>
      <c r="C36" s="3958" t="s">
        <v>2062</v>
      </c>
      <c r="D36" s="3953"/>
      <c r="E36" s="3953"/>
      <c r="F36" s="3954"/>
      <c r="G36" s="361"/>
      <c r="H36" s="361"/>
      <c r="I36" s="361"/>
      <c r="J36" s="361"/>
      <c r="K36" s="361"/>
      <c r="L36" s="361"/>
      <c r="M36" s="359">
        <v>150</v>
      </c>
      <c r="N36" s="3409">
        <f>HLOOKUP($N$6,$G$6:M36,ROWS($N$6:N36),FALSE)</f>
        <v>150</v>
      </c>
      <c r="O36" s="3852"/>
      <c r="P36" s="3952"/>
      <c r="Q36" s="3952"/>
      <c r="R36" s="3952"/>
      <c r="S36" s="3952"/>
      <c r="T36" s="3952"/>
      <c r="U36" s="3952"/>
      <c r="V36" s="3952"/>
      <c r="W36" s="3952"/>
      <c r="X36" s="3952"/>
      <c r="Y36" s="3952"/>
      <c r="Z36" s="3952"/>
      <c r="AF36" s="3952"/>
      <c r="AG36" s="3952"/>
      <c r="AH36" s="3952"/>
      <c r="AI36" s="3952"/>
      <c r="AJ36" s="3952"/>
      <c r="AK36" s="3952"/>
      <c r="AL36" s="3952"/>
      <c r="AM36" s="3952"/>
      <c r="AN36" s="3952"/>
      <c r="AO36" s="3952"/>
      <c r="AP36" s="3952"/>
    </row>
    <row r="37" spans="2:42" s="42" customFormat="1" ht="16.899999999999999" customHeight="1">
      <c r="B37" s="3410">
        <f t="shared" si="0"/>
        <v>27</v>
      </c>
      <c r="C37" s="3958" t="s">
        <v>2063</v>
      </c>
      <c r="D37" s="3953"/>
      <c r="E37" s="3953"/>
      <c r="F37" s="3954"/>
      <c r="G37" s="361"/>
      <c r="H37" s="361"/>
      <c r="I37" s="361"/>
      <c r="J37" s="361"/>
      <c r="K37" s="361"/>
      <c r="L37" s="361"/>
      <c r="M37" s="359">
        <v>150</v>
      </c>
      <c r="N37" s="3409">
        <f>HLOOKUP($N$6,$G$6:M37,ROWS($N$6:N37),FALSE)</f>
        <v>150</v>
      </c>
      <c r="O37" s="3852"/>
      <c r="P37" s="3952"/>
      <c r="Q37" s="3952"/>
      <c r="R37" s="3952"/>
      <c r="S37" s="3952"/>
      <c r="T37" s="3952"/>
      <c r="U37" s="3952"/>
      <c r="V37" s="3952"/>
      <c r="W37" s="3952"/>
      <c r="X37" s="3952"/>
      <c r="Y37" s="3952"/>
      <c r="Z37" s="3952"/>
      <c r="AF37" s="3952"/>
      <c r="AG37" s="3952"/>
      <c r="AH37" s="3952"/>
      <c r="AI37" s="3952"/>
      <c r="AJ37" s="3952"/>
      <c r="AK37" s="3952"/>
      <c r="AL37" s="3952"/>
      <c r="AM37" s="3952"/>
      <c r="AN37" s="3952"/>
      <c r="AO37" s="3952"/>
      <c r="AP37" s="3952"/>
    </row>
    <row r="38" spans="2:42" s="42" customFormat="1" ht="16.899999999999999" customHeight="1">
      <c r="B38" s="3410">
        <f t="shared" si="0"/>
        <v>28</v>
      </c>
      <c r="C38" s="3958" t="s">
        <v>2064</v>
      </c>
      <c r="D38" s="3953"/>
      <c r="E38" s="3953"/>
      <c r="F38" s="3954"/>
      <c r="G38" s="361"/>
      <c r="H38" s="361"/>
      <c r="I38" s="361"/>
      <c r="J38" s="361"/>
      <c r="K38" s="361"/>
      <c r="L38" s="361"/>
      <c r="M38" s="359">
        <v>900</v>
      </c>
      <c r="N38" s="3409">
        <f>HLOOKUP($N$6,$G$6:M38,ROWS($N$6:N38),FALSE)</f>
        <v>900</v>
      </c>
      <c r="O38" s="3852"/>
      <c r="P38" s="3952"/>
      <c r="Q38" s="3952"/>
      <c r="R38" s="3952"/>
      <c r="S38" s="3952"/>
      <c r="T38" s="3952"/>
      <c r="U38" s="3952"/>
      <c r="V38" s="3952"/>
      <c r="W38" s="3952"/>
      <c r="X38" s="3952"/>
      <c r="Y38" s="3952"/>
      <c r="Z38" s="3952"/>
      <c r="AF38" s="3952"/>
      <c r="AG38" s="3952"/>
      <c r="AH38" s="3952"/>
      <c r="AI38" s="3952"/>
      <c r="AJ38" s="3952"/>
      <c r="AK38" s="3952"/>
      <c r="AL38" s="3952"/>
      <c r="AM38" s="3952"/>
      <c r="AN38" s="3952"/>
      <c r="AO38" s="3952"/>
      <c r="AP38" s="3952"/>
    </row>
    <row r="39" spans="2:42" s="42" customFormat="1" ht="16.899999999999999" customHeight="1">
      <c r="B39" s="3410">
        <f t="shared" si="0"/>
        <v>29</v>
      </c>
      <c r="C39" s="3958" t="s">
        <v>2065</v>
      </c>
      <c r="D39" s="3953"/>
      <c r="E39" s="3953"/>
      <c r="F39" s="3954"/>
      <c r="G39" s="361"/>
      <c r="H39" s="361"/>
      <c r="I39" s="361"/>
      <c r="J39" s="361"/>
      <c r="K39" s="361"/>
      <c r="L39" s="361"/>
      <c r="M39" s="359">
        <v>400</v>
      </c>
      <c r="N39" s="3409">
        <f>HLOOKUP($N$6,$G$6:M39,ROWS($N$6:N39),FALSE)</f>
        <v>400</v>
      </c>
      <c r="O39" s="3852"/>
      <c r="P39" s="3952"/>
      <c r="Q39" s="3952"/>
      <c r="R39" s="3952"/>
      <c r="S39" s="3952"/>
      <c r="T39" s="3952"/>
      <c r="U39" s="3952"/>
      <c r="V39" s="3952"/>
      <c r="W39" s="3952"/>
      <c r="X39" s="3952"/>
      <c r="Y39" s="3952"/>
      <c r="Z39" s="3952"/>
      <c r="AF39" s="3952"/>
      <c r="AG39" s="3952"/>
      <c r="AH39" s="3952"/>
      <c r="AI39" s="3952"/>
      <c r="AJ39" s="3952"/>
      <c r="AK39" s="3952"/>
      <c r="AL39" s="3952"/>
      <c r="AM39" s="3952"/>
      <c r="AN39" s="3952"/>
      <c r="AO39" s="3952"/>
      <c r="AP39" s="3952"/>
    </row>
    <row r="40" spans="2:42" s="42" customFormat="1" ht="16.899999999999999" customHeight="1">
      <c r="B40" s="3410">
        <f t="shared" si="0"/>
        <v>30</v>
      </c>
      <c r="C40" s="3958" t="s">
        <v>2066</v>
      </c>
      <c r="D40" s="3953"/>
      <c r="E40" s="3953"/>
      <c r="F40" s="3954"/>
      <c r="G40" s="361"/>
      <c r="H40" s="361"/>
      <c r="I40" s="361"/>
      <c r="J40" s="361"/>
      <c r="K40" s="361"/>
      <c r="L40" s="361"/>
      <c r="M40" s="359">
        <v>200</v>
      </c>
      <c r="N40" s="3409">
        <f>HLOOKUP($N$6,$G$6:M40,ROWS($N$6:N40),FALSE)</f>
        <v>200</v>
      </c>
      <c r="O40" s="3852"/>
      <c r="P40" s="3952"/>
      <c r="Q40" s="3952"/>
      <c r="R40" s="3952"/>
      <c r="S40" s="3952"/>
      <c r="T40" s="3952"/>
      <c r="U40" s="3952"/>
      <c r="V40" s="3952"/>
      <c r="W40" s="3952"/>
      <c r="X40" s="3952"/>
      <c r="Y40" s="3952"/>
      <c r="Z40" s="3952"/>
      <c r="AF40" s="3952"/>
      <c r="AG40" s="3952"/>
      <c r="AH40" s="3952"/>
      <c r="AI40" s="3952"/>
      <c r="AJ40" s="3952"/>
      <c r="AK40" s="3952"/>
      <c r="AL40" s="3952"/>
      <c r="AM40" s="3952"/>
      <c r="AN40" s="3952"/>
      <c r="AO40" s="3952"/>
      <c r="AP40" s="3952"/>
    </row>
    <row r="41" spans="2:42" s="42" customFormat="1" ht="16.899999999999999" customHeight="1">
      <c r="B41" s="3410">
        <f t="shared" si="0"/>
        <v>31</v>
      </c>
      <c r="C41" s="3958" t="s">
        <v>2067</v>
      </c>
      <c r="D41" s="3953"/>
      <c r="E41" s="3953"/>
      <c r="F41" s="3954"/>
      <c r="G41" s="361"/>
      <c r="H41" s="361"/>
      <c r="I41" s="361"/>
      <c r="J41" s="361"/>
      <c r="K41" s="361"/>
      <c r="L41" s="361"/>
      <c r="M41" s="359">
        <v>45</v>
      </c>
      <c r="N41" s="3409">
        <f>HLOOKUP($N$6,$G$6:M41,ROWS($N$6:N41),FALSE)</f>
        <v>45</v>
      </c>
      <c r="O41" s="3852"/>
      <c r="P41" s="3952"/>
      <c r="Q41" s="3952"/>
      <c r="R41" s="3952"/>
      <c r="S41" s="3952"/>
      <c r="T41" s="3952"/>
      <c r="U41" s="3952"/>
      <c r="V41" s="3952"/>
      <c r="W41" s="3952"/>
      <c r="X41" s="3952"/>
      <c r="Y41" s="3952"/>
      <c r="Z41" s="3952"/>
      <c r="AF41" s="3952"/>
      <c r="AG41" s="3952"/>
      <c r="AH41" s="3952"/>
      <c r="AI41" s="3952"/>
      <c r="AJ41" s="3952"/>
      <c r="AK41" s="3952"/>
      <c r="AL41" s="3952"/>
      <c r="AM41" s="3952"/>
      <c r="AN41" s="3952"/>
      <c r="AO41" s="3952"/>
      <c r="AP41" s="3952"/>
    </row>
    <row r="42" spans="2:42" s="42" customFormat="1" ht="16.899999999999999" customHeight="1">
      <c r="B42" s="3410">
        <f t="shared" si="0"/>
        <v>32</v>
      </c>
      <c r="C42" s="3958" t="s">
        <v>2069</v>
      </c>
      <c r="D42" s="3953"/>
      <c r="E42" s="3953"/>
      <c r="F42" s="3954"/>
      <c r="G42" s="361"/>
      <c r="H42" s="361"/>
      <c r="I42" s="361"/>
      <c r="J42" s="361"/>
      <c r="K42" s="361"/>
      <c r="L42" s="361"/>
      <c r="M42" s="359">
        <v>60</v>
      </c>
      <c r="N42" s="3409">
        <f>HLOOKUP($N$6,$G$6:M42,ROWS($N$6:N42),FALSE)</f>
        <v>60</v>
      </c>
      <c r="O42" s="3852"/>
      <c r="P42" s="3952"/>
      <c r="Q42" s="3952"/>
      <c r="R42" s="3952"/>
      <c r="S42" s="3952"/>
      <c r="T42" s="3952"/>
      <c r="U42" s="3952"/>
      <c r="V42" s="3952"/>
      <c r="W42" s="3952"/>
      <c r="X42" s="3952"/>
      <c r="Y42" s="3952"/>
      <c r="Z42" s="3952"/>
      <c r="AF42" s="3952"/>
      <c r="AG42" s="3952"/>
      <c r="AH42" s="3952"/>
      <c r="AI42" s="3952"/>
      <c r="AJ42" s="3952"/>
      <c r="AK42" s="3952"/>
      <c r="AL42" s="3952"/>
      <c r="AM42" s="3952"/>
      <c r="AN42" s="3952"/>
      <c r="AO42" s="3952"/>
      <c r="AP42" s="3952"/>
    </row>
    <row r="43" spans="2:42" s="42" customFormat="1" ht="16.899999999999999" customHeight="1">
      <c r="B43" s="3410">
        <f t="shared" si="0"/>
        <v>33</v>
      </c>
      <c r="C43" s="3958" t="s">
        <v>2068</v>
      </c>
      <c r="D43" s="3953"/>
      <c r="E43" s="3953"/>
      <c r="F43" s="3954"/>
      <c r="G43" s="361"/>
      <c r="H43" s="361"/>
      <c r="I43" s="361"/>
      <c r="J43" s="361"/>
      <c r="K43" s="361"/>
      <c r="L43" s="361"/>
      <c r="M43" s="359">
        <v>115</v>
      </c>
      <c r="N43" s="3409">
        <f>HLOOKUP($N$6,$G$6:M43,ROWS($N$6:N43),FALSE)</f>
        <v>115</v>
      </c>
      <c r="O43" s="3852"/>
      <c r="P43" s="3952"/>
      <c r="Q43" s="3952"/>
      <c r="R43" s="3952"/>
      <c r="S43" s="3952"/>
      <c r="T43" s="3952"/>
      <c r="U43" s="3952"/>
      <c r="V43" s="3952"/>
      <c r="W43" s="3952"/>
      <c r="X43" s="3952"/>
      <c r="Y43" s="3952"/>
      <c r="Z43" s="3952"/>
      <c r="AF43" s="3952"/>
      <c r="AG43" s="3952"/>
      <c r="AH43" s="3952"/>
      <c r="AI43" s="3952"/>
      <c r="AJ43" s="3952"/>
      <c r="AK43" s="3952"/>
      <c r="AL43" s="3952"/>
      <c r="AM43" s="3952"/>
      <c r="AN43" s="3952"/>
      <c r="AO43" s="3952"/>
      <c r="AP43" s="3952"/>
    </row>
    <row r="44" spans="2:42" s="42" customFormat="1" ht="16.899999999999999" customHeight="1">
      <c r="B44" s="3410">
        <f t="shared" si="0"/>
        <v>34</v>
      </c>
      <c r="C44" s="3958" t="s">
        <v>2072</v>
      </c>
      <c r="D44" s="3953"/>
      <c r="E44" s="3953"/>
      <c r="F44" s="3954"/>
      <c r="G44" s="361"/>
      <c r="H44" s="361"/>
      <c r="I44" s="361"/>
      <c r="J44" s="361"/>
      <c r="K44" s="361"/>
      <c r="L44" s="361"/>
      <c r="M44" s="359">
        <v>240</v>
      </c>
      <c r="N44" s="3409">
        <f>HLOOKUP($N$6,$G$6:M44,ROWS($N$6:N44),FALSE)</f>
        <v>240</v>
      </c>
      <c r="O44" s="3852"/>
      <c r="P44" s="3952"/>
      <c r="Q44" s="3952"/>
      <c r="R44" s="3952"/>
      <c r="S44" s="3952"/>
      <c r="T44" s="3952"/>
      <c r="U44" s="3952"/>
      <c r="V44" s="3952"/>
      <c r="W44" s="3952"/>
      <c r="X44" s="3952"/>
      <c r="Y44" s="3952"/>
      <c r="Z44" s="3952"/>
      <c r="AF44" s="3952"/>
      <c r="AG44" s="3952"/>
      <c r="AH44" s="3952"/>
      <c r="AI44" s="3952"/>
      <c r="AJ44" s="3952"/>
      <c r="AK44" s="3952"/>
      <c r="AL44" s="3952"/>
      <c r="AM44" s="3952"/>
      <c r="AN44" s="3952"/>
      <c r="AO44" s="3952"/>
      <c r="AP44" s="3952"/>
    </row>
    <row r="45" spans="2:42" s="42" customFormat="1" ht="16.899999999999999" customHeight="1">
      <c r="B45" s="3410">
        <f t="shared" si="0"/>
        <v>35</v>
      </c>
      <c r="C45" s="3958" t="s">
        <v>2070</v>
      </c>
      <c r="D45" s="3953"/>
      <c r="E45" s="3953"/>
      <c r="F45" s="3954"/>
      <c r="G45" s="361"/>
      <c r="H45" s="361"/>
      <c r="I45" s="361"/>
      <c r="J45" s="361"/>
      <c r="K45" s="361"/>
      <c r="L45" s="361"/>
      <c r="M45" s="359">
        <v>130</v>
      </c>
      <c r="N45" s="3409">
        <f>HLOOKUP($N$6,$G$6:M45,ROWS($N$6:N45),FALSE)</f>
        <v>130</v>
      </c>
      <c r="O45" s="3852"/>
      <c r="P45" s="3952"/>
      <c r="Q45" s="3952"/>
      <c r="R45" s="3952"/>
      <c r="S45" s="3952"/>
      <c r="T45" s="3952"/>
      <c r="U45" s="3952"/>
      <c r="V45" s="3952"/>
      <c r="W45" s="3952"/>
      <c r="X45" s="3952"/>
      <c r="Y45" s="3952"/>
      <c r="Z45" s="3952"/>
      <c r="AF45" s="3952"/>
      <c r="AG45" s="3952"/>
      <c r="AH45" s="3952"/>
      <c r="AI45" s="3952"/>
      <c r="AJ45" s="3952"/>
      <c r="AK45" s="3952"/>
      <c r="AL45" s="3952"/>
      <c r="AM45" s="3952"/>
      <c r="AN45" s="3952"/>
      <c r="AO45" s="3952"/>
      <c r="AP45" s="3952"/>
    </row>
    <row r="46" spans="2:42" s="42" customFormat="1" ht="16.899999999999999" customHeight="1">
      <c r="B46" s="3410">
        <f t="shared" si="0"/>
        <v>36</v>
      </c>
      <c r="C46" s="3958" t="s">
        <v>2071</v>
      </c>
      <c r="D46" s="3953"/>
      <c r="E46" s="3953"/>
      <c r="F46" s="3954"/>
      <c r="G46" s="361"/>
      <c r="H46" s="361"/>
      <c r="I46" s="361"/>
      <c r="J46" s="361"/>
      <c r="K46" s="361"/>
      <c r="L46" s="361"/>
      <c r="M46" s="359">
        <v>40</v>
      </c>
      <c r="N46" s="3409">
        <f>HLOOKUP($N$6,$G$6:M46,ROWS($N$6:N46),FALSE)</f>
        <v>40</v>
      </c>
      <c r="O46" s="45"/>
      <c r="Q46" s="31"/>
      <c r="R46" s="31"/>
      <c r="S46" s="31"/>
      <c r="T46" s="31"/>
      <c r="U46" s="31"/>
      <c r="V46" s="31"/>
      <c r="W46" s="31"/>
      <c r="X46" s="31"/>
      <c r="Y46" s="31"/>
      <c r="Z46" s="31"/>
      <c r="AF46" s="31"/>
      <c r="AG46" s="31"/>
      <c r="AH46" s="31"/>
      <c r="AI46" s="31"/>
      <c r="AJ46" s="31"/>
      <c r="AK46" s="31"/>
      <c r="AL46" s="31"/>
      <c r="AM46" s="31"/>
      <c r="AN46" s="31"/>
      <c r="AO46" s="31"/>
      <c r="AP46" s="31"/>
    </row>
    <row r="47" spans="2:42" s="42" customFormat="1" ht="16.899999999999999" customHeight="1">
      <c r="B47" s="3410">
        <f t="shared" si="0"/>
        <v>37</v>
      </c>
      <c r="C47" s="4252"/>
      <c r="D47" s="4253"/>
      <c r="E47" s="4253"/>
      <c r="F47" s="4254"/>
      <c r="G47" s="360"/>
      <c r="H47" s="360"/>
      <c r="I47" s="360"/>
      <c r="J47" s="360"/>
      <c r="K47" s="360"/>
      <c r="L47" s="360"/>
      <c r="M47" s="359"/>
      <c r="N47" s="3409">
        <f>HLOOKUP($N$6,$G$6:M47,ROWS($N$6:N47),FALSE)</f>
        <v>0</v>
      </c>
      <c r="O47" s="45"/>
      <c r="P47" s="31"/>
      <c r="Q47" s="31"/>
      <c r="R47" s="31"/>
      <c r="S47" s="31"/>
      <c r="T47" s="31"/>
      <c r="U47" s="31"/>
      <c r="V47" s="31"/>
      <c r="W47" s="31"/>
      <c r="X47" s="31"/>
      <c r="Y47" s="31"/>
      <c r="Z47" s="31"/>
      <c r="AF47" s="31"/>
      <c r="AG47" s="31"/>
      <c r="AH47" s="31"/>
      <c r="AI47" s="31"/>
      <c r="AJ47" s="31"/>
      <c r="AK47" s="31"/>
      <c r="AL47" s="31"/>
      <c r="AM47" s="31"/>
      <c r="AN47" s="31"/>
      <c r="AO47" s="31"/>
      <c r="AP47" s="31"/>
    </row>
    <row r="48" spans="2:42" s="42" customFormat="1" ht="16.899999999999999" customHeight="1">
      <c r="B48" s="3410">
        <f t="shared" si="0"/>
        <v>38</v>
      </c>
      <c r="C48" s="4252"/>
      <c r="D48" s="4253"/>
      <c r="E48" s="4253"/>
      <c r="F48" s="4254"/>
      <c r="G48" s="360"/>
      <c r="H48" s="360"/>
      <c r="I48" s="360"/>
      <c r="J48" s="360"/>
      <c r="K48" s="360"/>
      <c r="L48" s="360"/>
      <c r="M48" s="359"/>
      <c r="N48" s="3409">
        <f>HLOOKUP($N$6,$G$6:M48,ROWS($N$6:N48),FALSE)</f>
        <v>0</v>
      </c>
      <c r="O48" s="45"/>
      <c r="P48" s="31"/>
      <c r="Q48" s="31"/>
      <c r="R48" s="31"/>
      <c r="S48" s="136"/>
      <c r="T48" s="136"/>
      <c r="U48" s="136"/>
      <c r="V48" s="136"/>
      <c r="W48" s="136"/>
      <c r="X48" s="136"/>
      <c r="Y48" s="136"/>
      <c r="Z48" s="136"/>
      <c r="AA48" s="136"/>
      <c r="AB48" s="136"/>
      <c r="AC48" s="136"/>
      <c r="AF48" s="31"/>
      <c r="AG48" s="31"/>
      <c r="AH48" s="31"/>
      <c r="AI48" s="31"/>
      <c r="AJ48" s="31"/>
      <c r="AK48" s="31"/>
      <c r="AL48" s="31"/>
      <c r="AM48" s="31"/>
      <c r="AN48" s="31"/>
      <c r="AO48" s="31"/>
      <c r="AP48" s="31"/>
    </row>
    <row r="49" spans="1:42" s="42" customFormat="1" ht="16.899999999999999" customHeight="1">
      <c r="B49" s="3410">
        <f t="shared" si="0"/>
        <v>39</v>
      </c>
      <c r="C49" s="4252"/>
      <c r="D49" s="4253"/>
      <c r="E49" s="4253"/>
      <c r="F49" s="4254"/>
      <c r="G49" s="360"/>
      <c r="H49" s="360"/>
      <c r="I49" s="360"/>
      <c r="J49" s="360"/>
      <c r="K49" s="360"/>
      <c r="L49" s="360"/>
      <c r="M49" s="359"/>
      <c r="N49" s="3409">
        <f>HLOOKUP($N$6,$G$6:M49,ROWS($N$6:N49),FALSE)</f>
        <v>0</v>
      </c>
      <c r="O49" s="45"/>
      <c r="P49" s="31"/>
      <c r="Q49" s="31"/>
      <c r="R49" s="31"/>
      <c r="S49" s="136"/>
      <c r="T49" s="136"/>
      <c r="U49" s="136"/>
      <c r="V49" s="136"/>
      <c r="W49" s="136"/>
      <c r="X49" s="136"/>
      <c r="Y49" s="136"/>
      <c r="Z49" s="136"/>
      <c r="AA49" s="136"/>
      <c r="AB49" s="136"/>
      <c r="AC49" s="136"/>
      <c r="AF49" s="31"/>
      <c r="AG49" s="31"/>
      <c r="AH49" s="31"/>
      <c r="AI49" s="31"/>
      <c r="AJ49" s="31"/>
      <c r="AK49" s="31"/>
      <c r="AL49" s="31"/>
      <c r="AM49" s="31"/>
      <c r="AN49" s="31"/>
      <c r="AO49" s="31"/>
      <c r="AP49" s="31"/>
    </row>
    <row r="50" spans="1:42" s="42" customFormat="1" ht="34.15" customHeight="1">
      <c r="B50" s="145"/>
      <c r="C50" s="223"/>
      <c r="D50" s="223"/>
      <c r="E50" s="223"/>
      <c r="F50" s="223"/>
      <c r="G50" s="358"/>
      <c r="H50" s="358"/>
      <c r="I50" s="358"/>
      <c r="J50" s="358"/>
      <c r="K50" s="358"/>
      <c r="L50" s="358"/>
      <c r="M50" s="358"/>
      <c r="N50" s="358"/>
      <c r="O50" s="45"/>
      <c r="P50" s="31"/>
      <c r="Q50" s="31"/>
      <c r="R50" s="31"/>
      <c r="S50" s="136"/>
      <c r="T50" s="136"/>
      <c r="U50" s="136"/>
      <c r="V50" s="136"/>
      <c r="W50" s="136"/>
      <c r="X50" s="136"/>
      <c r="Y50" s="136"/>
      <c r="Z50" s="136"/>
      <c r="AA50" s="136"/>
      <c r="AB50" s="136"/>
      <c r="AC50" s="136"/>
      <c r="AF50" s="31"/>
      <c r="AG50" s="31"/>
      <c r="AH50" s="31"/>
      <c r="AI50" s="31"/>
      <c r="AJ50" s="31"/>
      <c r="AK50" s="31"/>
      <c r="AL50" s="31"/>
      <c r="AM50" s="31"/>
      <c r="AN50" s="31"/>
      <c r="AO50" s="31"/>
      <c r="AP50" s="31"/>
    </row>
    <row r="51" spans="1:42" s="42" customFormat="1" ht="14.45" customHeight="1">
      <c r="B51" s="136"/>
      <c r="C51" s="136"/>
      <c r="D51" s="136"/>
      <c r="E51" s="136"/>
      <c r="F51" s="136"/>
      <c r="G51" s="136"/>
      <c r="H51" s="136"/>
      <c r="I51" s="136"/>
      <c r="J51" s="136"/>
      <c r="K51" s="136"/>
      <c r="L51" s="136"/>
      <c r="M51" s="136"/>
      <c r="N51" s="136"/>
      <c r="O51" s="45"/>
      <c r="P51" s="31"/>
      <c r="Q51" s="31"/>
      <c r="R51" s="31"/>
      <c r="S51" s="136"/>
      <c r="T51" s="136"/>
      <c r="U51" s="136"/>
      <c r="V51" s="136"/>
      <c r="W51" s="136"/>
      <c r="X51" s="136"/>
      <c r="Y51" s="136"/>
      <c r="Z51" s="136"/>
      <c r="AA51" s="136"/>
      <c r="AB51" s="136"/>
      <c r="AC51" s="136"/>
      <c r="AF51" s="31"/>
      <c r="AG51" s="31"/>
      <c r="AH51" s="31"/>
      <c r="AI51" s="31"/>
      <c r="AJ51" s="31"/>
      <c r="AK51" s="31"/>
      <c r="AL51" s="31"/>
      <c r="AM51" s="31"/>
      <c r="AN51" s="31"/>
      <c r="AO51" s="31"/>
      <c r="AP51" s="31"/>
    </row>
    <row r="52" spans="1:42" s="42" customFormat="1" ht="2.1" customHeight="1" thickBot="1">
      <c r="B52" s="136"/>
      <c r="C52" s="136"/>
      <c r="D52" s="136"/>
      <c r="E52" s="136"/>
      <c r="F52" s="136"/>
      <c r="G52" s="136"/>
      <c r="H52" s="136"/>
      <c r="I52" s="136"/>
      <c r="J52" s="136"/>
      <c r="K52" s="136"/>
      <c r="L52" s="136"/>
      <c r="M52" s="136"/>
      <c r="N52" s="136"/>
      <c r="O52" s="45"/>
      <c r="P52" s="31"/>
      <c r="Q52" s="31"/>
      <c r="R52" s="31"/>
      <c r="S52" s="136"/>
      <c r="T52" s="136"/>
      <c r="U52" s="136"/>
      <c r="V52" s="136" t="s">
        <v>169</v>
      </c>
      <c r="W52" s="136"/>
      <c r="X52" s="136"/>
      <c r="Y52" s="136"/>
      <c r="Z52" s="136"/>
      <c r="AA52" s="136"/>
      <c r="AB52" s="136"/>
      <c r="AC52" s="136"/>
      <c r="AF52" s="31"/>
      <c r="AG52" s="31"/>
      <c r="AH52" s="31"/>
      <c r="AI52" s="31"/>
      <c r="AJ52" s="31"/>
      <c r="AK52" s="31"/>
      <c r="AL52" s="31"/>
      <c r="AM52" s="31"/>
      <c r="AN52" s="31"/>
      <c r="AO52" s="31"/>
      <c r="AP52" s="31"/>
    </row>
    <row r="53" spans="1:42" ht="22.15" customHeight="1">
      <c r="A53" s="313"/>
      <c r="B53" s="357" t="s">
        <v>2108</v>
      </c>
      <c r="C53" s="356"/>
      <c r="D53" s="356"/>
      <c r="E53" s="356"/>
      <c r="F53" s="356"/>
      <c r="G53" s="356"/>
      <c r="H53" s="356"/>
      <c r="I53" s="356"/>
      <c r="J53" s="356"/>
      <c r="K53" s="356"/>
      <c r="L53" s="355"/>
      <c r="M53" s="354"/>
      <c r="N53" s="136"/>
      <c r="P53" s="31"/>
      <c r="Q53" s="31"/>
      <c r="R53" s="31"/>
      <c r="S53" s="136"/>
      <c r="T53" s="136"/>
      <c r="U53" s="136"/>
      <c r="V53" s="136"/>
      <c r="W53" s="136"/>
      <c r="X53" s="136"/>
      <c r="Y53" s="136"/>
      <c r="Z53" s="136"/>
      <c r="AA53" s="136"/>
      <c r="AB53" s="136"/>
      <c r="AC53" s="136"/>
      <c r="AD53" s="256"/>
      <c r="AE53" s="256"/>
      <c r="AF53" s="256"/>
      <c r="AG53" s="256"/>
      <c r="AH53" s="256"/>
      <c r="AI53" s="256"/>
      <c r="AJ53" s="256"/>
      <c r="AK53" s="256"/>
      <c r="AL53" s="256"/>
      <c r="AM53" s="256"/>
      <c r="AN53" s="256"/>
      <c r="AO53" s="256"/>
    </row>
    <row r="54" spans="1:42" ht="30" customHeight="1" thickBot="1">
      <c r="A54" s="313"/>
      <c r="B54" s="4249" t="s">
        <v>2106</v>
      </c>
      <c r="C54" s="4250"/>
      <c r="D54" s="4250"/>
      <c r="E54" s="4250"/>
      <c r="F54" s="4250"/>
      <c r="G54" s="4250"/>
      <c r="H54" s="4250"/>
      <c r="I54" s="4250"/>
      <c r="J54" s="4250"/>
      <c r="K54" s="4250"/>
      <c r="L54" s="4251"/>
      <c r="M54" s="353"/>
      <c r="N54" s="136"/>
      <c r="T54" s="31">
        <v>2008</v>
      </c>
      <c r="U54" s="31">
        <v>2009</v>
      </c>
      <c r="V54" s="31">
        <v>2010</v>
      </c>
      <c r="W54" s="31">
        <v>2011</v>
      </c>
      <c r="X54" s="31">
        <v>2012</v>
      </c>
      <c r="Y54" s="31">
        <v>2013</v>
      </c>
      <c r="Z54" s="31"/>
      <c r="AA54" s="256"/>
      <c r="AB54" s="256"/>
      <c r="AC54" s="256"/>
      <c r="AD54" s="256"/>
      <c r="AE54" s="256"/>
      <c r="AF54" s="256"/>
      <c r="AG54" s="256"/>
      <c r="AH54" s="256"/>
      <c r="AI54" s="256"/>
      <c r="AJ54" s="256"/>
      <c r="AK54" s="256"/>
      <c r="AL54" s="256"/>
      <c r="AM54" s="256"/>
      <c r="AN54" s="256"/>
      <c r="AO54" s="256"/>
    </row>
    <row r="55" spans="1:42" s="251" customFormat="1" ht="16.899999999999999" customHeight="1">
      <c r="B55" s="136"/>
      <c r="C55" s="136"/>
      <c r="D55" s="136"/>
      <c r="E55" s="136"/>
      <c r="F55" s="136"/>
      <c r="G55" s="136"/>
      <c r="H55" s="136"/>
      <c r="I55" s="136"/>
      <c r="J55" s="136"/>
      <c r="K55" s="136"/>
      <c r="L55" s="136"/>
      <c r="M55" s="136"/>
      <c r="N55" s="136"/>
      <c r="O55" s="32"/>
      <c r="S55" s="31"/>
      <c r="T55" s="325"/>
      <c r="U55" s="325"/>
      <c r="V55" s="325"/>
      <c r="W55" s="325"/>
      <c r="X55" s="325"/>
      <c r="Y55" s="325"/>
      <c r="Z55" s="31"/>
    </row>
    <row r="56" spans="1:42" s="231" customFormat="1" ht="16.899999999999999" customHeight="1">
      <c r="B56" s="136"/>
      <c r="C56" s="136"/>
      <c r="D56" s="136"/>
      <c r="E56" s="136"/>
      <c r="F56" s="136"/>
      <c r="G56" s="136"/>
      <c r="H56" s="136"/>
      <c r="I56" s="136"/>
      <c r="J56" s="136"/>
      <c r="K56" s="136"/>
      <c r="L56" s="136"/>
      <c r="M56" s="136"/>
      <c r="N56" s="136"/>
      <c r="O56" s="45"/>
      <c r="S56" s="31"/>
      <c r="T56" s="325"/>
      <c r="U56" s="325"/>
      <c r="V56" s="325"/>
      <c r="W56" s="325"/>
      <c r="X56" s="325"/>
      <c r="Y56" s="325"/>
      <c r="Z56" s="31"/>
    </row>
    <row r="57" spans="1:42" s="42" customFormat="1" ht="16.899999999999999" customHeight="1">
      <c r="B57" s="352" t="s">
        <v>2089</v>
      </c>
      <c r="C57" s="351"/>
      <c r="D57" s="270"/>
      <c r="E57" s="270"/>
      <c r="F57" s="270"/>
      <c r="G57" s="350"/>
      <c r="H57" s="350"/>
      <c r="I57" s="350"/>
      <c r="J57" s="350"/>
      <c r="K57" s="350"/>
      <c r="L57" s="349"/>
      <c r="M57" s="349"/>
      <c r="N57" s="348" t="str">
        <f>N5</f>
        <v>Aktuell</v>
      </c>
      <c r="O57" s="45"/>
      <c r="P57" s="31"/>
      <c r="Q57" s="31"/>
      <c r="R57" s="31"/>
      <c r="S57" s="31"/>
      <c r="T57" s="31"/>
      <c r="U57" s="31"/>
      <c r="V57" s="31"/>
      <c r="W57" s="35"/>
      <c r="X57" s="324"/>
      <c r="Y57" s="31"/>
      <c r="Z57" s="35"/>
    </row>
    <row r="58" spans="1:42" s="42" customFormat="1" ht="12.75" customHeight="1">
      <c r="B58" s="347" t="s">
        <v>287</v>
      </c>
      <c r="C58" s="239"/>
      <c r="D58" s="279"/>
      <c r="E58" s="346"/>
      <c r="F58" s="345" t="s">
        <v>284</v>
      </c>
      <c r="G58" s="343">
        <f t="shared" ref="G58:L58" si="1">G6</f>
        <v>2017</v>
      </c>
      <c r="H58" s="343">
        <f t="shared" si="1"/>
        <v>2018</v>
      </c>
      <c r="I58" s="343">
        <f t="shared" si="1"/>
        <v>2019</v>
      </c>
      <c r="J58" s="343">
        <f t="shared" si="1"/>
        <v>2020</v>
      </c>
      <c r="K58" s="343">
        <f t="shared" si="1"/>
        <v>2021</v>
      </c>
      <c r="L58" s="342">
        <f t="shared" si="1"/>
        <v>2022</v>
      </c>
      <c r="M58" s="341">
        <v>2023</v>
      </c>
      <c r="N58" s="340">
        <f>N6</f>
        <v>2023</v>
      </c>
      <c r="Q58" s="225"/>
    </row>
    <row r="59" spans="1:42" s="42" customFormat="1" ht="18">
      <c r="B59" s="339">
        <v>1</v>
      </c>
      <c r="C59" s="338" t="s">
        <v>2118</v>
      </c>
      <c r="D59" s="338"/>
      <c r="E59" s="337"/>
      <c r="F59" s="336"/>
      <c r="G59" s="335"/>
      <c r="H59" s="335"/>
      <c r="I59" s="335"/>
      <c r="J59" s="335"/>
      <c r="K59" s="334"/>
      <c r="L59" s="334"/>
      <c r="M59" s="334">
        <v>140</v>
      </c>
      <c r="N59" s="333">
        <f>HLOOKUP($N$6,$G$6:M59,ROWS($N$6:N59),FALSE)</f>
        <v>140</v>
      </c>
      <c r="O59" s="45"/>
      <c r="P59" s="31"/>
      <c r="Q59" s="31"/>
      <c r="R59" s="31"/>
      <c r="V59" s="31"/>
      <c r="W59" s="31"/>
      <c r="X59" s="31"/>
      <c r="Y59" s="31"/>
      <c r="Z59" s="31"/>
    </row>
    <row r="60" spans="1:42" s="42" customFormat="1" ht="15">
      <c r="B60" s="339">
        <v>2</v>
      </c>
      <c r="C60" s="3966" t="s">
        <v>2090</v>
      </c>
      <c r="D60" s="3966"/>
      <c r="E60" s="2902"/>
      <c r="F60" s="3967"/>
      <c r="G60" s="361"/>
      <c r="H60" s="361"/>
      <c r="I60" s="361"/>
      <c r="J60" s="361"/>
      <c r="K60" s="358"/>
      <c r="L60" s="334"/>
      <c r="M60" s="334">
        <v>130</v>
      </c>
      <c r="N60" s="333">
        <f>HLOOKUP($N$6,$G$6:M60,ROWS($N$6:N60),FALSE)</f>
        <v>130</v>
      </c>
      <c r="O60" s="3852"/>
      <c r="P60" s="3959"/>
      <c r="Q60" s="3959"/>
      <c r="R60" s="3959"/>
      <c r="V60" s="3959"/>
      <c r="W60" s="3959"/>
      <c r="X60" s="3959"/>
      <c r="Y60" s="3959"/>
      <c r="Z60" s="3959"/>
    </row>
    <row r="61" spans="1:42" s="42" customFormat="1" ht="15">
      <c r="B61" s="339">
        <v>3</v>
      </c>
      <c r="C61" s="3966" t="s">
        <v>2091</v>
      </c>
      <c r="D61" s="3966"/>
      <c r="E61" s="2902"/>
      <c r="F61" s="3967"/>
      <c r="G61" s="361"/>
      <c r="H61" s="361"/>
      <c r="I61" s="361"/>
      <c r="J61" s="361"/>
      <c r="K61" s="358"/>
      <c r="L61" s="334"/>
      <c r="M61" s="334">
        <v>120</v>
      </c>
      <c r="N61" s="333">
        <f>HLOOKUP($N$6,$G$6:M61,ROWS($N$6:N61),FALSE)</f>
        <v>120</v>
      </c>
      <c r="O61" s="3852"/>
      <c r="P61" s="3959"/>
      <c r="Q61" s="3959"/>
      <c r="R61" s="3959"/>
      <c r="V61" s="3959"/>
      <c r="W61" s="3959"/>
      <c r="X61" s="3959"/>
      <c r="Y61" s="3959"/>
      <c r="Z61" s="3959"/>
    </row>
    <row r="62" spans="1:42" s="42" customFormat="1" ht="15">
      <c r="B62" s="339">
        <v>4</v>
      </c>
      <c r="C62" s="3966" t="s">
        <v>2092</v>
      </c>
      <c r="D62" s="3966"/>
      <c r="E62" s="2902"/>
      <c r="F62" s="3967"/>
      <c r="G62" s="361"/>
      <c r="H62" s="361"/>
      <c r="I62" s="361"/>
      <c r="J62" s="361"/>
      <c r="K62" s="358"/>
      <c r="L62" s="334"/>
      <c r="M62" s="334">
        <v>110</v>
      </c>
      <c r="N62" s="333">
        <f>HLOOKUP($N$6,$G$6:M62,ROWS($N$6:N62),FALSE)</f>
        <v>110</v>
      </c>
      <c r="O62" s="3852"/>
      <c r="P62" s="3959"/>
      <c r="Q62" s="3959"/>
      <c r="R62" s="3959"/>
      <c r="V62" s="3959"/>
      <c r="W62" s="3959"/>
      <c r="X62" s="3959"/>
      <c r="Y62" s="3959"/>
      <c r="Z62" s="3959"/>
    </row>
    <row r="63" spans="1:42" s="42" customFormat="1" ht="15">
      <c r="B63" s="339">
        <v>5</v>
      </c>
      <c r="C63" s="3966" t="s">
        <v>2093</v>
      </c>
      <c r="D63" s="3966"/>
      <c r="E63" s="2902"/>
      <c r="F63" s="3967"/>
      <c r="G63" s="361"/>
      <c r="H63" s="361"/>
      <c r="I63" s="361"/>
      <c r="J63" s="361"/>
      <c r="K63" s="358"/>
      <c r="L63" s="334"/>
      <c r="M63" s="334">
        <v>100</v>
      </c>
      <c r="N63" s="333">
        <f>HLOOKUP($N$6,$G$6:M63,ROWS($N$6:N63),FALSE)</f>
        <v>100</v>
      </c>
      <c r="O63" s="3852"/>
      <c r="P63" s="3959"/>
      <c r="Q63" s="3959"/>
      <c r="R63" s="3959"/>
      <c r="V63" s="3959"/>
      <c r="W63" s="3959"/>
      <c r="X63" s="3959"/>
      <c r="Y63" s="3959"/>
      <c r="Z63" s="3959"/>
    </row>
    <row r="64" spans="1:42" s="42" customFormat="1" ht="15">
      <c r="B64" s="339">
        <v>6</v>
      </c>
      <c r="C64" s="3966" t="s">
        <v>2094</v>
      </c>
      <c r="D64" s="3966"/>
      <c r="E64" s="2902"/>
      <c r="F64" s="3967"/>
      <c r="G64" s="361"/>
      <c r="H64" s="361"/>
      <c r="I64" s="361"/>
      <c r="J64" s="361"/>
      <c r="K64" s="358"/>
      <c r="L64" s="334"/>
      <c r="M64" s="334">
        <v>45</v>
      </c>
      <c r="N64" s="333">
        <f>HLOOKUP($N$6,$G$6:M64,ROWS($N$6:N64),FALSE)</f>
        <v>45</v>
      </c>
      <c r="O64" s="3852"/>
      <c r="P64" s="3959"/>
      <c r="Q64" s="3959"/>
      <c r="R64" s="3959"/>
      <c r="V64" s="3959"/>
      <c r="W64" s="3959"/>
      <c r="X64" s="3959"/>
      <c r="Y64" s="3959"/>
      <c r="Z64" s="3959"/>
    </row>
    <row r="65" spans="1:41" s="42" customFormat="1" ht="15">
      <c r="B65" s="339">
        <v>7</v>
      </c>
      <c r="C65" s="3966" t="s">
        <v>2095</v>
      </c>
      <c r="D65" s="3966"/>
      <c r="E65" s="2902"/>
      <c r="F65" s="3967"/>
      <c r="G65" s="361"/>
      <c r="H65" s="361"/>
      <c r="I65" s="361"/>
      <c r="J65" s="361"/>
      <c r="K65" s="358"/>
      <c r="L65" s="334"/>
      <c r="M65" s="334">
        <v>40</v>
      </c>
      <c r="N65" s="333">
        <f>HLOOKUP($N$6,$G$6:M65,ROWS($N$6:N65),FALSE)</f>
        <v>40</v>
      </c>
      <c r="O65" s="3852"/>
      <c r="P65" s="3959"/>
      <c r="Q65" s="3959"/>
      <c r="R65" s="3959"/>
      <c r="V65" s="3959"/>
      <c r="W65" s="3959"/>
      <c r="X65" s="3959"/>
      <c r="Y65" s="3959"/>
      <c r="Z65" s="3959"/>
    </row>
    <row r="66" spans="1:41" s="42" customFormat="1" ht="15">
      <c r="B66" s="339">
        <v>8</v>
      </c>
      <c r="C66" s="3966" t="s">
        <v>2096</v>
      </c>
      <c r="D66" s="3966"/>
      <c r="E66" s="2902"/>
      <c r="F66" s="3967"/>
      <c r="G66" s="361"/>
      <c r="H66" s="361"/>
      <c r="I66" s="361"/>
      <c r="J66" s="361"/>
      <c r="K66" s="358"/>
      <c r="L66" s="334"/>
      <c r="M66" s="334">
        <v>35</v>
      </c>
      <c r="N66" s="333">
        <f>HLOOKUP($N$6,$G$6:M66,ROWS($N$6:N66),FALSE)</f>
        <v>35</v>
      </c>
      <c r="O66" s="3852"/>
      <c r="P66" s="3959"/>
      <c r="Q66" s="3959"/>
      <c r="R66" s="3959"/>
      <c r="V66" s="3959"/>
      <c r="W66" s="3959"/>
      <c r="X66" s="3959"/>
      <c r="Y66" s="3959"/>
      <c r="Z66" s="3959"/>
    </row>
    <row r="67" spans="1:41" s="42" customFormat="1" ht="15">
      <c r="B67" s="339">
        <v>9</v>
      </c>
      <c r="C67" s="3966" t="s">
        <v>2097</v>
      </c>
      <c r="D67" s="3966"/>
      <c r="E67" s="2902"/>
      <c r="F67" s="3967"/>
      <c r="G67" s="361"/>
      <c r="H67" s="361"/>
      <c r="I67" s="361"/>
      <c r="J67" s="361"/>
      <c r="K67" s="358"/>
      <c r="L67" s="334"/>
      <c r="M67" s="334">
        <v>30</v>
      </c>
      <c r="N67" s="333">
        <f>HLOOKUP($N$6,$G$6:M67,ROWS($N$6:N67),FALSE)</f>
        <v>30</v>
      </c>
      <c r="O67" s="3852"/>
      <c r="P67" s="3959"/>
      <c r="Q67" s="3959"/>
      <c r="R67" s="3959"/>
      <c r="V67" s="3959"/>
      <c r="W67" s="3959"/>
      <c r="X67" s="3959"/>
      <c r="Y67" s="3959"/>
      <c r="Z67" s="3959"/>
    </row>
    <row r="68" spans="1:41" s="42" customFormat="1" ht="15">
      <c r="B68" s="339">
        <v>10</v>
      </c>
      <c r="C68" s="3966" t="s">
        <v>2098</v>
      </c>
      <c r="D68" s="3966"/>
      <c r="E68" s="2902"/>
      <c r="F68" s="3967"/>
      <c r="G68" s="361"/>
      <c r="H68" s="361"/>
      <c r="I68" s="361"/>
      <c r="J68" s="361"/>
      <c r="K68" s="358"/>
      <c r="L68" s="334"/>
      <c r="M68" s="334">
        <v>25</v>
      </c>
      <c r="N68" s="333">
        <f>HLOOKUP($N$6,$G$6:M68,ROWS($N$6:N68),FALSE)</f>
        <v>25</v>
      </c>
      <c r="O68" s="3852"/>
      <c r="P68" s="3959"/>
      <c r="Q68" s="3959"/>
      <c r="R68" s="3959"/>
      <c r="V68" s="3959"/>
      <c r="W68" s="3959"/>
      <c r="X68" s="3959"/>
      <c r="Y68" s="3959"/>
      <c r="Z68" s="3959"/>
    </row>
    <row r="69" spans="1:41" s="42" customFormat="1" ht="15">
      <c r="B69" s="339">
        <v>11</v>
      </c>
      <c r="C69" s="3966" t="s">
        <v>2099</v>
      </c>
      <c r="D69" s="3966"/>
      <c r="E69" s="2902"/>
      <c r="F69" s="3967"/>
      <c r="G69" s="361"/>
      <c r="H69" s="361"/>
      <c r="I69" s="361"/>
      <c r="J69" s="361"/>
      <c r="K69" s="358"/>
      <c r="L69" s="334"/>
      <c r="M69" s="334">
        <v>40</v>
      </c>
      <c r="N69" s="333">
        <f>HLOOKUP($N$6,$G$6:M69,ROWS($N$6:N69),FALSE)</f>
        <v>40</v>
      </c>
      <c r="O69" s="3852"/>
      <c r="P69" s="3959"/>
      <c r="Q69" s="3959"/>
      <c r="R69" s="3959"/>
      <c r="V69" s="3959"/>
      <c r="W69" s="3959"/>
      <c r="X69" s="3959"/>
      <c r="Y69" s="3959"/>
      <c r="Z69" s="3959"/>
    </row>
    <row r="70" spans="1:41" s="42" customFormat="1" ht="15">
      <c r="B70" s="339">
        <v>12</v>
      </c>
      <c r="C70" s="3966"/>
      <c r="D70" s="3966"/>
      <c r="E70" s="2902"/>
      <c r="F70" s="3967"/>
      <c r="G70" s="361"/>
      <c r="H70" s="361"/>
      <c r="I70" s="361"/>
      <c r="J70" s="361"/>
      <c r="K70" s="358"/>
      <c r="L70" s="334"/>
      <c r="M70" s="334"/>
      <c r="N70" s="333">
        <f>HLOOKUP($N$6,$G$6:M70,ROWS($N$6:N70),FALSE)</f>
        <v>0</v>
      </c>
      <c r="O70" s="3852"/>
      <c r="P70" s="3959"/>
      <c r="Q70" s="3959"/>
      <c r="R70" s="3959"/>
      <c r="V70" s="3959"/>
      <c r="W70" s="3959"/>
      <c r="X70" s="3959"/>
      <c r="Y70" s="3959"/>
      <c r="Z70" s="3959"/>
    </row>
    <row r="71" spans="1:41" s="42" customFormat="1" ht="15">
      <c r="B71" s="339">
        <v>13</v>
      </c>
      <c r="C71" s="3966" t="s">
        <v>2109</v>
      </c>
      <c r="D71" s="3966"/>
      <c r="E71" s="2902"/>
      <c r="F71" s="3967"/>
      <c r="G71" s="361"/>
      <c r="H71" s="361"/>
      <c r="I71" s="361"/>
      <c r="J71" s="361"/>
      <c r="K71" s="358"/>
      <c r="L71" s="334"/>
      <c r="M71" s="334">
        <v>158</v>
      </c>
      <c r="N71" s="333">
        <f>HLOOKUP($N$6,$G$6:M71,ROWS($N$6:N71),FALSE)</f>
        <v>158</v>
      </c>
      <c r="O71" s="3852"/>
      <c r="P71" s="3959"/>
      <c r="Q71" s="3959"/>
      <c r="R71" s="3959"/>
      <c r="V71" s="3959"/>
      <c r="W71" s="3959"/>
      <c r="X71" s="3959"/>
      <c r="Y71" s="3959"/>
      <c r="Z71" s="3959"/>
    </row>
    <row r="72" spans="1:41" s="42" customFormat="1" ht="18">
      <c r="B72" s="339">
        <v>14</v>
      </c>
      <c r="C72" s="3966" t="s">
        <v>2115</v>
      </c>
      <c r="D72" s="3966"/>
      <c r="E72" s="2902"/>
      <c r="F72" s="3967"/>
      <c r="G72" s="361"/>
      <c r="H72" s="361"/>
      <c r="I72" s="361"/>
      <c r="J72" s="361"/>
      <c r="K72" s="358"/>
      <c r="L72" s="334"/>
      <c r="M72" s="334">
        <v>63.4</v>
      </c>
      <c r="N72" s="333">
        <f>HLOOKUP($N$6,$G$6:M72,ROWS($N$6:N72),FALSE)</f>
        <v>63.4</v>
      </c>
      <c r="O72" s="3852"/>
      <c r="P72" s="3969"/>
      <c r="Q72" s="3969"/>
      <c r="R72" s="3969"/>
      <c r="V72" s="3969"/>
      <c r="W72" s="3969"/>
      <c r="X72" s="3969"/>
      <c r="Y72" s="3969"/>
      <c r="Z72" s="3969"/>
    </row>
    <row r="73" spans="1:41" s="42" customFormat="1" ht="18">
      <c r="B73" s="339">
        <v>15</v>
      </c>
      <c r="C73" s="3966" t="s">
        <v>2116</v>
      </c>
      <c r="D73" s="3966"/>
      <c r="E73" s="2902"/>
      <c r="F73" s="3967"/>
      <c r="G73" s="361"/>
      <c r="H73" s="361"/>
      <c r="I73" s="361"/>
      <c r="J73" s="361"/>
      <c r="K73" s="358"/>
      <c r="L73" s="334"/>
      <c r="M73" s="334">
        <v>134</v>
      </c>
      <c r="N73" s="333">
        <f>HLOOKUP($N$6,$G$6:M73,ROWS($N$6:N73),FALSE)</f>
        <v>134</v>
      </c>
      <c r="O73" s="3852"/>
      <c r="P73" s="3959"/>
      <c r="Q73" s="3959"/>
      <c r="R73" s="3959"/>
      <c r="V73" s="3959"/>
      <c r="W73" s="3959"/>
      <c r="X73" s="3959"/>
      <c r="Y73" s="3959"/>
      <c r="Z73" s="3959"/>
    </row>
    <row r="74" spans="1:41" ht="18">
      <c r="A74" s="313"/>
      <c r="B74" s="339">
        <v>16</v>
      </c>
      <c r="C74" s="332" t="s">
        <v>2117</v>
      </c>
      <c r="D74" s="332"/>
      <c r="E74" s="331"/>
      <c r="F74" s="330"/>
      <c r="G74" s="329"/>
      <c r="H74" s="329"/>
      <c r="I74" s="329"/>
      <c r="J74" s="328"/>
      <c r="K74" s="328"/>
      <c r="L74" s="327"/>
      <c r="M74" s="327"/>
      <c r="N74" s="326">
        <f>HLOOKUP($N$6,$G$6:M74,ROWS($N$6:N74),FALSE)</f>
        <v>0</v>
      </c>
      <c r="P74" s="31"/>
      <c r="Q74" s="31"/>
      <c r="R74" s="31"/>
      <c r="S74" s="35"/>
      <c r="T74" s="31"/>
      <c r="U74" s="322"/>
      <c r="V74" s="31"/>
      <c r="W74" s="31"/>
      <c r="X74" s="31"/>
      <c r="Y74" s="31"/>
      <c r="Z74" s="31"/>
      <c r="AA74" s="256"/>
      <c r="AB74" s="256"/>
      <c r="AC74" s="256"/>
      <c r="AD74" s="256"/>
      <c r="AE74" s="256"/>
      <c r="AF74" s="256"/>
      <c r="AG74" s="256"/>
      <c r="AH74" s="256"/>
      <c r="AI74" s="256"/>
      <c r="AJ74" s="256"/>
      <c r="AK74" s="256"/>
      <c r="AL74" s="256"/>
      <c r="AM74" s="256"/>
      <c r="AN74" s="256"/>
      <c r="AO74" s="256"/>
    </row>
    <row r="75" spans="1:41" s="136" customFormat="1" ht="17.649999999999999" customHeight="1">
      <c r="C75" s="136" t="s">
        <v>2110</v>
      </c>
    </row>
    <row r="76" spans="1:41" s="136" customFormat="1" ht="14.25">
      <c r="B76" s="31"/>
      <c r="C76" s="3096" t="s">
        <v>2112</v>
      </c>
      <c r="D76" s="31"/>
      <c r="E76" s="31"/>
      <c r="F76" s="31"/>
      <c r="G76" s="42"/>
      <c r="H76" s="42"/>
      <c r="I76" s="31"/>
      <c r="J76" s="31"/>
      <c r="K76" s="31"/>
      <c r="L76" s="31"/>
      <c r="M76" s="31"/>
      <c r="N76" s="31"/>
    </row>
    <row r="77" spans="1:41" s="136" customFormat="1" ht="14.25">
      <c r="C77" s="136" t="s">
        <v>2111</v>
      </c>
    </row>
    <row r="78" spans="1:41" s="136" customFormat="1"/>
    <row r="79" spans="1:41" s="136" customFormat="1">
      <c r="C79" s="136" t="s">
        <v>2100</v>
      </c>
    </row>
    <row r="80" spans="1:41" s="136" customFormat="1">
      <c r="C80" s="136" t="s">
        <v>2101</v>
      </c>
    </row>
    <row r="81" spans="2:14" s="136" customFormat="1"/>
    <row r="82" spans="2:14" s="136" customFormat="1"/>
    <row r="83" spans="2:14" s="136" customFormat="1"/>
    <row r="84" spans="2:14" s="136" customFormat="1"/>
    <row r="85" spans="2:14" s="136" customFormat="1"/>
    <row r="86" spans="2:14" s="136" customFormat="1"/>
    <row r="87" spans="2:14" s="136" customFormat="1"/>
    <row r="88" spans="2:14" s="136" customFormat="1"/>
    <row r="89" spans="2:14" s="136" customFormat="1"/>
    <row r="90" spans="2:14" s="136" customFormat="1"/>
    <row r="91" spans="2:14" s="136" customFormat="1"/>
    <row r="92" spans="2:14" s="136" customFormat="1"/>
    <row r="93" spans="2:14" s="136" customFormat="1"/>
    <row r="94" spans="2:14" s="42" customFormat="1" ht="14.25">
      <c r="B94" s="136"/>
      <c r="C94" s="136"/>
      <c r="D94" s="136"/>
      <c r="E94" s="136"/>
      <c r="F94" s="136"/>
      <c r="G94" s="136"/>
      <c r="H94" s="136"/>
      <c r="I94" s="136"/>
      <c r="J94" s="136"/>
      <c r="K94" s="136"/>
      <c r="L94" s="136"/>
      <c r="M94" s="136"/>
      <c r="N94" s="136"/>
    </row>
    <row r="95" spans="2:14">
      <c r="B95" s="136"/>
      <c r="C95" s="136"/>
      <c r="D95" s="136"/>
      <c r="E95" s="136"/>
      <c r="F95" s="136"/>
      <c r="G95" s="136"/>
      <c r="H95" s="136"/>
      <c r="I95" s="136"/>
      <c r="J95" s="136"/>
      <c r="K95" s="136"/>
      <c r="L95" s="136"/>
      <c r="M95" s="136"/>
      <c r="N95" s="136"/>
    </row>
    <row r="96" spans="2:14" s="136" customFormat="1"/>
    <row r="97" spans="2:14" s="136" customFormat="1"/>
    <row r="98" spans="2:14" s="136" customFormat="1" ht="14.25">
      <c r="B98" s="42"/>
      <c r="C98" s="42"/>
      <c r="D98" s="42"/>
      <c r="E98" s="42"/>
      <c r="F98" s="42"/>
      <c r="G98" s="42"/>
      <c r="H98" s="42"/>
      <c r="I98" s="42"/>
      <c r="J98" s="42"/>
      <c r="K98" s="42"/>
      <c r="L98" s="42"/>
      <c r="M98" s="42"/>
      <c r="N98" s="42"/>
    </row>
    <row r="99" spans="2:14" s="136" customFormat="1">
      <c r="B99" s="32"/>
      <c r="C99" s="38"/>
      <c r="D99" s="32"/>
      <c r="E99" s="32"/>
      <c r="F99" s="32"/>
      <c r="G99" s="32"/>
      <c r="H99" s="32"/>
      <c r="I99" s="39"/>
      <c r="J99" s="39"/>
      <c r="K99" s="39"/>
      <c r="L99" s="39"/>
      <c r="M99" s="39"/>
      <c r="N99" s="32"/>
    </row>
    <row r="100" spans="2:14" s="136" customFormat="1"/>
    <row r="101" spans="2:14" s="136" customFormat="1"/>
    <row r="102" spans="2:14" s="136" customFormat="1"/>
    <row r="103" spans="2:14" s="136" customFormat="1"/>
    <row r="104" spans="2:14" s="136" customFormat="1"/>
    <row r="105" spans="2:14" s="136" customFormat="1"/>
    <row r="106" spans="2:14" s="136" customFormat="1"/>
    <row r="107" spans="2:14" s="136" customFormat="1"/>
    <row r="108" spans="2:14" s="136" customFormat="1"/>
    <row r="109" spans="2:14" s="136" customFormat="1"/>
    <row r="110" spans="2:14" s="136" customFormat="1"/>
    <row r="111" spans="2:14" s="136" customFormat="1"/>
    <row r="112" spans="2:14" s="136" customFormat="1"/>
    <row r="113" spans="2:14" s="136" customFormat="1"/>
    <row r="114" spans="2:14" s="136" customFormat="1"/>
    <row r="115" spans="2:14">
      <c r="B115" s="136"/>
      <c r="C115" s="136"/>
      <c r="D115" s="136"/>
      <c r="E115" s="136"/>
      <c r="F115" s="136"/>
      <c r="G115" s="136"/>
      <c r="H115" s="136"/>
      <c r="I115" s="136"/>
      <c r="J115" s="136"/>
      <c r="K115" s="136"/>
      <c r="L115" s="136"/>
      <c r="M115" s="136"/>
      <c r="N115" s="136"/>
    </row>
    <row r="116" spans="2:14">
      <c r="B116" s="136"/>
      <c r="C116" s="136"/>
      <c r="D116" s="136"/>
      <c r="E116" s="136"/>
      <c r="F116" s="136"/>
      <c r="G116" s="136"/>
      <c r="H116" s="136"/>
      <c r="I116" s="136"/>
      <c r="J116" s="136"/>
      <c r="K116" s="136"/>
      <c r="L116" s="136"/>
      <c r="M116" s="136"/>
      <c r="N116" s="136"/>
    </row>
    <row r="117" spans="2:14">
      <c r="B117" s="136"/>
      <c r="C117" s="136"/>
      <c r="D117" s="136"/>
      <c r="E117" s="136"/>
      <c r="F117" s="136"/>
      <c r="G117" s="136"/>
      <c r="H117" s="136"/>
      <c r="I117" s="136"/>
      <c r="J117" s="136"/>
      <c r="K117" s="136"/>
      <c r="L117" s="136"/>
      <c r="M117" s="136"/>
      <c r="N117" s="136"/>
    </row>
    <row r="118" spans="2:14">
      <c r="B118" s="136"/>
      <c r="C118" s="136"/>
      <c r="D118" s="136"/>
      <c r="E118" s="136"/>
      <c r="F118" s="136"/>
      <c r="G118" s="136"/>
      <c r="H118" s="136"/>
      <c r="I118" s="136"/>
      <c r="J118" s="136"/>
      <c r="K118" s="136"/>
      <c r="L118" s="136"/>
      <c r="M118" s="136"/>
      <c r="N118" s="136"/>
    </row>
  </sheetData>
  <mergeCells count="6">
    <mergeCell ref="B54:L54"/>
    <mergeCell ref="C48:F48"/>
    <mergeCell ref="C49:F49"/>
    <mergeCell ref="C7:N7"/>
    <mergeCell ref="L2:N2"/>
    <mergeCell ref="C47:F47"/>
  </mergeCells>
  <dataValidations disablePrompts="1" count="1">
    <dataValidation type="list" allowBlank="1" showInputMessage="1" showErrorMessage="1" sqref="N6">
      <formula1>$G$6:$M$6</formula1>
    </dataValidation>
  </dataValidations>
  <printOptions horizontalCentered="1"/>
  <pageMargins left="0.59055118110236227" right="0.59055118110236227" top="0.59055118110236227" bottom="0.59055118110236227" header="0.39370078740157483" footer="0.39370078740157483"/>
  <pageSetup paperSize="9" scale="72" firstPageNumber="7" orientation="portrait" useFirstPageNumber="1" r:id="rId1"/>
  <headerFooter alignWithMargins="0">
    <oddFooter>&amp;L&amp;11LEL Schwäbisch Gmünd&amp;C&amp;11&amp;P+8&amp;R&amp;11 &amp;F</oddFooter>
  </headerFooter>
  <rowBreaks count="1" manualBreakCount="1">
    <brk id="79" max="12"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rgb="FF00B0F0"/>
    <pageSetUpPr fitToPage="1"/>
  </sheetPr>
  <dimension ref="A1:AP143"/>
  <sheetViews>
    <sheetView showZeros="0" zoomScaleNormal="100" workbookViewId="0"/>
  </sheetViews>
  <sheetFormatPr baseColWidth="10" defaultColWidth="10.5" defaultRowHeight="11.25"/>
  <cols>
    <col min="1" max="1" width="2.25" style="364" customWidth="1"/>
    <col min="2" max="2" width="3.625" style="376" customWidth="1"/>
    <col min="3" max="3" width="37.75" style="376" bestFit="1" customWidth="1"/>
    <col min="4" max="4" width="6.875" style="376" customWidth="1"/>
    <col min="5" max="5" width="3.25" style="376" customWidth="1"/>
    <col min="6" max="6" width="6.625" style="376" customWidth="1"/>
    <col min="7" max="7" width="6" style="376" customWidth="1"/>
    <col min="8" max="8" width="6" style="363" customWidth="1"/>
    <col min="9" max="9" width="6" style="376" customWidth="1"/>
    <col min="10" max="15" width="6" style="363" customWidth="1"/>
    <col min="16" max="16" width="27.25" style="376" customWidth="1"/>
    <col min="17" max="17" width="18.875" style="364" hidden="1" customWidth="1"/>
    <col min="18" max="18" width="18.875" style="363" hidden="1" customWidth="1"/>
    <col min="19" max="20" width="18.875" style="364" hidden="1" customWidth="1"/>
    <col min="21" max="21" width="15.25" style="364" hidden="1" customWidth="1"/>
    <col min="22" max="22" width="16.875" style="364" hidden="1" customWidth="1"/>
    <col min="23" max="27" width="16.375" style="364" hidden="1" customWidth="1"/>
    <col min="28" max="28" width="16.375" style="364" customWidth="1"/>
    <col min="29" max="16384" width="10.5" style="364"/>
  </cols>
  <sheetData>
    <row r="1" spans="1:42">
      <c r="A1" s="381"/>
      <c r="J1" s="364"/>
      <c r="M1" s="484"/>
      <c r="N1" s="484"/>
      <c r="O1" s="483"/>
      <c r="R1" s="364"/>
    </row>
    <row r="2" spans="1:42" ht="18">
      <c r="A2" s="3642"/>
      <c r="B2" s="48" t="s">
        <v>512</v>
      </c>
      <c r="C2" s="364"/>
      <c r="D2" s="364"/>
      <c r="E2" s="364"/>
      <c r="F2" s="364"/>
      <c r="G2" s="364"/>
      <c r="H2" s="364"/>
      <c r="I2" s="363"/>
      <c r="J2" s="364"/>
      <c r="K2" s="364"/>
      <c r="L2" s="364"/>
      <c r="M2" s="364"/>
      <c r="N2" s="364"/>
      <c r="O2" s="481" t="str">
        <f>'SDK1'!O2</f>
        <v>Marktfrüchte Konventionell</v>
      </c>
      <c r="P2" s="3554"/>
    </row>
    <row r="3" spans="1:42" ht="24" customHeight="1">
      <c r="A3" s="3642"/>
      <c r="B3" s="380"/>
      <c r="C3" s="482" t="s">
        <v>2036</v>
      </c>
      <c r="D3" s="364"/>
      <c r="I3" s="363"/>
      <c r="J3" s="364"/>
      <c r="K3" s="364"/>
      <c r="L3" s="364"/>
      <c r="M3" s="364"/>
      <c r="N3" s="364"/>
      <c r="O3" s="481">
        <f>'SDK1'!O3</f>
        <v>0</v>
      </c>
      <c r="Q3" s="433"/>
      <c r="S3" s="433"/>
      <c r="T3" s="433"/>
      <c r="U3" s="433"/>
      <c r="V3" s="433"/>
      <c r="W3" s="433"/>
      <c r="X3" s="433"/>
      <c r="Y3" s="433"/>
      <c r="Z3" s="433"/>
      <c r="AA3" s="433"/>
      <c r="AB3" s="433"/>
      <c r="AC3" s="433"/>
      <c r="AD3" s="433"/>
      <c r="AE3" s="433"/>
      <c r="AF3" s="433"/>
      <c r="AG3" s="433"/>
      <c r="AH3" s="433"/>
      <c r="AI3" s="433"/>
      <c r="AJ3" s="433"/>
      <c r="AK3" s="433"/>
      <c r="AL3" s="433"/>
      <c r="AM3" s="433"/>
      <c r="AN3" s="433"/>
      <c r="AO3" s="433"/>
      <c r="AP3" s="433"/>
    </row>
    <row r="4" spans="1:42" ht="13.7" customHeight="1">
      <c r="A4" s="3642"/>
      <c r="B4" s="454"/>
      <c r="C4" s="364"/>
      <c r="D4" s="364"/>
      <c r="K4" s="364"/>
      <c r="L4" s="364"/>
      <c r="M4" s="364"/>
      <c r="N4" s="364"/>
      <c r="O4" s="364"/>
      <c r="Q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row>
    <row r="5" spans="1:42" ht="13.15" customHeight="1">
      <c r="A5" s="3642"/>
      <c r="B5" s="232" t="s">
        <v>511</v>
      </c>
      <c r="C5" s="323"/>
      <c r="D5" s="3413">
        <f>'SDK1'!O64</f>
        <v>1.5742499999999999</v>
      </c>
      <c r="E5" s="323" t="s">
        <v>506</v>
      </c>
      <c r="F5" s="323" t="s">
        <v>510</v>
      </c>
      <c r="G5" s="3414">
        <f>'SDK1'!O12/100</f>
        <v>0</v>
      </c>
      <c r="H5" s="323"/>
      <c r="I5" s="292" t="s">
        <v>509</v>
      </c>
      <c r="J5" s="3415">
        <v>0.21479999999999999</v>
      </c>
      <c r="K5" s="323" t="s">
        <v>506</v>
      </c>
      <c r="M5" s="292" t="s">
        <v>508</v>
      </c>
      <c r="N5" s="3416">
        <f>(S5)-J5</f>
        <v>1.1080991596638654</v>
      </c>
      <c r="O5" s="323" t="s">
        <v>506</v>
      </c>
      <c r="Q5" s="477" t="s">
        <v>507</v>
      </c>
      <c r="S5" s="2076">
        <f>D5/(100%+U5)</f>
        <v>1.3228991596638655</v>
      </c>
      <c r="T5" s="433" t="s">
        <v>506</v>
      </c>
      <c r="U5" s="433">
        <v>0.19</v>
      </c>
      <c r="V5" s="433"/>
      <c r="W5" s="433"/>
      <c r="X5" s="433"/>
      <c r="Y5" s="433"/>
      <c r="Z5" s="433"/>
      <c r="AA5" s="433"/>
      <c r="AB5" s="433"/>
      <c r="AC5" s="433"/>
      <c r="AD5" s="433"/>
      <c r="AE5" s="433"/>
      <c r="AF5" s="433"/>
      <c r="AG5" s="433"/>
      <c r="AH5" s="433"/>
      <c r="AI5" s="433"/>
      <c r="AJ5" s="433"/>
      <c r="AK5" s="433"/>
      <c r="AL5" s="433"/>
      <c r="AM5" s="433"/>
      <c r="AN5" s="433"/>
      <c r="AO5" s="433"/>
      <c r="AP5" s="433"/>
    </row>
    <row r="6" spans="1:42" ht="5.25" customHeight="1">
      <c r="A6" s="3642"/>
      <c r="K6" s="364"/>
      <c r="L6" s="364"/>
      <c r="M6" s="364"/>
      <c r="N6" s="364"/>
      <c r="O6" s="364"/>
      <c r="U6" s="376"/>
      <c r="W6" s="433"/>
      <c r="X6" s="433"/>
      <c r="Y6" s="433"/>
      <c r="Z6" s="433"/>
      <c r="AA6" s="433"/>
      <c r="AB6" s="433"/>
      <c r="AC6" s="433"/>
      <c r="AD6" s="433"/>
      <c r="AE6" s="433"/>
      <c r="AF6" s="433"/>
      <c r="AG6" s="433"/>
      <c r="AH6" s="433"/>
      <c r="AI6" s="433"/>
      <c r="AJ6" s="433"/>
      <c r="AK6" s="433"/>
      <c r="AL6" s="433"/>
      <c r="AM6" s="433"/>
      <c r="AN6" s="433"/>
      <c r="AO6" s="433"/>
      <c r="AP6" s="433"/>
    </row>
    <row r="7" spans="1:42" ht="12.75">
      <c r="A7" s="3642"/>
      <c r="B7" s="3417" t="s">
        <v>471</v>
      </c>
      <c r="C7" s="3418"/>
      <c r="D7" s="3643"/>
      <c r="G7" s="3554"/>
      <c r="H7" s="4297" t="s">
        <v>505</v>
      </c>
      <c r="I7" s="4298"/>
      <c r="J7" s="4298"/>
      <c r="K7" s="4298"/>
      <c r="L7" s="4298"/>
      <c r="M7" s="4298"/>
      <c r="N7" s="4298"/>
      <c r="O7" s="4298"/>
      <c r="Q7" s="376" t="s">
        <v>2141</v>
      </c>
      <c r="R7" s="380"/>
      <c r="S7" s="433"/>
      <c r="T7" s="433"/>
      <c r="U7" s="433"/>
      <c r="V7" s="433"/>
      <c r="W7" s="433"/>
      <c r="X7" s="433"/>
      <c r="Y7" s="433"/>
      <c r="Z7" s="433"/>
      <c r="AA7" s="433"/>
      <c r="AB7" s="433"/>
      <c r="AC7" s="433"/>
      <c r="AD7" s="433"/>
      <c r="AE7" s="433"/>
      <c r="AF7" s="433"/>
      <c r="AG7" s="433"/>
      <c r="AH7" s="433"/>
      <c r="AI7" s="433"/>
      <c r="AJ7" s="433"/>
      <c r="AK7" s="433"/>
    </row>
    <row r="8" spans="1:42" ht="13.15" customHeight="1">
      <c r="A8" s="3642"/>
      <c r="B8" s="3639"/>
      <c r="C8" s="450"/>
      <c r="D8" s="4274" t="s">
        <v>467</v>
      </c>
      <c r="E8" s="4275"/>
      <c r="F8" s="4274" t="s">
        <v>504</v>
      </c>
      <c r="G8" s="4278"/>
      <c r="H8" s="449" t="s">
        <v>503</v>
      </c>
      <c r="I8" s="3644"/>
      <c r="J8" s="4274" t="s">
        <v>502</v>
      </c>
      <c r="K8" s="4282"/>
      <c r="L8" s="3638"/>
      <c r="M8" s="4299" t="s">
        <v>501</v>
      </c>
      <c r="N8" s="4300"/>
      <c r="O8" s="4300"/>
      <c r="P8" s="433"/>
      <c r="Q8" s="376"/>
      <c r="R8" s="380"/>
      <c r="S8" s="433"/>
      <c r="T8" s="433"/>
      <c r="U8" s="433"/>
      <c r="V8" s="433"/>
      <c r="W8" s="433"/>
      <c r="X8" s="433"/>
      <c r="Y8" s="433"/>
      <c r="Z8" s="433"/>
      <c r="AA8" s="433"/>
      <c r="AB8" s="433"/>
      <c r="AC8" s="433"/>
      <c r="AD8" s="433"/>
      <c r="AE8" s="433"/>
      <c r="AF8" s="433"/>
      <c r="AG8" s="433"/>
      <c r="AH8" s="433"/>
      <c r="AI8" s="433"/>
      <c r="AJ8" s="433"/>
      <c r="AK8" s="433"/>
    </row>
    <row r="9" spans="1:42" ht="13.15" customHeight="1">
      <c r="A9" s="3642"/>
      <c r="B9" s="323"/>
      <c r="C9" s="450"/>
      <c r="D9" s="4274" t="s">
        <v>465</v>
      </c>
      <c r="E9" s="4275"/>
      <c r="F9" s="4274" t="s">
        <v>500</v>
      </c>
      <c r="G9" s="4278"/>
      <c r="H9" s="449" t="s">
        <v>499</v>
      </c>
      <c r="I9" s="449"/>
      <c r="J9" s="4274" t="s">
        <v>498</v>
      </c>
      <c r="K9" s="4282"/>
      <c r="L9" s="3638"/>
      <c r="M9" s="4299" t="s">
        <v>497</v>
      </c>
      <c r="N9" s="4300"/>
      <c r="O9" s="4300"/>
      <c r="P9" s="433"/>
      <c r="Q9" s="380" t="s">
        <v>2142</v>
      </c>
      <c r="R9" s="380"/>
      <c r="S9" s="433"/>
      <c r="T9" s="433"/>
      <c r="U9" s="433"/>
      <c r="V9" s="292"/>
      <c r="W9" s="292"/>
      <c r="X9" s="292"/>
      <c r="Y9" s="292"/>
      <c r="Z9" s="433"/>
      <c r="AA9" s="433"/>
      <c r="AB9" s="433"/>
      <c r="AC9" s="433"/>
      <c r="AD9" s="433"/>
      <c r="AE9" s="433"/>
      <c r="AF9" s="433"/>
      <c r="AG9" s="433"/>
      <c r="AH9" s="433"/>
      <c r="AI9" s="433"/>
      <c r="AJ9" s="433"/>
      <c r="AK9" s="433"/>
    </row>
    <row r="10" spans="1:42" ht="13.15" customHeight="1" thickBot="1">
      <c r="A10" s="3642"/>
      <c r="B10" s="323"/>
      <c r="C10" s="450"/>
      <c r="D10" s="4276"/>
      <c r="E10" s="4277"/>
      <c r="F10" s="4276"/>
      <c r="G10" s="4279"/>
      <c r="H10" s="475">
        <f>N5</f>
        <v>1.1080991596638654</v>
      </c>
      <c r="I10" s="474" t="s">
        <v>496</v>
      </c>
      <c r="J10" s="4274" t="s">
        <v>495</v>
      </c>
      <c r="K10" s="4282"/>
      <c r="L10" s="3638"/>
      <c r="M10" s="4299" t="s">
        <v>494</v>
      </c>
      <c r="N10" s="4300"/>
      <c r="O10" s="4300"/>
      <c r="P10" s="433"/>
      <c r="Q10" s="433"/>
      <c r="R10" s="380"/>
      <c r="S10" s="433"/>
      <c r="T10" s="433"/>
      <c r="U10" s="433"/>
      <c r="V10" s="292"/>
      <c r="W10" s="292"/>
      <c r="X10" s="292"/>
      <c r="Y10" s="292"/>
      <c r="Z10" s="292"/>
      <c r="AA10" s="292"/>
      <c r="AB10" s="433"/>
      <c r="AC10" s="433"/>
      <c r="AD10" s="433"/>
      <c r="AE10" s="433"/>
      <c r="AF10" s="433"/>
      <c r="AG10" s="433"/>
      <c r="AH10" s="433"/>
      <c r="AI10" s="433"/>
      <c r="AJ10" s="433"/>
      <c r="AK10" s="433"/>
    </row>
    <row r="11" spans="1:42" ht="13.15" customHeight="1">
      <c r="A11" s="3642"/>
      <c r="B11" s="981" t="s">
        <v>493</v>
      </c>
      <c r="C11" s="440" t="s">
        <v>492</v>
      </c>
      <c r="D11" s="473"/>
      <c r="E11" s="472"/>
      <c r="F11" s="4283" t="s">
        <v>491</v>
      </c>
      <c r="G11" s="4284"/>
      <c r="H11" s="4283" t="s">
        <v>490</v>
      </c>
      <c r="I11" s="4284"/>
      <c r="J11" s="4283" t="s">
        <v>490</v>
      </c>
      <c r="K11" s="4303"/>
      <c r="L11" s="779"/>
      <c r="M11" s="471">
        <v>0.7</v>
      </c>
      <c r="N11" s="439">
        <v>1</v>
      </c>
      <c r="O11" s="439">
        <v>1.5</v>
      </c>
      <c r="P11" s="433"/>
      <c r="Q11" s="470" t="s">
        <v>2140</v>
      </c>
      <c r="R11" s="380"/>
      <c r="S11" s="469" t="s">
        <v>488</v>
      </c>
      <c r="T11" s="468" t="s">
        <v>487</v>
      </c>
      <c r="U11" s="465" t="s">
        <v>333</v>
      </c>
      <c r="V11" s="4054"/>
      <c r="W11" s="292"/>
      <c r="X11" s="292"/>
      <c r="Y11" s="4054"/>
      <c r="Z11" s="292"/>
      <c r="AA11" s="292"/>
      <c r="AB11" s="292"/>
      <c r="AC11" s="433"/>
      <c r="AD11" s="433"/>
      <c r="AE11" s="433"/>
      <c r="AF11" s="433"/>
      <c r="AG11" s="433"/>
      <c r="AH11" s="433"/>
      <c r="AI11" s="433"/>
      <c r="AJ11" s="433"/>
      <c r="AK11" s="433"/>
    </row>
    <row r="12" spans="1:42" ht="12.95" customHeight="1">
      <c r="A12" s="3642"/>
      <c r="B12" s="3419">
        <v>1</v>
      </c>
      <c r="C12" s="464" t="s">
        <v>486</v>
      </c>
      <c r="D12" s="4262">
        <v>200</v>
      </c>
      <c r="E12" s="4263"/>
      <c r="F12" s="4264">
        <v>23.3</v>
      </c>
      <c r="G12" s="4265"/>
      <c r="H12" s="4266">
        <f>F12*($H$10)+J12</f>
        <v>40.81871042016806</v>
      </c>
      <c r="I12" s="4267"/>
      <c r="J12" s="4268">
        <v>15</v>
      </c>
      <c r="K12" s="4269"/>
      <c r="L12" s="462"/>
      <c r="M12" s="461">
        <f t="shared" ref="M12:O17" si="0">($F12*$N$5)*M$11+$J12</f>
        <v>33.073097294117645</v>
      </c>
      <c r="N12" s="463">
        <f t="shared" si="0"/>
        <v>40.81871042016806</v>
      </c>
      <c r="O12" s="461">
        <f t="shared" si="0"/>
        <v>53.728065630252097</v>
      </c>
      <c r="P12" s="433"/>
      <c r="Q12" s="4033" t="s">
        <v>474</v>
      </c>
      <c r="R12" s="380"/>
      <c r="S12" s="363" t="s">
        <v>485</v>
      </c>
      <c r="T12" s="292"/>
      <c r="U12" s="292"/>
      <c r="V12" s="292"/>
      <c r="W12" s="292"/>
      <c r="X12" s="292"/>
      <c r="Y12" s="292"/>
      <c r="Z12" s="292"/>
      <c r="AA12" s="292"/>
      <c r="AB12" s="433"/>
      <c r="AC12" s="433"/>
      <c r="AD12" s="433"/>
      <c r="AE12" s="433"/>
      <c r="AF12" s="433"/>
      <c r="AG12" s="433"/>
      <c r="AH12" s="433"/>
      <c r="AI12" s="433"/>
      <c r="AJ12" s="433"/>
      <c r="AK12" s="433"/>
    </row>
    <row r="13" spans="1:42" ht="13.15" customHeight="1">
      <c r="A13" s="3642"/>
      <c r="B13" s="3419">
        <v>2</v>
      </c>
      <c r="C13" s="383" t="s">
        <v>484</v>
      </c>
      <c r="D13" s="4272">
        <v>120</v>
      </c>
      <c r="E13" s="4273"/>
      <c r="F13" s="4280">
        <v>14</v>
      </c>
      <c r="G13" s="4281"/>
      <c r="H13" s="4285">
        <f>F13*($H$10)+J13</f>
        <v>25.013388235294116</v>
      </c>
      <c r="I13" s="4286"/>
      <c r="J13" s="4270">
        <v>9.5</v>
      </c>
      <c r="K13" s="4271"/>
      <c r="L13" s="462"/>
      <c r="M13" s="461">
        <f t="shared" si="0"/>
        <v>20.35937176470588</v>
      </c>
      <c r="N13" s="460">
        <f t="shared" si="0"/>
        <v>25.013388235294116</v>
      </c>
      <c r="O13" s="461">
        <f t="shared" si="0"/>
        <v>32.770082352941174</v>
      </c>
      <c r="P13" s="433"/>
      <c r="Q13" s="4033" t="s">
        <v>474</v>
      </c>
      <c r="R13" s="455"/>
      <c r="S13" s="363" t="s">
        <v>483</v>
      </c>
      <c r="T13" s="292"/>
      <c r="U13" s="292"/>
      <c r="V13" s="292"/>
      <c r="W13" s="292"/>
      <c r="X13" s="292"/>
      <c r="Y13" s="292"/>
      <c r="Z13" s="292"/>
      <c r="AA13" s="292"/>
      <c r="AB13" s="433"/>
      <c r="AC13" s="433"/>
      <c r="AD13" s="433"/>
      <c r="AE13" s="433"/>
      <c r="AF13" s="433"/>
      <c r="AG13" s="433"/>
      <c r="AH13" s="433"/>
      <c r="AI13" s="433"/>
      <c r="AJ13" s="433"/>
      <c r="AK13" s="433"/>
    </row>
    <row r="14" spans="1:42" ht="13.15" customHeight="1">
      <c r="A14" s="3642"/>
      <c r="B14" s="3419">
        <v>3</v>
      </c>
      <c r="C14" s="383" t="s">
        <v>482</v>
      </c>
      <c r="D14" s="4272">
        <v>102</v>
      </c>
      <c r="E14" s="4273"/>
      <c r="F14" s="4280">
        <v>11.9</v>
      </c>
      <c r="G14" s="4281"/>
      <c r="H14" s="4285">
        <f>F14*($H$10)+J14</f>
        <v>21.18638</v>
      </c>
      <c r="I14" s="4286"/>
      <c r="J14" s="4270">
        <v>8</v>
      </c>
      <c r="K14" s="4271"/>
      <c r="L14" s="458"/>
      <c r="M14" s="457">
        <f t="shared" si="0"/>
        <v>17.230466</v>
      </c>
      <c r="N14" s="456">
        <f t="shared" si="0"/>
        <v>21.18638</v>
      </c>
      <c r="O14" s="461">
        <f t="shared" si="0"/>
        <v>27.779569999999996</v>
      </c>
      <c r="P14" s="433"/>
      <c r="Q14" s="4033" t="s">
        <v>474</v>
      </c>
      <c r="R14" s="455"/>
      <c r="S14" s="363" t="s">
        <v>481</v>
      </c>
      <c r="T14" s="292"/>
      <c r="U14" s="292"/>
      <c r="V14" s="292"/>
      <c r="W14" s="292"/>
      <c r="X14" s="292"/>
      <c r="Y14" s="292"/>
      <c r="Z14" s="292"/>
      <c r="AA14" s="292"/>
      <c r="AB14" s="433"/>
      <c r="AC14" s="433"/>
      <c r="AD14" s="433"/>
      <c r="AE14" s="433"/>
      <c r="AF14" s="433"/>
      <c r="AG14" s="433"/>
      <c r="AH14" s="433"/>
      <c r="AI14" s="433"/>
      <c r="AJ14" s="433"/>
      <c r="AK14" s="433"/>
    </row>
    <row r="15" spans="1:42" ht="13.15" customHeight="1">
      <c r="A15" s="3642"/>
      <c r="B15" s="3419">
        <v>4</v>
      </c>
      <c r="C15" s="383" t="s">
        <v>480</v>
      </c>
      <c r="D15" s="4272">
        <v>83</v>
      </c>
      <c r="E15" s="4273"/>
      <c r="F15" s="4280">
        <v>9.6999999999999993</v>
      </c>
      <c r="G15" s="4281"/>
      <c r="H15" s="4285">
        <f>F15*($H$10)+J15</f>
        <v>18.248561848739492</v>
      </c>
      <c r="I15" s="4286"/>
      <c r="J15" s="4270">
        <v>7.5</v>
      </c>
      <c r="K15" s="4271"/>
      <c r="L15" s="458"/>
      <c r="M15" s="457">
        <f t="shared" si="0"/>
        <v>15.023993294117645</v>
      </c>
      <c r="N15" s="456">
        <f t="shared" si="0"/>
        <v>18.248561848739492</v>
      </c>
      <c r="O15" s="461">
        <f t="shared" si="0"/>
        <v>23.622842773109241</v>
      </c>
      <c r="P15" s="433"/>
      <c r="Q15" s="4033" t="s">
        <v>474</v>
      </c>
      <c r="R15" s="455"/>
      <c r="S15" s="363" t="s">
        <v>479</v>
      </c>
      <c r="T15" s="292"/>
      <c r="U15" s="292"/>
      <c r="V15" s="292"/>
      <c r="W15" s="292"/>
      <c r="X15" s="292"/>
      <c r="Y15" s="292"/>
      <c r="Z15" s="292"/>
      <c r="AA15" s="292"/>
      <c r="AB15" s="433"/>
      <c r="AC15" s="433"/>
      <c r="AD15" s="433"/>
      <c r="AE15" s="433"/>
      <c r="AF15" s="433"/>
      <c r="AG15" s="433"/>
      <c r="AH15" s="433"/>
      <c r="AI15" s="433"/>
      <c r="AJ15" s="433"/>
      <c r="AK15" s="433"/>
    </row>
    <row r="16" spans="1:42" ht="13.15" customHeight="1">
      <c r="A16" s="3642"/>
      <c r="B16" s="3419">
        <v>5</v>
      </c>
      <c r="C16" s="383" t="s">
        <v>478</v>
      </c>
      <c r="D16" s="4272">
        <v>83</v>
      </c>
      <c r="E16" s="4273"/>
      <c r="F16" s="4280">
        <v>9.6999999999999993</v>
      </c>
      <c r="G16" s="4281"/>
      <c r="H16" s="4285">
        <f>F16*($H$10+0.01)+J16</f>
        <v>19.345561848739493</v>
      </c>
      <c r="I16" s="4286"/>
      <c r="J16" s="4270">
        <v>8.5</v>
      </c>
      <c r="K16" s="4271"/>
      <c r="L16" s="458"/>
      <c r="M16" s="457">
        <f t="shared" si="0"/>
        <v>16.023993294117645</v>
      </c>
      <c r="N16" s="456">
        <f t="shared" si="0"/>
        <v>19.248561848739492</v>
      </c>
      <c r="O16" s="461">
        <f t="shared" si="0"/>
        <v>24.622842773109241</v>
      </c>
      <c r="P16" s="433"/>
      <c r="Q16" s="4033" t="s">
        <v>477</v>
      </c>
      <c r="R16" s="455"/>
      <c r="S16" s="363" t="s">
        <v>476</v>
      </c>
      <c r="T16" s="292"/>
      <c r="U16" s="292"/>
      <c r="V16" s="292"/>
      <c r="W16" s="292"/>
      <c r="X16" s="292"/>
      <c r="Y16" s="292"/>
      <c r="Z16" s="292"/>
      <c r="AA16" s="292"/>
      <c r="AB16" s="433"/>
      <c r="AC16" s="433"/>
      <c r="AD16" s="433"/>
      <c r="AE16" s="433"/>
      <c r="AF16" s="433"/>
      <c r="AG16" s="433"/>
      <c r="AH16" s="433"/>
      <c r="AI16" s="433"/>
      <c r="AJ16" s="433"/>
      <c r="AK16" s="433"/>
    </row>
    <row r="17" spans="1:42" ht="13.15" customHeight="1">
      <c r="A17" s="3642"/>
      <c r="B17" s="3419">
        <v>6</v>
      </c>
      <c r="C17" s="3836" t="s">
        <v>475</v>
      </c>
      <c r="D17" s="4272">
        <v>54</v>
      </c>
      <c r="E17" s="4273"/>
      <c r="F17" s="4280">
        <v>6.3</v>
      </c>
      <c r="G17" s="4281"/>
      <c r="H17" s="4285">
        <f>F17*($H$10)+J17</f>
        <v>12.981024705882351</v>
      </c>
      <c r="I17" s="4286"/>
      <c r="J17" s="4270">
        <v>6</v>
      </c>
      <c r="K17" s="4271"/>
      <c r="L17" s="458"/>
      <c r="M17" s="457">
        <f>($F17*$N$5)*M$11+$J17</f>
        <v>10.886717294117647</v>
      </c>
      <c r="N17" s="456">
        <f t="shared" si="0"/>
        <v>12.981024705882351</v>
      </c>
      <c r="O17" s="461">
        <f t="shared" si="0"/>
        <v>16.471537058823529</v>
      </c>
      <c r="P17" s="433"/>
      <c r="Q17" s="4033" t="s">
        <v>2139</v>
      </c>
      <c r="R17" s="455"/>
      <c r="S17" s="363" t="s">
        <v>473</v>
      </c>
      <c r="T17" s="292"/>
      <c r="U17" s="292"/>
      <c r="V17" s="292"/>
      <c r="W17" s="292"/>
      <c r="X17" s="292"/>
      <c r="Y17" s="292"/>
      <c r="Z17" s="292"/>
      <c r="AA17" s="292"/>
      <c r="AB17" s="433"/>
      <c r="AC17" s="433"/>
      <c r="AD17" s="433"/>
      <c r="AE17" s="433"/>
      <c r="AF17" s="433"/>
      <c r="AG17" s="433"/>
      <c r="AH17" s="433"/>
      <c r="AI17" s="433"/>
      <c r="AJ17" s="433"/>
      <c r="AK17" s="433"/>
    </row>
    <row r="18" spans="1:42" ht="1.1499999999999999" customHeight="1">
      <c r="A18" s="3642"/>
      <c r="B18" s="3420"/>
      <c r="C18" s="383"/>
      <c r="D18" s="4272"/>
      <c r="E18" s="4273"/>
      <c r="F18" s="4280"/>
      <c r="G18" s="4281"/>
      <c r="H18" s="4285"/>
      <c r="I18" s="4286"/>
      <c r="J18" s="4291"/>
      <c r="K18" s="4292"/>
      <c r="L18" s="458"/>
      <c r="M18" s="457"/>
      <c r="N18" s="456"/>
      <c r="O18" s="461"/>
      <c r="P18" s="433"/>
      <c r="Q18" s="4033"/>
      <c r="R18" s="380"/>
      <c r="S18" s="363"/>
      <c r="T18" s="292"/>
      <c r="U18" s="292"/>
      <c r="V18" s="292"/>
      <c r="W18" s="292"/>
      <c r="X18" s="292"/>
      <c r="Y18" s="292"/>
      <c r="Z18" s="292"/>
      <c r="AA18" s="292"/>
      <c r="AB18" s="433"/>
      <c r="AC18" s="433"/>
      <c r="AD18" s="433"/>
      <c r="AE18" s="433"/>
      <c r="AF18" s="433"/>
      <c r="AG18" s="433"/>
      <c r="AH18" s="433"/>
      <c r="AI18" s="433"/>
      <c r="AJ18" s="433"/>
      <c r="AK18" s="433"/>
    </row>
    <row r="19" spans="1:42" ht="19.149999999999999" customHeight="1">
      <c r="A19" s="3642"/>
      <c r="B19" s="454"/>
      <c r="C19" s="453"/>
      <c r="D19" s="364"/>
      <c r="K19" s="3528"/>
      <c r="L19" s="364"/>
      <c r="M19" s="364"/>
      <c r="N19" s="452"/>
      <c r="O19" s="452"/>
      <c r="Q19" s="4034"/>
      <c r="S19" s="292"/>
      <c r="T19" s="292"/>
      <c r="U19" s="292"/>
      <c r="V19" s="292"/>
      <c r="W19" s="292"/>
      <c r="X19" s="292"/>
      <c r="Y19" s="292"/>
      <c r="Z19" s="292"/>
      <c r="AA19" s="292"/>
      <c r="AB19" s="433"/>
      <c r="AC19" s="433"/>
      <c r="AD19" s="433"/>
      <c r="AE19" s="433"/>
      <c r="AF19" s="433"/>
      <c r="AG19" s="433"/>
      <c r="AH19" s="433"/>
      <c r="AI19" s="433"/>
      <c r="AJ19" s="433"/>
      <c r="AK19" s="433"/>
      <c r="AL19" s="433"/>
      <c r="AM19" s="433"/>
      <c r="AN19" s="433"/>
      <c r="AO19" s="433"/>
      <c r="AP19" s="433"/>
    </row>
    <row r="20" spans="1:42" ht="13.15" customHeight="1">
      <c r="A20" s="3554"/>
      <c r="B20" s="3421" t="s">
        <v>472</v>
      </c>
      <c r="C20" s="38"/>
      <c r="D20" s="3460" t="s">
        <v>338</v>
      </c>
      <c r="E20" s="4287" t="s">
        <v>471</v>
      </c>
      <c r="F20" s="4288"/>
      <c r="G20" s="4297" t="s">
        <v>470</v>
      </c>
      <c r="H20" s="4298"/>
      <c r="I20" s="4302"/>
      <c r="J20" s="4289" t="s">
        <v>469</v>
      </c>
      <c r="K20" s="4290"/>
      <c r="L20" s="2092"/>
      <c r="M20" s="2092"/>
      <c r="N20" s="4297" t="s">
        <v>468</v>
      </c>
      <c r="O20" s="4298"/>
      <c r="Q20" s="4034"/>
      <c r="S20" s="292"/>
      <c r="T20" s="292"/>
      <c r="U20" s="292"/>
      <c r="V20" s="292"/>
      <c r="W20" s="292"/>
      <c r="X20" s="292"/>
      <c r="Y20" s="292"/>
      <c r="Z20" s="292"/>
      <c r="AA20" s="292"/>
      <c r="AB20" s="433"/>
      <c r="AC20" s="433"/>
      <c r="AD20" s="433"/>
      <c r="AE20" s="433"/>
      <c r="AF20" s="433"/>
      <c r="AG20" s="433"/>
      <c r="AH20" s="433"/>
      <c r="AI20" s="433"/>
      <c r="AJ20" s="433"/>
      <c r="AK20" s="433"/>
      <c r="AL20" s="433"/>
      <c r="AM20" s="433"/>
      <c r="AN20" s="433"/>
      <c r="AO20" s="433"/>
      <c r="AP20" s="433"/>
    </row>
    <row r="21" spans="1:42" ht="13.15" customHeight="1">
      <c r="A21" s="3554"/>
      <c r="B21" s="441"/>
      <c r="C21" s="450"/>
      <c r="D21" s="3460" t="s">
        <v>336</v>
      </c>
      <c r="E21" s="3637" t="s">
        <v>287</v>
      </c>
      <c r="F21" s="3470" t="s">
        <v>467</v>
      </c>
      <c r="G21" s="447"/>
      <c r="H21" s="446"/>
      <c r="I21" s="445"/>
      <c r="J21" s="4289" t="s">
        <v>466</v>
      </c>
      <c r="K21" s="4301"/>
      <c r="L21" s="444"/>
      <c r="M21" s="443"/>
      <c r="N21" s="442"/>
      <c r="O21" s="3465" t="s">
        <v>171</v>
      </c>
      <c r="Q21" s="4034"/>
      <c r="S21" s="292"/>
      <c r="T21" s="292"/>
      <c r="U21" s="292"/>
      <c r="V21" s="292"/>
      <c r="W21" s="292"/>
      <c r="X21" s="292"/>
      <c r="Y21" s="292"/>
      <c r="Z21" s="292"/>
      <c r="AA21" s="292"/>
      <c r="AB21" s="433"/>
      <c r="AC21" s="433"/>
      <c r="AD21" s="433"/>
      <c r="AE21" s="433"/>
      <c r="AF21" s="433"/>
      <c r="AG21" s="433"/>
      <c r="AH21" s="433"/>
      <c r="AI21" s="433"/>
      <c r="AJ21" s="433"/>
      <c r="AK21" s="433"/>
      <c r="AL21" s="433"/>
      <c r="AM21" s="433"/>
      <c r="AN21" s="433"/>
      <c r="AO21" s="433"/>
      <c r="AP21" s="433"/>
    </row>
    <row r="22" spans="1:42" ht="13.15" customHeight="1">
      <c r="A22" s="3554"/>
      <c r="B22" s="441" t="s">
        <v>287</v>
      </c>
      <c r="C22" s="440" t="s">
        <v>337</v>
      </c>
      <c r="D22" s="3463" t="s">
        <v>335</v>
      </c>
      <c r="E22" s="3636"/>
      <c r="F22" s="3471" t="s">
        <v>465</v>
      </c>
      <c r="G22" s="439">
        <v>0.7</v>
      </c>
      <c r="H22" s="439">
        <v>1</v>
      </c>
      <c r="I22" s="438">
        <v>1.5</v>
      </c>
      <c r="J22" s="4293" t="s">
        <v>464</v>
      </c>
      <c r="K22" s="4294"/>
      <c r="L22" s="437"/>
      <c r="M22" s="436"/>
      <c r="N22" s="3636" t="s">
        <v>463</v>
      </c>
      <c r="O22" s="3466" t="str">
        <f>IF(G5=0,"o.MwSt.","m. MwSt.")</f>
        <v>o.MwSt.</v>
      </c>
      <c r="Q22" s="4033"/>
      <c r="S22" s="376"/>
      <c r="T22" s="376"/>
      <c r="U22" s="376"/>
      <c r="V22" s="376"/>
      <c r="W22" s="376"/>
      <c r="X22" s="376"/>
      <c r="Y22" s="376"/>
      <c r="Z22" s="376"/>
      <c r="AA22" s="376"/>
      <c r="AB22" s="433"/>
      <c r="AC22" s="433"/>
      <c r="AD22" s="433"/>
      <c r="AE22" s="433"/>
      <c r="AF22" s="433"/>
      <c r="AG22" s="433"/>
      <c r="AH22" s="433"/>
      <c r="AI22" s="433"/>
      <c r="AJ22" s="433"/>
      <c r="AK22" s="433"/>
      <c r="AL22" s="433"/>
      <c r="AM22" s="433"/>
      <c r="AN22" s="433"/>
      <c r="AO22" s="433"/>
      <c r="AP22" s="433"/>
    </row>
    <row r="23" spans="1:42" ht="13.15" customHeight="1">
      <c r="A23" s="3554"/>
      <c r="B23" s="406"/>
      <c r="C23" s="383"/>
      <c r="D23" s="405"/>
      <c r="E23" s="404"/>
      <c r="F23" s="408"/>
      <c r="G23" s="402"/>
      <c r="H23" s="401"/>
      <c r="I23" s="400"/>
      <c r="J23" s="4295"/>
      <c r="K23" s="4296"/>
      <c r="L23" s="399"/>
      <c r="M23" s="398"/>
      <c r="N23" s="407"/>
      <c r="O23" s="3467"/>
      <c r="Q23" s="4033"/>
      <c r="S23" s="292"/>
      <c r="T23" s="376"/>
      <c r="U23" s="292"/>
      <c r="V23" s="292"/>
      <c r="W23" s="292"/>
      <c r="X23" s="292"/>
      <c r="Y23" s="292"/>
      <c r="Z23" s="292"/>
      <c r="AA23" s="292"/>
      <c r="AB23" s="433"/>
      <c r="AC23" s="433"/>
      <c r="AD23" s="433"/>
      <c r="AE23" s="433"/>
      <c r="AF23" s="433"/>
      <c r="AG23" s="433"/>
      <c r="AH23" s="433"/>
      <c r="AI23" s="433"/>
      <c r="AJ23" s="433"/>
      <c r="AK23" s="433"/>
      <c r="AL23" s="433"/>
      <c r="AM23" s="433"/>
      <c r="AN23" s="433"/>
      <c r="AO23" s="433"/>
      <c r="AP23" s="433"/>
    </row>
    <row r="24" spans="1:42" s="377" customFormat="1" ht="13.15" customHeight="1">
      <c r="A24" s="3645"/>
      <c r="B24" s="406">
        <v>1</v>
      </c>
      <c r="C24" s="383" t="s">
        <v>462</v>
      </c>
      <c r="D24" s="4039">
        <v>12</v>
      </c>
      <c r="E24" s="404">
        <v>2</v>
      </c>
      <c r="F24" s="408">
        <f t="shared" ref="F24:F51" si="1">IF(E24=0,0,INDEX($D$12:$E$18,E24,1))</f>
        <v>120</v>
      </c>
      <c r="G24" s="402"/>
      <c r="H24" s="401"/>
      <c r="I24" s="400" t="s">
        <v>168</v>
      </c>
      <c r="J24" s="4258">
        <f>IF(I24="x",VLOOKUP(E24,$B$12:$O$18,14,FALSE),IF(H24="x",VLOOKUP(E24,$B$12:$O$18,13,FALSE),IF(G24="x",VLOOKUP(E24,$B$12:$O$18,12,FALSE),0)))</f>
        <v>32.770082352941174</v>
      </c>
      <c r="K24" s="4259"/>
      <c r="L24" s="399"/>
      <c r="M24" s="398"/>
      <c r="N24" s="4036">
        <v>1.44</v>
      </c>
      <c r="O24" s="3468">
        <f>((J24*N24)+D24)*(1+$G$5)</f>
        <v>59.188918588235289</v>
      </c>
      <c r="P24" s="3835"/>
      <c r="Q24" s="4033" t="s">
        <v>2143</v>
      </c>
      <c r="R24" s="427"/>
      <c r="S24" s="376" t="s">
        <v>461</v>
      </c>
      <c r="T24" s="431" t="s">
        <v>460</v>
      </c>
      <c r="U24" s="376">
        <v>0</v>
      </c>
      <c r="V24" s="376"/>
      <c r="W24" s="431"/>
      <c r="X24" s="431"/>
      <c r="Y24" s="431"/>
      <c r="Z24" s="431"/>
      <c r="AA24" s="431"/>
      <c r="AB24" s="33"/>
      <c r="AC24" s="33"/>
      <c r="AD24" s="33"/>
      <c r="AE24" s="33"/>
      <c r="AF24" s="33"/>
      <c r="AG24" s="432"/>
      <c r="AH24" s="432"/>
      <c r="AI24" s="432"/>
      <c r="AJ24" s="432"/>
      <c r="AK24" s="432"/>
      <c r="AL24" s="432"/>
      <c r="AM24" s="432"/>
      <c r="AN24" s="432"/>
      <c r="AO24" s="432"/>
      <c r="AP24" s="432"/>
    </row>
    <row r="25" spans="1:42" s="427" customFormat="1" ht="13.15" customHeight="1">
      <c r="A25" s="429"/>
      <c r="B25" s="406">
        <v>2</v>
      </c>
      <c r="C25" s="383" t="s">
        <v>459</v>
      </c>
      <c r="D25" s="4039">
        <v>5</v>
      </c>
      <c r="E25" s="404">
        <v>3</v>
      </c>
      <c r="F25" s="408">
        <f t="shared" si="1"/>
        <v>102</v>
      </c>
      <c r="G25" s="402"/>
      <c r="H25" s="401" t="s">
        <v>168</v>
      </c>
      <c r="I25" s="400"/>
      <c r="J25" s="4258">
        <f t="shared" ref="J25:J51" si="2">IF(I25="x",VLOOKUP(E25,$B$12:$O$18,14,FALSE),IF(H25="x",VLOOKUP(E25,$B$12:$O$18,13,FALSE),IF(G25="x",VLOOKUP(E25,$B$12:$O$18,12,FALSE),0)))</f>
        <v>21.18638</v>
      </c>
      <c r="K25" s="4259"/>
      <c r="L25" s="399"/>
      <c r="M25" s="398"/>
      <c r="N25" s="4036">
        <v>0.79</v>
      </c>
      <c r="O25" s="3468">
        <f t="shared" ref="O25:O80" si="3">((J25*N25)+D25)*(1+$G$5)</f>
        <v>21.737240200000002</v>
      </c>
      <c r="P25" s="3640"/>
      <c r="Q25" s="4033" t="s">
        <v>2144</v>
      </c>
      <c r="S25" s="376" t="s">
        <v>458</v>
      </c>
      <c r="T25" s="431" t="s">
        <v>457</v>
      </c>
      <c r="U25" s="376">
        <v>0</v>
      </c>
      <c r="V25" s="376"/>
      <c r="W25" s="431"/>
      <c r="X25" s="431"/>
      <c r="Y25" s="431"/>
      <c r="Z25" s="431"/>
      <c r="AA25" s="431"/>
      <c r="AB25" s="33"/>
      <c r="AC25" s="33"/>
      <c r="AD25" s="33"/>
      <c r="AE25" s="33"/>
      <c r="AF25" s="33"/>
    </row>
    <row r="26" spans="1:42" s="427" customFormat="1" ht="13.15" customHeight="1">
      <c r="B26" s="406">
        <v>3</v>
      </c>
      <c r="C26" s="383" t="s">
        <v>456</v>
      </c>
      <c r="D26" s="4039">
        <v>5.5</v>
      </c>
      <c r="E26" s="404">
        <v>3</v>
      </c>
      <c r="F26" s="408">
        <f t="shared" si="1"/>
        <v>102</v>
      </c>
      <c r="G26" s="402"/>
      <c r="H26" s="401" t="s">
        <v>168</v>
      </c>
      <c r="I26" s="400"/>
      <c r="J26" s="4258">
        <f t="shared" si="2"/>
        <v>21.18638</v>
      </c>
      <c r="K26" s="4259"/>
      <c r="L26" s="399"/>
      <c r="M26" s="398"/>
      <c r="N26" s="4036">
        <v>0.54</v>
      </c>
      <c r="O26" s="3468">
        <f t="shared" si="3"/>
        <v>16.940645199999999</v>
      </c>
      <c r="P26" s="3640"/>
      <c r="Q26" s="4033" t="s">
        <v>2145</v>
      </c>
      <c r="S26" s="376" t="s">
        <v>455</v>
      </c>
      <c r="T26" s="431" t="s">
        <v>454</v>
      </c>
      <c r="U26" s="376">
        <v>0</v>
      </c>
      <c r="V26" s="376"/>
      <c r="W26" s="431"/>
      <c r="X26" s="431"/>
      <c r="Y26" s="431"/>
      <c r="Z26" s="431"/>
      <c r="AA26" s="431"/>
    </row>
    <row r="27" spans="1:42" s="427" customFormat="1" ht="13.15" customHeight="1">
      <c r="B27" s="406"/>
      <c r="C27" s="415" t="s">
        <v>453</v>
      </c>
      <c r="D27" s="3551">
        <v>4</v>
      </c>
      <c r="E27" s="413">
        <v>4</v>
      </c>
      <c r="F27" s="408">
        <f t="shared" si="1"/>
        <v>83</v>
      </c>
      <c r="G27" s="402"/>
      <c r="H27" s="401" t="s">
        <v>168</v>
      </c>
      <c r="I27" s="400"/>
      <c r="J27" s="4258">
        <f t="shared" si="2"/>
        <v>18.248561848739492</v>
      </c>
      <c r="K27" s="4259"/>
      <c r="L27" s="399"/>
      <c r="M27" s="398"/>
      <c r="N27" s="4037">
        <v>0.57999999999999996</v>
      </c>
      <c r="O27" s="3468">
        <f t="shared" si="3"/>
        <v>14.584165872268905</v>
      </c>
      <c r="P27" s="3640"/>
      <c r="Q27" s="4033" t="s">
        <v>2148</v>
      </c>
      <c r="S27" s="376" t="s">
        <v>2146</v>
      </c>
      <c r="T27" s="431" t="s">
        <v>2147</v>
      </c>
      <c r="U27" s="376">
        <v>0</v>
      </c>
      <c r="V27" s="376"/>
      <c r="W27" s="431"/>
      <c r="X27" s="431"/>
      <c r="Y27" s="431"/>
      <c r="Z27" s="431"/>
      <c r="AA27" s="431"/>
    </row>
    <row r="28" spans="1:42" s="427" customFormat="1" ht="13.15" customHeight="1">
      <c r="B28" s="406">
        <v>4</v>
      </c>
      <c r="C28" s="383" t="s">
        <v>451</v>
      </c>
      <c r="D28" s="4039">
        <v>7</v>
      </c>
      <c r="E28" s="404">
        <v>3</v>
      </c>
      <c r="F28" s="408">
        <f t="shared" si="1"/>
        <v>102</v>
      </c>
      <c r="G28" s="402"/>
      <c r="H28" s="401" t="s">
        <v>168</v>
      </c>
      <c r="I28" s="400"/>
      <c r="J28" s="4258">
        <f t="shared" si="2"/>
        <v>21.18638</v>
      </c>
      <c r="K28" s="4259"/>
      <c r="L28" s="399"/>
      <c r="M28" s="398"/>
      <c r="N28" s="4036">
        <v>1.02</v>
      </c>
      <c r="O28" s="3468">
        <f t="shared" si="3"/>
        <v>28.610107599999999</v>
      </c>
      <c r="P28" s="3640"/>
      <c r="Q28" s="4033" t="s">
        <v>2149</v>
      </c>
      <c r="S28" s="376" t="s">
        <v>452</v>
      </c>
      <c r="T28" s="431" t="s">
        <v>451</v>
      </c>
      <c r="U28" s="376">
        <v>0</v>
      </c>
      <c r="V28" s="376"/>
      <c r="W28" s="431"/>
      <c r="X28" s="431"/>
      <c r="Y28" s="431"/>
      <c r="Z28" s="431"/>
      <c r="AA28" s="431"/>
      <c r="AB28" s="3640"/>
      <c r="AC28" s="3640"/>
      <c r="AD28" s="3640"/>
    </row>
    <row r="29" spans="1:42" s="427" customFormat="1" ht="12.75">
      <c r="B29" s="406">
        <v>5</v>
      </c>
      <c r="C29" s="383" t="s">
        <v>449</v>
      </c>
      <c r="D29" s="4039">
        <v>2</v>
      </c>
      <c r="E29" s="404">
        <v>4</v>
      </c>
      <c r="F29" s="408">
        <f t="shared" si="1"/>
        <v>83</v>
      </c>
      <c r="G29" s="402" t="s">
        <v>168</v>
      </c>
      <c r="H29" s="401"/>
      <c r="I29" s="400"/>
      <c r="J29" s="4258">
        <f t="shared" si="2"/>
        <v>15.023993294117645</v>
      </c>
      <c r="K29" s="4259"/>
      <c r="L29" s="399"/>
      <c r="M29" s="398"/>
      <c r="N29" s="4036">
        <v>0.62</v>
      </c>
      <c r="O29" s="3468">
        <f t="shared" si="3"/>
        <v>11.31487584235294</v>
      </c>
      <c r="P29" s="3640"/>
      <c r="Q29" s="4033" t="s">
        <v>2149</v>
      </c>
      <c r="R29" s="391"/>
      <c r="S29" s="376" t="s">
        <v>450</v>
      </c>
      <c r="T29" s="376" t="s">
        <v>449</v>
      </c>
      <c r="U29" s="376">
        <v>0</v>
      </c>
      <c r="V29" s="376"/>
      <c r="W29" s="376"/>
      <c r="X29" s="376"/>
      <c r="Y29" s="376"/>
      <c r="Z29" s="376"/>
      <c r="AA29" s="376"/>
    </row>
    <row r="30" spans="1:42" s="427" customFormat="1" ht="12.75">
      <c r="B30" s="406"/>
      <c r="C30" s="383" t="s">
        <v>448</v>
      </c>
      <c r="D30" s="4039">
        <v>7</v>
      </c>
      <c r="E30" s="404">
        <v>4</v>
      </c>
      <c r="F30" s="408">
        <f t="shared" si="1"/>
        <v>83</v>
      </c>
      <c r="G30" s="402" t="s">
        <v>168</v>
      </c>
      <c r="H30" s="401"/>
      <c r="I30" s="400"/>
      <c r="J30" s="4258">
        <f t="shared" si="2"/>
        <v>15.023993294117645</v>
      </c>
      <c r="K30" s="4259"/>
      <c r="L30" s="399"/>
      <c r="M30" s="398"/>
      <c r="N30" s="4036">
        <v>1.06</v>
      </c>
      <c r="O30" s="3468">
        <f t="shared" si="3"/>
        <v>22.925432891764704</v>
      </c>
      <c r="P30" s="3640"/>
      <c r="Q30" s="4033" t="s">
        <v>2150</v>
      </c>
      <c r="R30" s="391"/>
      <c r="S30" s="376" t="s">
        <v>447</v>
      </c>
      <c r="T30" s="376"/>
      <c r="U30" s="376"/>
      <c r="V30" s="376"/>
      <c r="W30" s="376"/>
      <c r="X30" s="376"/>
      <c r="Y30" s="376"/>
      <c r="Z30" s="376"/>
      <c r="AA30" s="376"/>
    </row>
    <row r="31" spans="1:42" s="377" customFormat="1" ht="6" customHeight="1">
      <c r="A31" s="396"/>
      <c r="B31" s="406">
        <v>6</v>
      </c>
      <c r="C31" s="383"/>
      <c r="D31" s="4039"/>
      <c r="E31" s="404"/>
      <c r="F31" s="408"/>
      <c r="G31" s="402"/>
      <c r="H31" s="401"/>
      <c r="I31" s="400"/>
      <c r="J31" s="4258"/>
      <c r="K31" s="4259"/>
      <c r="L31" s="399"/>
      <c r="M31" s="398"/>
      <c r="N31" s="4036"/>
      <c r="O31" s="3468"/>
      <c r="P31" s="3640"/>
      <c r="Q31" s="4033"/>
      <c r="R31" s="391"/>
      <c r="S31" s="376"/>
      <c r="T31" s="376"/>
      <c r="U31" s="376"/>
      <c r="V31" s="376"/>
      <c r="W31" s="376"/>
      <c r="X31" s="376"/>
      <c r="Y31" s="376"/>
      <c r="Z31" s="376"/>
      <c r="AA31" s="376"/>
      <c r="AI31" s="3640"/>
      <c r="AJ31" s="3640"/>
      <c r="AK31" s="3640"/>
    </row>
    <row r="32" spans="1:42" s="377" customFormat="1" ht="12.75">
      <c r="A32" s="427"/>
      <c r="B32" s="406">
        <v>7</v>
      </c>
      <c r="C32" s="383" t="s">
        <v>446</v>
      </c>
      <c r="D32" s="4057">
        <f>7+3</f>
        <v>10</v>
      </c>
      <c r="E32" s="404">
        <v>2</v>
      </c>
      <c r="F32" s="408">
        <f t="shared" si="1"/>
        <v>120</v>
      </c>
      <c r="G32" s="402"/>
      <c r="H32" s="401" t="s">
        <v>168</v>
      </c>
      <c r="I32" s="400"/>
      <c r="J32" s="4258">
        <f t="shared" si="2"/>
        <v>25.013388235294116</v>
      </c>
      <c r="K32" s="4259"/>
      <c r="L32" s="399"/>
      <c r="M32" s="398"/>
      <c r="N32" s="4036">
        <v>1.05</v>
      </c>
      <c r="O32" s="3468">
        <f t="shared" si="3"/>
        <v>36.26405764705882</v>
      </c>
      <c r="P32" s="3640"/>
      <c r="Q32" s="4033" t="s">
        <v>2151</v>
      </c>
      <c r="R32" s="391"/>
      <c r="S32" s="376" t="s">
        <v>445</v>
      </c>
      <c r="T32" s="376" t="s">
        <v>444</v>
      </c>
      <c r="U32" s="376">
        <v>0</v>
      </c>
      <c r="V32" s="376"/>
      <c r="W32" s="376"/>
      <c r="X32" s="376"/>
      <c r="Y32" s="376"/>
      <c r="Z32" s="376"/>
      <c r="AA32" s="376"/>
    </row>
    <row r="33" spans="1:37" s="377" customFormat="1" ht="13.15" customHeight="1">
      <c r="A33" s="427"/>
      <c r="B33" s="406">
        <v>8</v>
      </c>
      <c r="C33" s="383" t="s">
        <v>2153</v>
      </c>
      <c r="D33" s="4057">
        <f>6+3</f>
        <v>9</v>
      </c>
      <c r="E33" s="404">
        <v>2</v>
      </c>
      <c r="F33" s="408">
        <f t="shared" si="1"/>
        <v>120</v>
      </c>
      <c r="G33" s="402"/>
      <c r="H33" s="401" t="s">
        <v>168</v>
      </c>
      <c r="I33" s="400"/>
      <c r="J33" s="4258">
        <f t="shared" si="2"/>
        <v>25.013388235294116</v>
      </c>
      <c r="K33" s="4259"/>
      <c r="L33" s="399"/>
      <c r="M33" s="398"/>
      <c r="N33" s="4036">
        <v>1.05</v>
      </c>
      <c r="O33" s="3468">
        <f t="shared" si="3"/>
        <v>35.26405764705882</v>
      </c>
      <c r="P33" s="3640"/>
      <c r="Q33" s="4033" t="s">
        <v>2155</v>
      </c>
      <c r="R33" s="391"/>
      <c r="S33" s="376" t="s">
        <v>2154</v>
      </c>
      <c r="T33" s="376" t="s">
        <v>2156</v>
      </c>
      <c r="U33" s="376">
        <v>0</v>
      </c>
      <c r="V33" s="376"/>
      <c r="W33" s="376"/>
      <c r="X33" s="376"/>
      <c r="Y33" s="376"/>
      <c r="Z33" s="376"/>
      <c r="AA33" s="376"/>
      <c r="AI33" s="3640"/>
      <c r="AJ33" s="3640"/>
      <c r="AK33" s="3640"/>
    </row>
    <row r="34" spans="1:37" s="377" customFormat="1" ht="13.15" customHeight="1">
      <c r="A34" s="427"/>
      <c r="B34" s="406">
        <v>9</v>
      </c>
      <c r="C34" s="383" t="s">
        <v>440</v>
      </c>
      <c r="D34" s="4039">
        <v>3</v>
      </c>
      <c r="E34" s="404">
        <v>6</v>
      </c>
      <c r="F34" s="408">
        <f t="shared" si="1"/>
        <v>54</v>
      </c>
      <c r="G34" s="402"/>
      <c r="H34" s="401" t="s">
        <v>168</v>
      </c>
      <c r="I34" s="400"/>
      <c r="J34" s="4258">
        <f t="shared" si="2"/>
        <v>12.981024705882351</v>
      </c>
      <c r="K34" s="4259"/>
      <c r="L34" s="399"/>
      <c r="M34" s="398"/>
      <c r="N34" s="4036">
        <v>0.81</v>
      </c>
      <c r="O34" s="3468">
        <f t="shared" si="3"/>
        <v>13.514630011764705</v>
      </c>
      <c r="P34" s="3640"/>
      <c r="Q34" s="4033" t="s">
        <v>2152</v>
      </c>
      <c r="R34" s="391"/>
      <c r="S34" s="376" t="s">
        <v>439</v>
      </c>
      <c r="T34" s="376" t="s">
        <v>438</v>
      </c>
      <c r="U34" s="376">
        <v>0</v>
      </c>
      <c r="V34" s="376"/>
      <c r="W34" s="376"/>
      <c r="X34" s="376"/>
      <c r="Y34" s="376"/>
      <c r="Z34" s="376"/>
      <c r="AA34" s="376"/>
      <c r="AI34" s="3640"/>
      <c r="AJ34" s="3640"/>
      <c r="AK34" s="3640"/>
    </row>
    <row r="35" spans="1:37" s="377" customFormat="1" ht="13.15" customHeight="1">
      <c r="A35" s="427"/>
      <c r="B35" s="406">
        <v>10</v>
      </c>
      <c r="C35" s="383" t="s">
        <v>437</v>
      </c>
      <c r="D35" s="4039">
        <v>8</v>
      </c>
      <c r="E35" s="404">
        <v>5</v>
      </c>
      <c r="F35" s="408">
        <f t="shared" si="1"/>
        <v>83</v>
      </c>
      <c r="G35" s="402" t="s">
        <v>168</v>
      </c>
      <c r="H35" s="401"/>
      <c r="I35" s="400"/>
      <c r="J35" s="4258">
        <f t="shared" si="2"/>
        <v>16.023993294117645</v>
      </c>
      <c r="K35" s="4259"/>
      <c r="L35" s="399"/>
      <c r="M35" s="398"/>
      <c r="N35" s="4036">
        <v>0.81</v>
      </c>
      <c r="O35" s="3468">
        <f t="shared" si="3"/>
        <v>20.979434568235291</v>
      </c>
      <c r="P35" s="3640"/>
      <c r="Q35" s="4033" t="s">
        <v>2157</v>
      </c>
      <c r="R35" s="391"/>
      <c r="S35" s="376" t="s">
        <v>436</v>
      </c>
      <c r="T35" s="376" t="s">
        <v>435</v>
      </c>
      <c r="U35" s="376">
        <v>0</v>
      </c>
      <c r="V35" s="376"/>
      <c r="W35" s="376"/>
      <c r="X35" s="376"/>
      <c r="Y35" s="376"/>
      <c r="Z35" s="376"/>
      <c r="AA35" s="376"/>
      <c r="AI35" s="3640"/>
      <c r="AJ35" s="3640"/>
      <c r="AK35" s="3640"/>
    </row>
    <row r="36" spans="1:37" s="377" customFormat="1" ht="13.15" customHeight="1">
      <c r="A36" s="427"/>
      <c r="B36" s="406">
        <v>11</v>
      </c>
      <c r="C36" s="383" t="s">
        <v>434</v>
      </c>
      <c r="D36" s="4039">
        <v>9</v>
      </c>
      <c r="E36" s="404">
        <v>5</v>
      </c>
      <c r="F36" s="408">
        <f t="shared" si="1"/>
        <v>83</v>
      </c>
      <c r="G36" s="402" t="s">
        <v>168</v>
      </c>
      <c r="H36" s="401"/>
      <c r="I36" s="400"/>
      <c r="J36" s="4258">
        <f t="shared" si="2"/>
        <v>16.023993294117645</v>
      </c>
      <c r="K36" s="4259"/>
      <c r="L36" s="399"/>
      <c r="M36" s="398"/>
      <c r="N36" s="4036">
        <v>1</v>
      </c>
      <c r="O36" s="3468">
        <f t="shared" si="3"/>
        <v>25.023993294117645</v>
      </c>
      <c r="P36" s="3640"/>
      <c r="Q36" s="4033" t="s">
        <v>2157</v>
      </c>
      <c r="R36" s="391"/>
      <c r="S36" s="376" t="s">
        <v>433</v>
      </c>
      <c r="T36" s="376" t="s">
        <v>432</v>
      </c>
      <c r="U36" s="376">
        <v>0</v>
      </c>
      <c r="V36" s="376"/>
      <c r="W36" s="376"/>
      <c r="X36" s="376"/>
      <c r="Y36" s="376"/>
      <c r="Z36" s="376"/>
      <c r="AA36" s="376"/>
      <c r="AI36" s="3640"/>
      <c r="AJ36" s="3640"/>
      <c r="AK36" s="3640"/>
    </row>
    <row r="37" spans="1:37" s="377" customFormat="1" ht="13.15" customHeight="1">
      <c r="A37" s="429"/>
      <c r="B37" s="406">
        <v>12</v>
      </c>
      <c r="C37" s="383" t="s">
        <v>431</v>
      </c>
      <c r="D37" s="4039">
        <v>8</v>
      </c>
      <c r="E37" s="404">
        <v>5</v>
      </c>
      <c r="F37" s="408">
        <f t="shared" si="1"/>
        <v>83</v>
      </c>
      <c r="G37" s="402" t="s">
        <v>168</v>
      </c>
      <c r="H37" s="401"/>
      <c r="I37" s="400"/>
      <c r="J37" s="4258">
        <f t="shared" si="2"/>
        <v>16.023993294117645</v>
      </c>
      <c r="K37" s="4259"/>
      <c r="L37" s="399"/>
      <c r="M37" s="398"/>
      <c r="N37" s="4036">
        <v>0.55000000000000004</v>
      </c>
      <c r="O37" s="3468">
        <f t="shared" si="3"/>
        <v>16.813196311764706</v>
      </c>
      <c r="P37" s="3640"/>
      <c r="Q37" s="4033" t="s">
        <v>2157</v>
      </c>
      <c r="R37" s="391"/>
      <c r="S37" s="376" t="s">
        <v>430</v>
      </c>
      <c r="T37" s="376" t="s">
        <v>429</v>
      </c>
      <c r="U37" s="376">
        <v>0</v>
      </c>
      <c r="V37" s="376"/>
      <c r="W37" s="376"/>
      <c r="X37" s="376"/>
      <c r="Y37" s="376"/>
      <c r="Z37" s="376"/>
      <c r="AA37" s="376"/>
      <c r="AI37" s="3640"/>
      <c r="AJ37" s="3640"/>
      <c r="AK37" s="3640"/>
    </row>
    <row r="38" spans="1:37" s="377" customFormat="1" ht="13.15" customHeight="1">
      <c r="A38" s="399"/>
      <c r="B38" s="406">
        <v>13</v>
      </c>
      <c r="C38" s="383" t="s">
        <v>427</v>
      </c>
      <c r="D38" s="4039">
        <v>12</v>
      </c>
      <c r="E38" s="404">
        <v>3</v>
      </c>
      <c r="F38" s="408">
        <f t="shared" si="1"/>
        <v>102</v>
      </c>
      <c r="G38" s="402"/>
      <c r="H38" s="401" t="s">
        <v>168</v>
      </c>
      <c r="I38" s="400"/>
      <c r="J38" s="4258">
        <f t="shared" si="2"/>
        <v>21.18638</v>
      </c>
      <c r="K38" s="4259"/>
      <c r="L38" s="399"/>
      <c r="M38" s="398"/>
      <c r="N38" s="4036">
        <v>0.72</v>
      </c>
      <c r="O38" s="3468">
        <f t="shared" si="3"/>
        <v>27.254193600000001</v>
      </c>
      <c r="P38" s="3640"/>
      <c r="Q38" s="4033" t="s">
        <v>373</v>
      </c>
      <c r="R38" s="391"/>
      <c r="S38" s="376" t="s">
        <v>428</v>
      </c>
      <c r="T38" s="376" t="s">
        <v>427</v>
      </c>
      <c r="U38" s="376">
        <v>0</v>
      </c>
      <c r="V38" s="376"/>
      <c r="W38" s="376"/>
      <c r="X38" s="376"/>
      <c r="Y38" s="376"/>
      <c r="Z38" s="376"/>
      <c r="AA38" s="376"/>
      <c r="AI38" s="3640"/>
      <c r="AJ38" s="3640"/>
      <c r="AK38" s="3640"/>
    </row>
    <row r="39" spans="1:37" s="377" customFormat="1" ht="0.6" customHeight="1">
      <c r="A39" s="396"/>
      <c r="B39" s="406">
        <v>14</v>
      </c>
      <c r="C39" s="383"/>
      <c r="D39" s="4039"/>
      <c r="E39" s="404"/>
      <c r="F39" s="408">
        <f t="shared" si="1"/>
        <v>0</v>
      </c>
      <c r="G39" s="402"/>
      <c r="H39" s="401"/>
      <c r="I39" s="400"/>
      <c r="J39" s="4258">
        <f t="shared" si="2"/>
        <v>0</v>
      </c>
      <c r="K39" s="4259"/>
      <c r="L39" s="399"/>
      <c r="M39" s="398"/>
      <c r="N39" s="4036"/>
      <c r="O39" s="3468">
        <f t="shared" si="3"/>
        <v>0</v>
      </c>
      <c r="P39" s="3640"/>
      <c r="Q39" s="4033"/>
      <c r="R39" s="391"/>
      <c r="S39" s="376"/>
      <c r="T39" s="376"/>
      <c r="U39" s="376"/>
      <c r="V39" s="376"/>
      <c r="W39" s="376"/>
      <c r="X39" s="376"/>
      <c r="Y39" s="376"/>
      <c r="Z39" s="376"/>
      <c r="AA39" s="376"/>
      <c r="AI39" s="3640"/>
      <c r="AJ39" s="3640"/>
      <c r="AK39" s="3640"/>
    </row>
    <row r="40" spans="1:37" s="377" customFormat="1" ht="13.15" customHeight="1">
      <c r="A40" s="427"/>
      <c r="B40" s="406">
        <v>15</v>
      </c>
      <c r="C40" s="383" t="s">
        <v>426</v>
      </c>
      <c r="D40" s="4039">
        <v>0.25</v>
      </c>
      <c r="E40" s="404">
        <v>6</v>
      </c>
      <c r="F40" s="408">
        <f t="shared" si="1"/>
        <v>54</v>
      </c>
      <c r="G40" s="402" t="s">
        <v>168</v>
      </c>
      <c r="H40" s="401"/>
      <c r="I40" s="400"/>
      <c r="J40" s="4258">
        <f t="shared" si="2"/>
        <v>10.886717294117647</v>
      </c>
      <c r="K40" s="4259"/>
      <c r="L40" s="399"/>
      <c r="M40" s="398"/>
      <c r="N40" s="4036">
        <v>0.37</v>
      </c>
      <c r="O40" s="3468">
        <f t="shared" si="3"/>
        <v>4.2780853988235288</v>
      </c>
      <c r="P40" s="3640"/>
      <c r="Q40" s="4033" t="s">
        <v>2158</v>
      </c>
      <c r="R40" s="391"/>
      <c r="S40" s="376" t="s">
        <v>424</v>
      </c>
      <c r="T40" s="376" t="s">
        <v>423</v>
      </c>
      <c r="U40" s="376">
        <v>0</v>
      </c>
      <c r="V40" s="376"/>
      <c r="W40" s="376"/>
      <c r="X40" s="376"/>
      <c r="Y40" s="376"/>
      <c r="Z40" s="376"/>
      <c r="AA40" s="376"/>
      <c r="AI40" s="3640"/>
      <c r="AJ40" s="3640"/>
      <c r="AK40" s="3640"/>
    </row>
    <row r="41" spans="1:37" s="377" customFormat="1" ht="13.15" customHeight="1">
      <c r="A41" s="427"/>
      <c r="B41" s="406"/>
      <c r="C41" s="383" t="s">
        <v>425</v>
      </c>
      <c r="D41" s="4039">
        <v>0.25</v>
      </c>
      <c r="E41" s="404">
        <v>4</v>
      </c>
      <c r="F41" s="408">
        <f t="shared" si="1"/>
        <v>83</v>
      </c>
      <c r="G41" s="402" t="s">
        <v>168</v>
      </c>
      <c r="H41" s="401"/>
      <c r="I41" s="400"/>
      <c r="J41" s="4258">
        <f t="shared" si="2"/>
        <v>15.023993294117645</v>
      </c>
      <c r="K41" s="4259"/>
      <c r="L41" s="399"/>
      <c r="M41" s="398"/>
      <c r="N41" s="4036">
        <v>0.19</v>
      </c>
      <c r="O41" s="3468">
        <f t="shared" si="3"/>
        <v>3.1045587258823524</v>
      </c>
      <c r="P41" s="3640"/>
      <c r="Q41" s="4033" t="s">
        <v>2158</v>
      </c>
      <c r="R41" s="391"/>
      <c r="S41" s="428" t="s">
        <v>424</v>
      </c>
      <c r="T41" s="376" t="s">
        <v>2159</v>
      </c>
      <c r="U41" s="376"/>
      <c r="V41" s="376"/>
      <c r="W41" s="376"/>
      <c r="X41" s="376"/>
      <c r="Y41" s="376"/>
      <c r="Z41" s="376"/>
      <c r="AA41" s="376"/>
      <c r="AI41" s="3640"/>
      <c r="AJ41" s="3640"/>
      <c r="AK41" s="3640"/>
    </row>
    <row r="42" spans="1:37" s="377" customFormat="1" ht="13.15" customHeight="1">
      <c r="A42" s="427"/>
      <c r="B42" s="406">
        <v>16</v>
      </c>
      <c r="C42" s="415" t="s">
        <v>422</v>
      </c>
      <c r="D42" s="4039">
        <f>0.05*20+0.6*20</f>
        <v>13</v>
      </c>
      <c r="E42" s="413">
        <v>3</v>
      </c>
      <c r="F42" s="408">
        <f t="shared" si="1"/>
        <v>102</v>
      </c>
      <c r="G42" s="412" t="s">
        <v>168</v>
      </c>
      <c r="H42" s="411"/>
      <c r="I42" s="410"/>
      <c r="J42" s="4258">
        <f t="shared" si="2"/>
        <v>17.230466</v>
      </c>
      <c r="K42" s="4259"/>
      <c r="L42" s="399"/>
      <c r="M42" s="398"/>
      <c r="N42" s="4036">
        <f>0.38+1.36</f>
        <v>1.7400000000000002</v>
      </c>
      <c r="O42" s="3468">
        <f t="shared" si="3"/>
        <v>42.981010840000003</v>
      </c>
      <c r="P42" s="3640"/>
      <c r="Q42" s="4033" t="s">
        <v>2161</v>
      </c>
      <c r="R42" s="391"/>
      <c r="S42" s="376" t="s">
        <v>2160</v>
      </c>
      <c r="T42" s="376" t="s">
        <v>2162</v>
      </c>
      <c r="U42" s="376">
        <v>0</v>
      </c>
      <c r="V42" s="376"/>
      <c r="W42" s="376"/>
      <c r="X42" s="376"/>
      <c r="Y42" s="376"/>
      <c r="Z42" s="376"/>
      <c r="AA42" s="376"/>
      <c r="AI42" s="3640"/>
      <c r="AJ42" s="3640"/>
      <c r="AK42" s="3640"/>
    </row>
    <row r="43" spans="1:37" s="377" customFormat="1" ht="13.15" customHeight="1">
      <c r="A43" s="427"/>
      <c r="B43" s="406">
        <v>19</v>
      </c>
      <c r="C43" s="415" t="s">
        <v>2166</v>
      </c>
      <c r="D43" s="3551">
        <f>0.4*20+0.1*20</f>
        <v>10</v>
      </c>
      <c r="E43" s="413">
        <v>3</v>
      </c>
      <c r="F43" s="408">
        <f t="shared" si="1"/>
        <v>102</v>
      </c>
      <c r="G43" s="412" t="s">
        <v>168</v>
      </c>
      <c r="H43" s="411"/>
      <c r="I43" s="410"/>
      <c r="J43" s="4258">
        <f t="shared" si="2"/>
        <v>17.230466</v>
      </c>
      <c r="K43" s="4259"/>
      <c r="L43" s="399"/>
      <c r="M43" s="398"/>
      <c r="N43" s="4037">
        <v>0.86</v>
      </c>
      <c r="O43" s="3468">
        <f t="shared" si="3"/>
        <v>24.81820076</v>
      </c>
      <c r="P43" s="3640"/>
      <c r="Q43" s="4033" t="s">
        <v>2163</v>
      </c>
      <c r="R43" s="391"/>
      <c r="S43" s="376" t="s">
        <v>2164</v>
      </c>
      <c r="T43" s="376" t="s">
        <v>2165</v>
      </c>
      <c r="U43" s="376">
        <v>0</v>
      </c>
      <c r="V43" s="376"/>
      <c r="W43" s="376"/>
      <c r="X43" s="376"/>
      <c r="Y43" s="376"/>
      <c r="Z43" s="376"/>
      <c r="AA43" s="376"/>
    </row>
    <row r="44" spans="1:37" s="377" customFormat="1" ht="13.15" customHeight="1">
      <c r="A44" s="427"/>
      <c r="B44" s="406">
        <v>20</v>
      </c>
      <c r="C44" s="415" t="s">
        <v>420</v>
      </c>
      <c r="D44" s="3551">
        <f>0.01*2+0.25*2</f>
        <v>0.52</v>
      </c>
      <c r="E44" s="413">
        <v>4</v>
      </c>
      <c r="F44" s="408">
        <f t="shared" si="1"/>
        <v>83</v>
      </c>
      <c r="G44" s="412" t="s">
        <v>168</v>
      </c>
      <c r="H44" s="411"/>
      <c r="I44" s="410"/>
      <c r="J44" s="4258">
        <f t="shared" si="2"/>
        <v>15.023993294117645</v>
      </c>
      <c r="K44" s="4259"/>
      <c r="L44" s="399"/>
      <c r="M44" s="398"/>
      <c r="N44" s="4037">
        <f>0.05+0.15</f>
        <v>0.2</v>
      </c>
      <c r="O44" s="3468">
        <f t="shared" si="3"/>
        <v>3.5247986588235292</v>
      </c>
      <c r="P44" s="3640"/>
      <c r="Q44" s="4033" t="s">
        <v>2169</v>
      </c>
      <c r="R44" s="391"/>
      <c r="S44" s="376" t="s">
        <v>2168</v>
      </c>
      <c r="T44" s="376" t="s">
        <v>2167</v>
      </c>
      <c r="U44" s="376" t="s">
        <v>351</v>
      </c>
      <c r="V44" s="376"/>
      <c r="W44" s="376"/>
      <c r="X44" s="376"/>
      <c r="Y44" s="376"/>
      <c r="Z44" s="376"/>
      <c r="AA44" s="376"/>
    </row>
    <row r="45" spans="1:37" s="3457" customFormat="1" ht="6" customHeight="1">
      <c r="A45" s="427"/>
      <c r="B45" s="426">
        <v>21</v>
      </c>
      <c r="C45" s="425"/>
      <c r="D45" s="4040"/>
      <c r="E45" s="424"/>
      <c r="F45" s="423"/>
      <c r="G45" s="422"/>
      <c r="H45" s="421"/>
      <c r="I45" s="420"/>
      <c r="J45" s="4260"/>
      <c r="K45" s="4261"/>
      <c r="L45" s="419"/>
      <c r="M45" s="418"/>
      <c r="N45" s="4038"/>
      <c r="O45" s="3468"/>
      <c r="P45" s="417"/>
      <c r="Q45" s="4035"/>
      <c r="R45" s="416"/>
      <c r="S45" s="3456"/>
      <c r="T45" s="3456"/>
      <c r="U45" s="3456"/>
      <c r="V45" s="3456"/>
      <c r="W45" s="3456"/>
      <c r="X45" s="3456"/>
      <c r="Y45" s="3456"/>
      <c r="Z45" s="3456"/>
      <c r="AA45" s="3456"/>
      <c r="AI45" s="3458"/>
      <c r="AJ45" s="3458"/>
      <c r="AK45" s="3458"/>
    </row>
    <row r="46" spans="1:37" s="377" customFormat="1" ht="13.15" customHeight="1">
      <c r="A46" s="399"/>
      <c r="B46" s="406">
        <v>22</v>
      </c>
      <c r="C46" s="383" t="s">
        <v>419</v>
      </c>
      <c r="D46" s="4039">
        <f>0.15+0.5</f>
        <v>0.65</v>
      </c>
      <c r="E46" s="404">
        <v>4</v>
      </c>
      <c r="F46" s="408">
        <f t="shared" si="1"/>
        <v>83</v>
      </c>
      <c r="G46" s="402" t="s">
        <v>168</v>
      </c>
      <c r="H46" s="401"/>
      <c r="I46" s="400"/>
      <c r="J46" s="4258">
        <f t="shared" si="2"/>
        <v>15.023993294117645</v>
      </c>
      <c r="K46" s="4259"/>
      <c r="L46" s="399"/>
      <c r="M46" s="398"/>
      <c r="N46" s="4036">
        <v>0.39</v>
      </c>
      <c r="O46" s="3468">
        <f t="shared" si="3"/>
        <v>6.5093573847058819</v>
      </c>
      <c r="P46" s="3640"/>
      <c r="Q46" s="4033" t="s">
        <v>2170</v>
      </c>
      <c r="R46" s="391"/>
      <c r="S46" s="376" t="s">
        <v>418</v>
      </c>
      <c r="T46" s="376" t="s">
        <v>417</v>
      </c>
      <c r="U46" s="376">
        <v>0</v>
      </c>
      <c r="V46" s="376"/>
      <c r="W46" s="376"/>
      <c r="X46" s="376"/>
      <c r="Y46" s="376"/>
      <c r="Z46" s="376"/>
      <c r="AA46" s="376"/>
      <c r="AI46" s="3640"/>
      <c r="AJ46" s="3640"/>
      <c r="AK46" s="3640"/>
    </row>
    <row r="47" spans="1:37" s="377" customFormat="1" ht="13.15" customHeight="1">
      <c r="A47" s="399"/>
      <c r="B47" s="406"/>
      <c r="C47" s="383" t="s">
        <v>416</v>
      </c>
      <c r="D47" s="4039">
        <f>0.15+0.5</f>
        <v>0.65</v>
      </c>
      <c r="E47" s="404">
        <v>4</v>
      </c>
      <c r="F47" s="408">
        <f t="shared" si="1"/>
        <v>83</v>
      </c>
      <c r="G47" s="402" t="s">
        <v>168</v>
      </c>
      <c r="H47" s="401"/>
      <c r="I47" s="400"/>
      <c r="J47" s="4258">
        <f t="shared" si="2"/>
        <v>15.023993294117645</v>
      </c>
      <c r="K47" s="4259"/>
      <c r="L47" s="399"/>
      <c r="M47" s="398"/>
      <c r="N47" s="4036">
        <v>0.23</v>
      </c>
      <c r="O47" s="3468">
        <f t="shared" si="3"/>
        <v>4.1055184576470589</v>
      </c>
      <c r="P47" s="3640"/>
      <c r="Q47" s="4033" t="s">
        <v>2170</v>
      </c>
      <c r="R47" s="391"/>
      <c r="S47" s="376" t="s">
        <v>415</v>
      </c>
      <c r="T47" s="376"/>
      <c r="U47" s="376"/>
      <c r="V47" s="376"/>
      <c r="W47" s="376"/>
      <c r="X47" s="376"/>
      <c r="Y47" s="376"/>
      <c r="Z47" s="376"/>
      <c r="AA47" s="376"/>
      <c r="AI47" s="3640"/>
      <c r="AJ47" s="3640"/>
      <c r="AK47" s="3640"/>
    </row>
    <row r="48" spans="1:37" s="377" customFormat="1" ht="13.15" customHeight="1">
      <c r="A48" s="399"/>
      <c r="B48" s="406">
        <v>23</v>
      </c>
      <c r="C48" s="383" t="s">
        <v>414</v>
      </c>
      <c r="D48" s="4039">
        <v>2.9</v>
      </c>
      <c r="E48" s="404">
        <v>4</v>
      </c>
      <c r="F48" s="408">
        <f t="shared" si="1"/>
        <v>83</v>
      </c>
      <c r="G48" s="402"/>
      <c r="H48" s="401" t="s">
        <v>168</v>
      </c>
      <c r="I48" s="400"/>
      <c r="J48" s="4258">
        <f t="shared" si="2"/>
        <v>18.248561848739492</v>
      </c>
      <c r="K48" s="4259"/>
      <c r="L48" s="399"/>
      <c r="M48" s="398"/>
      <c r="N48" s="4036">
        <v>1.17</v>
      </c>
      <c r="O48" s="3468">
        <f t="shared" si="3"/>
        <v>24.250817363025202</v>
      </c>
      <c r="P48" s="3640"/>
      <c r="Q48" s="4033" t="s">
        <v>2171</v>
      </c>
      <c r="R48" s="391"/>
      <c r="S48" s="376" t="s">
        <v>413</v>
      </c>
      <c r="T48" s="376" t="s">
        <v>412</v>
      </c>
      <c r="U48" s="376">
        <v>0</v>
      </c>
      <c r="V48" s="376"/>
      <c r="W48" s="376"/>
      <c r="X48" s="376"/>
      <c r="Y48" s="376"/>
      <c r="Z48" s="376"/>
      <c r="AA48" s="376"/>
      <c r="AI48" s="3640"/>
      <c r="AJ48" s="3640"/>
      <c r="AK48" s="3640"/>
    </row>
    <row r="49" spans="1:37" s="377" customFormat="1" ht="13.15" customHeight="1">
      <c r="A49" s="399"/>
      <c r="B49" s="406">
        <v>24</v>
      </c>
      <c r="C49" s="415" t="s">
        <v>2203</v>
      </c>
      <c r="D49" s="3551">
        <v>0.65</v>
      </c>
      <c r="E49" s="413">
        <v>6</v>
      </c>
      <c r="F49" s="408">
        <f t="shared" si="1"/>
        <v>54</v>
      </c>
      <c r="G49" s="412" t="s">
        <v>168</v>
      </c>
      <c r="H49" s="411"/>
      <c r="I49" s="410"/>
      <c r="J49" s="4258">
        <f t="shared" si="2"/>
        <v>10.886717294117647</v>
      </c>
      <c r="K49" s="4259"/>
      <c r="L49" s="399"/>
      <c r="M49" s="398"/>
      <c r="N49" s="4037">
        <v>0.39</v>
      </c>
      <c r="O49" s="3468">
        <f t="shared" si="3"/>
        <v>4.8958197447058831</v>
      </c>
      <c r="P49" s="3640"/>
      <c r="Q49" s="4033" t="s">
        <v>2204</v>
      </c>
      <c r="R49" s="391"/>
      <c r="S49" s="376" t="s">
        <v>2205</v>
      </c>
      <c r="T49" s="376" t="s">
        <v>351</v>
      </c>
      <c r="U49" s="376">
        <v>0</v>
      </c>
      <c r="V49" s="376"/>
      <c r="W49" s="376"/>
      <c r="X49" s="376"/>
      <c r="Y49" s="376"/>
      <c r="Z49" s="376"/>
      <c r="AA49" s="376"/>
      <c r="AI49" s="3640"/>
      <c r="AJ49" s="3640"/>
      <c r="AK49" s="3640"/>
    </row>
    <row r="50" spans="1:37" s="377" customFormat="1" ht="13.15" customHeight="1">
      <c r="A50" s="399"/>
      <c r="B50" s="406">
        <v>25</v>
      </c>
      <c r="C50" s="383" t="s">
        <v>410</v>
      </c>
      <c r="D50" s="4039">
        <v>2</v>
      </c>
      <c r="E50" s="404">
        <v>4</v>
      </c>
      <c r="F50" s="408">
        <f t="shared" si="1"/>
        <v>83</v>
      </c>
      <c r="G50" s="402" t="s">
        <v>168</v>
      </c>
      <c r="H50" s="401"/>
      <c r="I50" s="400"/>
      <c r="J50" s="4258">
        <f t="shared" si="2"/>
        <v>15.023993294117645</v>
      </c>
      <c r="K50" s="4259"/>
      <c r="L50" s="399"/>
      <c r="M50" s="398"/>
      <c r="N50" s="4036">
        <v>0.27</v>
      </c>
      <c r="O50" s="3468">
        <f t="shared" si="3"/>
        <v>6.0564781894117647</v>
      </c>
      <c r="P50" s="3640"/>
      <c r="Q50" s="4033" t="s">
        <v>2172</v>
      </c>
      <c r="R50" s="391"/>
      <c r="S50" s="376" t="s">
        <v>409</v>
      </c>
      <c r="T50" s="376" t="s">
        <v>408</v>
      </c>
      <c r="U50" s="376">
        <v>0</v>
      </c>
      <c r="V50" s="376"/>
      <c r="W50" s="376"/>
      <c r="X50" s="376"/>
      <c r="Y50" s="376"/>
      <c r="Z50" s="376"/>
      <c r="AA50" s="376"/>
      <c r="AI50" s="3640"/>
      <c r="AJ50" s="3640"/>
      <c r="AK50" s="3640"/>
    </row>
    <row r="51" spans="1:37" s="377" customFormat="1" ht="13.15" customHeight="1">
      <c r="A51" s="399"/>
      <c r="B51" s="406">
        <v>26</v>
      </c>
      <c r="C51" s="383" t="s">
        <v>407</v>
      </c>
      <c r="D51" s="4039">
        <v>3</v>
      </c>
      <c r="E51" s="404">
        <v>6</v>
      </c>
      <c r="F51" s="408">
        <f t="shared" si="1"/>
        <v>54</v>
      </c>
      <c r="G51" s="402"/>
      <c r="H51" s="401" t="s">
        <v>168</v>
      </c>
      <c r="I51" s="400"/>
      <c r="J51" s="4258">
        <f t="shared" si="2"/>
        <v>12.981024705882351</v>
      </c>
      <c r="K51" s="4259"/>
      <c r="L51" s="399"/>
      <c r="M51" s="398"/>
      <c r="N51" s="4036">
        <v>1.1299999999999999</v>
      </c>
      <c r="O51" s="3468">
        <f t="shared" si="3"/>
        <v>17.668557917647057</v>
      </c>
      <c r="P51" s="3640"/>
      <c r="Q51" s="4033" t="s">
        <v>2173</v>
      </c>
      <c r="R51" s="391"/>
      <c r="S51" s="376" t="s">
        <v>169</v>
      </c>
      <c r="T51" s="376" t="s">
        <v>406</v>
      </c>
      <c r="U51" s="376">
        <v>0</v>
      </c>
      <c r="V51" s="376"/>
      <c r="W51" s="376"/>
      <c r="X51" s="376"/>
      <c r="Y51" s="376"/>
      <c r="Z51" s="376"/>
      <c r="AA51" s="376"/>
      <c r="AI51" s="3640"/>
      <c r="AJ51" s="3640"/>
      <c r="AK51" s="3640"/>
    </row>
    <row r="52" spans="1:37" s="377" customFormat="1" ht="2.4500000000000002" customHeight="1">
      <c r="A52" s="396"/>
      <c r="B52" s="406">
        <v>27</v>
      </c>
      <c r="C52" s="383"/>
      <c r="D52" s="4039"/>
      <c r="E52" s="404"/>
      <c r="F52" s="408"/>
      <c r="G52" s="402"/>
      <c r="H52" s="401"/>
      <c r="I52" s="400"/>
      <c r="J52" s="4258"/>
      <c r="K52" s="4259"/>
      <c r="L52" s="399"/>
      <c r="M52" s="398"/>
      <c r="N52" s="4036"/>
      <c r="O52" s="3468"/>
      <c r="P52" s="3640"/>
      <c r="Q52" s="4033"/>
      <c r="R52" s="391"/>
      <c r="S52" s="376"/>
      <c r="T52" s="376"/>
      <c r="U52" s="376"/>
      <c r="V52" s="376"/>
      <c r="W52" s="376"/>
      <c r="X52" s="376"/>
      <c r="Y52" s="376"/>
      <c r="Z52" s="376"/>
      <c r="AA52" s="376"/>
      <c r="AI52" s="3640"/>
      <c r="AJ52" s="3640"/>
      <c r="AK52" s="3640"/>
    </row>
    <row r="53" spans="1:37" s="377" customFormat="1" ht="3" customHeight="1">
      <c r="A53" s="396"/>
      <c r="B53" s="406">
        <v>30</v>
      </c>
      <c r="C53" s="415"/>
      <c r="D53" s="3551"/>
      <c r="E53" s="413"/>
      <c r="F53" s="408"/>
      <c r="G53" s="412"/>
      <c r="H53" s="411"/>
      <c r="I53" s="410"/>
      <c r="J53" s="4258"/>
      <c r="K53" s="4259"/>
      <c r="L53" s="399"/>
      <c r="M53" s="398"/>
      <c r="N53" s="4037"/>
      <c r="O53" s="3468"/>
      <c r="P53" s="3640"/>
      <c r="Q53" s="4033"/>
      <c r="R53" s="391"/>
      <c r="S53" s="376"/>
      <c r="T53" s="376"/>
      <c r="U53" s="376"/>
      <c r="V53" s="376"/>
      <c r="W53" s="376"/>
      <c r="X53" s="376"/>
      <c r="Y53" s="376"/>
      <c r="Z53" s="376"/>
      <c r="AA53" s="376"/>
      <c r="AI53" s="3640"/>
      <c r="AJ53" s="3640"/>
      <c r="AK53" s="3640"/>
    </row>
    <row r="54" spans="1:37" s="377" customFormat="1" ht="13.15" customHeight="1">
      <c r="A54" s="399"/>
      <c r="B54" s="406">
        <v>31</v>
      </c>
      <c r="C54" s="383" t="s">
        <v>403</v>
      </c>
      <c r="D54" s="4039">
        <f>6*0.2</f>
        <v>1.2000000000000002</v>
      </c>
      <c r="E54" s="404">
        <v>4</v>
      </c>
      <c r="F54" s="408">
        <f t="shared" ref="F54:F78" si="4">IF(E54=0,0,INDEX($D$12:$E$18,E54,1))</f>
        <v>83</v>
      </c>
      <c r="G54" s="402" t="s">
        <v>168</v>
      </c>
      <c r="H54" s="401"/>
      <c r="I54" s="400"/>
      <c r="J54" s="4258">
        <f t="shared" ref="J54:J80" si="5">IF(I54="x",VLOOKUP(E54,$B$12:$O$18,14,FALSE),IF(H54="x",VLOOKUP(E54,$B$12:$O$18,13,FALSE),IF(G54="x",VLOOKUP(E54,$B$12:$O$18,12,FALSE),0)))</f>
        <v>15.023993294117645</v>
      </c>
      <c r="K54" s="4259"/>
      <c r="L54" s="399"/>
      <c r="M54" s="398"/>
      <c r="N54" s="4036">
        <v>0.56000000000000005</v>
      </c>
      <c r="O54" s="3468">
        <f t="shared" si="3"/>
        <v>9.6134362447058805</v>
      </c>
      <c r="P54" s="3640"/>
      <c r="Q54" s="4033" t="s">
        <v>2174</v>
      </c>
      <c r="R54" s="391"/>
      <c r="S54" s="376" t="s">
        <v>402</v>
      </c>
      <c r="T54" s="376" t="s">
        <v>401</v>
      </c>
      <c r="U54" s="376">
        <v>0</v>
      </c>
      <c r="V54" s="376"/>
      <c r="W54" s="376"/>
      <c r="X54" s="376"/>
      <c r="Y54" s="376"/>
      <c r="Z54" s="376"/>
      <c r="AA54" s="376"/>
      <c r="AI54" s="3640"/>
      <c r="AJ54" s="3640"/>
      <c r="AK54" s="3640"/>
    </row>
    <row r="55" spans="1:37" s="377" customFormat="1" ht="13.15" customHeight="1">
      <c r="A55" s="399"/>
      <c r="B55" s="406">
        <v>32</v>
      </c>
      <c r="C55" s="383" t="s">
        <v>400</v>
      </c>
      <c r="D55" s="4039">
        <f>6*0.2</f>
        <v>1.2000000000000002</v>
      </c>
      <c r="E55" s="404">
        <v>3</v>
      </c>
      <c r="F55" s="408">
        <f t="shared" si="4"/>
        <v>102</v>
      </c>
      <c r="G55" s="402" t="s">
        <v>168</v>
      </c>
      <c r="H55" s="401"/>
      <c r="I55" s="400"/>
      <c r="J55" s="4258">
        <f t="shared" si="5"/>
        <v>17.230466</v>
      </c>
      <c r="K55" s="4259"/>
      <c r="L55" s="399"/>
      <c r="M55" s="398"/>
      <c r="N55" s="4036">
        <v>0.3</v>
      </c>
      <c r="O55" s="3468">
        <f t="shared" si="3"/>
        <v>6.3691398000000001</v>
      </c>
      <c r="P55" s="3640"/>
      <c r="Q55" s="4033" t="s">
        <v>2174</v>
      </c>
      <c r="R55" s="391"/>
      <c r="S55" s="376" t="s">
        <v>399</v>
      </c>
      <c r="T55" s="376" t="s">
        <v>398</v>
      </c>
      <c r="U55" s="376">
        <v>0</v>
      </c>
      <c r="V55" s="376"/>
      <c r="W55" s="376"/>
      <c r="X55" s="376"/>
      <c r="Y55" s="376"/>
      <c r="Z55" s="376"/>
      <c r="AA55" s="376"/>
      <c r="AI55" s="3640"/>
      <c r="AJ55" s="3640"/>
      <c r="AK55" s="3640"/>
    </row>
    <row r="56" spans="1:37" s="377" customFormat="1" ht="13.15" customHeight="1">
      <c r="A56" s="399"/>
      <c r="B56" s="406">
        <v>33</v>
      </c>
      <c r="C56" s="383" t="s">
        <v>397</v>
      </c>
      <c r="D56" s="4039">
        <f>50*0.2</f>
        <v>10</v>
      </c>
      <c r="E56" s="404">
        <v>3</v>
      </c>
      <c r="F56" s="408">
        <f t="shared" si="4"/>
        <v>102</v>
      </c>
      <c r="G56" s="402" t="s">
        <v>168</v>
      </c>
      <c r="H56" s="401"/>
      <c r="I56" s="400"/>
      <c r="J56" s="4258">
        <f t="shared" si="5"/>
        <v>17.230466</v>
      </c>
      <c r="K56" s="4259"/>
      <c r="L56" s="399"/>
      <c r="M56" s="398"/>
      <c r="N56" s="4036">
        <v>4.88</v>
      </c>
      <c r="O56" s="3468">
        <f t="shared" si="3"/>
        <v>94.084674079999999</v>
      </c>
      <c r="P56" s="3640"/>
      <c r="Q56" s="4033" t="s">
        <v>2175</v>
      </c>
      <c r="R56" s="391"/>
      <c r="S56" s="376" t="s">
        <v>399</v>
      </c>
      <c r="T56" s="376" t="s">
        <v>2176</v>
      </c>
      <c r="U56" s="376">
        <v>0</v>
      </c>
      <c r="V56" s="376"/>
      <c r="W56" s="376"/>
      <c r="X56" s="376"/>
      <c r="Y56" s="376"/>
      <c r="Z56" s="376"/>
      <c r="AA56" s="376"/>
      <c r="AI56" s="3640"/>
      <c r="AJ56" s="3640"/>
      <c r="AK56" s="3640"/>
    </row>
    <row r="57" spans="1:37" s="377" customFormat="1" ht="13.15" customHeight="1">
      <c r="A57" s="399"/>
      <c r="B57" s="406">
        <v>34</v>
      </c>
      <c r="C57" s="383" t="s">
        <v>396</v>
      </c>
      <c r="D57" s="4039">
        <f>0.2*4</f>
        <v>0.8</v>
      </c>
      <c r="E57" s="404">
        <v>5</v>
      </c>
      <c r="F57" s="408">
        <f t="shared" si="4"/>
        <v>83</v>
      </c>
      <c r="G57" s="402" t="s">
        <v>168</v>
      </c>
      <c r="H57" s="401"/>
      <c r="I57" s="400"/>
      <c r="J57" s="4258">
        <f t="shared" si="5"/>
        <v>16.023993294117645</v>
      </c>
      <c r="K57" s="4259"/>
      <c r="L57" s="399"/>
      <c r="M57" s="398"/>
      <c r="N57" s="4036">
        <v>0.68</v>
      </c>
      <c r="O57" s="3468">
        <f t="shared" si="3"/>
        <v>11.696315439999999</v>
      </c>
      <c r="P57" s="3640"/>
      <c r="Q57" s="4033" t="s">
        <v>2177</v>
      </c>
      <c r="R57" s="391"/>
      <c r="S57" s="376" t="s">
        <v>395</v>
      </c>
      <c r="T57" s="376" t="s">
        <v>394</v>
      </c>
      <c r="U57" s="376">
        <v>0</v>
      </c>
      <c r="V57" s="376"/>
      <c r="W57" s="376"/>
      <c r="X57" s="376"/>
      <c r="Y57" s="376"/>
      <c r="Z57" s="376"/>
      <c r="AA57" s="376"/>
      <c r="AI57" s="3640"/>
      <c r="AJ57" s="3640"/>
      <c r="AK57" s="3640"/>
    </row>
    <row r="58" spans="1:37" s="377" customFormat="1" ht="6" customHeight="1">
      <c r="A58" s="396"/>
      <c r="B58" s="406">
        <v>35</v>
      </c>
      <c r="C58" s="383"/>
      <c r="D58" s="4039"/>
      <c r="E58" s="404"/>
      <c r="F58" s="408"/>
      <c r="G58" s="402"/>
      <c r="H58" s="401"/>
      <c r="I58" s="400"/>
      <c r="J58" s="4258"/>
      <c r="K58" s="4259"/>
      <c r="L58" s="399"/>
      <c r="M58" s="398"/>
      <c r="N58" s="4036"/>
      <c r="O58" s="3468"/>
      <c r="P58" s="3640"/>
      <c r="Q58" s="4033"/>
      <c r="R58" s="391"/>
      <c r="S58" s="376"/>
      <c r="T58" s="376"/>
      <c r="U58" s="376"/>
      <c r="V58" s="376"/>
      <c r="W58" s="376"/>
      <c r="X58" s="376"/>
      <c r="Y58" s="376"/>
      <c r="Z58" s="376"/>
      <c r="AA58" s="376"/>
      <c r="AI58" s="3640"/>
      <c r="AJ58" s="3640"/>
      <c r="AK58" s="3640"/>
    </row>
    <row r="59" spans="1:37" s="377" customFormat="1" ht="13.15" customHeight="1">
      <c r="A59" s="399"/>
      <c r="B59" s="406">
        <v>36</v>
      </c>
      <c r="C59" s="383" t="s">
        <v>393</v>
      </c>
      <c r="D59" s="4039">
        <v>0.5</v>
      </c>
      <c r="E59" s="404">
        <v>3</v>
      </c>
      <c r="F59" s="408">
        <f t="shared" si="4"/>
        <v>102</v>
      </c>
      <c r="G59" s="402" t="s">
        <v>168</v>
      </c>
      <c r="H59" s="401"/>
      <c r="I59" s="400"/>
      <c r="J59" s="4258">
        <f t="shared" si="5"/>
        <v>17.230466</v>
      </c>
      <c r="K59" s="4259"/>
      <c r="L59" s="399"/>
      <c r="M59" s="398"/>
      <c r="N59" s="4036">
        <v>0.81</v>
      </c>
      <c r="O59" s="3468">
        <f t="shared" si="3"/>
        <v>14.456677460000002</v>
      </c>
      <c r="P59" s="3640"/>
      <c r="Q59" s="4033" t="s">
        <v>2179</v>
      </c>
      <c r="R59" s="391"/>
      <c r="S59" s="376" t="s">
        <v>2178</v>
      </c>
      <c r="T59" s="376" t="s">
        <v>2180</v>
      </c>
      <c r="U59" s="376">
        <v>0</v>
      </c>
      <c r="V59" s="376"/>
      <c r="W59" s="376"/>
      <c r="X59" s="376"/>
      <c r="Y59" s="376"/>
      <c r="Z59" s="376"/>
      <c r="AA59" s="376"/>
      <c r="AI59" s="3640"/>
      <c r="AJ59" s="3640"/>
      <c r="AK59" s="3640"/>
    </row>
    <row r="60" spans="1:37" s="377" customFormat="1" ht="13.15" customHeight="1">
      <c r="A60" s="399"/>
      <c r="B60" s="406">
        <v>37</v>
      </c>
      <c r="C60" s="383" t="s">
        <v>392</v>
      </c>
      <c r="D60" s="4039">
        <v>2.2000000000000002</v>
      </c>
      <c r="E60" s="404">
        <v>5</v>
      </c>
      <c r="F60" s="408">
        <f t="shared" si="4"/>
        <v>83</v>
      </c>
      <c r="G60" s="402" t="s">
        <v>168</v>
      </c>
      <c r="H60" s="401"/>
      <c r="I60" s="400"/>
      <c r="J60" s="4258">
        <f t="shared" si="5"/>
        <v>16.023993294117645</v>
      </c>
      <c r="K60" s="4259"/>
      <c r="L60" s="399"/>
      <c r="M60" s="398"/>
      <c r="N60" s="4036">
        <v>0.47</v>
      </c>
      <c r="O60" s="3468">
        <f t="shared" si="3"/>
        <v>9.7312768482352929</v>
      </c>
      <c r="P60" s="3640"/>
      <c r="Q60" s="4033" t="s">
        <v>2182</v>
      </c>
      <c r="R60" s="391"/>
      <c r="S60" s="376" t="s">
        <v>2183</v>
      </c>
      <c r="T60" s="376" t="s">
        <v>2181</v>
      </c>
      <c r="U60" s="376">
        <v>0</v>
      </c>
      <c r="V60" s="376"/>
      <c r="W60" s="376"/>
      <c r="X60" s="376"/>
      <c r="Y60" s="376"/>
      <c r="Z60" s="376"/>
      <c r="AA60" s="376"/>
      <c r="AI60" s="3640"/>
      <c r="AJ60" s="3640"/>
      <c r="AK60" s="3640"/>
    </row>
    <row r="61" spans="1:37" s="377" customFormat="1" ht="13.15" customHeight="1">
      <c r="A61" s="399"/>
      <c r="B61" s="406">
        <v>38</v>
      </c>
      <c r="C61" s="383" t="s">
        <v>391</v>
      </c>
      <c r="D61" s="4039">
        <v>2</v>
      </c>
      <c r="E61" s="404">
        <v>1</v>
      </c>
      <c r="F61" s="408">
        <f t="shared" si="4"/>
        <v>200</v>
      </c>
      <c r="G61" s="402"/>
      <c r="H61" s="401" t="s">
        <v>168</v>
      </c>
      <c r="I61" s="400"/>
      <c r="J61" s="4258">
        <f t="shared" si="5"/>
        <v>40.81871042016806</v>
      </c>
      <c r="K61" s="4259"/>
      <c r="L61" s="399"/>
      <c r="M61" s="398"/>
      <c r="N61" s="4036">
        <v>0.34</v>
      </c>
      <c r="O61" s="3468">
        <f t="shared" si="3"/>
        <v>15.878361542857141</v>
      </c>
      <c r="P61" s="3640"/>
      <c r="Q61" s="4033" t="s">
        <v>2185</v>
      </c>
      <c r="R61" s="391"/>
      <c r="S61" s="376">
        <v>0</v>
      </c>
      <c r="T61" s="376" t="s">
        <v>2184</v>
      </c>
      <c r="U61" s="376">
        <v>0</v>
      </c>
      <c r="V61" s="376"/>
      <c r="W61" s="376"/>
      <c r="X61" s="376"/>
      <c r="Y61" s="376"/>
      <c r="Z61" s="376"/>
      <c r="AA61" s="376"/>
      <c r="AI61" s="3640"/>
      <c r="AJ61" s="3640"/>
      <c r="AK61" s="3640"/>
    </row>
    <row r="62" spans="1:37" s="377" customFormat="1" ht="13.15" customHeight="1">
      <c r="A62" s="399"/>
      <c r="B62" s="406">
        <v>39</v>
      </c>
      <c r="C62" s="383" t="s">
        <v>390</v>
      </c>
      <c r="D62" s="4039">
        <v>2.5</v>
      </c>
      <c r="E62" s="404">
        <v>3</v>
      </c>
      <c r="F62" s="408">
        <f t="shared" si="4"/>
        <v>102</v>
      </c>
      <c r="G62" s="402"/>
      <c r="H62" s="401" t="s">
        <v>168</v>
      </c>
      <c r="I62" s="400"/>
      <c r="J62" s="4258">
        <f t="shared" si="5"/>
        <v>21.18638</v>
      </c>
      <c r="K62" s="4259"/>
      <c r="L62" s="399"/>
      <c r="M62" s="398"/>
      <c r="N62" s="4036">
        <v>0.54</v>
      </c>
      <c r="O62" s="3468">
        <f t="shared" si="3"/>
        <v>13.940645200000001</v>
      </c>
      <c r="P62" s="3640"/>
      <c r="Q62" s="4033" t="s">
        <v>2186</v>
      </c>
      <c r="R62" s="391"/>
      <c r="S62" s="376">
        <v>0</v>
      </c>
      <c r="T62" s="376">
        <v>0</v>
      </c>
      <c r="U62" s="376">
        <v>0</v>
      </c>
      <c r="V62" s="376"/>
      <c r="W62" s="376"/>
      <c r="X62" s="376"/>
      <c r="Y62" s="376"/>
      <c r="Z62" s="376"/>
      <c r="AA62" s="376"/>
      <c r="AI62" s="3640"/>
      <c r="AJ62" s="3640"/>
      <c r="AK62" s="3640"/>
    </row>
    <row r="63" spans="1:37" s="377" customFormat="1" ht="13.15" customHeight="1">
      <c r="A63" s="399"/>
      <c r="B63" s="406">
        <v>40</v>
      </c>
      <c r="C63" s="383" t="s">
        <v>389</v>
      </c>
      <c r="D63" s="4039">
        <v>1.7</v>
      </c>
      <c r="E63" s="404">
        <v>5</v>
      </c>
      <c r="F63" s="408">
        <f t="shared" si="4"/>
        <v>83</v>
      </c>
      <c r="G63" s="402" t="s">
        <v>168</v>
      </c>
      <c r="H63" s="401"/>
      <c r="I63" s="400"/>
      <c r="J63" s="4258">
        <f t="shared" si="5"/>
        <v>16.023993294117645</v>
      </c>
      <c r="K63" s="4259"/>
      <c r="L63" s="399"/>
      <c r="M63" s="398"/>
      <c r="N63" s="4036">
        <v>0.35</v>
      </c>
      <c r="O63" s="3468">
        <f t="shared" si="3"/>
        <v>7.3083976529411752</v>
      </c>
      <c r="P63" s="3640"/>
      <c r="Q63" s="4033" t="s">
        <v>2189</v>
      </c>
      <c r="R63" s="391"/>
      <c r="S63" s="376" t="s">
        <v>2187</v>
      </c>
      <c r="T63" s="376" t="s">
        <v>2188</v>
      </c>
      <c r="U63" s="376">
        <v>0</v>
      </c>
      <c r="V63" s="376"/>
      <c r="W63" s="376"/>
      <c r="X63" s="376"/>
      <c r="Y63" s="376"/>
      <c r="Z63" s="376"/>
      <c r="AA63" s="376"/>
      <c r="AI63" s="3640"/>
      <c r="AJ63" s="3640"/>
      <c r="AK63" s="3640"/>
    </row>
    <row r="64" spans="1:37" s="377" customFormat="1" ht="13.15" customHeight="1">
      <c r="A64" s="399"/>
      <c r="B64" s="406">
        <v>41</v>
      </c>
      <c r="C64" s="383" t="s">
        <v>388</v>
      </c>
      <c r="D64" s="4039">
        <v>2.2999999999999998</v>
      </c>
      <c r="E64" s="404">
        <v>5</v>
      </c>
      <c r="F64" s="408">
        <f t="shared" si="4"/>
        <v>83</v>
      </c>
      <c r="G64" s="402"/>
      <c r="H64" s="401" t="s">
        <v>168</v>
      </c>
      <c r="I64" s="400"/>
      <c r="J64" s="4258">
        <f t="shared" si="5"/>
        <v>19.248561848739492</v>
      </c>
      <c r="K64" s="4259"/>
      <c r="L64" s="399"/>
      <c r="M64" s="398"/>
      <c r="N64" s="4036">
        <v>0.26</v>
      </c>
      <c r="O64" s="3468">
        <f t="shared" si="3"/>
        <v>7.3046260806722678</v>
      </c>
      <c r="P64" s="3640"/>
      <c r="Q64" s="4041" t="s">
        <v>2190</v>
      </c>
      <c r="R64" s="391"/>
      <c r="S64" s="376">
        <v>0</v>
      </c>
      <c r="T64" s="376" t="s">
        <v>2191</v>
      </c>
      <c r="U64" s="376">
        <v>0</v>
      </c>
      <c r="V64" s="376"/>
      <c r="W64" s="376"/>
      <c r="X64" s="376"/>
      <c r="Y64" s="376"/>
      <c r="Z64" s="376"/>
      <c r="AA64" s="376"/>
      <c r="AI64" s="3640"/>
      <c r="AJ64" s="3640"/>
      <c r="AK64" s="3640"/>
    </row>
    <row r="65" spans="1:37" s="377" customFormat="1" ht="0.6" customHeight="1">
      <c r="A65" s="396"/>
      <c r="B65" s="406">
        <v>44</v>
      </c>
      <c r="C65" s="383"/>
      <c r="D65" s="4039"/>
      <c r="E65" s="404"/>
      <c r="F65" s="408">
        <f t="shared" si="4"/>
        <v>0</v>
      </c>
      <c r="G65" s="402"/>
      <c r="H65" s="401"/>
      <c r="I65" s="400"/>
      <c r="J65" s="4258">
        <f t="shared" si="5"/>
        <v>0</v>
      </c>
      <c r="K65" s="4259"/>
      <c r="L65" s="399"/>
      <c r="M65" s="398"/>
      <c r="N65" s="4036"/>
      <c r="O65" s="3468">
        <f t="shared" si="3"/>
        <v>0</v>
      </c>
      <c r="P65" s="3640"/>
      <c r="Q65" s="4041"/>
      <c r="R65" s="391"/>
      <c r="S65" s="376"/>
      <c r="T65" s="376"/>
      <c r="U65" s="376"/>
      <c r="V65" s="376"/>
      <c r="W65" s="376"/>
      <c r="X65" s="376"/>
      <c r="Y65" s="376"/>
      <c r="Z65" s="376"/>
      <c r="AA65" s="376"/>
      <c r="AI65" s="3640"/>
      <c r="AJ65" s="3640"/>
      <c r="AK65" s="3640"/>
    </row>
    <row r="66" spans="1:37" s="377" customFormat="1" ht="13.15" customHeight="1">
      <c r="A66" s="399"/>
      <c r="B66" s="406">
        <v>45</v>
      </c>
      <c r="C66" s="383" t="s">
        <v>384</v>
      </c>
      <c r="D66" s="4039">
        <v>97.8</v>
      </c>
      <c r="E66" s="404"/>
      <c r="F66" s="408">
        <f t="shared" si="4"/>
        <v>0</v>
      </c>
      <c r="G66" s="402"/>
      <c r="H66" s="401"/>
      <c r="I66" s="400"/>
      <c r="J66" s="4258">
        <f t="shared" si="5"/>
        <v>0</v>
      </c>
      <c r="K66" s="4259"/>
      <c r="L66" s="399"/>
      <c r="M66" s="398"/>
      <c r="N66" s="4036">
        <v>2.36</v>
      </c>
      <c r="O66" s="3468">
        <f t="shared" si="3"/>
        <v>97.8</v>
      </c>
      <c r="P66" s="3640"/>
      <c r="Q66" s="4041" t="s">
        <v>383</v>
      </c>
      <c r="R66" s="391" t="s">
        <v>2209</v>
      </c>
      <c r="S66" s="376">
        <v>0</v>
      </c>
      <c r="T66" s="376">
        <v>0</v>
      </c>
      <c r="U66" s="376">
        <v>0</v>
      </c>
      <c r="V66" s="376"/>
      <c r="W66" s="376"/>
      <c r="X66" s="376"/>
      <c r="Y66" s="376"/>
      <c r="Z66" s="376"/>
      <c r="AA66" s="376"/>
      <c r="AI66" s="3640"/>
      <c r="AJ66" s="3640"/>
      <c r="AK66" s="3640"/>
    </row>
    <row r="67" spans="1:37" s="377" customFormat="1" ht="13.15" customHeight="1">
      <c r="A67" s="399"/>
      <c r="B67" s="406">
        <v>46</v>
      </c>
      <c r="C67" s="383" t="s">
        <v>382</v>
      </c>
      <c r="D67" s="4039">
        <f>((5.7)*0.07+0.01*2.5)+0.2*2.5</f>
        <v>0.92400000000000015</v>
      </c>
      <c r="E67" s="404">
        <v>6</v>
      </c>
      <c r="F67" s="408">
        <f t="shared" si="4"/>
        <v>54</v>
      </c>
      <c r="G67" s="402" t="s">
        <v>168</v>
      </c>
      <c r="H67" s="401"/>
      <c r="I67" s="400"/>
      <c r="J67" s="4258">
        <f t="shared" si="5"/>
        <v>10.886717294117647</v>
      </c>
      <c r="K67" s="4259"/>
      <c r="L67" s="399"/>
      <c r="M67" s="398"/>
      <c r="N67" s="4036">
        <v>0.21</v>
      </c>
      <c r="O67" s="3468">
        <f t="shared" si="3"/>
        <v>3.2102106317647054</v>
      </c>
      <c r="P67" s="3640"/>
      <c r="Q67" s="4041" t="s">
        <v>381</v>
      </c>
      <c r="R67" s="391"/>
      <c r="S67" s="376" t="s">
        <v>2207</v>
      </c>
      <c r="T67" s="376" t="s">
        <v>2206</v>
      </c>
      <c r="U67" s="376">
        <v>0</v>
      </c>
      <c r="V67" s="376"/>
      <c r="W67" s="376"/>
      <c r="X67" s="376"/>
      <c r="Y67" s="376"/>
      <c r="Z67" s="376"/>
      <c r="AA67" s="376"/>
      <c r="AI67" s="3640"/>
      <c r="AJ67" s="3640"/>
      <c r="AK67" s="3640"/>
    </row>
    <row r="68" spans="1:37" s="377" customFormat="1" ht="13.15" customHeight="1">
      <c r="A68" s="399"/>
      <c r="B68" s="406">
        <v>47</v>
      </c>
      <c r="C68" s="383" t="s">
        <v>378</v>
      </c>
      <c r="D68" s="4039">
        <v>13</v>
      </c>
      <c r="E68" s="404">
        <v>5</v>
      </c>
      <c r="F68" s="408">
        <f t="shared" si="4"/>
        <v>83</v>
      </c>
      <c r="G68" s="402" t="s">
        <v>168</v>
      </c>
      <c r="H68" s="401"/>
      <c r="I68" s="400"/>
      <c r="J68" s="4258">
        <f t="shared" si="5"/>
        <v>16.023993294117645</v>
      </c>
      <c r="K68" s="4259"/>
      <c r="L68" s="399"/>
      <c r="M68" s="398"/>
      <c r="N68" s="4036">
        <v>2</v>
      </c>
      <c r="O68" s="3468">
        <f t="shared" si="3"/>
        <v>45.04798658823529</v>
      </c>
      <c r="P68" s="3640"/>
      <c r="Q68" s="4041" t="s">
        <v>2208</v>
      </c>
      <c r="R68" s="391" t="s">
        <v>2209</v>
      </c>
      <c r="S68" s="376" t="s">
        <v>377</v>
      </c>
      <c r="T68" s="376" t="s">
        <v>376</v>
      </c>
      <c r="U68" s="376" t="s">
        <v>375</v>
      </c>
      <c r="V68" s="376"/>
      <c r="W68" s="376"/>
      <c r="X68" s="376"/>
      <c r="Y68" s="376"/>
      <c r="Z68" s="376"/>
      <c r="AA68" s="376"/>
      <c r="AI68" s="3640"/>
      <c r="AJ68" s="3640"/>
      <c r="AK68" s="3640"/>
    </row>
    <row r="69" spans="1:37" s="377" customFormat="1" ht="13.15" customHeight="1">
      <c r="A69" s="399"/>
      <c r="B69" s="406">
        <v>48</v>
      </c>
      <c r="C69" s="383" t="s">
        <v>374</v>
      </c>
      <c r="D69" s="4039">
        <v>13</v>
      </c>
      <c r="E69" s="404">
        <v>5</v>
      </c>
      <c r="F69" s="408">
        <f t="shared" si="4"/>
        <v>83</v>
      </c>
      <c r="G69" s="402" t="s">
        <v>168</v>
      </c>
      <c r="H69" s="401"/>
      <c r="I69" s="400"/>
      <c r="J69" s="4258">
        <f t="shared" si="5"/>
        <v>16.023993294117645</v>
      </c>
      <c r="K69" s="4259"/>
      <c r="L69" s="399"/>
      <c r="M69" s="398"/>
      <c r="N69" s="4036">
        <v>1.1399999999999999</v>
      </c>
      <c r="O69" s="3468">
        <f t="shared" si="3"/>
        <v>31.267352355294115</v>
      </c>
      <c r="P69" s="3640"/>
      <c r="Q69" s="4041" t="s">
        <v>2192</v>
      </c>
      <c r="R69" s="391"/>
      <c r="S69" s="376" t="s">
        <v>372</v>
      </c>
      <c r="T69" s="376" t="s">
        <v>371</v>
      </c>
      <c r="U69" s="376" t="s">
        <v>363</v>
      </c>
      <c r="V69" s="376"/>
      <c r="W69" s="376"/>
      <c r="X69" s="376"/>
      <c r="Y69" s="376"/>
      <c r="Z69" s="376"/>
      <c r="AA69" s="376"/>
      <c r="AI69" s="3640"/>
      <c r="AJ69" s="3640"/>
      <c r="AK69" s="3640"/>
    </row>
    <row r="70" spans="1:37" s="377" customFormat="1" ht="13.15" customHeight="1">
      <c r="A70" s="399"/>
      <c r="B70" s="406">
        <v>49</v>
      </c>
      <c r="C70" s="383" t="s">
        <v>370</v>
      </c>
      <c r="D70" s="4039">
        <v>3</v>
      </c>
      <c r="E70" s="404">
        <v>6</v>
      </c>
      <c r="F70" s="408">
        <f t="shared" si="4"/>
        <v>54</v>
      </c>
      <c r="G70" s="402"/>
      <c r="H70" s="401" t="s">
        <v>168</v>
      </c>
      <c r="I70" s="400"/>
      <c r="J70" s="4258">
        <f t="shared" si="5"/>
        <v>12.981024705882351</v>
      </c>
      <c r="K70" s="4259"/>
      <c r="L70" s="399"/>
      <c r="M70" s="398"/>
      <c r="N70" s="4036">
        <v>0.71</v>
      </c>
      <c r="O70" s="3468">
        <f t="shared" si="3"/>
        <v>12.216527541176468</v>
      </c>
      <c r="P70" s="3640"/>
      <c r="Q70" s="4041" t="s">
        <v>2193</v>
      </c>
      <c r="R70" s="391"/>
      <c r="S70" s="376" t="s">
        <v>365</v>
      </c>
      <c r="T70" s="376" t="s">
        <v>369</v>
      </c>
      <c r="U70" s="376">
        <v>0</v>
      </c>
      <c r="V70" s="376"/>
      <c r="W70" s="376"/>
      <c r="X70" s="376"/>
      <c r="Y70" s="376"/>
      <c r="Z70" s="376"/>
      <c r="AA70" s="376"/>
      <c r="AI70" s="3640"/>
      <c r="AJ70" s="3640"/>
      <c r="AK70" s="3640"/>
    </row>
    <row r="71" spans="1:37" s="377" customFormat="1" ht="13.15" customHeight="1">
      <c r="A71" s="399"/>
      <c r="B71" s="406">
        <v>50</v>
      </c>
      <c r="C71" s="415" t="s">
        <v>368</v>
      </c>
      <c r="D71" s="3551">
        <v>3</v>
      </c>
      <c r="E71" s="413">
        <v>6</v>
      </c>
      <c r="F71" s="408">
        <f t="shared" si="4"/>
        <v>54</v>
      </c>
      <c r="G71" s="412" t="s">
        <v>168</v>
      </c>
      <c r="H71" s="411"/>
      <c r="I71" s="410"/>
      <c r="J71" s="4258">
        <f t="shared" si="5"/>
        <v>10.886717294117647</v>
      </c>
      <c r="K71" s="4259"/>
      <c r="L71" s="399"/>
      <c r="M71" s="398"/>
      <c r="N71" s="4037">
        <v>0.95</v>
      </c>
      <c r="O71" s="3468">
        <f t="shared" si="3"/>
        <v>13.342381429411764</v>
      </c>
      <c r="P71" s="3640"/>
      <c r="Q71" s="4041" t="s">
        <v>367</v>
      </c>
      <c r="R71" s="391" t="s">
        <v>2209</v>
      </c>
      <c r="S71" s="376" t="s">
        <v>351</v>
      </c>
      <c r="T71" s="376" t="s">
        <v>351</v>
      </c>
      <c r="U71" s="376" t="s">
        <v>351</v>
      </c>
      <c r="V71" s="376"/>
      <c r="W71" s="376"/>
      <c r="X71" s="376"/>
      <c r="Y71" s="376"/>
      <c r="Z71" s="376"/>
      <c r="AA71" s="376"/>
      <c r="AI71" s="3640"/>
      <c r="AJ71" s="3640"/>
      <c r="AK71" s="3640"/>
    </row>
    <row r="72" spans="1:37" s="377" customFormat="1" ht="13.15" customHeight="1">
      <c r="A72" s="399"/>
      <c r="B72" s="406">
        <v>52</v>
      </c>
      <c r="C72" s="383" t="s">
        <v>366</v>
      </c>
      <c r="D72" s="4039">
        <v>3</v>
      </c>
      <c r="E72" s="404">
        <v>6</v>
      </c>
      <c r="F72" s="408">
        <f t="shared" si="4"/>
        <v>54</v>
      </c>
      <c r="G72" s="402"/>
      <c r="H72" s="401" t="s">
        <v>168</v>
      </c>
      <c r="I72" s="400"/>
      <c r="J72" s="4258">
        <f t="shared" si="5"/>
        <v>12.981024705882351</v>
      </c>
      <c r="K72" s="4259"/>
      <c r="L72" s="399"/>
      <c r="M72" s="398"/>
      <c r="N72" s="4036">
        <v>0.96</v>
      </c>
      <c r="O72" s="3468">
        <f t="shared" si="3"/>
        <v>15.461783717647057</v>
      </c>
      <c r="P72" s="3640"/>
      <c r="Q72" s="4041" t="s">
        <v>2193</v>
      </c>
      <c r="R72" s="391"/>
      <c r="S72" s="376" t="s">
        <v>365</v>
      </c>
      <c r="T72" s="376" t="s">
        <v>364</v>
      </c>
      <c r="U72" s="376" t="s">
        <v>363</v>
      </c>
      <c r="V72" s="376"/>
      <c r="W72" s="376"/>
      <c r="X72" s="376"/>
      <c r="Y72" s="376"/>
      <c r="Z72" s="376"/>
      <c r="AA72" s="376"/>
      <c r="AI72" s="3640"/>
      <c r="AJ72" s="3640"/>
      <c r="AK72" s="3640"/>
    </row>
    <row r="73" spans="1:37" s="377" customFormat="1" ht="13.15" customHeight="1">
      <c r="A73" s="399"/>
      <c r="B73" s="406"/>
      <c r="C73" s="415" t="s">
        <v>362</v>
      </c>
      <c r="D73" s="3551">
        <v>6</v>
      </c>
      <c r="E73" s="413">
        <v>6</v>
      </c>
      <c r="F73" s="408">
        <f t="shared" si="4"/>
        <v>54</v>
      </c>
      <c r="G73" s="412"/>
      <c r="H73" s="411" t="s">
        <v>168</v>
      </c>
      <c r="I73" s="410"/>
      <c r="J73" s="4258">
        <f t="shared" si="5"/>
        <v>12.981024705882351</v>
      </c>
      <c r="K73" s="4259"/>
      <c r="L73" s="399"/>
      <c r="M73" s="398"/>
      <c r="N73" s="4037">
        <v>0.95</v>
      </c>
      <c r="O73" s="3468">
        <f t="shared" si="3"/>
        <v>18.331973470588231</v>
      </c>
      <c r="P73" s="3640"/>
      <c r="Q73" s="4041" t="s">
        <v>2194</v>
      </c>
      <c r="R73" s="391"/>
      <c r="S73" s="376" t="s">
        <v>2195</v>
      </c>
      <c r="T73" s="376" t="s">
        <v>2196</v>
      </c>
      <c r="U73" s="376" t="s">
        <v>351</v>
      </c>
      <c r="V73" s="376"/>
      <c r="W73" s="376"/>
      <c r="X73" s="376"/>
      <c r="Y73" s="376"/>
      <c r="Z73" s="376"/>
      <c r="AA73" s="376"/>
      <c r="AI73" s="3640"/>
      <c r="AJ73" s="3640"/>
      <c r="AK73" s="3640"/>
    </row>
    <row r="74" spans="1:37" s="377" customFormat="1" ht="13.15" customHeight="1">
      <c r="A74" s="399"/>
      <c r="B74" s="406"/>
      <c r="C74" s="415" t="s">
        <v>361</v>
      </c>
      <c r="D74" s="3551">
        <v>50</v>
      </c>
      <c r="E74" s="413">
        <v>6</v>
      </c>
      <c r="F74" s="408">
        <f t="shared" si="4"/>
        <v>54</v>
      </c>
      <c r="G74" s="412" t="s">
        <v>168</v>
      </c>
      <c r="H74" s="411"/>
      <c r="I74" s="410"/>
      <c r="J74" s="4258">
        <f t="shared" si="5"/>
        <v>10.886717294117647</v>
      </c>
      <c r="K74" s="4259"/>
      <c r="L74" s="399"/>
      <c r="M74" s="398"/>
      <c r="N74" s="4037">
        <v>6</v>
      </c>
      <c r="O74" s="3468">
        <f t="shared" si="3"/>
        <v>115.32030376470588</v>
      </c>
      <c r="P74" s="3640"/>
      <c r="Q74" s="4041" t="s">
        <v>2198</v>
      </c>
      <c r="R74" s="391"/>
      <c r="S74" s="376" t="s">
        <v>2197</v>
      </c>
      <c r="T74" s="376" t="s">
        <v>2199</v>
      </c>
      <c r="U74" s="376" t="s">
        <v>351</v>
      </c>
      <c r="V74" s="376"/>
      <c r="W74" s="376"/>
      <c r="X74" s="376"/>
      <c r="Y74" s="376"/>
      <c r="Z74" s="376"/>
      <c r="AA74" s="376"/>
      <c r="AI74" s="3640"/>
      <c r="AJ74" s="3640"/>
      <c r="AK74" s="3640"/>
    </row>
    <row r="75" spans="1:37" s="377" customFormat="1" ht="13.15" customHeight="1">
      <c r="A75" s="399"/>
      <c r="B75" s="406"/>
      <c r="C75" s="383" t="s">
        <v>360</v>
      </c>
      <c r="D75" s="4039">
        <v>50</v>
      </c>
      <c r="E75" s="404">
        <v>4</v>
      </c>
      <c r="F75" s="408">
        <f t="shared" si="4"/>
        <v>83</v>
      </c>
      <c r="G75" s="402"/>
      <c r="H75" s="401" t="s">
        <v>168</v>
      </c>
      <c r="I75" s="400"/>
      <c r="J75" s="4258">
        <f t="shared" si="5"/>
        <v>18.248561848739492</v>
      </c>
      <c r="K75" s="4259"/>
      <c r="L75" s="399"/>
      <c r="M75" s="398"/>
      <c r="N75" s="4036">
        <v>21.5</v>
      </c>
      <c r="O75" s="3468">
        <f t="shared" si="3"/>
        <v>442.34407974789906</v>
      </c>
      <c r="P75" s="3640"/>
      <c r="Q75" s="4041" t="s">
        <v>2198</v>
      </c>
      <c r="R75" s="391"/>
      <c r="S75" s="376" t="s">
        <v>359</v>
      </c>
      <c r="T75" s="376" t="s">
        <v>358</v>
      </c>
      <c r="U75" s="376" t="s">
        <v>357</v>
      </c>
      <c r="V75" s="376"/>
      <c r="W75" s="376"/>
      <c r="X75" s="376"/>
      <c r="Y75" s="376"/>
      <c r="Z75" s="376"/>
      <c r="AA75" s="376"/>
      <c r="AI75" s="3640"/>
      <c r="AJ75" s="3640"/>
      <c r="AK75" s="3640"/>
    </row>
    <row r="76" spans="1:37" s="377" customFormat="1" ht="13.15" customHeight="1">
      <c r="A76" s="399"/>
      <c r="B76" s="406"/>
      <c r="C76" s="383" t="s">
        <v>356</v>
      </c>
      <c r="D76" s="4039">
        <v>50</v>
      </c>
      <c r="E76" s="404">
        <v>4</v>
      </c>
      <c r="F76" s="408">
        <f t="shared" si="4"/>
        <v>83</v>
      </c>
      <c r="G76" s="402"/>
      <c r="H76" s="401" t="s">
        <v>168</v>
      </c>
      <c r="I76" s="400"/>
      <c r="J76" s="4258">
        <f t="shared" si="5"/>
        <v>18.248561848739492</v>
      </c>
      <c r="K76" s="4259"/>
      <c r="L76" s="399"/>
      <c r="M76" s="398"/>
      <c r="N76" s="4036">
        <v>13.75</v>
      </c>
      <c r="O76" s="3468">
        <f t="shared" si="3"/>
        <v>300.91772542016804</v>
      </c>
      <c r="P76" s="3640"/>
      <c r="Q76" s="4041" t="s">
        <v>2198</v>
      </c>
      <c r="R76" s="391"/>
      <c r="S76" s="376" t="s">
        <v>355</v>
      </c>
      <c r="T76" s="376" t="s">
        <v>354</v>
      </c>
      <c r="U76" s="376" t="s">
        <v>353</v>
      </c>
      <c r="V76" s="376"/>
      <c r="W76" s="376"/>
      <c r="X76" s="376"/>
      <c r="Y76" s="376"/>
      <c r="Z76" s="376"/>
      <c r="AA76" s="376"/>
      <c r="AI76" s="3640"/>
      <c r="AJ76" s="3640"/>
      <c r="AK76" s="3640"/>
    </row>
    <row r="77" spans="1:37" s="377" customFormat="1" ht="13.15" customHeight="1">
      <c r="A77" s="399"/>
      <c r="B77" s="406"/>
      <c r="C77" s="415" t="s">
        <v>2201</v>
      </c>
      <c r="D77" s="3551">
        <f>35*0.2</f>
        <v>7</v>
      </c>
      <c r="E77" s="413">
        <v>6</v>
      </c>
      <c r="F77" s="408">
        <f t="shared" si="4"/>
        <v>54</v>
      </c>
      <c r="G77" s="412"/>
      <c r="H77" s="411" t="s">
        <v>168</v>
      </c>
      <c r="I77" s="410"/>
      <c r="J77" s="4258">
        <f t="shared" si="5"/>
        <v>12.981024705882351</v>
      </c>
      <c r="K77" s="4259"/>
      <c r="L77" s="399"/>
      <c r="M77" s="398"/>
      <c r="N77" s="4037">
        <v>1.95</v>
      </c>
      <c r="O77" s="3468">
        <f t="shared" si="3"/>
        <v>32.312998176470586</v>
      </c>
      <c r="P77" s="3640"/>
      <c r="Q77" s="4041" t="s">
        <v>2202</v>
      </c>
      <c r="R77" s="391"/>
      <c r="S77" s="376" t="s">
        <v>2200</v>
      </c>
      <c r="T77" s="376" t="s">
        <v>351</v>
      </c>
      <c r="U77" s="376" t="s">
        <v>351</v>
      </c>
      <c r="V77" s="376"/>
      <c r="W77" s="376"/>
      <c r="X77" s="376"/>
      <c r="Y77" s="376"/>
      <c r="Z77" s="376"/>
      <c r="AA77" s="376"/>
      <c r="AI77" s="3640"/>
      <c r="AJ77" s="3640"/>
      <c r="AK77" s="3640"/>
    </row>
    <row r="78" spans="1:37" s="377" customFormat="1" ht="13.15" customHeight="1">
      <c r="A78" s="399"/>
      <c r="B78" s="406"/>
      <c r="C78" s="383" t="s">
        <v>350</v>
      </c>
      <c r="D78" s="4039">
        <f>45*0.2</f>
        <v>9</v>
      </c>
      <c r="E78" s="404">
        <v>3</v>
      </c>
      <c r="F78" s="408">
        <f t="shared" si="4"/>
        <v>102</v>
      </c>
      <c r="G78" s="402" t="s">
        <v>168</v>
      </c>
      <c r="H78" s="401"/>
      <c r="I78" s="400"/>
      <c r="J78" s="4258">
        <f t="shared" si="5"/>
        <v>17.230466</v>
      </c>
      <c r="K78" s="4259"/>
      <c r="L78" s="399"/>
      <c r="M78" s="398"/>
      <c r="N78" s="4036">
        <v>1.68</v>
      </c>
      <c r="O78" s="3468">
        <f t="shared" si="3"/>
        <v>37.94718288</v>
      </c>
      <c r="P78" s="3640"/>
      <c r="Q78" s="4041" t="s">
        <v>2202</v>
      </c>
      <c r="R78" s="391"/>
      <c r="S78" s="376" t="s">
        <v>349</v>
      </c>
      <c r="T78" s="376" t="s">
        <v>348</v>
      </c>
      <c r="U78" s="376">
        <v>0</v>
      </c>
      <c r="V78" s="376"/>
      <c r="W78" s="376"/>
      <c r="X78" s="376"/>
      <c r="Y78" s="376"/>
      <c r="Z78" s="376"/>
      <c r="AA78" s="376"/>
      <c r="AI78" s="3640"/>
      <c r="AJ78" s="3640"/>
      <c r="AK78" s="3640"/>
    </row>
    <row r="79" spans="1:37" s="377" customFormat="1" ht="13.15" customHeight="1">
      <c r="A79" s="399"/>
      <c r="B79" s="406"/>
      <c r="C79" s="383" t="s">
        <v>345</v>
      </c>
      <c r="D79" s="4039">
        <f>10.79+17.32</f>
        <v>28.11</v>
      </c>
      <c r="E79" s="404">
        <v>6</v>
      </c>
      <c r="F79" s="403">
        <v>54</v>
      </c>
      <c r="G79" s="402" t="s">
        <v>168</v>
      </c>
      <c r="H79" s="401"/>
      <c r="I79" s="400"/>
      <c r="J79" s="4258">
        <f t="shared" si="5"/>
        <v>10.886717294117647</v>
      </c>
      <c r="K79" s="4259"/>
      <c r="L79" s="399"/>
      <c r="M79" s="398"/>
      <c r="N79" s="4036">
        <v>4.0999999999999996</v>
      </c>
      <c r="O79" s="3468">
        <f t="shared" si="3"/>
        <v>72.745540905882336</v>
      </c>
      <c r="P79" s="3640"/>
      <c r="Q79" s="4041" t="s">
        <v>344</v>
      </c>
      <c r="R79" s="391" t="s">
        <v>2209</v>
      </c>
      <c r="S79" s="376" t="s">
        <v>343</v>
      </c>
      <c r="T79" s="376">
        <v>0</v>
      </c>
      <c r="U79" s="376"/>
      <c r="V79" s="376"/>
      <c r="W79" s="376"/>
      <c r="X79" s="376"/>
      <c r="Y79" s="376"/>
      <c r="Z79" s="376"/>
      <c r="AA79" s="376"/>
      <c r="AI79" s="3640"/>
      <c r="AJ79" s="3640"/>
      <c r="AK79" s="3640"/>
    </row>
    <row r="80" spans="1:37" s="377" customFormat="1" ht="13.15" customHeight="1">
      <c r="A80" s="399"/>
      <c r="B80" s="406"/>
      <c r="C80" s="383" t="s">
        <v>342</v>
      </c>
      <c r="D80" s="4039">
        <f>13.56+4</f>
        <v>17.560000000000002</v>
      </c>
      <c r="E80" s="404">
        <v>6</v>
      </c>
      <c r="F80" s="403">
        <v>54</v>
      </c>
      <c r="G80" s="402"/>
      <c r="H80" s="401" t="s">
        <v>168</v>
      </c>
      <c r="I80" s="400"/>
      <c r="J80" s="4258">
        <f t="shared" si="5"/>
        <v>12.981024705882351</v>
      </c>
      <c r="K80" s="4259"/>
      <c r="L80" s="399"/>
      <c r="M80" s="398"/>
      <c r="N80" s="4036">
        <f>1.86+8.33</f>
        <v>10.19</v>
      </c>
      <c r="O80" s="3468">
        <f t="shared" si="3"/>
        <v>149.83664175294115</v>
      </c>
      <c r="P80" s="3640"/>
      <c r="Q80" s="4041" t="s">
        <v>341</v>
      </c>
      <c r="R80" s="391" t="s">
        <v>2209</v>
      </c>
      <c r="S80" s="376" t="s">
        <v>340</v>
      </c>
      <c r="T80" s="376">
        <v>0</v>
      </c>
      <c r="U80" s="376">
        <v>0</v>
      </c>
      <c r="V80" s="376"/>
      <c r="W80" s="376"/>
      <c r="X80" s="376"/>
      <c r="Y80" s="376"/>
      <c r="Z80" s="376"/>
      <c r="AA80" s="376"/>
      <c r="AI80" s="3640"/>
      <c r="AJ80" s="3640"/>
      <c r="AK80" s="3640"/>
    </row>
    <row r="81" spans="1:37" s="377" customFormat="1" ht="2.4500000000000002" customHeight="1">
      <c r="A81" s="396"/>
      <c r="B81" s="406"/>
      <c r="C81" s="383"/>
      <c r="D81" s="405"/>
      <c r="E81" s="404"/>
      <c r="F81" s="403"/>
      <c r="G81" s="402"/>
      <c r="H81" s="401"/>
      <c r="I81" s="400"/>
      <c r="J81" s="4258"/>
      <c r="K81" s="4259"/>
      <c r="L81" s="399"/>
      <c r="M81" s="398"/>
      <c r="N81" s="407"/>
      <c r="O81" s="3468"/>
      <c r="P81" s="3640"/>
      <c r="Q81" s="379"/>
      <c r="R81" s="391"/>
      <c r="S81" s="376"/>
      <c r="T81" s="376"/>
      <c r="U81" s="376"/>
      <c r="V81" s="376"/>
      <c r="W81" s="376"/>
      <c r="X81" s="376"/>
      <c r="Y81" s="376"/>
      <c r="Z81" s="376"/>
      <c r="AA81" s="376"/>
      <c r="AI81" s="3640"/>
      <c r="AJ81" s="3640"/>
      <c r="AK81" s="3640"/>
    </row>
    <row r="82" spans="1:37" s="377" customFormat="1" ht="13.15" customHeight="1">
      <c r="A82" s="399"/>
      <c r="B82" s="406"/>
      <c r="C82" s="383"/>
      <c r="D82" s="405"/>
      <c r="E82" s="404"/>
      <c r="F82" s="403"/>
      <c r="G82" s="402"/>
      <c r="H82" s="401"/>
      <c r="I82" s="400"/>
      <c r="J82" s="4258"/>
      <c r="K82" s="4259"/>
      <c r="L82" s="399"/>
      <c r="M82" s="398"/>
      <c r="N82" s="407"/>
      <c r="O82" s="3468"/>
      <c r="P82" s="3640"/>
      <c r="Q82" s="379">
        <v>0</v>
      </c>
      <c r="R82" s="391"/>
      <c r="S82" s="376">
        <v>0</v>
      </c>
      <c r="T82" s="376"/>
      <c r="U82" s="376">
        <v>0</v>
      </c>
      <c r="V82" s="376"/>
      <c r="W82" s="376"/>
      <c r="X82" s="376"/>
      <c r="Y82" s="376"/>
      <c r="Z82" s="376"/>
      <c r="AA82" s="376"/>
      <c r="AI82" s="3640"/>
      <c r="AJ82" s="3640"/>
      <c r="AK82" s="3640"/>
    </row>
    <row r="83" spans="1:37" s="377" customFormat="1" ht="12.75" customHeight="1">
      <c r="A83" s="399"/>
      <c r="B83" s="406"/>
      <c r="C83" s="383"/>
      <c r="D83" s="405"/>
      <c r="E83" s="404"/>
      <c r="F83" s="403"/>
      <c r="G83" s="402"/>
      <c r="H83" s="401"/>
      <c r="I83" s="400"/>
      <c r="J83" s="4258"/>
      <c r="K83" s="4259"/>
      <c r="L83" s="399"/>
      <c r="M83" s="398"/>
      <c r="N83" s="407"/>
      <c r="O83" s="3468"/>
      <c r="P83" s="3640"/>
      <c r="Q83" s="379">
        <v>0</v>
      </c>
      <c r="R83" s="391"/>
      <c r="S83" s="376">
        <v>0</v>
      </c>
      <c r="T83" s="376">
        <v>0</v>
      </c>
      <c r="U83" s="376">
        <v>0</v>
      </c>
      <c r="V83" s="376"/>
      <c r="W83" s="376"/>
      <c r="X83" s="376"/>
      <c r="Y83" s="376"/>
      <c r="Z83" s="376"/>
      <c r="AA83" s="376"/>
      <c r="AI83" s="3640"/>
      <c r="AJ83" s="3640"/>
      <c r="AK83" s="3640"/>
    </row>
    <row r="84" spans="1:37" s="377" customFormat="1" ht="12.75" customHeight="1">
      <c r="A84" s="399"/>
      <c r="B84" s="406"/>
      <c r="C84" s="383"/>
      <c r="D84" s="405"/>
      <c r="E84" s="404"/>
      <c r="F84" s="403"/>
      <c r="G84" s="402"/>
      <c r="H84" s="401"/>
      <c r="I84" s="400"/>
      <c r="J84" s="4258"/>
      <c r="K84" s="4259"/>
      <c r="L84" s="399"/>
      <c r="M84" s="398"/>
      <c r="N84" s="397"/>
      <c r="O84" s="3468"/>
      <c r="P84" s="3640"/>
      <c r="Q84" s="376">
        <v>0</v>
      </c>
      <c r="R84" s="391"/>
      <c r="S84" s="376">
        <v>0</v>
      </c>
      <c r="T84" s="376">
        <v>0</v>
      </c>
      <c r="U84" s="376">
        <v>0</v>
      </c>
      <c r="V84" s="376"/>
      <c r="W84" s="376"/>
      <c r="X84" s="376"/>
      <c r="Y84" s="376"/>
      <c r="Z84" s="376"/>
      <c r="AA84" s="376"/>
      <c r="AI84" s="3640"/>
      <c r="AJ84" s="3640"/>
      <c r="AK84" s="3640"/>
    </row>
    <row r="85" spans="1:37" s="377" customFormat="1" ht="12.75" customHeight="1">
      <c r="A85" s="399"/>
      <c r="B85" s="406"/>
      <c r="C85" s="383"/>
      <c r="D85" s="405"/>
      <c r="E85" s="404"/>
      <c r="F85" s="403"/>
      <c r="G85" s="402"/>
      <c r="H85" s="401"/>
      <c r="I85" s="400"/>
      <c r="J85" s="4258"/>
      <c r="K85" s="4259"/>
      <c r="L85" s="399"/>
      <c r="M85" s="398"/>
      <c r="N85" s="397"/>
      <c r="O85" s="3468"/>
      <c r="P85" s="3640"/>
      <c r="Q85" s="376">
        <v>0</v>
      </c>
      <c r="R85" s="391"/>
      <c r="S85" s="376">
        <v>0</v>
      </c>
      <c r="T85" s="376">
        <v>0</v>
      </c>
      <c r="U85" s="376">
        <v>0</v>
      </c>
      <c r="V85" s="376"/>
      <c r="W85" s="376"/>
      <c r="X85" s="376"/>
      <c r="Y85" s="376"/>
      <c r="Z85" s="376"/>
      <c r="AA85" s="376"/>
      <c r="AI85" s="3640"/>
      <c r="AJ85" s="3640"/>
      <c r="AK85" s="3640"/>
    </row>
    <row r="86" spans="1:37" s="377" customFormat="1" ht="6" customHeight="1">
      <c r="A86" s="396"/>
      <c r="B86" s="406"/>
      <c r="C86" s="383"/>
      <c r="D86" s="405"/>
      <c r="E86" s="404"/>
      <c r="F86" s="403"/>
      <c r="G86" s="402"/>
      <c r="H86" s="401"/>
      <c r="I86" s="400"/>
      <c r="J86" s="4258"/>
      <c r="K86" s="4259"/>
      <c r="L86" s="399"/>
      <c r="M86" s="398"/>
      <c r="N86" s="397"/>
      <c r="O86" s="3468"/>
      <c r="P86" s="3640"/>
      <c r="Q86" s="376"/>
      <c r="R86" s="391"/>
      <c r="S86" s="376"/>
      <c r="T86" s="376"/>
      <c r="U86" s="376"/>
      <c r="V86" s="376"/>
      <c r="W86" s="376"/>
      <c r="X86" s="376"/>
      <c r="Y86" s="376"/>
      <c r="Z86" s="376"/>
      <c r="AA86" s="376"/>
      <c r="AI86" s="3640"/>
      <c r="AJ86" s="3640"/>
      <c r="AK86" s="3640"/>
    </row>
    <row r="87" spans="1:37" ht="13.15" customHeight="1">
      <c r="B87" s="364"/>
      <c r="C87" s="364"/>
      <c r="D87" s="364"/>
      <c r="E87" s="364"/>
      <c r="F87" s="364"/>
      <c r="G87" s="364"/>
      <c r="H87" s="364"/>
      <c r="I87" s="364"/>
      <c r="J87" s="364"/>
      <c r="K87" s="364"/>
      <c r="L87" s="364"/>
      <c r="M87" s="364"/>
      <c r="N87" s="364"/>
      <c r="O87" s="364"/>
      <c r="P87" s="364"/>
      <c r="Q87" s="376"/>
      <c r="S87" s="376"/>
      <c r="T87" s="376"/>
      <c r="U87" s="376"/>
      <c r="V87" s="376"/>
      <c r="W87" s="376"/>
      <c r="X87" s="376"/>
      <c r="Y87" s="376"/>
      <c r="Z87" s="376"/>
      <c r="AA87" s="376"/>
      <c r="AB87" s="377"/>
    </row>
    <row r="88" spans="1:37" ht="13.9" customHeight="1">
      <c r="A88" s="381"/>
      <c r="B88" s="3418" t="s">
        <v>339</v>
      </c>
      <c r="D88" s="3470" t="s">
        <v>338</v>
      </c>
      <c r="F88" s="364"/>
      <c r="G88" s="364"/>
      <c r="H88" s="364"/>
      <c r="I88" s="364"/>
      <c r="J88" s="364"/>
      <c r="K88" s="364"/>
      <c r="L88" s="364"/>
      <c r="M88" s="364"/>
      <c r="N88" s="364"/>
      <c r="O88" s="364"/>
      <c r="P88" s="364"/>
      <c r="Q88" s="376"/>
      <c r="S88" s="376"/>
      <c r="T88" s="376"/>
      <c r="U88" s="376"/>
      <c r="V88" s="376"/>
      <c r="W88" s="376"/>
      <c r="X88" s="376"/>
      <c r="Y88" s="376"/>
      <c r="Z88" s="376"/>
      <c r="AA88" s="376"/>
      <c r="AB88" s="377"/>
    </row>
    <row r="89" spans="1:37" ht="13.15" customHeight="1">
      <c r="B89" s="3554" t="s">
        <v>287</v>
      </c>
      <c r="C89" s="389" t="s">
        <v>337</v>
      </c>
      <c r="D89" s="3470" t="s">
        <v>336</v>
      </c>
      <c r="E89" s="387"/>
      <c r="F89" s="364"/>
      <c r="G89" s="364"/>
      <c r="H89" s="364"/>
      <c r="I89" s="364"/>
      <c r="J89" s="364"/>
      <c r="K89" s="364"/>
      <c r="L89" s="364"/>
      <c r="M89" s="364"/>
      <c r="N89" s="364"/>
      <c r="O89" s="364"/>
      <c r="P89" s="364"/>
      <c r="Q89" s="376"/>
      <c r="R89" s="4056"/>
      <c r="S89" s="376"/>
      <c r="T89" s="376"/>
      <c r="U89" s="376"/>
      <c r="V89" s="376"/>
      <c r="W89" s="376"/>
      <c r="X89" s="376"/>
      <c r="Y89" s="376"/>
      <c r="Z89" s="376"/>
      <c r="AA89" s="376"/>
      <c r="AB89" s="377"/>
    </row>
    <row r="90" spans="1:37" ht="13.15" customHeight="1">
      <c r="B90" s="1025"/>
      <c r="C90" s="386" t="s">
        <v>2210</v>
      </c>
      <c r="D90" s="3471" t="s">
        <v>335</v>
      </c>
      <c r="E90" s="364"/>
      <c r="F90" s="364"/>
      <c r="G90" s="364"/>
      <c r="H90" s="364"/>
      <c r="I90" s="364"/>
      <c r="J90" s="364"/>
      <c r="K90" s="364"/>
      <c r="L90" s="364"/>
      <c r="M90" s="364"/>
      <c r="N90" s="364"/>
      <c r="O90" s="364"/>
      <c r="P90" s="364"/>
      <c r="Q90" s="376"/>
      <c r="S90" s="376"/>
      <c r="T90" s="376"/>
      <c r="U90" s="376"/>
      <c r="V90" s="376"/>
      <c r="W90" s="376"/>
      <c r="X90" s="376"/>
      <c r="Y90" s="376"/>
      <c r="Z90" s="376"/>
      <c r="AA90" s="376"/>
      <c r="AB90" s="377"/>
    </row>
    <row r="91" spans="1:37" ht="13.15" hidden="1" customHeight="1">
      <c r="B91" s="3555">
        <v>1</v>
      </c>
      <c r="C91" s="385"/>
      <c r="D91" s="451"/>
      <c r="E91" s="364"/>
      <c r="Q91" s="376" t="s">
        <v>334</v>
      </c>
      <c r="S91" s="376"/>
      <c r="T91" s="376"/>
      <c r="U91" s="376" t="s">
        <v>333</v>
      </c>
      <c r="V91" s="376"/>
      <c r="W91" s="376"/>
      <c r="X91" s="376"/>
      <c r="Y91" s="376"/>
      <c r="Z91" s="376"/>
      <c r="AA91" s="376"/>
      <c r="AB91" s="377"/>
    </row>
    <row r="92" spans="1:37" ht="13.15" customHeight="1">
      <c r="B92" s="3550">
        <v>1</v>
      </c>
      <c r="C92" s="383" t="s">
        <v>332</v>
      </c>
      <c r="D92" s="4032">
        <v>149.6</v>
      </c>
      <c r="E92" s="364"/>
      <c r="F92" s="382"/>
      <c r="Q92" s="376" t="s">
        <v>331</v>
      </c>
      <c r="S92" s="376"/>
      <c r="T92" s="376"/>
      <c r="U92" s="376"/>
      <c r="V92" s="376"/>
      <c r="W92" s="376"/>
      <c r="X92" s="376"/>
      <c r="Y92" s="376"/>
      <c r="Z92" s="376"/>
      <c r="AA92" s="376"/>
      <c r="AB92" s="377"/>
    </row>
    <row r="93" spans="1:37" ht="13.15" customHeight="1">
      <c r="B93" s="2072">
        <f t="shared" ref="B93:B106" si="6">B92+1</f>
        <v>2</v>
      </c>
      <c r="C93" s="383" t="s">
        <v>330</v>
      </c>
      <c r="D93" s="4032">
        <f>D92+17.5+17.5</f>
        <v>184.6</v>
      </c>
      <c r="E93" s="364"/>
      <c r="F93" s="382"/>
      <c r="Q93" s="376" t="s">
        <v>329</v>
      </c>
      <c r="S93" s="376"/>
      <c r="T93" s="376"/>
      <c r="U93" s="376"/>
      <c r="V93" s="376"/>
      <c r="W93" s="376"/>
      <c r="X93" s="376"/>
      <c r="Y93" s="376"/>
      <c r="Z93" s="376"/>
      <c r="AA93" s="376"/>
      <c r="AB93" s="377"/>
    </row>
    <row r="94" spans="1:37" ht="13.15" customHeight="1">
      <c r="B94" s="2072">
        <f t="shared" si="6"/>
        <v>3</v>
      </c>
      <c r="C94" s="383" t="s">
        <v>328</v>
      </c>
      <c r="D94" s="4032">
        <f>D92+17.5+27.4</f>
        <v>194.5</v>
      </c>
      <c r="E94" s="364"/>
      <c r="F94" s="382"/>
      <c r="Q94" s="376" t="s">
        <v>327</v>
      </c>
      <c r="S94" s="376"/>
      <c r="T94" s="376"/>
      <c r="U94" s="376"/>
      <c r="V94" s="376"/>
      <c r="W94" s="376"/>
      <c r="X94" s="376"/>
      <c r="Y94" s="376"/>
      <c r="Z94" s="376"/>
      <c r="AA94" s="376"/>
      <c r="AB94" s="377"/>
    </row>
    <row r="95" spans="1:37" ht="13.15" customHeight="1">
      <c r="B95" s="2072">
        <f t="shared" si="6"/>
        <v>4</v>
      </c>
      <c r="C95" s="383" t="s">
        <v>326</v>
      </c>
      <c r="D95" s="4032">
        <v>190.4</v>
      </c>
      <c r="E95" s="364"/>
      <c r="F95" s="382"/>
      <c r="Q95" s="376" t="s">
        <v>325</v>
      </c>
      <c r="S95" s="376"/>
      <c r="T95" s="376"/>
      <c r="U95" s="376"/>
      <c r="V95" s="376"/>
      <c r="W95" s="376"/>
      <c r="X95" s="376"/>
      <c r="Y95" s="376"/>
      <c r="Z95" s="376"/>
      <c r="AA95" s="376"/>
      <c r="AB95" s="377"/>
    </row>
    <row r="96" spans="1:37" ht="13.15" customHeight="1">
      <c r="B96" s="2072">
        <f t="shared" si="6"/>
        <v>5</v>
      </c>
      <c r="C96" s="383" t="s">
        <v>324</v>
      </c>
      <c r="D96" s="4032">
        <f>D92+17.5</f>
        <v>167.1</v>
      </c>
      <c r="E96" s="364"/>
      <c r="F96" s="382"/>
      <c r="Q96" s="376" t="s">
        <v>323</v>
      </c>
      <c r="S96" s="376"/>
      <c r="T96" s="376"/>
      <c r="U96" s="376"/>
      <c r="V96" s="376"/>
      <c r="W96" s="376"/>
      <c r="X96" s="376"/>
      <c r="Y96" s="376"/>
      <c r="Z96" s="376"/>
      <c r="AA96" s="376"/>
      <c r="AB96" s="377"/>
    </row>
    <row r="97" spans="2:28" ht="13.15" customHeight="1">
      <c r="B97" s="2072">
        <f t="shared" si="6"/>
        <v>6</v>
      </c>
      <c r="C97" s="383" t="s">
        <v>322</v>
      </c>
      <c r="D97" s="4032">
        <v>397.5</v>
      </c>
      <c r="E97" s="364"/>
      <c r="F97" s="382"/>
      <c r="Q97" s="376" t="s">
        <v>321</v>
      </c>
      <c r="S97" s="376"/>
      <c r="T97" s="376"/>
      <c r="U97" s="376"/>
      <c r="V97" s="376"/>
      <c r="W97" s="376"/>
      <c r="X97" s="376"/>
      <c r="Y97" s="376"/>
      <c r="Z97" s="376"/>
      <c r="AA97" s="376"/>
      <c r="AB97" s="377"/>
    </row>
    <row r="98" spans="2:28" ht="13.15" customHeight="1">
      <c r="B98" s="2072">
        <f t="shared" si="6"/>
        <v>7</v>
      </c>
      <c r="C98" s="383" t="s">
        <v>320</v>
      </c>
      <c r="D98" s="3838">
        <v>600</v>
      </c>
      <c r="E98" s="364"/>
      <c r="F98" s="382"/>
      <c r="Q98" s="376" t="s">
        <v>319</v>
      </c>
      <c r="S98" s="376"/>
      <c r="T98" s="376"/>
      <c r="U98" s="376" t="s">
        <v>318</v>
      </c>
      <c r="V98" s="376"/>
      <c r="W98" s="376"/>
      <c r="X98" s="376"/>
      <c r="Y98" s="376"/>
      <c r="Z98" s="376"/>
      <c r="AA98" s="376"/>
      <c r="AB98" s="377"/>
    </row>
    <row r="99" spans="2:28" ht="13.15" customHeight="1">
      <c r="B99" s="2072">
        <f t="shared" si="6"/>
        <v>8</v>
      </c>
      <c r="C99" s="383" t="s">
        <v>317</v>
      </c>
      <c r="D99" s="4032">
        <f>20.8+(23.7+19.8)*1.83</f>
        <v>100.405</v>
      </c>
      <c r="E99" s="364"/>
      <c r="F99" s="382"/>
      <c r="Q99" s="376" t="s">
        <v>2211</v>
      </c>
      <c r="S99" s="376"/>
      <c r="T99" s="376"/>
      <c r="U99" s="376"/>
      <c r="V99" s="376"/>
      <c r="W99" s="376"/>
      <c r="X99" s="376"/>
      <c r="Y99" s="376"/>
      <c r="Z99" s="376"/>
      <c r="AA99" s="376"/>
      <c r="AB99" s="377"/>
    </row>
    <row r="100" spans="2:28" ht="13.15" hidden="1" customHeight="1">
      <c r="B100" s="2072">
        <f t="shared" si="6"/>
        <v>9</v>
      </c>
      <c r="C100" s="383" t="s">
        <v>316</v>
      </c>
      <c r="D100" s="405">
        <v>150</v>
      </c>
      <c r="E100" s="364"/>
      <c r="F100" s="382"/>
      <c r="Q100" s="376"/>
      <c r="S100" s="376"/>
      <c r="T100" s="376"/>
      <c r="U100" s="376" t="s">
        <v>313</v>
      </c>
      <c r="V100" s="376"/>
      <c r="W100" s="376"/>
      <c r="X100" s="376"/>
      <c r="Y100" s="376"/>
      <c r="Z100" s="376"/>
      <c r="AA100" s="376"/>
      <c r="AB100" s="377"/>
    </row>
    <row r="101" spans="2:28" ht="13.15" hidden="1" customHeight="1">
      <c r="B101" s="2072">
        <f t="shared" si="6"/>
        <v>10</v>
      </c>
      <c r="C101" s="383" t="s">
        <v>315</v>
      </c>
      <c r="D101" s="405">
        <v>207.5</v>
      </c>
      <c r="E101" s="364"/>
      <c r="F101" s="382"/>
      <c r="Q101" s="376"/>
      <c r="S101" s="376"/>
      <c r="T101" s="376"/>
      <c r="U101" s="376" t="s">
        <v>313</v>
      </c>
      <c r="V101" s="376"/>
      <c r="W101" s="376"/>
      <c r="X101" s="376"/>
      <c r="Y101" s="376"/>
      <c r="Z101" s="376"/>
      <c r="AA101" s="376"/>
      <c r="AB101" s="377"/>
    </row>
    <row r="102" spans="2:28" ht="13.15" hidden="1" customHeight="1">
      <c r="B102" s="2072">
        <f t="shared" si="6"/>
        <v>11</v>
      </c>
      <c r="C102" s="383" t="s">
        <v>314</v>
      </c>
      <c r="D102" s="405">
        <v>267.5</v>
      </c>
      <c r="E102" s="364"/>
      <c r="F102" s="382"/>
      <c r="Q102" s="376"/>
      <c r="S102" s="376"/>
      <c r="T102" s="376"/>
      <c r="U102" s="376" t="s">
        <v>313</v>
      </c>
      <c r="V102" s="376"/>
      <c r="W102" s="376"/>
      <c r="X102" s="376"/>
      <c r="Y102" s="376"/>
      <c r="Z102" s="376"/>
      <c r="AA102" s="376"/>
      <c r="AB102" s="377"/>
    </row>
    <row r="103" spans="2:28" ht="13.15" customHeight="1">
      <c r="B103" s="2072">
        <f t="shared" si="6"/>
        <v>12</v>
      </c>
      <c r="C103" s="383" t="s">
        <v>312</v>
      </c>
      <c r="D103" s="405">
        <v>115</v>
      </c>
      <c r="E103" s="364"/>
      <c r="F103" s="382"/>
      <c r="Q103" s="376" t="s">
        <v>311</v>
      </c>
      <c r="S103" s="376"/>
      <c r="T103" s="376"/>
      <c r="U103" s="376" t="s">
        <v>310</v>
      </c>
      <c r="V103" s="376"/>
      <c r="W103" s="376"/>
      <c r="X103" s="376"/>
      <c r="Y103" s="376"/>
      <c r="Z103" s="376"/>
      <c r="AA103" s="376"/>
      <c r="AB103" s="377"/>
    </row>
    <row r="104" spans="2:28" ht="13.15" customHeight="1">
      <c r="B104" s="2072">
        <f t="shared" si="6"/>
        <v>13</v>
      </c>
      <c r="C104" s="383" t="s">
        <v>309</v>
      </c>
      <c r="D104" s="4032">
        <f>(11*3+27.5+19.8)*1.19</f>
        <v>95.556999999999988</v>
      </c>
      <c r="E104" s="364"/>
      <c r="F104" s="382"/>
      <c r="Q104" s="376" t="s">
        <v>308</v>
      </c>
      <c r="S104" s="376"/>
      <c r="T104" s="376"/>
      <c r="U104" s="376"/>
      <c r="V104" s="376"/>
      <c r="W104" s="376"/>
      <c r="X104" s="376"/>
      <c r="Y104" s="376"/>
      <c r="Z104" s="376"/>
      <c r="AA104" s="376"/>
      <c r="AB104" s="377"/>
    </row>
    <row r="105" spans="2:28" ht="13.15" customHeight="1">
      <c r="B105" s="2072">
        <f t="shared" si="6"/>
        <v>14</v>
      </c>
      <c r="C105" s="383" t="s">
        <v>307</v>
      </c>
      <c r="D105" s="4032">
        <f>ROUND(11/3.95,1)</f>
        <v>2.8</v>
      </c>
      <c r="E105" s="364"/>
      <c r="F105" s="382"/>
      <c r="Q105" s="4055" t="s">
        <v>2212</v>
      </c>
      <c r="S105" s="376"/>
      <c r="T105" s="376"/>
      <c r="U105" s="376"/>
      <c r="V105" s="376"/>
      <c r="W105" s="376"/>
      <c r="X105" s="376"/>
      <c r="Y105" s="376"/>
      <c r="Z105" s="376"/>
      <c r="AA105" s="376"/>
      <c r="AB105" s="377"/>
    </row>
    <row r="106" spans="2:28" ht="13.15" customHeight="1">
      <c r="B106" s="2072">
        <f t="shared" si="6"/>
        <v>15</v>
      </c>
      <c r="C106" s="383" t="s">
        <v>306</v>
      </c>
      <c r="D106" s="4032">
        <f>5.3*1.1</f>
        <v>5.83</v>
      </c>
      <c r="E106" s="364"/>
      <c r="F106" s="382"/>
      <c r="Q106" s="376" t="s">
        <v>305</v>
      </c>
      <c r="S106" s="376"/>
      <c r="T106" s="376"/>
      <c r="U106" s="376"/>
      <c r="V106" s="376"/>
      <c r="W106" s="376"/>
      <c r="X106" s="376"/>
      <c r="Y106" s="376"/>
      <c r="Z106" s="376"/>
      <c r="AA106" s="376"/>
      <c r="AB106" s="377"/>
    </row>
    <row r="107" spans="2:28" ht="13.15" customHeight="1">
      <c r="B107" s="364"/>
      <c r="C107" s="364"/>
      <c r="D107" s="364"/>
      <c r="E107" s="364"/>
      <c r="F107" s="364"/>
      <c r="G107" s="364"/>
      <c r="H107" s="364"/>
      <c r="I107" s="364"/>
      <c r="J107" s="364"/>
      <c r="K107" s="364"/>
      <c r="L107" s="364"/>
      <c r="M107" s="364"/>
      <c r="N107" s="364"/>
      <c r="O107" s="364"/>
      <c r="Q107" s="376"/>
      <c r="S107" s="376"/>
      <c r="T107" s="376"/>
      <c r="U107" s="376"/>
      <c r="V107" s="376"/>
      <c r="W107" s="376"/>
      <c r="X107" s="376"/>
      <c r="Y107" s="376"/>
      <c r="Z107" s="376"/>
      <c r="AA107" s="376"/>
      <c r="AB107" s="377"/>
    </row>
    <row r="108" spans="2:28" ht="13.15" customHeight="1">
      <c r="B108" s="381"/>
      <c r="C108" s="364"/>
      <c r="D108" s="364"/>
      <c r="E108" s="364"/>
      <c r="F108" s="364"/>
      <c r="G108" s="364"/>
      <c r="H108" s="364"/>
      <c r="I108" s="364"/>
      <c r="J108" s="364"/>
      <c r="K108" s="364"/>
      <c r="L108" s="364"/>
      <c r="M108" s="364"/>
      <c r="N108" s="364"/>
      <c r="O108" s="364"/>
      <c r="Q108" s="376"/>
      <c r="S108" s="376"/>
      <c r="T108" s="376"/>
      <c r="U108" s="376"/>
      <c r="V108" s="376"/>
      <c r="W108" s="376"/>
      <c r="X108" s="376"/>
      <c r="Y108" s="376"/>
      <c r="Z108" s="376"/>
      <c r="AA108" s="376"/>
      <c r="AB108" s="377"/>
    </row>
    <row r="109" spans="2:28" ht="13.15" customHeight="1">
      <c r="B109" s="364"/>
      <c r="C109" s="364"/>
      <c r="D109" s="364"/>
      <c r="E109" s="364"/>
      <c r="F109" s="364"/>
      <c r="G109" s="364"/>
      <c r="H109" s="364"/>
      <c r="I109" s="364"/>
      <c r="J109" s="364"/>
      <c r="K109" s="364"/>
      <c r="L109" s="364"/>
      <c r="M109" s="364"/>
      <c r="N109" s="364"/>
      <c r="O109" s="364"/>
      <c r="Q109" s="376"/>
      <c r="S109" s="376"/>
      <c r="T109" s="376"/>
      <c r="U109" s="376"/>
      <c r="V109" s="376"/>
      <c r="W109" s="376"/>
      <c r="X109" s="376"/>
      <c r="Y109" s="376"/>
      <c r="Z109" s="376"/>
      <c r="AA109" s="376"/>
      <c r="AB109" s="377"/>
    </row>
    <row r="110" spans="2:28" ht="13.9" customHeight="1">
      <c r="B110" s="3401"/>
      <c r="C110" s="364"/>
      <c r="D110" s="364"/>
      <c r="E110" s="364"/>
      <c r="F110" s="364"/>
      <c r="G110" s="364"/>
      <c r="H110" s="364"/>
      <c r="I110" s="364"/>
      <c r="J110" s="364"/>
      <c r="K110" s="364"/>
      <c r="L110" s="364"/>
      <c r="M110" s="364"/>
      <c r="N110" s="364"/>
      <c r="O110" s="364"/>
      <c r="Q110" s="376"/>
      <c r="S110" s="376"/>
      <c r="T110" s="376"/>
      <c r="U110" s="376"/>
      <c r="V110" s="376"/>
      <c r="W110" s="376"/>
      <c r="X110" s="376"/>
      <c r="Y110" s="376"/>
      <c r="Z110" s="376"/>
      <c r="AA110" s="376"/>
      <c r="AB110" s="377"/>
    </row>
    <row r="111" spans="2:28" ht="16.5" customHeight="1">
      <c r="B111" s="364"/>
      <c r="C111" s="364"/>
      <c r="D111" s="364"/>
      <c r="E111" s="364"/>
      <c r="F111" s="364"/>
      <c r="G111" s="364"/>
      <c r="H111" s="364"/>
      <c r="I111" s="364"/>
      <c r="J111" s="364"/>
      <c r="K111" s="364"/>
      <c r="L111" s="364"/>
      <c r="M111" s="364"/>
      <c r="N111" s="364"/>
      <c r="O111" s="364"/>
      <c r="Q111" s="376"/>
      <c r="S111" s="376"/>
      <c r="T111" s="376"/>
      <c r="U111" s="376"/>
      <c r="V111" s="376"/>
      <c r="W111" s="376"/>
      <c r="X111" s="376"/>
      <c r="Y111" s="376"/>
      <c r="Z111" s="376"/>
      <c r="AA111" s="376"/>
      <c r="AB111" s="377"/>
    </row>
    <row r="112" spans="2:28" ht="16.5" customHeight="1">
      <c r="B112" s="364"/>
      <c r="C112" s="364"/>
      <c r="D112" s="364"/>
      <c r="E112" s="364"/>
      <c r="F112" s="364"/>
      <c r="G112" s="364"/>
      <c r="H112" s="364"/>
      <c r="I112" s="364"/>
      <c r="J112" s="364"/>
      <c r="K112" s="364"/>
      <c r="L112" s="364"/>
      <c r="M112" s="364"/>
      <c r="N112" s="364"/>
      <c r="O112" s="364"/>
      <c r="Q112" s="376"/>
      <c r="S112" s="376"/>
      <c r="T112" s="376"/>
      <c r="U112" s="376"/>
      <c r="V112" s="376"/>
      <c r="W112" s="376"/>
      <c r="X112" s="376"/>
      <c r="Y112" s="376"/>
      <c r="Z112" s="376"/>
      <c r="AA112" s="376"/>
      <c r="AB112" s="377"/>
    </row>
    <row r="113" spans="2:29" ht="16.5" customHeight="1">
      <c r="B113" s="364"/>
      <c r="C113" s="364"/>
      <c r="D113" s="364"/>
      <c r="E113" s="364"/>
      <c r="F113" s="364"/>
      <c r="G113" s="364"/>
      <c r="H113" s="364"/>
      <c r="I113" s="364"/>
      <c r="J113" s="364"/>
      <c r="K113" s="364"/>
      <c r="L113" s="364"/>
      <c r="M113" s="364"/>
      <c r="N113" s="364"/>
      <c r="O113" s="364"/>
      <c r="Q113" s="376"/>
      <c r="S113" s="376"/>
      <c r="T113" s="376"/>
      <c r="U113" s="376"/>
      <c r="V113" s="376"/>
      <c r="W113" s="376"/>
      <c r="X113" s="376"/>
      <c r="Y113" s="376"/>
      <c r="Z113" s="376"/>
      <c r="AA113" s="376"/>
      <c r="AB113" s="377"/>
    </row>
    <row r="114" spans="2:29" ht="16.5" customHeight="1">
      <c r="B114" s="364"/>
      <c r="C114" s="364"/>
      <c r="D114" s="364"/>
      <c r="E114" s="364"/>
      <c r="F114" s="364"/>
      <c r="G114" s="364"/>
      <c r="H114" s="364"/>
      <c r="I114" s="364"/>
      <c r="J114" s="364"/>
      <c r="K114" s="364"/>
      <c r="L114" s="364"/>
      <c r="M114" s="364"/>
      <c r="N114" s="364"/>
      <c r="O114" s="364"/>
      <c r="Q114" s="376"/>
      <c r="S114" s="376"/>
      <c r="T114" s="376"/>
      <c r="U114" s="376"/>
      <c r="V114" s="376"/>
      <c r="W114" s="376"/>
      <c r="X114" s="376"/>
      <c r="Y114" s="376"/>
      <c r="Z114" s="376"/>
      <c r="AA114" s="376"/>
      <c r="AB114" s="377"/>
    </row>
    <row r="115" spans="2:29" ht="16.5" customHeight="1">
      <c r="B115" s="364"/>
      <c r="C115" s="364"/>
      <c r="D115" s="364"/>
      <c r="E115" s="364"/>
      <c r="F115" s="364"/>
      <c r="G115" s="364"/>
      <c r="H115" s="364"/>
      <c r="I115" s="364"/>
      <c r="J115" s="364"/>
      <c r="K115" s="364"/>
      <c r="L115" s="364"/>
      <c r="M115" s="364"/>
      <c r="N115" s="364"/>
      <c r="O115" s="364"/>
      <c r="Q115" s="376"/>
      <c r="S115" s="376"/>
      <c r="T115" s="376"/>
      <c r="U115" s="376"/>
      <c r="V115" s="376"/>
      <c r="W115" s="376"/>
      <c r="X115" s="376"/>
      <c r="Y115" s="376"/>
      <c r="Z115" s="376"/>
      <c r="AA115" s="376"/>
      <c r="AB115" s="377"/>
    </row>
    <row r="116" spans="2:29" ht="16.5" customHeight="1">
      <c r="B116" s="364"/>
      <c r="C116" s="364"/>
      <c r="D116" s="364"/>
      <c r="E116" s="364"/>
      <c r="F116" s="364"/>
      <c r="G116" s="364"/>
      <c r="H116" s="364"/>
      <c r="I116" s="364"/>
      <c r="J116" s="364"/>
      <c r="K116" s="364"/>
      <c r="L116" s="364"/>
      <c r="M116" s="364"/>
      <c r="N116" s="364"/>
      <c r="O116" s="364"/>
      <c r="Q116" s="376"/>
      <c r="S116" s="376"/>
      <c r="T116" s="376"/>
      <c r="U116" s="376"/>
      <c r="V116" s="376"/>
      <c r="W116" s="376"/>
      <c r="X116" s="376"/>
      <c r="Y116" s="376"/>
      <c r="Z116" s="376"/>
      <c r="AA116" s="376"/>
      <c r="AB116" s="377"/>
    </row>
    <row r="117" spans="2:29" s="33" customFormat="1" ht="16.5" customHeight="1">
      <c r="P117" s="609"/>
      <c r="Q117" s="376"/>
      <c r="R117" s="609"/>
      <c r="S117" s="376"/>
      <c r="T117" s="376"/>
      <c r="U117" s="376"/>
      <c r="V117" s="376"/>
      <c r="W117" s="376"/>
      <c r="X117" s="376"/>
      <c r="Y117" s="376"/>
      <c r="Z117" s="376"/>
      <c r="AA117" s="376"/>
      <c r="AB117" s="377"/>
    </row>
    <row r="118" spans="2:29" s="33" customFormat="1" ht="16.5" customHeight="1">
      <c r="P118" s="609"/>
      <c r="Q118" s="376"/>
      <c r="R118" s="609"/>
      <c r="S118" s="376"/>
      <c r="T118" s="376"/>
      <c r="U118" s="376"/>
      <c r="V118" s="376"/>
      <c r="W118" s="376"/>
      <c r="X118" s="376"/>
      <c r="Y118" s="376"/>
      <c r="Z118" s="376"/>
      <c r="AA118" s="376"/>
      <c r="AB118" s="377"/>
    </row>
    <row r="119" spans="2:29" s="33" customFormat="1" ht="16.5" customHeight="1">
      <c r="P119" s="609"/>
      <c r="Q119" s="376"/>
      <c r="R119" s="609"/>
      <c r="S119" s="376"/>
      <c r="T119" s="376"/>
      <c r="U119" s="376"/>
      <c r="V119" s="376"/>
      <c r="W119" s="376"/>
      <c r="X119" s="376"/>
      <c r="Y119" s="376"/>
      <c r="Z119" s="376"/>
      <c r="AA119" s="376"/>
      <c r="AB119" s="377"/>
    </row>
    <row r="120" spans="2:29" s="33" customFormat="1" ht="16.5" customHeight="1">
      <c r="P120" s="609"/>
      <c r="Q120" s="376"/>
      <c r="R120" s="609"/>
      <c r="S120" s="376"/>
      <c r="T120" s="376"/>
      <c r="U120" s="376"/>
      <c r="V120" s="376"/>
      <c r="W120" s="376"/>
      <c r="X120" s="376"/>
      <c r="Y120" s="376"/>
      <c r="Z120" s="376"/>
      <c r="AA120" s="376"/>
      <c r="AB120" s="377"/>
      <c r="AC120" s="609"/>
    </row>
    <row r="121" spans="2:29" s="33" customFormat="1" ht="16.5" customHeight="1">
      <c r="P121" s="609"/>
      <c r="Q121" s="376"/>
      <c r="R121" s="609"/>
      <c r="S121" s="376"/>
      <c r="T121" s="376"/>
      <c r="U121" s="376"/>
      <c r="V121" s="376"/>
      <c r="W121" s="376"/>
      <c r="X121" s="376"/>
      <c r="Y121" s="376"/>
      <c r="Z121" s="376"/>
      <c r="AA121" s="376"/>
      <c r="AB121" s="377"/>
    </row>
    <row r="122" spans="2:29" s="33" customFormat="1" ht="16.5" customHeight="1">
      <c r="P122" s="609"/>
      <c r="Q122" s="376"/>
      <c r="R122" s="609"/>
      <c r="S122" s="376"/>
      <c r="T122" s="376"/>
      <c r="U122" s="376"/>
      <c r="V122" s="376"/>
      <c r="W122" s="376"/>
      <c r="X122" s="376"/>
      <c r="Y122" s="376"/>
      <c r="Z122" s="376"/>
      <c r="AA122" s="376"/>
      <c r="AB122" s="377"/>
    </row>
    <row r="123" spans="2:29" s="33" customFormat="1" ht="16.5" customHeight="1">
      <c r="P123" s="609"/>
      <c r="Q123" s="376"/>
      <c r="R123" s="609"/>
      <c r="S123" s="376"/>
      <c r="T123" s="376"/>
      <c r="U123" s="376"/>
      <c r="V123" s="376"/>
      <c r="W123" s="376"/>
      <c r="X123" s="376"/>
      <c r="Y123" s="376"/>
      <c r="Z123" s="376"/>
      <c r="AA123" s="376"/>
      <c r="AB123" s="377"/>
    </row>
    <row r="124" spans="2:29" s="33" customFormat="1" ht="16.5" customHeight="1">
      <c r="P124" s="609"/>
      <c r="Q124" s="376"/>
      <c r="R124" s="609"/>
      <c r="S124" s="376"/>
      <c r="T124" s="376"/>
      <c r="U124" s="376"/>
      <c r="V124" s="376"/>
      <c r="W124" s="376"/>
      <c r="X124" s="376"/>
      <c r="Y124" s="376"/>
      <c r="Z124" s="376"/>
      <c r="AA124" s="376"/>
      <c r="AB124" s="377"/>
    </row>
    <row r="125" spans="2:29" s="33" customFormat="1" ht="16.5" customHeight="1">
      <c r="P125" s="609"/>
      <c r="Q125" s="376"/>
      <c r="R125" s="609"/>
      <c r="S125" s="376"/>
      <c r="T125" s="376"/>
      <c r="U125" s="376"/>
      <c r="V125" s="376"/>
      <c r="W125" s="376"/>
      <c r="X125" s="376"/>
      <c r="Y125" s="376"/>
      <c r="Z125" s="376"/>
      <c r="AA125" s="376"/>
      <c r="AB125" s="377"/>
    </row>
    <row r="126" spans="2:29" s="33" customFormat="1" ht="16.5" customHeight="1">
      <c r="P126" s="609"/>
      <c r="Q126" s="376"/>
      <c r="R126" s="609"/>
      <c r="S126" s="376"/>
      <c r="T126" s="376"/>
      <c r="U126" s="376"/>
      <c r="V126" s="376"/>
      <c r="W126" s="376"/>
      <c r="X126" s="376"/>
      <c r="Y126" s="376"/>
      <c r="Z126" s="376"/>
      <c r="AA126" s="376"/>
      <c r="AB126" s="377"/>
    </row>
    <row r="127" spans="2:29" s="33" customFormat="1" ht="16.5" customHeight="1">
      <c r="Q127" s="364"/>
      <c r="S127" s="364"/>
      <c r="T127" s="364"/>
      <c r="U127" s="364"/>
      <c r="V127" s="364"/>
      <c r="W127" s="364"/>
      <c r="X127" s="364"/>
      <c r="Y127" s="364"/>
      <c r="Z127" s="364"/>
      <c r="AA127" s="376"/>
    </row>
    <row r="128" spans="2:29" s="33" customFormat="1" ht="16.5" customHeight="1">
      <c r="Q128" s="364"/>
      <c r="S128" s="364"/>
      <c r="T128" s="364"/>
      <c r="U128" s="364"/>
      <c r="V128" s="364"/>
      <c r="W128" s="364"/>
      <c r="X128" s="364"/>
      <c r="Y128" s="364"/>
      <c r="Z128" s="364"/>
      <c r="AA128" s="376"/>
    </row>
    <row r="129" spans="17:27" s="33" customFormat="1" ht="16.5" customHeight="1">
      <c r="Q129" s="364"/>
      <c r="S129" s="364"/>
      <c r="T129" s="364"/>
      <c r="U129" s="364"/>
      <c r="V129" s="364"/>
      <c r="W129" s="364"/>
      <c r="X129" s="364"/>
      <c r="Y129" s="364"/>
      <c r="Z129" s="364"/>
      <c r="AA129" s="376"/>
    </row>
    <row r="130" spans="17:27" s="33" customFormat="1" ht="16.5" customHeight="1">
      <c r="Q130" s="364"/>
      <c r="S130" s="364"/>
      <c r="T130" s="364"/>
      <c r="U130" s="364"/>
      <c r="V130" s="364"/>
      <c r="W130" s="364"/>
      <c r="X130" s="364"/>
      <c r="Y130" s="364"/>
      <c r="Z130" s="364"/>
      <c r="AA130" s="376"/>
    </row>
    <row r="131" spans="17:27" s="33" customFormat="1" ht="16.5" customHeight="1">
      <c r="Q131" s="364"/>
      <c r="S131" s="364"/>
      <c r="T131" s="364"/>
      <c r="U131" s="364"/>
      <c r="V131" s="364"/>
      <c r="W131" s="364"/>
      <c r="X131" s="364"/>
      <c r="Y131" s="364"/>
      <c r="Z131" s="364"/>
      <c r="AA131" s="376"/>
    </row>
    <row r="132" spans="17:27" s="33" customFormat="1" ht="16.5" customHeight="1">
      <c r="Q132" s="364"/>
      <c r="S132" s="364"/>
      <c r="T132" s="364"/>
      <c r="U132" s="364"/>
      <c r="V132" s="364"/>
      <c r="W132" s="364"/>
      <c r="X132" s="364"/>
      <c r="Y132" s="364"/>
      <c r="Z132" s="364"/>
      <c r="AA132" s="376"/>
    </row>
    <row r="133" spans="17:27" s="33" customFormat="1" ht="16.5" customHeight="1">
      <c r="Q133" s="364"/>
      <c r="S133" s="364"/>
      <c r="T133" s="364"/>
      <c r="U133" s="364"/>
      <c r="V133" s="364"/>
      <c r="W133" s="364"/>
      <c r="X133" s="364"/>
      <c r="Y133" s="364"/>
      <c r="Z133" s="364"/>
      <c r="AA133" s="376"/>
    </row>
    <row r="134" spans="17:27" s="33" customFormat="1" ht="16.5" customHeight="1">
      <c r="Q134" s="364"/>
      <c r="S134" s="364"/>
      <c r="T134" s="364"/>
      <c r="U134" s="364"/>
      <c r="V134" s="364"/>
      <c r="W134" s="364"/>
      <c r="X134" s="364"/>
      <c r="Y134" s="364"/>
      <c r="Z134" s="364"/>
      <c r="AA134" s="376"/>
    </row>
    <row r="135" spans="17:27" s="33" customFormat="1" ht="16.5" customHeight="1">
      <c r="Q135" s="364"/>
      <c r="S135" s="364"/>
      <c r="T135" s="364"/>
      <c r="U135" s="364"/>
      <c r="V135" s="364"/>
      <c r="W135" s="364"/>
      <c r="X135" s="364"/>
      <c r="Y135" s="364"/>
      <c r="Z135" s="364"/>
      <c r="AA135" s="376"/>
    </row>
    <row r="136" spans="17:27" s="33" customFormat="1" ht="16.5" customHeight="1">
      <c r="Q136" s="364"/>
      <c r="S136" s="364"/>
      <c r="T136" s="364"/>
      <c r="U136" s="364"/>
      <c r="V136" s="364"/>
      <c r="W136" s="364"/>
      <c r="X136" s="364"/>
      <c r="Y136" s="364"/>
      <c r="Z136" s="364"/>
      <c r="AA136" s="376"/>
    </row>
    <row r="137" spans="17:27" s="33" customFormat="1" ht="16.5" customHeight="1">
      <c r="Q137" s="364"/>
      <c r="S137" s="364"/>
      <c r="T137" s="364"/>
      <c r="U137" s="364"/>
      <c r="V137" s="364"/>
      <c r="W137" s="364"/>
      <c r="X137" s="364"/>
      <c r="Y137" s="364"/>
      <c r="Z137" s="364"/>
      <c r="AA137" s="376"/>
    </row>
    <row r="138" spans="17:27" s="33" customFormat="1" ht="12.75">
      <c r="Q138" s="364"/>
      <c r="S138" s="364"/>
      <c r="T138" s="364"/>
      <c r="U138" s="364"/>
      <c r="V138" s="364"/>
      <c r="W138" s="364"/>
      <c r="X138" s="364"/>
      <c r="Y138" s="364"/>
      <c r="Z138" s="364"/>
      <c r="AA138" s="376"/>
    </row>
    <row r="139" spans="17:27" s="33" customFormat="1" ht="12.75">
      <c r="Q139" s="364"/>
      <c r="S139" s="364"/>
      <c r="T139" s="364"/>
      <c r="U139" s="364"/>
      <c r="V139" s="364"/>
      <c r="W139" s="364"/>
      <c r="X139" s="364"/>
      <c r="Y139" s="364"/>
      <c r="Z139" s="364"/>
      <c r="AA139" s="376"/>
    </row>
    <row r="140" spans="17:27" s="33" customFormat="1" ht="12.75">
      <c r="Q140" s="364"/>
      <c r="S140" s="364"/>
      <c r="T140" s="364"/>
      <c r="U140" s="364"/>
      <c r="V140" s="364"/>
      <c r="W140" s="364"/>
      <c r="X140" s="364"/>
      <c r="Y140" s="364"/>
      <c r="Z140" s="364"/>
      <c r="AA140" s="364"/>
    </row>
    <row r="141" spans="17:27" s="33" customFormat="1" ht="12.75">
      <c r="Q141" s="364"/>
      <c r="S141" s="364"/>
      <c r="T141" s="364"/>
      <c r="U141" s="364"/>
      <c r="V141" s="364"/>
      <c r="W141" s="364"/>
      <c r="X141" s="364"/>
      <c r="Y141" s="364"/>
      <c r="Z141" s="364"/>
      <c r="AA141" s="364"/>
    </row>
    <row r="142" spans="17:27" s="33" customFormat="1" ht="12.75">
      <c r="Q142" s="364"/>
      <c r="S142" s="364"/>
      <c r="T142" s="364"/>
      <c r="U142" s="364"/>
      <c r="V142" s="364"/>
      <c r="W142" s="364"/>
      <c r="X142" s="364"/>
      <c r="Y142" s="364"/>
      <c r="Z142" s="364"/>
      <c r="AA142" s="364"/>
    </row>
    <row r="143" spans="17:27" s="33" customFormat="1" ht="12.75">
      <c r="Q143" s="364"/>
      <c r="S143" s="364"/>
      <c r="T143" s="364"/>
      <c r="U143" s="364"/>
      <c r="V143" s="364"/>
      <c r="W143" s="364"/>
      <c r="X143" s="364"/>
      <c r="Y143" s="364"/>
      <c r="Z143" s="364"/>
      <c r="AA143" s="364"/>
    </row>
  </sheetData>
  <mergeCells count="114">
    <mergeCell ref="J76:K76"/>
    <mergeCell ref="J52:K52"/>
    <mergeCell ref="J53:K53"/>
    <mergeCell ref="J50:K50"/>
    <mergeCell ref="J57:K57"/>
    <mergeCell ref="J37:K37"/>
    <mergeCell ref="J39:K39"/>
    <mergeCell ref="J40:K40"/>
    <mergeCell ref="J42:K42"/>
    <mergeCell ref="J43:K43"/>
    <mergeCell ref="J44:K44"/>
    <mergeCell ref="J51:K51"/>
    <mergeCell ref="J54:K54"/>
    <mergeCell ref="J86:K86"/>
    <mergeCell ref="J82:K82"/>
    <mergeCell ref="J83:K83"/>
    <mergeCell ref="J84:K84"/>
    <mergeCell ref="J85:K85"/>
    <mergeCell ref="J78:K78"/>
    <mergeCell ref="J29:K29"/>
    <mergeCell ref="J31:K31"/>
    <mergeCell ref="J64:K64"/>
    <mergeCell ref="J63:K63"/>
    <mergeCell ref="J62:K62"/>
    <mergeCell ref="J61:K61"/>
    <mergeCell ref="J60:K60"/>
    <mergeCell ref="J72:K72"/>
    <mergeCell ref="J73:K73"/>
    <mergeCell ref="J74:K74"/>
    <mergeCell ref="J79:K79"/>
    <mergeCell ref="J80:K80"/>
    <mergeCell ref="J56:K56"/>
    <mergeCell ref="J77:K77"/>
    <mergeCell ref="J81:K81"/>
    <mergeCell ref="J75:K75"/>
    <mergeCell ref="J30:K30"/>
    <mergeCell ref="J32:K32"/>
    <mergeCell ref="J28:K28"/>
    <mergeCell ref="J24:K24"/>
    <mergeCell ref="J22:K22"/>
    <mergeCell ref="J23:K23"/>
    <mergeCell ref="J25:K25"/>
    <mergeCell ref="H7:O7"/>
    <mergeCell ref="J14:K14"/>
    <mergeCell ref="M8:O8"/>
    <mergeCell ref="M9:O9"/>
    <mergeCell ref="M10:O10"/>
    <mergeCell ref="J17:K17"/>
    <mergeCell ref="J21:K21"/>
    <mergeCell ref="J15:K15"/>
    <mergeCell ref="H15:I15"/>
    <mergeCell ref="N20:O20"/>
    <mergeCell ref="J27:K27"/>
    <mergeCell ref="G20:I20"/>
    <mergeCell ref="J11:K11"/>
    <mergeCell ref="J26:K26"/>
    <mergeCell ref="J8:K8"/>
    <mergeCell ref="J9:K9"/>
    <mergeCell ref="F8:G8"/>
    <mergeCell ref="H13:I13"/>
    <mergeCell ref="F11:G11"/>
    <mergeCell ref="D17:E17"/>
    <mergeCell ref="H17:I17"/>
    <mergeCell ref="E20:F20"/>
    <mergeCell ref="H18:I18"/>
    <mergeCell ref="J20:K20"/>
    <mergeCell ref="J18:K18"/>
    <mergeCell ref="H14:I14"/>
    <mergeCell ref="H16:I16"/>
    <mergeCell ref="D16:E16"/>
    <mergeCell ref="F16:G16"/>
    <mergeCell ref="F15:G15"/>
    <mergeCell ref="D18:E18"/>
    <mergeCell ref="F18:G18"/>
    <mergeCell ref="F14:G14"/>
    <mergeCell ref="D15:E15"/>
    <mergeCell ref="F17:G17"/>
    <mergeCell ref="D12:E12"/>
    <mergeCell ref="F12:G12"/>
    <mergeCell ref="H12:I12"/>
    <mergeCell ref="J12:K12"/>
    <mergeCell ref="J16:K16"/>
    <mergeCell ref="D14:E14"/>
    <mergeCell ref="D8:E8"/>
    <mergeCell ref="D9:E9"/>
    <mergeCell ref="D10:E10"/>
    <mergeCell ref="F9:G9"/>
    <mergeCell ref="F10:G10"/>
    <mergeCell ref="J13:K13"/>
    <mergeCell ref="D13:E13"/>
    <mergeCell ref="F13:G13"/>
    <mergeCell ref="J10:K10"/>
    <mergeCell ref="H11:I11"/>
    <mergeCell ref="J33:K33"/>
    <mergeCell ref="J34:K34"/>
    <mergeCell ref="J35:K35"/>
    <mergeCell ref="J69:K69"/>
    <mergeCell ref="J70:K70"/>
    <mergeCell ref="J71:K71"/>
    <mergeCell ref="J38:K38"/>
    <mergeCell ref="J65:K65"/>
    <mergeCell ref="J66:K66"/>
    <mergeCell ref="J67:K67"/>
    <mergeCell ref="J68:K68"/>
    <mergeCell ref="J41:K41"/>
    <mergeCell ref="J47:K47"/>
    <mergeCell ref="J59:K59"/>
    <mergeCell ref="J58:K58"/>
    <mergeCell ref="J36:K36"/>
    <mergeCell ref="J55:K55"/>
    <mergeCell ref="J45:K45"/>
    <mergeCell ref="J46:K46"/>
    <mergeCell ref="J48:K48"/>
    <mergeCell ref="J49:K49"/>
  </mergeCells>
  <printOptions horizontalCentered="1"/>
  <pageMargins left="0.59055118110236227" right="0.59055118110236227" top="0.59055118110236227" bottom="0.59055118110236227" header="0.39370078740157483" footer="0.39370078740157483"/>
  <pageSetup paperSize="8" firstPageNumber="8" orientation="portrait" useFirstPageNumber="1" r:id="rId1"/>
  <headerFooter alignWithMargins="0">
    <oddFooter>&amp;L&amp;11LEL Schwäbisch Gmünd&amp;C&amp;11&amp;P+8&amp;R&amp;11 &amp;F</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7">
    <tabColor rgb="FF00B0F0"/>
    <pageSetUpPr fitToPage="1"/>
  </sheetPr>
  <dimension ref="A1:AO193"/>
  <sheetViews>
    <sheetView showZeros="0" zoomScaleNormal="100" workbookViewId="0"/>
  </sheetViews>
  <sheetFormatPr baseColWidth="10" defaultColWidth="10.5" defaultRowHeight="11.25"/>
  <cols>
    <col min="1" max="1" width="2.75" style="377" customWidth="1"/>
    <col min="2" max="2" width="3.625" style="2039" customWidth="1"/>
    <col min="3" max="3" width="27.5" style="2039" customWidth="1"/>
    <col min="4" max="4" width="7.75" style="2039" customWidth="1"/>
    <col min="5" max="5" width="8.5" style="2039" customWidth="1"/>
    <col min="6" max="6" width="6.625" style="2039" bestFit="1" customWidth="1"/>
    <col min="7" max="7" width="6.625" style="2039" customWidth="1"/>
    <col min="8" max="8" width="7.125" style="391" customWidth="1"/>
    <col min="9" max="9" width="6" style="2039" customWidth="1"/>
    <col min="10" max="10" width="4.5" style="391" bestFit="1" customWidth="1"/>
    <col min="11" max="11" width="7.375" style="391" customWidth="1"/>
    <col min="12" max="12" width="5.125" style="391" customWidth="1"/>
    <col min="13" max="13" width="5.375" style="391" customWidth="1"/>
    <col min="14" max="14" width="6.375" style="391" bestFit="1" customWidth="1"/>
    <col min="15" max="15" width="6.375" style="391" customWidth="1"/>
    <col min="16" max="16" width="14.375" style="391" customWidth="1"/>
    <col min="17" max="17" width="17" style="377" hidden="1" customWidth="1"/>
    <col min="18" max="21" width="0" style="377" hidden="1" customWidth="1"/>
    <col min="22" max="16384" width="10.5" style="377"/>
  </cols>
  <sheetData>
    <row r="1" spans="1:41" ht="23.25">
      <c r="A1" s="2049"/>
      <c r="C1" s="2085"/>
      <c r="J1" s="377"/>
      <c r="M1" s="2054"/>
      <c r="N1" s="2054"/>
    </row>
    <row r="2" spans="1:41" ht="18">
      <c r="A2" s="2071"/>
      <c r="B2" s="2084" t="s">
        <v>512</v>
      </c>
      <c r="H2" s="2039"/>
      <c r="I2" s="391"/>
      <c r="J2" s="2039"/>
      <c r="K2" s="2039"/>
      <c r="L2" s="2039"/>
      <c r="M2" s="2039"/>
      <c r="N2" s="2039"/>
      <c r="O2" s="481" t="str">
        <f>SDÖ1!O2</f>
        <v>Marktfrüchte Öko</v>
      </c>
    </row>
    <row r="3" spans="1:41" ht="33" customHeight="1">
      <c r="A3" s="2071"/>
      <c r="B3" s="4323"/>
      <c r="C3" s="4323"/>
      <c r="D3" s="4323"/>
      <c r="E3" s="4323"/>
      <c r="F3" s="4323"/>
      <c r="G3" s="4323"/>
      <c r="H3" s="4323"/>
      <c r="I3" s="4323"/>
      <c r="J3" s="4323"/>
      <c r="K3" s="4323"/>
      <c r="L3" s="4323"/>
      <c r="M3" s="4323"/>
      <c r="N3" s="4323"/>
      <c r="O3" s="481">
        <f>SDÖ1!O3</f>
        <v>0</v>
      </c>
      <c r="P3" s="3320"/>
      <c r="Q3" s="390"/>
      <c r="R3" s="390"/>
      <c r="S3" s="390"/>
      <c r="T3" s="390"/>
      <c r="U3" s="390"/>
      <c r="V3" s="390"/>
      <c r="W3" s="390"/>
      <c r="X3" s="432"/>
      <c r="Y3" s="432"/>
      <c r="Z3" s="432"/>
      <c r="AA3" s="432"/>
      <c r="AB3" s="432"/>
      <c r="AC3" s="432"/>
      <c r="AD3" s="432"/>
      <c r="AE3" s="432"/>
      <c r="AF3" s="432"/>
      <c r="AG3" s="432"/>
      <c r="AH3" s="432"/>
      <c r="AI3" s="432"/>
      <c r="AJ3" s="432"/>
      <c r="AK3" s="432"/>
      <c r="AL3" s="432"/>
      <c r="AM3" s="432"/>
      <c r="AN3" s="432"/>
      <c r="AO3" s="432"/>
    </row>
    <row r="4" spans="1:41" ht="13.15" customHeight="1">
      <c r="A4" s="2071"/>
      <c r="B4" s="2083" t="s">
        <v>511</v>
      </c>
      <c r="C4" s="2080"/>
      <c r="D4" s="2082">
        <f>'SDK1'!O64</f>
        <v>1.5742499999999999</v>
      </c>
      <c r="E4" s="2081" t="s">
        <v>506</v>
      </c>
      <c r="F4" s="2081" t="s">
        <v>510</v>
      </c>
      <c r="G4" s="3450">
        <f>SDÖ1!O12/100</f>
        <v>0</v>
      </c>
      <c r="H4" s="2081"/>
      <c r="I4" s="292" t="s">
        <v>509</v>
      </c>
      <c r="J4" s="2082">
        <f>'SDK3'!J5</f>
        <v>0.21479999999999999</v>
      </c>
      <c r="K4" s="2081" t="s">
        <v>506</v>
      </c>
      <c r="L4" s="2080" t="s">
        <v>1454</v>
      </c>
      <c r="M4" s="292" t="s">
        <v>508</v>
      </c>
      <c r="N4" s="2079">
        <f>'SDK3'!N5</f>
        <v>1.1080991596638654</v>
      </c>
      <c r="O4" s="323" t="s">
        <v>506</v>
      </c>
      <c r="P4" s="3320"/>
      <c r="Q4" s="3199" t="s">
        <v>1453</v>
      </c>
      <c r="R4" s="2076">
        <f>'SDK3'!S5</f>
        <v>1.3228991596638655</v>
      </c>
      <c r="S4" s="2078"/>
      <c r="T4" s="2077">
        <v>19</v>
      </c>
      <c r="U4" s="2076">
        <f>D4*T4/100</f>
        <v>0.29910750000000003</v>
      </c>
      <c r="W4" s="2075"/>
      <c r="Z4" s="432"/>
      <c r="AA4" s="432"/>
      <c r="AB4" s="432"/>
      <c r="AC4" s="432"/>
      <c r="AD4" s="432"/>
      <c r="AE4" s="432"/>
      <c r="AF4" s="432"/>
      <c r="AG4" s="432"/>
      <c r="AH4" s="432"/>
      <c r="AI4" s="432"/>
      <c r="AJ4" s="432"/>
      <c r="AK4" s="432"/>
      <c r="AL4" s="432"/>
      <c r="AM4" s="432"/>
      <c r="AN4" s="432"/>
      <c r="AO4" s="432"/>
    </row>
    <row r="5" spans="1:41" ht="13.15" customHeight="1">
      <c r="A5" s="2071"/>
      <c r="K5" s="377"/>
      <c r="L5" s="377"/>
      <c r="M5" s="377"/>
      <c r="N5" s="377"/>
      <c r="O5" s="390"/>
      <c r="P5" s="3320"/>
      <c r="Q5" s="390"/>
      <c r="R5" s="390"/>
      <c r="S5" s="390"/>
      <c r="T5" s="390"/>
      <c r="U5" s="390"/>
      <c r="V5" s="390"/>
      <c r="W5" s="390"/>
      <c r="X5" s="432"/>
      <c r="Y5" s="432"/>
      <c r="Z5" s="432"/>
      <c r="AA5" s="432"/>
      <c r="AB5" s="432"/>
      <c r="AC5" s="432"/>
      <c r="AD5" s="432"/>
      <c r="AE5" s="432"/>
      <c r="AF5" s="432"/>
      <c r="AG5" s="432"/>
      <c r="AH5" s="432"/>
      <c r="AI5" s="432"/>
      <c r="AJ5" s="432"/>
      <c r="AK5" s="432"/>
      <c r="AL5" s="432"/>
      <c r="AM5" s="432"/>
      <c r="AN5" s="432"/>
      <c r="AO5" s="432"/>
    </row>
    <row r="6" spans="1:41" ht="12.75">
      <c r="A6" s="2071"/>
      <c r="B6" s="3422" t="s">
        <v>471</v>
      </c>
      <c r="C6" s="3423"/>
      <c r="D6" s="3424"/>
      <c r="E6" s="3425"/>
      <c r="F6" s="3425"/>
      <c r="G6" s="3426"/>
      <c r="H6" s="4321" t="s">
        <v>505</v>
      </c>
      <c r="I6" s="4322"/>
      <c r="J6" s="4322"/>
      <c r="K6" s="4322"/>
      <c r="L6" s="4322"/>
      <c r="M6" s="4322"/>
      <c r="N6" s="4322"/>
      <c r="O6" s="4322"/>
      <c r="P6" s="3320"/>
      <c r="Q6" s="390"/>
      <c r="R6" s="390"/>
      <c r="S6" s="390"/>
      <c r="T6" s="390"/>
      <c r="U6" s="390"/>
      <c r="V6" s="390"/>
      <c r="W6" s="390"/>
      <c r="X6" s="432"/>
      <c r="Y6" s="432"/>
      <c r="Z6" s="432"/>
      <c r="AA6" s="432"/>
      <c r="AB6" s="432"/>
      <c r="AC6" s="432"/>
      <c r="AD6" s="432"/>
      <c r="AE6" s="432"/>
      <c r="AF6" s="432"/>
      <c r="AG6" s="432"/>
      <c r="AH6" s="432"/>
      <c r="AI6" s="432"/>
      <c r="AJ6" s="432"/>
    </row>
    <row r="7" spans="1:41" ht="13.15" customHeight="1">
      <c r="A7" s="2071"/>
      <c r="B7" s="3394"/>
      <c r="C7" s="3386"/>
      <c r="D7" s="4324" t="s">
        <v>467</v>
      </c>
      <c r="E7" s="4325"/>
      <c r="F7" s="4324" t="s">
        <v>504</v>
      </c>
      <c r="G7" s="4326"/>
      <c r="H7" s="4327" t="s">
        <v>1452</v>
      </c>
      <c r="I7" s="4328"/>
      <c r="J7" s="4324" t="s">
        <v>502</v>
      </c>
      <c r="K7" s="4329"/>
      <c r="L7" s="3387"/>
      <c r="M7" s="3453" t="s">
        <v>501</v>
      </c>
      <c r="N7" s="3454"/>
      <c r="O7" s="3455"/>
      <c r="P7" s="3320"/>
      <c r="Q7" s="390"/>
      <c r="R7" s="390"/>
      <c r="S7" s="390"/>
      <c r="T7" s="390"/>
      <c r="U7" s="390"/>
      <c r="V7" s="390"/>
      <c r="W7" s="390"/>
      <c r="X7" s="432"/>
      <c r="Y7" s="432"/>
      <c r="Z7" s="432"/>
      <c r="AA7" s="432"/>
      <c r="AB7" s="432"/>
      <c r="AC7" s="432"/>
      <c r="AD7" s="432"/>
      <c r="AE7" s="432"/>
      <c r="AF7" s="432"/>
      <c r="AG7" s="432"/>
      <c r="AH7" s="432"/>
      <c r="AI7" s="432"/>
      <c r="AJ7" s="432"/>
    </row>
    <row r="8" spans="1:41" ht="13.15" customHeight="1">
      <c r="A8" s="2071"/>
      <c r="B8" s="3427"/>
      <c r="C8" s="3386"/>
      <c r="D8" s="4324" t="s">
        <v>465</v>
      </c>
      <c r="E8" s="4325"/>
      <c r="F8" s="4324" t="s">
        <v>500</v>
      </c>
      <c r="G8" s="4326"/>
      <c r="H8" s="4327"/>
      <c r="I8" s="4328"/>
      <c r="J8" s="4324" t="s">
        <v>498</v>
      </c>
      <c r="K8" s="4329"/>
      <c r="L8" s="3387"/>
      <c r="M8" s="3453" t="s">
        <v>497</v>
      </c>
      <c r="N8" s="3454"/>
      <c r="O8" s="3455"/>
      <c r="P8" s="3320"/>
      <c r="Q8" s="390"/>
      <c r="R8" s="390"/>
      <c r="S8" s="390"/>
      <c r="T8" s="390"/>
      <c r="U8" s="390"/>
      <c r="V8" s="390"/>
      <c r="W8" s="390"/>
      <c r="X8" s="432"/>
      <c r="Y8" s="432"/>
      <c r="Z8" s="432"/>
      <c r="AA8" s="432"/>
      <c r="AB8" s="432"/>
      <c r="AC8" s="432"/>
      <c r="AD8" s="432"/>
      <c r="AE8" s="432"/>
      <c r="AF8" s="432"/>
      <c r="AG8" s="432"/>
      <c r="AH8" s="432"/>
      <c r="AI8" s="432"/>
      <c r="AJ8" s="432"/>
    </row>
    <row r="9" spans="1:41" ht="13.15" customHeight="1">
      <c r="A9" s="2071"/>
      <c r="B9" s="3427"/>
      <c r="C9" s="3386"/>
      <c r="D9" s="4332"/>
      <c r="E9" s="4333"/>
      <c r="F9" s="4332"/>
      <c r="G9" s="4334"/>
      <c r="H9" s="3388">
        <f>N4</f>
        <v>1.1080991596638654</v>
      </c>
      <c r="I9" s="3389" t="s">
        <v>496</v>
      </c>
      <c r="J9" s="4324" t="s">
        <v>495</v>
      </c>
      <c r="K9" s="4329"/>
      <c r="L9" s="3387"/>
      <c r="M9" s="3453" t="s">
        <v>494</v>
      </c>
      <c r="N9" s="3454"/>
      <c r="O9" s="3455"/>
      <c r="P9" s="3320"/>
      <c r="Q9" s="3198" t="s">
        <v>1451</v>
      </c>
      <c r="R9" s="390"/>
      <c r="S9" s="390"/>
      <c r="T9" s="390"/>
      <c r="U9" s="390"/>
      <c r="V9" s="390"/>
      <c r="W9" s="390"/>
      <c r="X9" s="432"/>
      <c r="Y9" s="432"/>
      <c r="Z9" s="432"/>
      <c r="AA9" s="432"/>
      <c r="AB9" s="432"/>
      <c r="AC9" s="432"/>
      <c r="AD9" s="432"/>
      <c r="AE9" s="432"/>
      <c r="AF9" s="432"/>
      <c r="AG9" s="432"/>
      <c r="AH9" s="432"/>
      <c r="AI9" s="432"/>
      <c r="AJ9" s="432"/>
    </row>
    <row r="10" spans="1:41" ht="13.15" customHeight="1">
      <c r="A10" s="2071"/>
      <c r="B10" s="3392" t="s">
        <v>287</v>
      </c>
      <c r="C10" s="3390" t="s">
        <v>492</v>
      </c>
      <c r="D10" s="3391"/>
      <c r="E10" s="3392"/>
      <c r="F10" s="4339" t="s">
        <v>491</v>
      </c>
      <c r="G10" s="4340"/>
      <c r="H10" s="3393" t="s">
        <v>490</v>
      </c>
      <c r="I10" s="3394"/>
      <c r="J10" s="4339" t="s">
        <v>490</v>
      </c>
      <c r="K10" s="4341"/>
      <c r="L10" s="3395"/>
      <c r="M10" s="3396">
        <v>0.7</v>
      </c>
      <c r="N10" s="3397">
        <v>1</v>
      </c>
      <c r="O10" s="439">
        <v>1.5</v>
      </c>
      <c r="P10" s="3451"/>
      <c r="Q10" s="2057"/>
      <c r="R10" s="390"/>
      <c r="S10" s="390"/>
      <c r="T10" s="390"/>
      <c r="U10" s="390"/>
      <c r="V10" s="390"/>
      <c r="W10" s="390"/>
      <c r="X10" s="432"/>
      <c r="Y10" s="432"/>
      <c r="Z10" s="432"/>
      <c r="AA10" s="432"/>
      <c r="AB10" s="432"/>
      <c r="AC10" s="432"/>
      <c r="AD10" s="432"/>
      <c r="AE10" s="432"/>
      <c r="AF10" s="432"/>
      <c r="AG10" s="432"/>
      <c r="AH10" s="432"/>
      <c r="AI10" s="432"/>
      <c r="AJ10" s="432"/>
    </row>
    <row r="11" spans="1:41" ht="13.15" customHeight="1">
      <c r="A11" s="2071"/>
      <c r="B11" s="2072">
        <v>1</v>
      </c>
      <c r="C11" s="464" t="s">
        <v>1450</v>
      </c>
      <c r="D11" s="4262">
        <v>200</v>
      </c>
      <c r="E11" s="4342"/>
      <c r="F11" s="4264">
        <v>23.3</v>
      </c>
      <c r="G11" s="4310"/>
      <c r="H11" s="4264">
        <f t="shared" ref="H11:H16" si="0">F11*($H$9)+J11</f>
        <v>40.81871042016806</v>
      </c>
      <c r="I11" s="4310"/>
      <c r="J11" s="4344">
        <f>'SDK3'!J12:K12</f>
        <v>15</v>
      </c>
      <c r="K11" s="4310"/>
      <c r="L11" s="2074"/>
      <c r="M11" s="461">
        <f>($F11*$N$4)*M$10+$J11</f>
        <v>33.073097294117645</v>
      </c>
      <c r="N11" s="463">
        <f>($F11*$N$4)*N$10+$J11</f>
        <v>40.81871042016806</v>
      </c>
      <c r="O11" s="3452">
        <f>($F11*$N$4)*O$10+$J11</f>
        <v>53.728065630252097</v>
      </c>
      <c r="P11" s="617"/>
      <c r="Q11" s="2057" t="s">
        <v>1905</v>
      </c>
      <c r="R11" s="390"/>
      <c r="S11" s="390"/>
      <c r="T11" s="390"/>
      <c r="U11" s="390"/>
      <c r="V11" s="390"/>
      <c r="W11" s="390"/>
      <c r="X11" s="432"/>
      <c r="Y11" s="432"/>
      <c r="Z11" s="432"/>
      <c r="AA11" s="432"/>
      <c r="AB11" s="432"/>
      <c r="AC11" s="432"/>
      <c r="AD11" s="432"/>
      <c r="AE11" s="432"/>
      <c r="AF11" s="432"/>
      <c r="AG11" s="432"/>
      <c r="AH11" s="432"/>
      <c r="AI11" s="432"/>
      <c r="AJ11" s="432"/>
    </row>
    <row r="12" spans="1:41" ht="13.15" customHeight="1">
      <c r="A12" s="2071"/>
      <c r="B12" s="2072">
        <v>2</v>
      </c>
      <c r="C12" s="383" t="s">
        <v>483</v>
      </c>
      <c r="D12" s="4272">
        <v>120</v>
      </c>
      <c r="E12" s="4273"/>
      <c r="F12" s="4280">
        <v>14</v>
      </c>
      <c r="G12" s="4281"/>
      <c r="H12" s="4280">
        <f t="shared" si="0"/>
        <v>25.013388235294116</v>
      </c>
      <c r="I12" s="4308"/>
      <c r="J12" s="4307">
        <f>'SDK3'!J13:K13</f>
        <v>9.5</v>
      </c>
      <c r="K12" s="4308"/>
      <c r="L12" s="2074"/>
      <c r="M12" s="461">
        <f t="shared" ref="M12:N16" si="1">($F12*$N$4)*M$10+$J12</f>
        <v>20.35937176470588</v>
      </c>
      <c r="N12" s="460">
        <f t="shared" si="1"/>
        <v>25.013388235294116</v>
      </c>
      <c r="O12" s="456">
        <f>($F12*$N$4)*O$10+$J12</f>
        <v>32.770082352941174</v>
      </c>
      <c r="P12" s="617"/>
      <c r="Q12" s="2057" t="s">
        <v>1905</v>
      </c>
      <c r="R12" s="390"/>
      <c r="S12" s="390"/>
      <c r="T12" s="390"/>
      <c r="U12" s="390"/>
      <c r="V12" s="390"/>
      <c r="W12" s="390"/>
      <c r="X12" s="432"/>
      <c r="Y12" s="432"/>
      <c r="Z12" s="432"/>
      <c r="AA12" s="432"/>
      <c r="AB12" s="432"/>
      <c r="AC12" s="432"/>
      <c r="AD12" s="432"/>
      <c r="AE12" s="432"/>
      <c r="AF12" s="432"/>
      <c r="AG12" s="432"/>
      <c r="AH12" s="432"/>
      <c r="AI12" s="432"/>
      <c r="AJ12" s="432"/>
    </row>
    <row r="13" spans="1:41" ht="13.15" customHeight="1">
      <c r="A13" s="2071"/>
      <c r="B13" s="2072">
        <v>3</v>
      </c>
      <c r="C13" s="383" t="s">
        <v>481</v>
      </c>
      <c r="D13" s="4272">
        <v>102</v>
      </c>
      <c r="E13" s="4273"/>
      <c r="F13" s="4280">
        <v>11.9</v>
      </c>
      <c r="G13" s="4281"/>
      <c r="H13" s="4280">
        <f t="shared" si="0"/>
        <v>21.18638</v>
      </c>
      <c r="I13" s="4308"/>
      <c r="J13" s="4307">
        <f>'SDK3'!J14:K14</f>
        <v>8</v>
      </c>
      <c r="K13" s="4308"/>
      <c r="L13" s="2073"/>
      <c r="M13" s="457">
        <f t="shared" si="1"/>
        <v>17.230466</v>
      </c>
      <c r="N13" s="456">
        <f t="shared" si="1"/>
        <v>21.18638</v>
      </c>
      <c r="O13" s="456">
        <f>($F13*$N$4)*O$10+$J13</f>
        <v>27.779569999999996</v>
      </c>
      <c r="P13" s="617"/>
      <c r="Q13" s="2057" t="s">
        <v>1905</v>
      </c>
      <c r="R13" s="390"/>
      <c r="S13" s="390"/>
      <c r="T13" s="390"/>
      <c r="U13" s="390"/>
      <c r="V13" s="390"/>
      <c r="W13" s="390"/>
      <c r="X13" s="432"/>
      <c r="Y13" s="432"/>
      <c r="Z13" s="432"/>
      <c r="AA13" s="432"/>
      <c r="AB13" s="432"/>
      <c r="AC13" s="432"/>
      <c r="AD13" s="432"/>
      <c r="AE13" s="432"/>
      <c r="AF13" s="432"/>
      <c r="AG13" s="432"/>
      <c r="AH13" s="432"/>
      <c r="AI13" s="432"/>
      <c r="AJ13" s="432"/>
    </row>
    <row r="14" spans="1:41" ht="13.15" customHeight="1">
      <c r="A14" s="2071"/>
      <c r="B14" s="2072">
        <v>4</v>
      </c>
      <c r="C14" s="383" t="s">
        <v>479</v>
      </c>
      <c r="D14" s="4272">
        <v>83</v>
      </c>
      <c r="E14" s="4273"/>
      <c r="F14" s="4280">
        <v>9.6999999999999993</v>
      </c>
      <c r="G14" s="4281"/>
      <c r="H14" s="4280">
        <f t="shared" si="0"/>
        <v>18.248561848739492</v>
      </c>
      <c r="I14" s="4308"/>
      <c r="J14" s="4307">
        <f>'SDK3'!J15:K15</f>
        <v>7.5</v>
      </c>
      <c r="K14" s="4308"/>
      <c r="L14" s="2073"/>
      <c r="M14" s="457">
        <f t="shared" si="1"/>
        <v>15.023993294117645</v>
      </c>
      <c r="N14" s="456">
        <f t="shared" si="1"/>
        <v>18.248561848739492</v>
      </c>
      <c r="O14" s="456">
        <f>($F14*$N$4)*O$10+$J14</f>
        <v>23.622842773109241</v>
      </c>
      <c r="P14" s="617"/>
      <c r="Q14" s="2057" t="s">
        <v>1905</v>
      </c>
      <c r="R14" s="390"/>
      <c r="S14" s="390"/>
      <c r="T14" s="390"/>
      <c r="U14" s="390"/>
      <c r="V14" s="390"/>
      <c r="W14" s="390"/>
      <c r="X14" s="432"/>
      <c r="Y14" s="432"/>
      <c r="Z14" s="432"/>
      <c r="AA14" s="432"/>
      <c r="AB14" s="432"/>
      <c r="AC14" s="432"/>
      <c r="AD14" s="432"/>
      <c r="AE14" s="432"/>
      <c r="AF14" s="432"/>
      <c r="AG14" s="432"/>
      <c r="AH14" s="432"/>
      <c r="AI14" s="432"/>
      <c r="AJ14" s="432"/>
    </row>
    <row r="15" spans="1:41" ht="13.15" customHeight="1">
      <c r="A15" s="2071"/>
      <c r="B15" s="2072">
        <v>5</v>
      </c>
      <c r="C15" s="383" t="s">
        <v>478</v>
      </c>
      <c r="D15" s="4272">
        <v>83</v>
      </c>
      <c r="E15" s="4309"/>
      <c r="F15" s="4280">
        <v>9.6999999999999993</v>
      </c>
      <c r="G15" s="4308"/>
      <c r="H15" s="4280">
        <f t="shared" si="0"/>
        <v>19.248561848739492</v>
      </c>
      <c r="I15" s="4308"/>
      <c r="J15" s="4307">
        <f>'SDK3'!J16:K16</f>
        <v>8.5</v>
      </c>
      <c r="K15" s="4308"/>
      <c r="L15" s="2073"/>
      <c r="M15" s="457">
        <f t="shared" si="1"/>
        <v>16.023993294117645</v>
      </c>
      <c r="N15" s="456">
        <f t="shared" si="1"/>
        <v>19.248561848739492</v>
      </c>
      <c r="O15" s="456">
        <f>($F15*$N$4)*O$10+$J15</f>
        <v>24.622842773109241</v>
      </c>
      <c r="P15" s="617"/>
      <c r="Q15" s="2057" t="s">
        <v>1906</v>
      </c>
      <c r="R15" s="390"/>
      <c r="S15" s="390"/>
      <c r="T15" s="33"/>
      <c r="U15" s="33"/>
      <c r="V15" s="390"/>
      <c r="W15" s="390"/>
      <c r="X15" s="432"/>
      <c r="Y15" s="432"/>
      <c r="Z15" s="432"/>
      <c r="AA15" s="432"/>
      <c r="AB15" s="432"/>
      <c r="AC15" s="432"/>
      <c r="AD15" s="432"/>
      <c r="AE15" s="432"/>
      <c r="AF15" s="432"/>
      <c r="AG15" s="432"/>
      <c r="AH15" s="432"/>
      <c r="AI15" s="432"/>
      <c r="AJ15" s="432"/>
    </row>
    <row r="16" spans="1:41" ht="13.15" customHeight="1">
      <c r="A16" s="2071"/>
      <c r="B16" s="2072">
        <v>6</v>
      </c>
      <c r="C16" s="383" t="s">
        <v>473</v>
      </c>
      <c r="D16" s="4272">
        <v>54</v>
      </c>
      <c r="E16" s="4309"/>
      <c r="F16" s="4280">
        <v>6.3</v>
      </c>
      <c r="G16" s="4308"/>
      <c r="H16" s="4280">
        <f t="shared" si="0"/>
        <v>12.981024705882351</v>
      </c>
      <c r="I16" s="4308"/>
      <c r="J16" s="4307">
        <f>'SDK3'!J17:K17</f>
        <v>6</v>
      </c>
      <c r="K16" s="4308"/>
      <c r="L16" s="2073"/>
      <c r="M16" s="457">
        <f t="shared" si="1"/>
        <v>10.886717294117647</v>
      </c>
      <c r="N16" s="456">
        <f t="shared" si="1"/>
        <v>12.981024705882351</v>
      </c>
      <c r="O16" s="456">
        <f>($F16*$N$4)*O$10+$J16</f>
        <v>16.471537058823529</v>
      </c>
      <c r="P16" s="390"/>
      <c r="Q16" s="33"/>
      <c r="R16" s="33"/>
      <c r="S16" s="33"/>
      <c r="T16" s="33"/>
      <c r="U16" s="33"/>
      <c r="V16" s="33"/>
      <c r="W16" s="33"/>
      <c r="X16" s="33"/>
      <c r="Y16" s="33"/>
      <c r="Z16" s="33"/>
      <c r="AA16" s="33"/>
      <c r="AB16" s="33"/>
      <c r="AC16" s="432"/>
      <c r="AD16" s="432"/>
      <c r="AE16" s="432"/>
      <c r="AF16" s="432"/>
      <c r="AG16" s="432"/>
    </row>
    <row r="17" spans="1:41" ht="13.15" customHeight="1">
      <c r="A17" s="2071"/>
      <c r="B17" s="33"/>
      <c r="C17" s="33"/>
      <c r="D17" s="33"/>
      <c r="E17" s="33"/>
      <c r="F17" s="33"/>
      <c r="G17" s="33"/>
      <c r="H17" s="33"/>
      <c r="I17" s="33"/>
      <c r="J17" s="33"/>
      <c r="K17" s="33"/>
      <c r="L17" s="33"/>
      <c r="M17" s="33"/>
      <c r="N17" s="33"/>
      <c r="O17" s="33"/>
      <c r="P17" s="617"/>
      <c r="Q17" s="2057"/>
      <c r="R17" s="390"/>
      <c r="S17" s="390"/>
      <c r="T17" s="33"/>
      <c r="U17" s="33"/>
      <c r="V17" s="33"/>
      <c r="W17" s="33"/>
      <c r="X17" s="33"/>
      <c r="Y17" s="33"/>
      <c r="Z17" s="33"/>
      <c r="AA17" s="33"/>
      <c r="AB17" s="33"/>
      <c r="AC17" s="33"/>
      <c r="AD17" s="33"/>
      <c r="AE17" s="33"/>
      <c r="AF17" s="432"/>
      <c r="AG17" s="432"/>
      <c r="AH17" s="432"/>
      <c r="AI17" s="432"/>
      <c r="AJ17" s="432"/>
    </row>
    <row r="18" spans="1:41" ht="1.35" customHeight="1">
      <c r="A18" s="2071"/>
      <c r="B18" s="2072"/>
      <c r="C18" s="390"/>
      <c r="D18" s="390"/>
      <c r="E18" s="390"/>
      <c r="F18" s="390"/>
      <c r="G18" s="390"/>
      <c r="H18" s="390"/>
      <c r="I18" s="390"/>
      <c r="J18" s="390"/>
      <c r="K18" s="390"/>
      <c r="L18" s="390"/>
      <c r="O18" s="461"/>
      <c r="T18" s="33"/>
      <c r="U18" s="33"/>
      <c r="V18" s="33"/>
      <c r="W18" s="33"/>
      <c r="X18" s="33"/>
      <c r="Y18" s="33"/>
      <c r="Z18" s="33"/>
      <c r="AA18" s="33"/>
      <c r="AB18" s="33"/>
      <c r="AC18" s="33"/>
      <c r="AD18" s="33"/>
      <c r="AE18" s="33"/>
      <c r="AF18" s="432"/>
      <c r="AG18" s="432"/>
      <c r="AH18" s="432"/>
      <c r="AI18" s="432"/>
      <c r="AJ18" s="432"/>
    </row>
    <row r="19" spans="1:41" ht="2.1" customHeight="1">
      <c r="A19" s="2071"/>
      <c r="B19" s="2072"/>
      <c r="O19" s="461">
        <f>($F19*$N$4)*O$10+$J19</f>
        <v>0</v>
      </c>
      <c r="R19" s="390"/>
      <c r="S19" s="390"/>
      <c r="T19" s="33"/>
      <c r="U19" s="33"/>
      <c r="V19" s="33"/>
      <c r="W19" s="33"/>
      <c r="X19" s="33"/>
      <c r="Y19" s="33"/>
      <c r="Z19" s="33"/>
      <c r="AA19" s="33"/>
      <c r="AB19" s="33"/>
      <c r="AC19" s="33"/>
      <c r="AD19" s="33"/>
      <c r="AE19" s="33"/>
      <c r="AF19" s="432"/>
      <c r="AG19" s="432"/>
      <c r="AH19" s="432"/>
      <c r="AI19" s="432"/>
      <c r="AJ19" s="432"/>
    </row>
    <row r="20" spans="1:41" ht="12.75">
      <c r="A20" s="2071"/>
      <c r="C20" s="3473"/>
      <c r="D20" s="507"/>
      <c r="E20" s="4343"/>
      <c r="F20" s="4343"/>
      <c r="G20" s="4343"/>
      <c r="H20" s="4343"/>
      <c r="I20" s="4343"/>
      <c r="J20" s="4343"/>
      <c r="K20" s="4343"/>
      <c r="L20" s="3443"/>
      <c r="M20" s="3443"/>
      <c r="N20" s="3439"/>
      <c r="O20" s="390"/>
      <c r="P20" s="3320"/>
      <c r="T20" s="33"/>
      <c r="U20" s="33"/>
      <c r="V20" s="33"/>
      <c r="W20" s="33"/>
      <c r="X20" s="33"/>
      <c r="Y20" s="33"/>
      <c r="Z20" s="33"/>
      <c r="AA20" s="33"/>
      <c r="AB20" s="33"/>
      <c r="AC20" s="33"/>
      <c r="AD20" s="33"/>
      <c r="AE20" s="33"/>
      <c r="AI20" s="432"/>
      <c r="AJ20" s="432"/>
      <c r="AK20" s="432"/>
      <c r="AL20" s="432"/>
      <c r="AM20" s="432"/>
      <c r="AN20" s="432"/>
      <c r="AO20" s="432"/>
    </row>
    <row r="21" spans="1:41" ht="12.75">
      <c r="A21" s="2071"/>
      <c r="B21" s="3472" t="s">
        <v>472</v>
      </c>
      <c r="C21" s="3473"/>
      <c r="D21" s="3460" t="s">
        <v>338</v>
      </c>
      <c r="E21" s="4318" t="s">
        <v>466</v>
      </c>
      <c r="F21" s="4320"/>
      <c r="G21" s="4318" t="s">
        <v>470</v>
      </c>
      <c r="H21" s="4319"/>
      <c r="I21" s="4320"/>
      <c r="J21" s="4290" t="s">
        <v>469</v>
      </c>
      <c r="K21" s="4290"/>
      <c r="L21" s="4335"/>
      <c r="M21" s="4336"/>
      <c r="N21" s="4297" t="s">
        <v>468</v>
      </c>
      <c r="O21" s="4298"/>
      <c r="P21" s="3320"/>
      <c r="U21" s="33"/>
      <c r="V21" s="33"/>
      <c r="W21" s="33"/>
      <c r="X21" s="33"/>
      <c r="Y21" s="33"/>
      <c r="Z21" s="33"/>
      <c r="AA21" s="33"/>
      <c r="AB21" s="33"/>
      <c r="AC21" s="33"/>
      <c r="AD21" s="33"/>
      <c r="AE21" s="33"/>
      <c r="AF21" s="432"/>
      <c r="AG21" s="432"/>
      <c r="AH21" s="432"/>
      <c r="AI21" s="432"/>
      <c r="AJ21" s="432"/>
      <c r="AK21" s="432"/>
      <c r="AL21" s="432"/>
      <c r="AM21" s="432"/>
      <c r="AN21" s="432"/>
      <c r="AO21" s="432"/>
    </row>
    <row r="22" spans="1:41" ht="16.5" thickBot="1">
      <c r="A22" s="2071"/>
      <c r="B22" s="3472"/>
      <c r="C22" s="3473"/>
      <c r="D22" s="3460" t="s">
        <v>336</v>
      </c>
      <c r="E22" s="3461"/>
      <c r="F22" s="3462" t="s">
        <v>467</v>
      </c>
      <c r="G22" s="3398"/>
      <c r="H22" s="3399"/>
      <c r="I22" s="3400"/>
      <c r="J22" s="4289" t="s">
        <v>466</v>
      </c>
      <c r="K22" s="4290"/>
      <c r="L22" s="4335"/>
      <c r="M22" s="4336"/>
      <c r="N22" s="442"/>
      <c r="O22" s="3465" t="s">
        <v>171</v>
      </c>
      <c r="P22" s="3320"/>
      <c r="Q22" s="390"/>
      <c r="R22" s="390"/>
      <c r="S22" s="390"/>
      <c r="T22" s="390"/>
      <c r="U22" s="33"/>
      <c r="V22" s="33"/>
      <c r="W22" s="33"/>
      <c r="X22" s="33"/>
      <c r="Y22" s="33"/>
      <c r="Z22" s="33"/>
      <c r="AA22" s="33"/>
      <c r="AB22" s="33"/>
      <c r="AC22" s="33"/>
      <c r="AD22" s="33"/>
      <c r="AE22" s="33"/>
      <c r="AF22" s="432"/>
      <c r="AG22" s="432"/>
      <c r="AH22" s="432"/>
      <c r="AI22" s="432"/>
      <c r="AJ22" s="432"/>
      <c r="AK22" s="432"/>
      <c r="AL22" s="432"/>
      <c r="AM22" s="432"/>
      <c r="AN22" s="432"/>
      <c r="AO22" s="432"/>
    </row>
    <row r="23" spans="1:41" ht="14.25" thickBot="1">
      <c r="A23" s="2071"/>
      <c r="B23" s="2315" t="s">
        <v>287</v>
      </c>
      <c r="C23" s="3444" t="s">
        <v>337</v>
      </c>
      <c r="D23" s="3463" t="s">
        <v>335</v>
      </c>
      <c r="E23" s="3469" t="s">
        <v>287</v>
      </c>
      <c r="F23" s="3464" t="s">
        <v>465</v>
      </c>
      <c r="G23" s="3445">
        <v>0.7</v>
      </c>
      <c r="H23" s="3446">
        <v>1</v>
      </c>
      <c r="I23" s="3447">
        <v>1.5</v>
      </c>
      <c r="J23" s="4293" t="s">
        <v>464</v>
      </c>
      <c r="K23" s="4306"/>
      <c r="L23" s="4337"/>
      <c r="M23" s="4338"/>
      <c r="N23" s="3459" t="s">
        <v>463</v>
      </c>
      <c r="O23" s="3466" t="str">
        <f>IF(G4=0,"o.MwSt.","m. MwSt.")</f>
        <v>o.MwSt.</v>
      </c>
      <c r="P23" s="3320"/>
      <c r="Q23" s="470" t="s">
        <v>489</v>
      </c>
      <c r="R23" s="469" t="s">
        <v>488</v>
      </c>
      <c r="S23" s="467" t="s">
        <v>487</v>
      </c>
      <c r="T23" s="466" t="s">
        <v>333</v>
      </c>
      <c r="U23" s="33"/>
      <c r="V23" s="33"/>
      <c r="W23" s="33"/>
      <c r="X23" s="33"/>
      <c r="Y23" s="33"/>
      <c r="Z23" s="33"/>
      <c r="AA23" s="33"/>
      <c r="AB23" s="33"/>
      <c r="AC23" s="33"/>
      <c r="AD23" s="33"/>
      <c r="AE23" s="33"/>
      <c r="AF23" s="432"/>
      <c r="AG23" s="432"/>
      <c r="AH23" s="432"/>
      <c r="AI23" s="432"/>
      <c r="AJ23" s="432"/>
      <c r="AK23" s="432"/>
      <c r="AL23" s="432"/>
      <c r="AM23" s="432"/>
      <c r="AN23" s="432"/>
      <c r="AO23" s="432"/>
    </row>
    <row r="24" spans="1:41" ht="13.15" customHeight="1">
      <c r="A24" s="2071"/>
      <c r="B24" s="406">
        <v>1</v>
      </c>
      <c r="C24" s="383" t="s">
        <v>462</v>
      </c>
      <c r="D24" s="430">
        <f>'SDK3'!D24</f>
        <v>12</v>
      </c>
      <c r="E24" s="404">
        <v>2</v>
      </c>
      <c r="F24" s="403">
        <f t="shared" ref="F24:F58" si="2">IF(E24=0,0,INDEX($D$11:$E$17,E24,1))</f>
        <v>120</v>
      </c>
      <c r="G24" s="402"/>
      <c r="H24" s="401"/>
      <c r="I24" s="400" t="s">
        <v>168</v>
      </c>
      <c r="J24" s="4304">
        <f t="shared" ref="J24:J29" si="3">IF(I24="x",VLOOKUP(E24,$B$11:$O$16,14,FALSE),IF(H24="x",VLOOKUP(E24,$B$11:$O$16,13,FALSE),IF(G24="x",VLOOKUP(E24,$B$11:$O$16,12,FALSE),0)))</f>
        <v>32.770082352941174</v>
      </c>
      <c r="K24" s="4305"/>
      <c r="L24" s="399"/>
      <c r="M24" s="398"/>
      <c r="N24" s="3544">
        <f>'SDK3'!N24</f>
        <v>1.44</v>
      </c>
      <c r="O24" s="456">
        <f t="shared" ref="O24:O29" si="4">((J24*N24)+D24)*(1+$G$4)</f>
        <v>59.188918588235289</v>
      </c>
      <c r="P24" s="427"/>
      <c r="Q24" s="4330" t="s">
        <v>1907</v>
      </c>
      <c r="R24" s="383" t="s">
        <v>461</v>
      </c>
      <c r="S24" s="383" t="s">
        <v>460</v>
      </c>
      <c r="T24" s="383">
        <v>0</v>
      </c>
      <c r="U24" s="33"/>
      <c r="V24" s="33"/>
      <c r="W24" s="33"/>
      <c r="X24" s="33"/>
      <c r="Y24" s="33"/>
      <c r="Z24" s="33"/>
      <c r="AA24" s="33"/>
      <c r="AB24" s="33"/>
      <c r="AC24" s="33"/>
      <c r="AD24" s="33"/>
      <c r="AE24" s="33"/>
      <c r="AF24" s="432"/>
      <c r="AG24" s="432"/>
      <c r="AH24" s="432"/>
      <c r="AI24" s="432"/>
      <c r="AJ24" s="432"/>
      <c r="AK24" s="432"/>
      <c r="AL24" s="432"/>
      <c r="AM24" s="432"/>
      <c r="AN24" s="432"/>
      <c r="AO24" s="432"/>
    </row>
    <row r="25" spans="1:41" s="427" customFormat="1" ht="13.15" customHeight="1">
      <c r="B25" s="406">
        <v>2</v>
      </c>
      <c r="C25" s="383" t="s">
        <v>459</v>
      </c>
      <c r="D25" s="430">
        <f>'SDK3'!D25</f>
        <v>5</v>
      </c>
      <c r="E25" s="404">
        <v>3</v>
      </c>
      <c r="F25" s="403">
        <f t="shared" si="2"/>
        <v>102</v>
      </c>
      <c r="G25" s="402"/>
      <c r="H25" s="401" t="s">
        <v>168</v>
      </c>
      <c r="I25" s="400"/>
      <c r="J25" s="4304">
        <f t="shared" si="3"/>
        <v>21.18638</v>
      </c>
      <c r="K25" s="4305"/>
      <c r="L25" s="399"/>
      <c r="M25" s="398"/>
      <c r="N25" s="3544">
        <f>'SDK3'!N25</f>
        <v>0.79</v>
      </c>
      <c r="O25" s="456">
        <f t="shared" si="4"/>
        <v>21.737240200000002</v>
      </c>
      <c r="Q25" s="4331"/>
      <c r="R25" s="383" t="s">
        <v>458</v>
      </c>
      <c r="S25" s="383" t="s">
        <v>457</v>
      </c>
      <c r="T25" s="383">
        <v>0</v>
      </c>
      <c r="U25" s="33"/>
      <c r="V25" s="33"/>
      <c r="W25" s="33"/>
      <c r="X25" s="33"/>
      <c r="Y25" s="33"/>
      <c r="Z25" s="33"/>
      <c r="AA25" s="33"/>
      <c r="AB25" s="33"/>
      <c r="AC25" s="33"/>
      <c r="AD25" s="33"/>
      <c r="AE25" s="33"/>
    </row>
    <row r="26" spans="1:41" s="427" customFormat="1" ht="13.15" customHeight="1">
      <c r="B26" s="406">
        <v>3</v>
      </c>
      <c r="C26" s="383" t="s">
        <v>456</v>
      </c>
      <c r="D26" s="430">
        <f>'SDK3'!D26</f>
        <v>5.5</v>
      </c>
      <c r="E26" s="404">
        <v>3</v>
      </c>
      <c r="F26" s="403">
        <f t="shared" si="2"/>
        <v>102</v>
      </c>
      <c r="G26" s="402"/>
      <c r="H26" s="401" t="s">
        <v>168</v>
      </c>
      <c r="I26" s="400"/>
      <c r="J26" s="4304">
        <f t="shared" si="3"/>
        <v>21.18638</v>
      </c>
      <c r="K26" s="4305"/>
      <c r="L26" s="3298"/>
      <c r="M26" s="398"/>
      <c r="N26" s="3544">
        <f>'SDK3'!N26</f>
        <v>0.54</v>
      </c>
      <c r="O26" s="456">
        <f t="shared" si="4"/>
        <v>16.940645199999999</v>
      </c>
      <c r="Q26" s="4331"/>
      <c r="R26" s="383" t="s">
        <v>455</v>
      </c>
      <c r="S26" s="383" t="s">
        <v>454</v>
      </c>
      <c r="T26" s="383">
        <v>0</v>
      </c>
      <c r="U26" s="390"/>
      <c r="V26" s="390"/>
      <c r="W26" s="390"/>
    </row>
    <row r="27" spans="1:41" s="427" customFormat="1" ht="13.15" customHeight="1">
      <c r="B27" s="406"/>
      <c r="C27" s="415" t="s">
        <v>453</v>
      </c>
      <c r="D27" s="430">
        <f>'SDK3'!D27</f>
        <v>4</v>
      </c>
      <c r="E27" s="413">
        <v>4</v>
      </c>
      <c r="F27" s="403">
        <f t="shared" si="2"/>
        <v>83</v>
      </c>
      <c r="G27" s="402"/>
      <c r="H27" s="401" t="s">
        <v>168</v>
      </c>
      <c r="I27" s="400"/>
      <c r="J27" s="4304">
        <f t="shared" si="3"/>
        <v>18.248561848739492</v>
      </c>
      <c r="K27" s="4305"/>
      <c r="L27" s="399"/>
      <c r="M27" s="398"/>
      <c r="N27" s="3544">
        <f>'SDK3'!N27</f>
        <v>0.57999999999999996</v>
      </c>
      <c r="O27" s="456">
        <f t="shared" si="4"/>
        <v>14.584165872268905</v>
      </c>
      <c r="Q27" s="4331"/>
      <c r="R27" s="383" t="s">
        <v>351</v>
      </c>
      <c r="S27" s="383" t="s">
        <v>351</v>
      </c>
      <c r="T27" s="383">
        <v>0</v>
      </c>
      <c r="U27" s="390"/>
      <c r="V27" s="390"/>
      <c r="W27" s="390"/>
    </row>
    <row r="28" spans="1:41" s="427" customFormat="1" ht="13.15" customHeight="1">
      <c r="B28" s="406">
        <v>4</v>
      </c>
      <c r="C28" s="383" t="s">
        <v>451</v>
      </c>
      <c r="D28" s="430">
        <f>'SDK3'!D28</f>
        <v>7</v>
      </c>
      <c r="E28" s="404">
        <v>3</v>
      </c>
      <c r="F28" s="403">
        <f t="shared" si="2"/>
        <v>102</v>
      </c>
      <c r="G28" s="402"/>
      <c r="H28" s="401" t="s">
        <v>168</v>
      </c>
      <c r="I28" s="400"/>
      <c r="J28" s="4304">
        <f t="shared" si="3"/>
        <v>21.18638</v>
      </c>
      <c r="K28" s="4305"/>
      <c r="L28" s="399"/>
      <c r="M28" s="398"/>
      <c r="N28" s="3544">
        <f>'SDK3'!N28</f>
        <v>1.02</v>
      </c>
      <c r="O28" s="456">
        <f t="shared" si="4"/>
        <v>28.610107599999999</v>
      </c>
      <c r="Q28" s="4331"/>
      <c r="R28" s="383" t="s">
        <v>452</v>
      </c>
      <c r="S28" s="383" t="s">
        <v>451</v>
      </c>
      <c r="T28" s="383">
        <v>0</v>
      </c>
      <c r="U28" s="390"/>
      <c r="V28" s="390"/>
      <c r="W28" s="390"/>
      <c r="X28" s="390"/>
      <c r="Y28" s="390"/>
      <c r="Z28" s="390"/>
      <c r="AA28" s="390"/>
      <c r="AB28" s="390"/>
      <c r="AC28" s="390"/>
    </row>
    <row r="29" spans="1:41" s="427" customFormat="1" ht="13.15" customHeight="1">
      <c r="B29" s="406">
        <v>5</v>
      </c>
      <c r="C29" s="383" t="s">
        <v>449</v>
      </c>
      <c r="D29" s="430">
        <f>'SDK3'!D29</f>
        <v>2</v>
      </c>
      <c r="E29" s="404">
        <v>5</v>
      </c>
      <c r="F29" s="403">
        <f t="shared" si="2"/>
        <v>83</v>
      </c>
      <c r="G29" s="402" t="s">
        <v>168</v>
      </c>
      <c r="H29" s="401"/>
      <c r="I29" s="400"/>
      <c r="J29" s="4304">
        <f t="shared" si="3"/>
        <v>16.023993294117645</v>
      </c>
      <c r="K29" s="4305"/>
      <c r="L29" s="399"/>
      <c r="M29" s="398"/>
      <c r="N29" s="3544">
        <f>'SDK3'!N29</f>
        <v>0.62</v>
      </c>
      <c r="O29" s="456">
        <f t="shared" si="4"/>
        <v>11.934875842352939</v>
      </c>
      <c r="P29" s="391"/>
      <c r="Q29" s="4331"/>
      <c r="R29" s="383" t="s">
        <v>450</v>
      </c>
      <c r="S29" s="383" t="s">
        <v>449</v>
      </c>
      <c r="T29" s="383">
        <v>0</v>
      </c>
      <c r="U29" s="390"/>
      <c r="V29" s="390"/>
      <c r="W29" s="390"/>
    </row>
    <row r="30" spans="1:41" ht="6" customHeight="1">
      <c r="A30" s="396"/>
      <c r="B30" s="406">
        <v>6</v>
      </c>
      <c r="C30" s="383"/>
      <c r="D30" s="430"/>
      <c r="E30" s="404"/>
      <c r="F30" s="403"/>
      <c r="G30" s="402"/>
      <c r="H30" s="401"/>
      <c r="I30" s="400"/>
      <c r="J30" s="4304"/>
      <c r="K30" s="4305"/>
      <c r="L30" s="399"/>
      <c r="M30" s="398"/>
      <c r="N30" s="3544"/>
      <c r="O30" s="456"/>
      <c r="Q30" s="4331"/>
      <c r="R30" s="383"/>
      <c r="S30" s="383"/>
      <c r="T30" s="383"/>
      <c r="U30" s="390"/>
      <c r="V30" s="390"/>
      <c r="W30" s="390"/>
      <c r="AH30" s="390"/>
      <c r="AI30" s="390"/>
      <c r="AJ30" s="390"/>
    </row>
    <row r="31" spans="1:41" ht="12.75">
      <c r="A31" s="427"/>
      <c r="B31" s="406">
        <v>7</v>
      </c>
      <c r="C31" s="383" t="s">
        <v>446</v>
      </c>
      <c r="D31" s="430">
        <f>'SDK3'!D32</f>
        <v>10</v>
      </c>
      <c r="E31" s="404">
        <v>2</v>
      </c>
      <c r="F31" s="403">
        <f t="shared" si="2"/>
        <v>120</v>
      </c>
      <c r="G31" s="402"/>
      <c r="H31" s="401" t="s">
        <v>168</v>
      </c>
      <c r="I31" s="400"/>
      <c r="J31" s="4304">
        <f t="shared" ref="J31:J77" si="5">IF(I31="x",VLOOKUP(E31,$B$11:$O$16,14,FALSE),IF(H31="x",VLOOKUP(E31,$B$11:$O$16,13,FALSE),IF(G31="x",VLOOKUP(E31,$B$11:$O$16,12,FALSE),0)))</f>
        <v>25.013388235294116</v>
      </c>
      <c r="K31" s="4305"/>
      <c r="L31" s="399"/>
      <c r="M31" s="398"/>
      <c r="N31" s="3544">
        <f>'SDK3'!N32</f>
        <v>1.05</v>
      </c>
      <c r="O31" s="456">
        <f t="shared" ref="O31:O38" si="6">((J31*N31)+D31)*(1+$G$4)</f>
        <v>36.26405764705882</v>
      </c>
      <c r="Q31" s="4331"/>
      <c r="R31" s="383" t="s">
        <v>445</v>
      </c>
      <c r="S31" s="383" t="s">
        <v>444</v>
      </c>
      <c r="T31" s="383">
        <v>0</v>
      </c>
      <c r="U31" s="390"/>
      <c r="V31" s="390"/>
      <c r="W31" s="390"/>
    </row>
    <row r="32" spans="1:41" ht="13.15" customHeight="1">
      <c r="A32" s="427"/>
      <c r="B32" s="406">
        <v>8</v>
      </c>
      <c r="C32" s="383" t="s">
        <v>443</v>
      </c>
      <c r="D32" s="430">
        <f>'SDK3'!D33</f>
        <v>9</v>
      </c>
      <c r="E32" s="404">
        <v>2</v>
      </c>
      <c r="F32" s="403">
        <f t="shared" si="2"/>
        <v>120</v>
      </c>
      <c r="G32" s="402"/>
      <c r="H32" s="401" t="s">
        <v>168</v>
      </c>
      <c r="I32" s="400"/>
      <c r="J32" s="4304">
        <f t="shared" si="5"/>
        <v>25.013388235294116</v>
      </c>
      <c r="K32" s="4305"/>
      <c r="L32" s="399"/>
      <c r="M32" s="398"/>
      <c r="N32" s="3544">
        <f>'SDK3'!N33</f>
        <v>1.05</v>
      </c>
      <c r="O32" s="456">
        <f t="shared" si="6"/>
        <v>35.26405764705882</v>
      </c>
      <c r="Q32" s="4331"/>
      <c r="R32" s="383" t="s">
        <v>442</v>
      </c>
      <c r="S32" s="383" t="s">
        <v>441</v>
      </c>
      <c r="T32" s="383">
        <v>0</v>
      </c>
      <c r="U32" s="390"/>
      <c r="V32" s="390"/>
      <c r="W32" s="390"/>
      <c r="AH32" s="390"/>
      <c r="AI32" s="390"/>
      <c r="AJ32" s="390"/>
    </row>
    <row r="33" spans="1:36" ht="13.15" customHeight="1">
      <c r="A33" s="427"/>
      <c r="B33" s="406">
        <v>9</v>
      </c>
      <c r="C33" s="383" t="s">
        <v>440</v>
      </c>
      <c r="D33" s="430">
        <f>'SDK3'!D34</f>
        <v>3</v>
      </c>
      <c r="E33" s="404">
        <v>6</v>
      </c>
      <c r="F33" s="403">
        <f t="shared" si="2"/>
        <v>54</v>
      </c>
      <c r="G33" s="402"/>
      <c r="H33" s="401" t="s">
        <v>168</v>
      </c>
      <c r="I33" s="400"/>
      <c r="J33" s="4304">
        <f t="shared" si="5"/>
        <v>12.981024705882351</v>
      </c>
      <c r="K33" s="4305"/>
      <c r="L33" s="399"/>
      <c r="M33" s="398"/>
      <c r="N33" s="3544">
        <f>'SDK3'!N34</f>
        <v>0.81</v>
      </c>
      <c r="O33" s="456">
        <f t="shared" si="6"/>
        <v>13.514630011764705</v>
      </c>
      <c r="Q33" s="4331"/>
      <c r="R33" s="383" t="s">
        <v>439</v>
      </c>
      <c r="S33" s="383" t="s">
        <v>438</v>
      </c>
      <c r="T33" s="383">
        <v>0</v>
      </c>
      <c r="U33" s="390"/>
      <c r="V33" s="390"/>
      <c r="W33" s="390"/>
      <c r="AH33" s="390"/>
      <c r="AI33" s="390"/>
      <c r="AJ33" s="390"/>
    </row>
    <row r="34" spans="1:36" ht="13.15" customHeight="1">
      <c r="A34" s="427"/>
      <c r="B34" s="406">
        <v>10</v>
      </c>
      <c r="C34" s="383" t="s">
        <v>437</v>
      </c>
      <c r="D34" s="430">
        <f>'SDK3'!D35</f>
        <v>8</v>
      </c>
      <c r="E34" s="404">
        <v>5</v>
      </c>
      <c r="F34" s="403">
        <f t="shared" si="2"/>
        <v>83</v>
      </c>
      <c r="G34" s="402" t="s">
        <v>168</v>
      </c>
      <c r="H34" s="401"/>
      <c r="I34" s="400"/>
      <c r="J34" s="4304">
        <f t="shared" si="5"/>
        <v>16.023993294117645</v>
      </c>
      <c r="K34" s="4305"/>
      <c r="L34" s="399"/>
      <c r="M34" s="398"/>
      <c r="N34" s="3544">
        <f>'SDK3'!N35</f>
        <v>0.81</v>
      </c>
      <c r="O34" s="456">
        <f t="shared" si="6"/>
        <v>20.979434568235291</v>
      </c>
      <c r="Q34" s="4331"/>
      <c r="R34" s="383" t="s">
        <v>436</v>
      </c>
      <c r="S34" s="383" t="s">
        <v>435</v>
      </c>
      <c r="T34" s="383">
        <v>0</v>
      </c>
      <c r="U34" s="390"/>
      <c r="V34" s="390"/>
      <c r="W34" s="390"/>
      <c r="AH34" s="390"/>
      <c r="AI34" s="390"/>
      <c r="AJ34" s="390"/>
    </row>
    <row r="35" spans="1:36" ht="13.15" customHeight="1">
      <c r="A35" s="427"/>
      <c r="B35" s="406">
        <v>11</v>
      </c>
      <c r="C35" s="383" t="s">
        <v>434</v>
      </c>
      <c r="D35" s="430">
        <f>'SDK3'!D36</f>
        <v>9</v>
      </c>
      <c r="E35" s="404">
        <v>5</v>
      </c>
      <c r="F35" s="403">
        <f t="shared" si="2"/>
        <v>83</v>
      </c>
      <c r="G35" s="402" t="s">
        <v>168</v>
      </c>
      <c r="H35" s="401"/>
      <c r="I35" s="400"/>
      <c r="J35" s="4304">
        <f t="shared" si="5"/>
        <v>16.023993294117645</v>
      </c>
      <c r="K35" s="4305"/>
      <c r="L35" s="399"/>
      <c r="M35" s="398"/>
      <c r="N35" s="3544">
        <f>'SDK3'!N36</f>
        <v>1</v>
      </c>
      <c r="O35" s="456">
        <f t="shared" si="6"/>
        <v>25.023993294117645</v>
      </c>
      <c r="Q35" s="4331"/>
      <c r="R35" s="383" t="s">
        <v>433</v>
      </c>
      <c r="S35" s="383" t="s">
        <v>432</v>
      </c>
      <c r="T35" s="383">
        <v>0</v>
      </c>
      <c r="U35" s="390"/>
      <c r="V35" s="390"/>
      <c r="W35" s="390"/>
      <c r="AH35" s="390"/>
      <c r="AI35" s="390"/>
      <c r="AJ35" s="390"/>
    </row>
    <row r="36" spans="1:36" ht="13.15" customHeight="1">
      <c r="A36" s="427"/>
      <c r="B36" s="406"/>
      <c r="C36" s="383" t="s">
        <v>431</v>
      </c>
      <c r="D36" s="430">
        <f>'SDK3'!D36</f>
        <v>9</v>
      </c>
      <c r="E36" s="404">
        <v>5</v>
      </c>
      <c r="F36" s="403">
        <f t="shared" si="2"/>
        <v>83</v>
      </c>
      <c r="G36" s="402" t="s">
        <v>168</v>
      </c>
      <c r="H36" s="401"/>
      <c r="I36" s="400"/>
      <c r="J36" s="4304">
        <f>IF(I36="x",VLOOKUP(E36,$B$11:$O$16,14,FALSE),IF(H36="x",VLOOKUP(E36,$B$11:$O$16,13,FALSE),IF(G36="x",VLOOKUP(E36,$B$11:$O$16,12,FALSE),0)))</f>
        <v>16.023993294117645</v>
      </c>
      <c r="K36" s="4305"/>
      <c r="L36" s="399"/>
      <c r="M36" s="398"/>
      <c r="N36" s="3544">
        <f>'SDK3'!N36</f>
        <v>1</v>
      </c>
      <c r="O36" s="456"/>
      <c r="Q36" s="4331"/>
      <c r="R36" s="383"/>
      <c r="S36" s="383"/>
      <c r="T36" s="383"/>
      <c r="U36" s="3640"/>
      <c r="V36" s="3640"/>
      <c r="W36" s="3640"/>
      <c r="AH36" s="3640"/>
      <c r="AI36" s="3640"/>
      <c r="AJ36" s="3640"/>
    </row>
    <row r="37" spans="1:36" ht="13.15" customHeight="1">
      <c r="A37" s="429"/>
      <c r="B37" s="406">
        <v>12</v>
      </c>
      <c r="C37" s="383" t="s">
        <v>427</v>
      </c>
      <c r="D37" s="430">
        <f>'SDK3'!D37</f>
        <v>8</v>
      </c>
      <c r="E37" s="404">
        <v>3</v>
      </c>
      <c r="F37" s="403">
        <f t="shared" si="2"/>
        <v>102</v>
      </c>
      <c r="G37" s="402"/>
      <c r="H37" s="401" t="s">
        <v>168</v>
      </c>
      <c r="I37" s="400"/>
      <c r="J37" s="4304">
        <f t="shared" si="5"/>
        <v>21.18638</v>
      </c>
      <c r="K37" s="4305"/>
      <c r="L37" s="399"/>
      <c r="M37" s="398"/>
      <c r="N37" s="3544">
        <f>'SDK3'!N37</f>
        <v>0.55000000000000004</v>
      </c>
      <c r="O37" s="456">
        <f t="shared" si="6"/>
        <v>19.652509000000002</v>
      </c>
      <c r="Q37" s="4331"/>
      <c r="R37" s="383" t="s">
        <v>430</v>
      </c>
      <c r="S37" s="383" t="s">
        <v>429</v>
      </c>
      <c r="T37" s="383">
        <v>0</v>
      </c>
      <c r="U37" s="390"/>
      <c r="V37" s="390"/>
      <c r="W37" s="390"/>
      <c r="AH37" s="390"/>
      <c r="AI37" s="390"/>
      <c r="AJ37" s="390"/>
    </row>
    <row r="38" spans="1:36" ht="13.15" customHeight="1">
      <c r="A38" s="399"/>
      <c r="B38" s="406">
        <v>13</v>
      </c>
      <c r="C38" s="383" t="s">
        <v>1995</v>
      </c>
      <c r="D38" s="430">
        <v>2.5</v>
      </c>
      <c r="E38" s="404">
        <v>6</v>
      </c>
      <c r="F38" s="403">
        <f t="shared" si="2"/>
        <v>54</v>
      </c>
      <c r="G38" s="402"/>
      <c r="H38" s="401" t="s">
        <v>168</v>
      </c>
      <c r="I38" s="400"/>
      <c r="J38" s="4304">
        <f t="shared" si="5"/>
        <v>12.981024705882351</v>
      </c>
      <c r="K38" s="4305"/>
      <c r="L38" s="399"/>
      <c r="M38" s="398"/>
      <c r="N38" s="3544">
        <v>0.93</v>
      </c>
      <c r="O38" s="456">
        <f t="shared" si="6"/>
        <v>14.572352976470587</v>
      </c>
      <c r="Q38" s="4331"/>
      <c r="R38" s="383" t="s">
        <v>428</v>
      </c>
      <c r="S38" s="383" t="s">
        <v>427</v>
      </c>
      <c r="T38" s="383">
        <v>0</v>
      </c>
      <c r="U38" s="390"/>
      <c r="V38" s="390"/>
      <c r="W38" s="390"/>
      <c r="AH38" s="390"/>
      <c r="AI38" s="390"/>
      <c r="AJ38" s="390"/>
    </row>
    <row r="39" spans="1:36" ht="6" customHeight="1">
      <c r="A39" s="396"/>
      <c r="B39" s="406">
        <v>14</v>
      </c>
      <c r="C39" s="383"/>
      <c r="D39" s="430"/>
      <c r="E39" s="404"/>
      <c r="F39" s="403"/>
      <c r="G39" s="402"/>
      <c r="H39" s="401"/>
      <c r="I39" s="400"/>
      <c r="J39" s="4304"/>
      <c r="K39" s="4305"/>
      <c r="L39" s="399"/>
      <c r="M39" s="398"/>
      <c r="N39" s="3544"/>
      <c r="O39" s="456"/>
      <c r="Q39" s="4331"/>
      <c r="R39" s="383"/>
      <c r="S39" s="383"/>
      <c r="T39" s="383"/>
      <c r="U39" s="390"/>
      <c r="V39" s="390"/>
      <c r="W39" s="390"/>
      <c r="AH39" s="390"/>
      <c r="AI39" s="390"/>
      <c r="AJ39" s="390"/>
    </row>
    <row r="40" spans="1:36" ht="13.15" customHeight="1">
      <c r="A40" s="427"/>
      <c r="B40" s="406">
        <v>15</v>
      </c>
      <c r="C40" s="383" t="s">
        <v>426</v>
      </c>
      <c r="D40" s="430">
        <f>'SDK3'!D40</f>
        <v>0.25</v>
      </c>
      <c r="E40" s="404">
        <v>4</v>
      </c>
      <c r="F40" s="403">
        <f t="shared" si="2"/>
        <v>83</v>
      </c>
      <c r="G40" s="402" t="s">
        <v>168</v>
      </c>
      <c r="H40" s="401"/>
      <c r="I40" s="400"/>
      <c r="J40" s="4304">
        <f t="shared" si="5"/>
        <v>15.023993294117645</v>
      </c>
      <c r="K40" s="4305"/>
      <c r="L40" s="399"/>
      <c r="M40" s="398"/>
      <c r="N40" s="3544">
        <f>'SDK3'!N40</f>
        <v>0.37</v>
      </c>
      <c r="O40" s="456">
        <f t="shared" ref="O40:O51" si="7">((J40*N40)+D40)*(1+$G$4)</f>
        <v>5.8088775188235289</v>
      </c>
      <c r="Q40" s="4331"/>
      <c r="R40" s="383" t="s">
        <v>424</v>
      </c>
      <c r="S40" s="383" t="s">
        <v>423</v>
      </c>
      <c r="T40" s="383">
        <v>0</v>
      </c>
      <c r="U40" s="390"/>
      <c r="V40" s="390"/>
      <c r="W40" s="390"/>
      <c r="AH40" s="390"/>
      <c r="AI40" s="390"/>
      <c r="AJ40" s="390"/>
    </row>
    <row r="41" spans="1:36" ht="13.15" customHeight="1">
      <c r="A41" s="427"/>
      <c r="B41" s="406">
        <v>16</v>
      </c>
      <c r="C41" s="415" t="s">
        <v>422</v>
      </c>
      <c r="D41" s="3543">
        <f>'SDK3'!D42</f>
        <v>13</v>
      </c>
      <c r="E41" s="413">
        <v>3</v>
      </c>
      <c r="F41" s="403">
        <f t="shared" si="2"/>
        <v>102</v>
      </c>
      <c r="G41" s="412" t="s">
        <v>168</v>
      </c>
      <c r="H41" s="411"/>
      <c r="I41" s="410"/>
      <c r="J41" s="4304">
        <f t="shared" si="5"/>
        <v>17.230466</v>
      </c>
      <c r="K41" s="4305"/>
      <c r="L41" s="399"/>
      <c r="M41" s="398"/>
      <c r="N41" s="3545">
        <f>'SDK3'!N42</f>
        <v>1.7400000000000002</v>
      </c>
      <c r="O41" s="456">
        <f t="shared" si="7"/>
        <v>42.981010840000003</v>
      </c>
      <c r="Q41" s="4331"/>
      <c r="R41" s="383" t="s">
        <v>351</v>
      </c>
      <c r="S41" s="383" t="s">
        <v>351</v>
      </c>
      <c r="T41" s="383">
        <v>0</v>
      </c>
      <c r="U41" s="390"/>
      <c r="V41" s="390"/>
      <c r="W41" s="390"/>
      <c r="AH41" s="390"/>
      <c r="AI41" s="390"/>
      <c r="AJ41" s="390"/>
    </row>
    <row r="42" spans="1:36" ht="13.15" customHeight="1">
      <c r="A42" s="427"/>
      <c r="B42" s="406">
        <v>19</v>
      </c>
      <c r="C42" s="415" t="s">
        <v>421</v>
      </c>
      <c r="D42" s="3543">
        <f>'SDK3'!D43</f>
        <v>10</v>
      </c>
      <c r="E42" s="413">
        <v>3</v>
      </c>
      <c r="F42" s="403">
        <f t="shared" si="2"/>
        <v>102</v>
      </c>
      <c r="G42" s="412" t="s">
        <v>168</v>
      </c>
      <c r="H42" s="411"/>
      <c r="I42" s="410"/>
      <c r="J42" s="4304">
        <f t="shared" si="5"/>
        <v>17.230466</v>
      </c>
      <c r="K42" s="4305"/>
      <c r="L42" s="399"/>
      <c r="M42" s="398"/>
      <c r="N42" s="3545">
        <f>'SDK3'!N43</f>
        <v>0.86</v>
      </c>
      <c r="O42" s="456">
        <f t="shared" si="7"/>
        <v>24.81820076</v>
      </c>
      <c r="Q42" s="4331"/>
      <c r="R42" s="383" t="s">
        <v>351</v>
      </c>
      <c r="S42" s="383" t="s">
        <v>351</v>
      </c>
      <c r="T42" s="383">
        <v>0</v>
      </c>
      <c r="U42" s="390"/>
      <c r="V42" s="390"/>
      <c r="W42" s="390"/>
    </row>
    <row r="43" spans="1:36" ht="13.15" customHeight="1">
      <c r="A43" s="427"/>
      <c r="B43" s="406"/>
      <c r="C43" s="383" t="s">
        <v>1997</v>
      </c>
      <c r="D43" s="3543">
        <v>1.5</v>
      </c>
      <c r="E43" s="413">
        <v>6</v>
      </c>
      <c r="F43" s="403">
        <f t="shared" si="2"/>
        <v>54</v>
      </c>
      <c r="G43" s="412" t="s">
        <v>168</v>
      </c>
      <c r="H43" s="411"/>
      <c r="I43" s="410"/>
      <c r="J43" s="4304">
        <f>IF(I43="x",VLOOKUP(E43,$B$11:$O$16,14,FALSE),IF(H43="x",VLOOKUP(E43,$B$11:$O$16,13,FALSE),IF(G43="x",VLOOKUP(E43,$B$11:$O$16,12,FALSE),0)))</f>
        <v>10.886717294117647</v>
      </c>
      <c r="K43" s="4305"/>
      <c r="L43" s="399"/>
      <c r="M43" s="398"/>
      <c r="N43" s="3545">
        <v>1.39</v>
      </c>
      <c r="O43" s="456">
        <f t="shared" si="7"/>
        <v>16.632537038823529</v>
      </c>
      <c r="Q43" s="4331"/>
      <c r="R43" s="383"/>
      <c r="S43" s="383"/>
      <c r="T43" s="383"/>
      <c r="U43" s="3640"/>
      <c r="V43" s="3640"/>
      <c r="W43" s="3640"/>
    </row>
    <row r="44" spans="1:36" ht="14.45" customHeight="1">
      <c r="A44" s="427"/>
      <c r="B44" s="406">
        <v>20</v>
      </c>
      <c r="C44" s="415" t="s">
        <v>1449</v>
      </c>
      <c r="D44" s="3543">
        <f>'SDK3'!D44</f>
        <v>0.52</v>
      </c>
      <c r="E44" s="413">
        <v>4</v>
      </c>
      <c r="F44" s="403">
        <f t="shared" si="2"/>
        <v>83</v>
      </c>
      <c r="G44" s="412" t="s">
        <v>168</v>
      </c>
      <c r="H44" s="411"/>
      <c r="I44" s="410"/>
      <c r="J44" s="4304">
        <f t="shared" si="5"/>
        <v>15.023993294117645</v>
      </c>
      <c r="K44" s="4305"/>
      <c r="L44" s="399"/>
      <c r="M44" s="398"/>
      <c r="N44" s="3545">
        <f>'SDK3'!N44</f>
        <v>0.2</v>
      </c>
      <c r="O44" s="456">
        <f t="shared" si="7"/>
        <v>3.5247986588235292</v>
      </c>
      <c r="Q44" s="4331"/>
      <c r="R44" s="383" t="s">
        <v>351</v>
      </c>
      <c r="S44" s="383" t="s">
        <v>351</v>
      </c>
      <c r="T44" s="383" t="s">
        <v>351</v>
      </c>
      <c r="U44" s="390"/>
      <c r="V44" s="390"/>
      <c r="W44" s="390"/>
    </row>
    <row r="45" spans="1:36" ht="6" hidden="1" customHeight="1">
      <c r="A45" s="396"/>
      <c r="B45" s="406">
        <v>21</v>
      </c>
      <c r="C45" s="415"/>
      <c r="D45" s="3543"/>
      <c r="E45" s="413"/>
      <c r="F45" s="403">
        <f t="shared" si="2"/>
        <v>0</v>
      </c>
      <c r="G45" s="412"/>
      <c r="H45" s="411"/>
      <c r="I45" s="410"/>
      <c r="J45" s="4304">
        <f t="shared" si="5"/>
        <v>0</v>
      </c>
      <c r="K45" s="4305"/>
      <c r="L45" s="399"/>
      <c r="M45" s="398"/>
      <c r="N45" s="3545"/>
      <c r="O45" s="456">
        <f t="shared" si="7"/>
        <v>0</v>
      </c>
      <c r="Q45" s="4331"/>
      <c r="R45" s="383"/>
      <c r="S45" s="383"/>
      <c r="T45" s="383"/>
      <c r="U45" s="390"/>
      <c r="V45" s="390"/>
      <c r="W45" s="390"/>
      <c r="AH45" s="390"/>
      <c r="AI45" s="390"/>
      <c r="AJ45" s="390"/>
    </row>
    <row r="46" spans="1:36" ht="13.15" customHeight="1">
      <c r="A46" s="399"/>
      <c r="B46" s="406">
        <v>22</v>
      </c>
      <c r="C46" s="383" t="s">
        <v>419</v>
      </c>
      <c r="D46" s="430">
        <f>'SDK3'!D46</f>
        <v>0.65</v>
      </c>
      <c r="E46" s="404">
        <v>4</v>
      </c>
      <c r="F46" s="403">
        <f t="shared" si="2"/>
        <v>83</v>
      </c>
      <c r="G46" s="402" t="s">
        <v>168</v>
      </c>
      <c r="H46" s="401"/>
      <c r="I46" s="400"/>
      <c r="J46" s="4304">
        <f t="shared" si="5"/>
        <v>15.023993294117645</v>
      </c>
      <c r="K46" s="4305"/>
      <c r="L46" s="399"/>
      <c r="M46" s="398"/>
      <c r="N46" s="3544">
        <f>'SDK3'!N46</f>
        <v>0.39</v>
      </c>
      <c r="O46" s="456">
        <f t="shared" si="7"/>
        <v>6.5093573847058819</v>
      </c>
      <c r="Q46" s="4331"/>
      <c r="R46" s="383" t="s">
        <v>418</v>
      </c>
      <c r="S46" s="383" t="s">
        <v>417</v>
      </c>
      <c r="T46" s="383">
        <v>0</v>
      </c>
      <c r="U46" s="390"/>
      <c r="V46" s="390"/>
      <c r="W46" s="390"/>
      <c r="AH46" s="390"/>
      <c r="AI46" s="390"/>
      <c r="AJ46" s="390"/>
    </row>
    <row r="47" spans="1:36" ht="13.15" customHeight="1">
      <c r="A47" s="399"/>
      <c r="B47" s="406">
        <v>23</v>
      </c>
      <c r="C47" s="383" t="s">
        <v>414</v>
      </c>
      <c r="D47" s="430">
        <f>'SDK3'!D48</f>
        <v>2.9</v>
      </c>
      <c r="E47" s="404">
        <v>4</v>
      </c>
      <c r="F47" s="403">
        <f t="shared" si="2"/>
        <v>83</v>
      </c>
      <c r="G47" s="402"/>
      <c r="H47" s="401" t="s">
        <v>168</v>
      </c>
      <c r="I47" s="400"/>
      <c r="J47" s="4304">
        <f t="shared" si="5"/>
        <v>18.248561848739492</v>
      </c>
      <c r="K47" s="4305"/>
      <c r="L47" s="399"/>
      <c r="M47" s="398"/>
      <c r="N47" s="3544">
        <f>'SDK3'!N48</f>
        <v>1.17</v>
      </c>
      <c r="O47" s="456">
        <f t="shared" si="7"/>
        <v>24.250817363025202</v>
      </c>
      <c r="Q47" s="4331"/>
      <c r="R47" s="383" t="s">
        <v>413</v>
      </c>
      <c r="S47" s="383" t="s">
        <v>412</v>
      </c>
      <c r="T47" s="383">
        <v>0</v>
      </c>
      <c r="U47" s="390"/>
      <c r="V47" s="390"/>
      <c r="W47" s="390"/>
      <c r="AH47" s="390"/>
      <c r="AI47" s="390"/>
      <c r="AJ47" s="390"/>
    </row>
    <row r="48" spans="1:36" ht="13.15" customHeight="1">
      <c r="A48" s="399"/>
      <c r="B48" s="406">
        <v>24</v>
      </c>
      <c r="C48" s="415" t="s">
        <v>411</v>
      </c>
      <c r="D48" s="3543">
        <f>'SDK3'!D49</f>
        <v>0.65</v>
      </c>
      <c r="E48" s="413">
        <v>6</v>
      </c>
      <c r="F48" s="403">
        <f t="shared" si="2"/>
        <v>54</v>
      </c>
      <c r="G48" s="412" t="s">
        <v>168</v>
      </c>
      <c r="H48" s="411"/>
      <c r="I48" s="410"/>
      <c r="J48" s="4304">
        <f t="shared" si="5"/>
        <v>10.886717294117647</v>
      </c>
      <c r="K48" s="4305"/>
      <c r="L48" s="399"/>
      <c r="M48" s="398"/>
      <c r="N48" s="3544">
        <f>'SDK3'!N49</f>
        <v>0.39</v>
      </c>
      <c r="O48" s="456">
        <f t="shared" si="7"/>
        <v>4.8958197447058831</v>
      </c>
      <c r="Q48" s="4331"/>
      <c r="R48" s="383" t="s">
        <v>351</v>
      </c>
      <c r="S48" s="383" t="s">
        <v>351</v>
      </c>
      <c r="T48" s="383">
        <v>0</v>
      </c>
      <c r="U48" s="390"/>
      <c r="V48" s="390"/>
      <c r="W48" s="390"/>
      <c r="AH48" s="390"/>
      <c r="AI48" s="390"/>
      <c r="AJ48" s="390"/>
    </row>
    <row r="49" spans="1:36" ht="13.15" customHeight="1">
      <c r="A49" s="399"/>
      <c r="B49" s="406">
        <v>25</v>
      </c>
      <c r="C49" s="383" t="s">
        <v>410</v>
      </c>
      <c r="D49" s="3543">
        <f>'SDK3'!D50</f>
        <v>2</v>
      </c>
      <c r="E49" s="404">
        <v>4</v>
      </c>
      <c r="F49" s="403">
        <f t="shared" si="2"/>
        <v>83</v>
      </c>
      <c r="G49" s="402" t="s">
        <v>168</v>
      </c>
      <c r="H49" s="401"/>
      <c r="I49" s="400"/>
      <c r="J49" s="4304">
        <f t="shared" si="5"/>
        <v>15.023993294117645</v>
      </c>
      <c r="K49" s="4305"/>
      <c r="L49" s="399"/>
      <c r="M49" s="398"/>
      <c r="N49" s="3544">
        <f>'SDK3'!N50</f>
        <v>0.27</v>
      </c>
      <c r="O49" s="456">
        <f t="shared" si="7"/>
        <v>6.0564781894117647</v>
      </c>
      <c r="Q49" s="4331"/>
      <c r="R49" s="383" t="s">
        <v>409</v>
      </c>
      <c r="S49" s="383" t="s">
        <v>408</v>
      </c>
      <c r="T49" s="383">
        <v>0</v>
      </c>
      <c r="U49" s="390"/>
      <c r="V49" s="390"/>
      <c r="W49" s="390"/>
      <c r="AH49" s="390"/>
      <c r="AI49" s="390"/>
      <c r="AJ49" s="390"/>
    </row>
    <row r="50" spans="1:36" ht="13.15" customHeight="1">
      <c r="A50" s="399"/>
      <c r="B50" s="406"/>
      <c r="C50" s="383" t="s">
        <v>1996</v>
      </c>
      <c r="D50" s="3543">
        <v>5</v>
      </c>
      <c r="E50" s="404">
        <v>6</v>
      </c>
      <c r="F50" s="403">
        <f t="shared" si="2"/>
        <v>54</v>
      </c>
      <c r="G50" s="402" t="s">
        <v>168</v>
      </c>
      <c r="H50" s="401"/>
      <c r="I50" s="400"/>
      <c r="J50" s="4304">
        <f>IF(I50="x",VLOOKUP(E50,$B$11:$O$16,14,FALSE),IF(H50="x",VLOOKUP(E50,$B$11:$O$16,13,FALSE),IF(G50="x",VLOOKUP(E50,$B$11:$O$16,12,FALSE),0)))</f>
        <v>10.886717294117647</v>
      </c>
      <c r="K50" s="4305"/>
      <c r="L50" s="399"/>
      <c r="M50" s="398"/>
      <c r="N50" s="3544">
        <v>1.26</v>
      </c>
      <c r="O50" s="456"/>
      <c r="Q50" s="4331"/>
      <c r="R50" s="383"/>
      <c r="S50" s="383"/>
      <c r="T50" s="383"/>
      <c r="U50" s="3640"/>
      <c r="V50" s="3640"/>
      <c r="W50" s="3640"/>
      <c r="AH50" s="3640"/>
      <c r="AI50" s="3640"/>
      <c r="AJ50" s="3640"/>
    </row>
    <row r="51" spans="1:36" ht="13.15" customHeight="1">
      <c r="A51" s="399"/>
      <c r="B51" s="406">
        <v>26</v>
      </c>
      <c r="C51" s="383" t="s">
        <v>407</v>
      </c>
      <c r="D51" s="3543">
        <f>'SDK3'!D51</f>
        <v>3</v>
      </c>
      <c r="E51" s="404">
        <v>6</v>
      </c>
      <c r="F51" s="403">
        <f t="shared" si="2"/>
        <v>54</v>
      </c>
      <c r="G51" s="402"/>
      <c r="H51" s="401" t="s">
        <v>168</v>
      </c>
      <c r="I51" s="400"/>
      <c r="J51" s="4304">
        <f t="shared" si="5"/>
        <v>12.981024705882351</v>
      </c>
      <c r="K51" s="4305"/>
      <c r="L51" s="399"/>
      <c r="M51" s="398"/>
      <c r="N51" s="3544">
        <f>'SDK3'!N51</f>
        <v>1.1299999999999999</v>
      </c>
      <c r="O51" s="456">
        <f t="shared" si="7"/>
        <v>17.668557917647057</v>
      </c>
      <c r="Q51" s="4331"/>
      <c r="R51" s="383" t="s">
        <v>169</v>
      </c>
      <c r="S51" s="383" t="s">
        <v>406</v>
      </c>
      <c r="T51" s="383">
        <v>0</v>
      </c>
      <c r="U51" s="390"/>
      <c r="V51" s="390"/>
      <c r="W51" s="390"/>
      <c r="AH51" s="390"/>
      <c r="AI51" s="390"/>
      <c r="AJ51" s="390"/>
    </row>
    <row r="52" spans="1:36" ht="6" customHeight="1">
      <c r="A52" s="396"/>
      <c r="B52" s="406">
        <v>27</v>
      </c>
      <c r="C52" s="383"/>
      <c r="D52" s="430"/>
      <c r="E52" s="404"/>
      <c r="F52" s="403"/>
      <c r="G52" s="402"/>
      <c r="H52" s="401"/>
      <c r="I52" s="400"/>
      <c r="J52" s="4304"/>
      <c r="K52" s="4305"/>
      <c r="L52" s="399"/>
      <c r="M52" s="398"/>
      <c r="N52" s="3544"/>
      <c r="O52" s="456"/>
      <c r="Q52" s="4331"/>
      <c r="R52" s="383"/>
      <c r="S52" s="383"/>
      <c r="T52" s="383"/>
      <c r="U52" s="390"/>
      <c r="V52" s="390"/>
      <c r="W52" s="390"/>
      <c r="AH52" s="390"/>
      <c r="AI52" s="390"/>
      <c r="AJ52" s="390"/>
    </row>
    <row r="53" spans="1:36" ht="13.15" customHeight="1">
      <c r="A53" s="399"/>
      <c r="B53" s="406">
        <v>28</v>
      </c>
      <c r="C53" s="383" t="s">
        <v>405</v>
      </c>
      <c r="D53" s="430" t="e">
        <f>'SDK3'!#REF!</f>
        <v>#REF!</v>
      </c>
      <c r="E53" s="404">
        <v>2</v>
      </c>
      <c r="F53" s="403">
        <f t="shared" si="2"/>
        <v>120</v>
      </c>
      <c r="G53" s="402" t="s">
        <v>168</v>
      </c>
      <c r="H53" s="401"/>
      <c r="I53" s="400"/>
      <c r="J53" s="4304">
        <f t="shared" si="5"/>
        <v>20.35937176470588</v>
      </c>
      <c r="K53" s="4305"/>
      <c r="L53" s="399"/>
      <c r="M53" s="398"/>
      <c r="N53" s="3544" t="e">
        <f>'SDK3'!#REF!</f>
        <v>#REF!</v>
      </c>
      <c r="O53" s="456" t="e">
        <f>((J53*N53)+D53)*(1+$G$4)</f>
        <v>#REF!</v>
      </c>
      <c r="Q53" s="4331"/>
      <c r="R53" s="383">
        <v>0</v>
      </c>
      <c r="S53" s="383">
        <v>0</v>
      </c>
      <c r="T53" s="383">
        <v>0</v>
      </c>
      <c r="U53" s="390"/>
      <c r="V53" s="390"/>
      <c r="W53" s="390"/>
      <c r="AH53" s="390"/>
      <c r="AI53" s="390"/>
      <c r="AJ53" s="390"/>
    </row>
    <row r="54" spans="1:36" ht="13.15" customHeight="1">
      <c r="A54" s="399"/>
      <c r="B54" s="406">
        <v>29</v>
      </c>
      <c r="C54" s="415" t="s">
        <v>404</v>
      </c>
      <c r="D54" s="430" t="e">
        <f>'SDK3'!#REF!</f>
        <v>#REF!</v>
      </c>
      <c r="E54" s="413">
        <v>4</v>
      </c>
      <c r="F54" s="403">
        <f t="shared" si="2"/>
        <v>83</v>
      </c>
      <c r="G54" s="412" t="s">
        <v>168</v>
      </c>
      <c r="H54" s="411"/>
      <c r="I54" s="410"/>
      <c r="J54" s="4304">
        <f t="shared" si="5"/>
        <v>15.023993294117645</v>
      </c>
      <c r="K54" s="4305"/>
      <c r="L54" s="399"/>
      <c r="M54" s="398"/>
      <c r="N54" s="3544" t="e">
        <f>'SDK3'!#REF!</f>
        <v>#REF!</v>
      </c>
      <c r="O54" s="456" t="e">
        <f>((J54*N54)+D54)*(1+$G$4)</f>
        <v>#REF!</v>
      </c>
      <c r="Q54" s="4331"/>
      <c r="R54" s="383" t="s">
        <v>351</v>
      </c>
      <c r="S54" s="383" t="s">
        <v>351</v>
      </c>
      <c r="T54" s="383">
        <v>0</v>
      </c>
      <c r="U54" s="390"/>
      <c r="V54" s="390"/>
      <c r="W54" s="390"/>
      <c r="AH54" s="390"/>
      <c r="AI54" s="390"/>
      <c r="AJ54" s="390"/>
    </row>
    <row r="55" spans="1:36" ht="6" customHeight="1">
      <c r="A55" s="396"/>
      <c r="B55" s="406">
        <v>30</v>
      </c>
      <c r="C55" s="415"/>
      <c r="D55" s="3543"/>
      <c r="E55" s="413"/>
      <c r="F55" s="403"/>
      <c r="G55" s="412"/>
      <c r="H55" s="411"/>
      <c r="I55" s="410"/>
      <c r="J55" s="4304"/>
      <c r="K55" s="4305"/>
      <c r="L55" s="399"/>
      <c r="M55" s="398"/>
      <c r="N55" s="3544"/>
      <c r="O55" s="456"/>
      <c r="Q55" s="4331"/>
      <c r="R55" s="383"/>
      <c r="S55" s="383"/>
      <c r="T55" s="383"/>
      <c r="U55" s="390"/>
      <c r="V55" s="390"/>
      <c r="W55" s="390"/>
      <c r="AH55" s="390"/>
      <c r="AI55" s="390"/>
      <c r="AJ55" s="390"/>
    </row>
    <row r="56" spans="1:36" ht="13.15" customHeight="1">
      <c r="A56" s="399"/>
      <c r="B56" s="406">
        <v>31</v>
      </c>
      <c r="C56" s="383" t="s">
        <v>403</v>
      </c>
      <c r="D56" s="430">
        <f>'SDK3'!D54</f>
        <v>1.2000000000000002</v>
      </c>
      <c r="E56" s="404">
        <v>4</v>
      </c>
      <c r="F56" s="403">
        <f t="shared" si="2"/>
        <v>83</v>
      </c>
      <c r="G56" s="402" t="s">
        <v>168</v>
      </c>
      <c r="H56" s="401"/>
      <c r="I56" s="400"/>
      <c r="J56" s="4304">
        <f t="shared" si="5"/>
        <v>15.023993294117645</v>
      </c>
      <c r="K56" s="4305"/>
      <c r="L56" s="399"/>
      <c r="M56" s="398"/>
      <c r="N56" s="3544">
        <f>'SDK3'!N54</f>
        <v>0.56000000000000005</v>
      </c>
      <c r="O56" s="456">
        <f>((J56*N56)+D56)*(1+$G$4)</f>
        <v>9.6134362447058805</v>
      </c>
      <c r="Q56" s="4331"/>
      <c r="R56" s="383" t="s">
        <v>402</v>
      </c>
      <c r="S56" s="383" t="s">
        <v>401</v>
      </c>
      <c r="T56" s="383">
        <v>0</v>
      </c>
      <c r="U56" s="390"/>
      <c r="V56" s="390"/>
      <c r="W56" s="390"/>
      <c r="AH56" s="390"/>
      <c r="AI56" s="390"/>
      <c r="AJ56" s="390"/>
    </row>
    <row r="57" spans="1:36" ht="13.15" customHeight="1">
      <c r="A57" s="399"/>
      <c r="B57" s="406">
        <v>32</v>
      </c>
      <c r="C57" s="383" t="s">
        <v>400</v>
      </c>
      <c r="D57" s="430">
        <f>'SDK3'!D55</f>
        <v>1.2000000000000002</v>
      </c>
      <c r="E57" s="404">
        <v>3</v>
      </c>
      <c r="F57" s="403">
        <f t="shared" si="2"/>
        <v>102</v>
      </c>
      <c r="G57" s="402" t="s">
        <v>168</v>
      </c>
      <c r="H57" s="401"/>
      <c r="I57" s="400"/>
      <c r="J57" s="4304">
        <f t="shared" si="5"/>
        <v>17.230466</v>
      </c>
      <c r="K57" s="4305"/>
      <c r="L57" s="399"/>
      <c r="M57" s="398"/>
      <c r="N57" s="3544">
        <f>'SDK3'!N55</f>
        <v>0.3</v>
      </c>
      <c r="O57" s="456">
        <f>((J57*N57)+D57)*(1+$G$4)</f>
        <v>6.3691398000000001</v>
      </c>
      <c r="Q57" s="4331"/>
      <c r="R57" s="383" t="s">
        <v>399</v>
      </c>
      <c r="S57" s="383" t="s">
        <v>398</v>
      </c>
      <c r="T57" s="383">
        <v>0</v>
      </c>
      <c r="U57" s="390"/>
      <c r="V57" s="390"/>
      <c r="W57" s="390"/>
      <c r="AH57" s="390"/>
      <c r="AI57" s="390"/>
      <c r="AJ57" s="390"/>
    </row>
    <row r="58" spans="1:36" ht="13.15" customHeight="1">
      <c r="A58" s="399"/>
      <c r="B58" s="406">
        <v>33</v>
      </c>
      <c r="C58" s="383" t="s">
        <v>397</v>
      </c>
      <c r="D58" s="430">
        <f>'SDK3'!D56</f>
        <v>10</v>
      </c>
      <c r="E58" s="404">
        <v>3</v>
      </c>
      <c r="F58" s="403">
        <f t="shared" si="2"/>
        <v>102</v>
      </c>
      <c r="G58" s="402" t="s">
        <v>168</v>
      </c>
      <c r="H58" s="401"/>
      <c r="I58" s="400"/>
      <c r="J58" s="4304">
        <f t="shared" si="5"/>
        <v>17.230466</v>
      </c>
      <c r="K58" s="4305"/>
      <c r="L58" s="399"/>
      <c r="M58" s="398"/>
      <c r="N58" s="3544">
        <f>'SDK3'!N56</f>
        <v>4.88</v>
      </c>
      <c r="O58" s="456">
        <f>((J58*N58)+D58)*(1+$G$4)</f>
        <v>94.084674079999999</v>
      </c>
      <c r="Q58" s="4331"/>
      <c r="R58" s="383">
        <v>0</v>
      </c>
      <c r="S58" s="383">
        <v>0</v>
      </c>
      <c r="T58" s="383">
        <v>0</v>
      </c>
      <c r="U58" s="390"/>
      <c r="V58" s="390"/>
      <c r="W58" s="390"/>
      <c r="AH58" s="390"/>
      <c r="AI58" s="390"/>
      <c r="AJ58" s="390"/>
    </row>
    <row r="59" spans="1:36" ht="13.15" customHeight="1">
      <c r="A59" s="399"/>
      <c r="B59" s="406">
        <v>34</v>
      </c>
      <c r="C59" s="383" t="s">
        <v>396</v>
      </c>
      <c r="D59" s="430">
        <f>'SDK3'!D57</f>
        <v>0.8</v>
      </c>
      <c r="E59" s="404">
        <v>5</v>
      </c>
      <c r="F59" s="403">
        <f t="shared" ref="F59:F87" si="8">IF(E59=0,0,INDEX($D$11:$E$17,E59,1))</f>
        <v>83</v>
      </c>
      <c r="G59" s="402" t="s">
        <v>168</v>
      </c>
      <c r="H59" s="401"/>
      <c r="I59" s="400"/>
      <c r="J59" s="4304">
        <f t="shared" si="5"/>
        <v>16.023993294117645</v>
      </c>
      <c r="K59" s="4305"/>
      <c r="L59" s="399"/>
      <c r="M59" s="398"/>
      <c r="N59" s="3544">
        <f>'SDK3'!N57</f>
        <v>0.68</v>
      </c>
      <c r="O59" s="456">
        <f>((J59*N59)+D59)*(1+$G$4)</f>
        <v>11.696315439999999</v>
      </c>
      <c r="Q59" s="4331"/>
      <c r="R59" s="383" t="s">
        <v>395</v>
      </c>
      <c r="S59" s="383" t="s">
        <v>394</v>
      </c>
      <c r="T59" s="383">
        <v>0</v>
      </c>
      <c r="U59" s="390"/>
      <c r="V59" s="390"/>
      <c r="W59" s="390"/>
      <c r="AH59" s="390"/>
      <c r="AI59" s="390"/>
      <c r="AJ59" s="390"/>
    </row>
    <row r="60" spans="1:36" ht="6" customHeight="1">
      <c r="A60" s="396"/>
      <c r="B60" s="406">
        <v>35</v>
      </c>
      <c r="C60" s="383"/>
      <c r="D60" s="430"/>
      <c r="E60" s="404"/>
      <c r="F60" s="403"/>
      <c r="G60" s="402"/>
      <c r="H60" s="401"/>
      <c r="I60" s="400"/>
      <c r="J60" s="4304"/>
      <c r="K60" s="4305"/>
      <c r="L60" s="399"/>
      <c r="M60" s="398"/>
      <c r="N60" s="3544"/>
      <c r="O60" s="456"/>
      <c r="Q60" s="4331"/>
      <c r="R60" s="383"/>
      <c r="S60" s="383"/>
      <c r="T60" s="383"/>
      <c r="U60" s="390"/>
      <c r="V60" s="390"/>
      <c r="W60" s="390"/>
      <c r="AH60" s="390"/>
      <c r="AI60" s="390"/>
      <c r="AJ60" s="390"/>
    </row>
    <row r="61" spans="1:36" ht="13.15" customHeight="1">
      <c r="A61" s="399"/>
      <c r="B61" s="406">
        <v>36</v>
      </c>
      <c r="C61" s="383" t="s">
        <v>393</v>
      </c>
      <c r="D61" s="430">
        <f>'SDK3'!D59</f>
        <v>0.5</v>
      </c>
      <c r="E61" s="404">
        <v>3</v>
      </c>
      <c r="F61" s="403">
        <f t="shared" si="8"/>
        <v>102</v>
      </c>
      <c r="G61" s="402" t="s">
        <v>168</v>
      </c>
      <c r="H61" s="401"/>
      <c r="I61" s="400"/>
      <c r="J61" s="4304">
        <f t="shared" si="5"/>
        <v>17.230466</v>
      </c>
      <c r="K61" s="4305"/>
      <c r="L61" s="399"/>
      <c r="M61" s="398"/>
      <c r="N61" s="3544">
        <f>'SDK3'!N59</f>
        <v>0.81</v>
      </c>
      <c r="O61" s="456">
        <f t="shared" ref="O61:O69" si="9">((J61*N61)+D61)*(1+$G$4)</f>
        <v>14.456677460000002</v>
      </c>
      <c r="Q61" s="4331"/>
      <c r="R61" s="383">
        <v>0</v>
      </c>
      <c r="S61" s="383">
        <v>0</v>
      </c>
      <c r="T61" s="383">
        <v>0</v>
      </c>
      <c r="U61" s="390"/>
      <c r="V61" s="390"/>
      <c r="W61" s="390"/>
      <c r="AH61" s="390"/>
      <c r="AI61" s="390"/>
      <c r="AJ61" s="390"/>
    </row>
    <row r="62" spans="1:36" ht="13.15" customHeight="1">
      <c r="A62" s="399"/>
      <c r="B62" s="406">
        <v>37</v>
      </c>
      <c r="C62" s="383" t="s">
        <v>392</v>
      </c>
      <c r="D62" s="430">
        <f>'SDK3'!D60</f>
        <v>2.2000000000000002</v>
      </c>
      <c r="E62" s="404">
        <v>5</v>
      </c>
      <c r="F62" s="403">
        <f t="shared" si="8"/>
        <v>83</v>
      </c>
      <c r="G62" s="402" t="s">
        <v>168</v>
      </c>
      <c r="H62" s="401"/>
      <c r="I62" s="400"/>
      <c r="J62" s="4304">
        <f t="shared" si="5"/>
        <v>16.023993294117645</v>
      </c>
      <c r="K62" s="4305"/>
      <c r="L62" s="399"/>
      <c r="M62" s="398"/>
      <c r="N62" s="3544">
        <f>'SDK3'!N60</f>
        <v>0.47</v>
      </c>
      <c r="O62" s="456">
        <f t="shared" si="9"/>
        <v>9.7312768482352929</v>
      </c>
      <c r="Q62" s="4331"/>
      <c r="R62" s="383">
        <v>0</v>
      </c>
      <c r="S62" s="383">
        <v>0</v>
      </c>
      <c r="T62" s="383">
        <v>0</v>
      </c>
      <c r="U62" s="390"/>
      <c r="V62" s="390"/>
      <c r="W62" s="390"/>
      <c r="AH62" s="390"/>
      <c r="AI62" s="390"/>
      <c r="AJ62" s="390"/>
    </row>
    <row r="63" spans="1:36" ht="13.15" customHeight="1">
      <c r="A63" s="399"/>
      <c r="B63" s="406">
        <v>38</v>
      </c>
      <c r="C63" s="383" t="s">
        <v>391</v>
      </c>
      <c r="D63" s="430">
        <f>'SDK3'!D61</f>
        <v>2</v>
      </c>
      <c r="E63" s="404">
        <v>2</v>
      </c>
      <c r="F63" s="403">
        <f t="shared" si="8"/>
        <v>120</v>
      </c>
      <c r="G63" s="402" t="s">
        <v>168</v>
      </c>
      <c r="H63" s="401"/>
      <c r="I63" s="400"/>
      <c r="J63" s="4304">
        <f t="shared" si="5"/>
        <v>20.35937176470588</v>
      </c>
      <c r="K63" s="4305"/>
      <c r="L63" s="399"/>
      <c r="M63" s="398"/>
      <c r="N63" s="3544">
        <f>'SDK3'!N61</f>
        <v>0.34</v>
      </c>
      <c r="O63" s="456">
        <f t="shared" si="9"/>
        <v>8.9221864000000011</v>
      </c>
      <c r="Q63" s="4331"/>
      <c r="R63" s="383">
        <v>0</v>
      </c>
      <c r="S63" s="383">
        <v>0</v>
      </c>
      <c r="T63" s="383">
        <v>0</v>
      </c>
      <c r="U63" s="390"/>
      <c r="V63" s="390"/>
      <c r="W63" s="390"/>
      <c r="AH63" s="390"/>
      <c r="AI63" s="390"/>
      <c r="AJ63" s="390"/>
    </row>
    <row r="64" spans="1:36" ht="13.15" customHeight="1">
      <c r="A64" s="399"/>
      <c r="B64" s="406"/>
      <c r="C64" s="3851" t="s">
        <v>2021</v>
      </c>
      <c r="D64" s="430">
        <v>2.25</v>
      </c>
      <c r="E64" s="404">
        <v>2</v>
      </c>
      <c r="F64" s="403">
        <f t="shared" si="8"/>
        <v>120</v>
      </c>
      <c r="G64" s="402"/>
      <c r="H64" s="401" t="s">
        <v>168</v>
      </c>
      <c r="I64" s="400"/>
      <c r="J64" s="4304">
        <f>IF(I64="x",VLOOKUP(E64,$B$11:$O$16,14,FALSE),IF(H64="x",VLOOKUP(E64,$B$11:$O$16,13,FALSE),IF(G64="x",VLOOKUP(E64,$B$11:$O$16,12,FALSE),0)))</f>
        <v>25.013388235294116</v>
      </c>
      <c r="K64" s="4305"/>
      <c r="L64" s="399"/>
      <c r="M64" s="398"/>
      <c r="N64" s="3544">
        <v>0.3</v>
      </c>
      <c r="O64" s="456">
        <f t="shared" si="9"/>
        <v>9.7540164705882333</v>
      </c>
      <c r="Q64" s="4331"/>
      <c r="R64" s="383"/>
      <c r="S64" s="383"/>
      <c r="T64" s="383"/>
      <c r="U64" s="3850"/>
      <c r="V64" s="3850"/>
      <c r="W64" s="3850"/>
      <c r="AH64" s="3850"/>
      <c r="AI64" s="3850"/>
      <c r="AJ64" s="3850"/>
    </row>
    <row r="65" spans="1:36" ht="13.15" customHeight="1">
      <c r="A65" s="399"/>
      <c r="B65" s="406">
        <v>39</v>
      </c>
      <c r="C65" s="383" t="s">
        <v>390</v>
      </c>
      <c r="D65" s="430">
        <f>'SDK3'!D62</f>
        <v>2.5</v>
      </c>
      <c r="E65" s="404">
        <v>3</v>
      </c>
      <c r="F65" s="403">
        <f t="shared" si="8"/>
        <v>102</v>
      </c>
      <c r="G65" s="402"/>
      <c r="H65" s="401" t="s">
        <v>168</v>
      </c>
      <c r="I65" s="400"/>
      <c r="J65" s="4304">
        <f t="shared" si="5"/>
        <v>21.18638</v>
      </c>
      <c r="K65" s="4305"/>
      <c r="L65" s="399"/>
      <c r="M65" s="398"/>
      <c r="N65" s="3544">
        <f>'SDK3'!N62</f>
        <v>0.54</v>
      </c>
      <c r="O65" s="456">
        <f t="shared" si="9"/>
        <v>13.940645200000001</v>
      </c>
      <c r="Q65" s="4331"/>
      <c r="R65" s="383">
        <v>0</v>
      </c>
      <c r="S65" s="383">
        <v>0</v>
      </c>
      <c r="T65" s="383">
        <v>0</v>
      </c>
      <c r="U65" s="390"/>
      <c r="V65" s="390"/>
      <c r="W65" s="390"/>
      <c r="AH65" s="390"/>
      <c r="AI65" s="390"/>
      <c r="AJ65" s="390"/>
    </row>
    <row r="66" spans="1:36" ht="13.15" customHeight="1">
      <c r="A66" s="399"/>
      <c r="B66" s="406">
        <v>40</v>
      </c>
      <c r="C66" s="383" t="s">
        <v>389</v>
      </c>
      <c r="D66" s="430">
        <f>'SDK3'!D63</f>
        <v>1.7</v>
      </c>
      <c r="E66" s="2070">
        <v>5</v>
      </c>
      <c r="F66" s="403">
        <f t="shared" si="8"/>
        <v>83</v>
      </c>
      <c r="G66" s="402" t="s">
        <v>168</v>
      </c>
      <c r="H66" s="401"/>
      <c r="I66" s="400"/>
      <c r="J66" s="4304">
        <f t="shared" si="5"/>
        <v>16.023993294117645</v>
      </c>
      <c r="K66" s="4305"/>
      <c r="L66" s="399"/>
      <c r="M66" s="398"/>
      <c r="N66" s="3544">
        <f>'SDK3'!N63</f>
        <v>0.35</v>
      </c>
      <c r="O66" s="456">
        <f t="shared" si="9"/>
        <v>7.3083976529411752</v>
      </c>
      <c r="Q66" s="4331"/>
      <c r="R66" s="383">
        <v>0</v>
      </c>
      <c r="S66" s="383">
        <v>0</v>
      </c>
      <c r="T66" s="383">
        <v>0</v>
      </c>
      <c r="U66" s="390"/>
      <c r="V66" s="390"/>
      <c r="W66" s="390"/>
      <c r="AH66" s="390"/>
      <c r="AI66" s="390"/>
      <c r="AJ66" s="390"/>
    </row>
    <row r="67" spans="1:36" ht="13.15" customHeight="1">
      <c r="A67" s="399"/>
      <c r="B67" s="406">
        <v>41</v>
      </c>
      <c r="C67" s="383" t="s">
        <v>388</v>
      </c>
      <c r="D67" s="430">
        <f>'SDK3'!D64</f>
        <v>2.2999999999999998</v>
      </c>
      <c r="E67" s="404">
        <v>5</v>
      </c>
      <c r="F67" s="403">
        <f t="shared" si="8"/>
        <v>83</v>
      </c>
      <c r="G67" s="402"/>
      <c r="H67" s="401" t="s">
        <v>168</v>
      </c>
      <c r="I67" s="400"/>
      <c r="J67" s="4304">
        <f t="shared" si="5"/>
        <v>19.248561848739492</v>
      </c>
      <c r="K67" s="4305"/>
      <c r="L67" s="399"/>
      <c r="M67" s="398"/>
      <c r="N67" s="3544">
        <f>'SDK3'!N64</f>
        <v>0.26</v>
      </c>
      <c r="O67" s="456">
        <f t="shared" si="9"/>
        <v>7.3046260806722678</v>
      </c>
      <c r="Q67" s="4331"/>
      <c r="R67" s="383">
        <v>0</v>
      </c>
      <c r="S67" s="383">
        <v>0</v>
      </c>
      <c r="T67" s="383">
        <v>0</v>
      </c>
      <c r="U67" s="390"/>
      <c r="V67" s="390"/>
      <c r="W67" s="390"/>
      <c r="AH67" s="390"/>
      <c r="AI67" s="390"/>
      <c r="AJ67" s="390"/>
    </row>
    <row r="68" spans="1:36" ht="13.15" customHeight="1">
      <c r="A68" s="399"/>
      <c r="B68" s="406">
        <v>42</v>
      </c>
      <c r="C68" s="383" t="s">
        <v>387</v>
      </c>
      <c r="D68" s="430" t="e">
        <f>'SDK3'!#REF!</f>
        <v>#REF!</v>
      </c>
      <c r="E68" s="404">
        <v>1</v>
      </c>
      <c r="F68" s="403">
        <f t="shared" si="8"/>
        <v>200</v>
      </c>
      <c r="G68" s="402"/>
      <c r="H68" s="401" t="s">
        <v>168</v>
      </c>
      <c r="I68" s="400"/>
      <c r="J68" s="4304">
        <f t="shared" si="5"/>
        <v>40.81871042016806</v>
      </c>
      <c r="K68" s="4305"/>
      <c r="L68" s="399"/>
      <c r="M68" s="398"/>
      <c r="N68" s="3544" t="e">
        <f>'SDK3'!#REF!</f>
        <v>#REF!</v>
      </c>
      <c r="O68" s="456" t="e">
        <f t="shared" si="9"/>
        <v>#REF!</v>
      </c>
      <c r="Q68" s="4331"/>
      <c r="R68" s="383">
        <v>0</v>
      </c>
      <c r="S68" s="383" t="s">
        <v>386</v>
      </c>
      <c r="T68" s="383">
        <v>0</v>
      </c>
      <c r="U68" s="390"/>
      <c r="V68" s="390"/>
      <c r="W68" s="390"/>
      <c r="AH68" s="390"/>
      <c r="AI68" s="390"/>
      <c r="AJ68" s="390"/>
    </row>
    <row r="69" spans="1:36" ht="13.15" customHeight="1">
      <c r="A69" s="399"/>
      <c r="B69" s="406">
        <v>43</v>
      </c>
      <c r="C69" s="383" t="s">
        <v>385</v>
      </c>
      <c r="D69" s="430" t="e">
        <f>'SDK3'!#REF!</f>
        <v>#REF!</v>
      </c>
      <c r="E69" s="404">
        <v>2</v>
      </c>
      <c r="F69" s="403">
        <f t="shared" si="8"/>
        <v>120</v>
      </c>
      <c r="G69" s="402" t="s">
        <v>168</v>
      </c>
      <c r="H69" s="401"/>
      <c r="I69" s="400"/>
      <c r="J69" s="4304">
        <f t="shared" si="5"/>
        <v>20.35937176470588</v>
      </c>
      <c r="K69" s="4305"/>
      <c r="L69" s="399"/>
      <c r="M69" s="398"/>
      <c r="N69" s="3544" t="e">
        <f>'SDK3'!#REF!</f>
        <v>#REF!</v>
      </c>
      <c r="O69" s="456" t="e">
        <f t="shared" si="9"/>
        <v>#REF!</v>
      </c>
      <c r="Q69" s="4331"/>
      <c r="R69" s="383">
        <v>0</v>
      </c>
      <c r="S69" s="383">
        <v>0</v>
      </c>
      <c r="T69" s="383">
        <v>0</v>
      </c>
      <c r="U69" s="390"/>
      <c r="V69" s="390"/>
      <c r="W69" s="390"/>
      <c r="AH69" s="390"/>
      <c r="AI69" s="390"/>
      <c r="AJ69" s="390"/>
    </row>
    <row r="70" spans="1:36" ht="12" customHeight="1">
      <c r="A70" s="396"/>
      <c r="B70" s="406">
        <v>44</v>
      </c>
      <c r="C70" s="383"/>
      <c r="D70" s="430"/>
      <c r="E70" s="404"/>
      <c r="F70" s="403"/>
      <c r="G70" s="402"/>
      <c r="H70" s="401"/>
      <c r="I70" s="400"/>
      <c r="J70" s="4304"/>
      <c r="K70" s="4305"/>
      <c r="L70" s="399"/>
      <c r="M70" s="398"/>
      <c r="N70" s="3544"/>
      <c r="O70" s="456"/>
      <c r="Q70" s="4331"/>
      <c r="R70" s="383"/>
      <c r="S70" s="383"/>
      <c r="T70" s="383"/>
      <c r="U70" s="390"/>
      <c r="V70" s="390"/>
      <c r="W70" s="390"/>
      <c r="AH70" s="390"/>
      <c r="AI70" s="390"/>
      <c r="AJ70" s="390"/>
    </row>
    <row r="71" spans="1:36" ht="13.15" customHeight="1">
      <c r="A71" s="399"/>
      <c r="B71" s="406">
        <v>45</v>
      </c>
      <c r="C71" s="383" t="s">
        <v>384</v>
      </c>
      <c r="D71" s="430">
        <f>'SDK3'!D66</f>
        <v>97.8</v>
      </c>
      <c r="E71" s="404"/>
      <c r="F71" s="403">
        <f t="shared" si="8"/>
        <v>0</v>
      </c>
      <c r="G71" s="402"/>
      <c r="H71" s="401"/>
      <c r="I71" s="400"/>
      <c r="J71" s="4304">
        <f t="shared" si="5"/>
        <v>0</v>
      </c>
      <c r="K71" s="4305"/>
      <c r="L71" s="399"/>
      <c r="M71" s="398"/>
      <c r="N71" s="3544">
        <f>'SDK3'!N66</f>
        <v>2.36</v>
      </c>
      <c r="O71" s="456">
        <f t="shared" ref="O71:O87" si="10">((J71*N71)+D71)*(1+$G$4)</f>
        <v>97.8</v>
      </c>
      <c r="Q71" s="4331"/>
      <c r="R71" s="383">
        <v>0</v>
      </c>
      <c r="S71" s="383">
        <v>0</v>
      </c>
      <c r="T71" s="383">
        <v>0</v>
      </c>
      <c r="U71" s="390"/>
      <c r="V71" s="390"/>
      <c r="W71" s="390"/>
      <c r="AH71" s="390"/>
      <c r="AI71" s="390"/>
      <c r="AJ71" s="390"/>
    </row>
    <row r="72" spans="1:36" ht="13.15" customHeight="1">
      <c r="A72" s="399"/>
      <c r="B72" s="406">
        <v>46</v>
      </c>
      <c r="C72" s="383" t="s">
        <v>382</v>
      </c>
      <c r="D72" s="430">
        <f>'SDK3'!D67</f>
        <v>0.92400000000000015</v>
      </c>
      <c r="E72" s="404">
        <v>6</v>
      </c>
      <c r="F72" s="403">
        <f t="shared" si="8"/>
        <v>54</v>
      </c>
      <c r="G72" s="402" t="s">
        <v>168</v>
      </c>
      <c r="H72" s="401"/>
      <c r="I72" s="400"/>
      <c r="J72" s="4304">
        <f t="shared" si="5"/>
        <v>10.886717294117647</v>
      </c>
      <c r="K72" s="4305"/>
      <c r="L72" s="399"/>
      <c r="M72" s="398"/>
      <c r="N72" s="3544">
        <f>'SDK3'!N67</f>
        <v>0.21</v>
      </c>
      <c r="O72" s="456">
        <f t="shared" si="10"/>
        <v>3.2102106317647054</v>
      </c>
      <c r="Q72" s="4331"/>
      <c r="R72" s="383" t="s">
        <v>380</v>
      </c>
      <c r="S72" s="383" t="s">
        <v>379</v>
      </c>
      <c r="T72" s="383">
        <v>0</v>
      </c>
      <c r="U72" s="390"/>
      <c r="V72" s="390"/>
      <c r="W72" s="390"/>
      <c r="AH72" s="390"/>
      <c r="AI72" s="390"/>
      <c r="AJ72" s="390"/>
    </row>
    <row r="73" spans="1:36" ht="13.15" customHeight="1">
      <c r="A73" s="399"/>
      <c r="B73" s="406">
        <v>47</v>
      </c>
      <c r="C73" s="383" t="s">
        <v>378</v>
      </c>
      <c r="D73" s="430">
        <f>'SDK3'!D68</f>
        <v>13</v>
      </c>
      <c r="E73" s="404">
        <v>5</v>
      </c>
      <c r="F73" s="403">
        <f t="shared" si="8"/>
        <v>83</v>
      </c>
      <c r="G73" s="402" t="s">
        <v>168</v>
      </c>
      <c r="H73" s="401"/>
      <c r="I73" s="400"/>
      <c r="J73" s="4304">
        <f t="shared" si="5"/>
        <v>16.023993294117645</v>
      </c>
      <c r="K73" s="4305"/>
      <c r="L73" s="399"/>
      <c r="M73" s="398"/>
      <c r="N73" s="3544">
        <f>'SDK3'!N68</f>
        <v>2</v>
      </c>
      <c r="O73" s="456">
        <f t="shared" si="10"/>
        <v>45.04798658823529</v>
      </c>
      <c r="Q73" s="4331"/>
      <c r="R73" s="383" t="s">
        <v>377</v>
      </c>
      <c r="S73" s="383" t="s">
        <v>376</v>
      </c>
      <c r="T73" s="383" t="s">
        <v>375</v>
      </c>
      <c r="U73" s="390"/>
      <c r="V73" s="390"/>
      <c r="W73" s="390"/>
      <c r="AH73" s="390"/>
      <c r="AI73" s="390"/>
      <c r="AJ73" s="390"/>
    </row>
    <row r="74" spans="1:36" ht="13.15" customHeight="1">
      <c r="A74" s="399"/>
      <c r="B74" s="406">
        <v>48</v>
      </c>
      <c r="C74" s="383" t="s">
        <v>374</v>
      </c>
      <c r="D74" s="430">
        <f>'SDK3'!D69</f>
        <v>13</v>
      </c>
      <c r="E74" s="404">
        <v>5</v>
      </c>
      <c r="F74" s="403">
        <f t="shared" si="8"/>
        <v>83</v>
      </c>
      <c r="G74" s="402" t="s">
        <v>168</v>
      </c>
      <c r="H74" s="401"/>
      <c r="I74" s="400"/>
      <c r="J74" s="4304">
        <f t="shared" si="5"/>
        <v>16.023993294117645</v>
      </c>
      <c r="K74" s="4305"/>
      <c r="L74" s="399"/>
      <c r="M74" s="398"/>
      <c r="N74" s="3544">
        <f>'SDK3'!N69</f>
        <v>1.1399999999999999</v>
      </c>
      <c r="O74" s="456">
        <f t="shared" si="10"/>
        <v>31.267352355294115</v>
      </c>
      <c r="Q74" s="4331"/>
      <c r="R74" s="383" t="s">
        <v>372</v>
      </c>
      <c r="S74" s="383" t="s">
        <v>371</v>
      </c>
      <c r="T74" s="383" t="s">
        <v>363</v>
      </c>
      <c r="U74" s="390"/>
      <c r="V74" s="390"/>
      <c r="W74" s="390"/>
      <c r="AH74" s="390"/>
      <c r="AI74" s="390"/>
      <c r="AJ74" s="390"/>
    </row>
    <row r="75" spans="1:36" ht="13.15" customHeight="1">
      <c r="A75" s="399"/>
      <c r="B75" s="406">
        <v>49</v>
      </c>
      <c r="C75" s="383" t="s">
        <v>370</v>
      </c>
      <c r="D75" s="430">
        <f>'SDK3'!D70</f>
        <v>3</v>
      </c>
      <c r="E75" s="404">
        <v>6</v>
      </c>
      <c r="F75" s="403">
        <f t="shared" si="8"/>
        <v>54</v>
      </c>
      <c r="G75" s="402"/>
      <c r="H75" s="401" t="s">
        <v>168</v>
      </c>
      <c r="I75" s="400"/>
      <c r="J75" s="4304">
        <f t="shared" si="5"/>
        <v>12.981024705882351</v>
      </c>
      <c r="K75" s="4305"/>
      <c r="L75" s="399"/>
      <c r="M75" s="398"/>
      <c r="N75" s="3544">
        <f>'SDK3'!N70</f>
        <v>0.71</v>
      </c>
      <c r="O75" s="456">
        <f t="shared" si="10"/>
        <v>12.216527541176468</v>
      </c>
      <c r="Q75" s="4331"/>
      <c r="R75" s="383" t="s">
        <v>365</v>
      </c>
      <c r="S75" s="383" t="s">
        <v>369</v>
      </c>
      <c r="T75" s="383">
        <v>0</v>
      </c>
      <c r="U75" s="390"/>
      <c r="V75" s="390"/>
      <c r="W75" s="390"/>
      <c r="AH75" s="390"/>
      <c r="AI75" s="390"/>
      <c r="AJ75" s="390"/>
    </row>
    <row r="76" spans="1:36" ht="13.15" customHeight="1">
      <c r="A76" s="399"/>
      <c r="B76" s="406">
        <v>50</v>
      </c>
      <c r="C76" s="415" t="s">
        <v>368</v>
      </c>
      <c r="D76" s="430">
        <f>'SDK3'!D71</f>
        <v>3</v>
      </c>
      <c r="E76" s="413">
        <v>6</v>
      </c>
      <c r="F76" s="403">
        <f t="shared" si="8"/>
        <v>54</v>
      </c>
      <c r="G76" s="412" t="s">
        <v>168</v>
      </c>
      <c r="H76" s="411"/>
      <c r="I76" s="410"/>
      <c r="J76" s="4304">
        <f t="shared" si="5"/>
        <v>10.886717294117647</v>
      </c>
      <c r="K76" s="4305"/>
      <c r="L76" s="399"/>
      <c r="M76" s="398"/>
      <c r="N76" s="3544">
        <f>'SDK3'!N71</f>
        <v>0.95</v>
      </c>
      <c r="O76" s="456">
        <f t="shared" si="10"/>
        <v>13.342381429411764</v>
      </c>
      <c r="Q76" s="4331"/>
      <c r="R76" s="383" t="s">
        <v>351</v>
      </c>
      <c r="S76" s="383" t="s">
        <v>351</v>
      </c>
      <c r="T76" s="383" t="s">
        <v>351</v>
      </c>
      <c r="U76" s="390"/>
      <c r="V76" s="390"/>
      <c r="W76" s="390"/>
      <c r="AH76" s="390"/>
      <c r="AI76" s="390"/>
      <c r="AJ76" s="390"/>
    </row>
    <row r="77" spans="1:36" ht="13.15" customHeight="1">
      <c r="A77" s="399"/>
      <c r="B77" s="406">
        <v>52</v>
      </c>
      <c r="C77" s="383" t="s">
        <v>366</v>
      </c>
      <c r="D77" s="430">
        <f>'SDK3'!D72</f>
        <v>3</v>
      </c>
      <c r="E77" s="404">
        <v>6</v>
      </c>
      <c r="F77" s="403">
        <f t="shared" si="8"/>
        <v>54</v>
      </c>
      <c r="G77" s="402"/>
      <c r="H77" s="401" t="s">
        <v>168</v>
      </c>
      <c r="I77" s="400"/>
      <c r="J77" s="4304">
        <f t="shared" si="5"/>
        <v>12.981024705882351</v>
      </c>
      <c r="K77" s="4305"/>
      <c r="L77" s="399"/>
      <c r="M77" s="398"/>
      <c r="N77" s="3544">
        <f>'SDK3'!N72</f>
        <v>0.96</v>
      </c>
      <c r="O77" s="456">
        <f t="shared" si="10"/>
        <v>15.461783717647057</v>
      </c>
      <c r="Q77" s="4331"/>
      <c r="R77" s="383" t="s">
        <v>365</v>
      </c>
      <c r="S77" s="383" t="s">
        <v>364</v>
      </c>
      <c r="T77" s="383" t="s">
        <v>363</v>
      </c>
      <c r="U77" s="390"/>
      <c r="V77" s="390"/>
      <c r="W77" s="390"/>
      <c r="AH77" s="390"/>
      <c r="AI77" s="390"/>
      <c r="AJ77" s="390"/>
    </row>
    <row r="78" spans="1:36" ht="13.15" customHeight="1">
      <c r="A78" s="399"/>
      <c r="B78" s="406"/>
      <c r="C78" s="415" t="s">
        <v>362</v>
      </c>
      <c r="D78" s="430">
        <f>'SDK3'!D73</f>
        <v>6</v>
      </c>
      <c r="E78" s="413">
        <v>6</v>
      </c>
      <c r="F78" s="403">
        <f t="shared" si="8"/>
        <v>54</v>
      </c>
      <c r="G78" s="412"/>
      <c r="H78" s="411" t="s">
        <v>168</v>
      </c>
      <c r="I78" s="410"/>
      <c r="J78" s="4258">
        <f>IF(I78="x",VLOOKUP(E78,$B$11:$O$16,14,FALSE),IF(H78="x",VLOOKUP(E78,$B$11:$O$16,13,FALSE),IF(G78="x",VLOOKUP(E78,$B$11:$O$16,12,FALSE),0)))</f>
        <v>12.981024705882351</v>
      </c>
      <c r="K78" s="4259"/>
      <c r="L78" s="399"/>
      <c r="M78" s="398"/>
      <c r="N78" s="3544">
        <f>'SDK3'!N73</f>
        <v>0.95</v>
      </c>
      <c r="O78" s="456">
        <f t="shared" si="10"/>
        <v>18.331973470588231</v>
      </c>
      <c r="Q78" s="4331"/>
      <c r="R78" s="383" t="s">
        <v>351</v>
      </c>
      <c r="S78" s="383" t="s">
        <v>351</v>
      </c>
      <c r="T78" s="383" t="s">
        <v>351</v>
      </c>
      <c r="U78" s="390"/>
      <c r="V78" s="390"/>
      <c r="W78" s="390"/>
      <c r="AH78" s="390"/>
      <c r="AI78" s="390"/>
      <c r="AJ78" s="390"/>
    </row>
    <row r="79" spans="1:36" ht="13.15" customHeight="1">
      <c r="A79" s="399"/>
      <c r="B79" s="406"/>
      <c r="C79" s="415" t="s">
        <v>361</v>
      </c>
      <c r="D79" s="430">
        <f>'SDK3'!D74</f>
        <v>50</v>
      </c>
      <c r="E79" s="413">
        <v>6</v>
      </c>
      <c r="F79" s="403">
        <f t="shared" si="8"/>
        <v>54</v>
      </c>
      <c r="G79" s="412" t="s">
        <v>168</v>
      </c>
      <c r="H79" s="411"/>
      <c r="I79" s="410"/>
      <c r="J79" s="4258">
        <f t="shared" ref="J79:J86" si="11">IF(I79="x",VLOOKUP(E79,$B$11:$O$16,14,FALSE),IF(H79="x",VLOOKUP(E79,$B$11:$O$16,13,FALSE),IF(G79="x",VLOOKUP(E79,$B$11:$O$16,12,FALSE),0)))</f>
        <v>10.886717294117647</v>
      </c>
      <c r="K79" s="4259"/>
      <c r="L79" s="399"/>
      <c r="M79" s="398"/>
      <c r="N79" s="3544">
        <f>'SDK3'!N74</f>
        <v>6</v>
      </c>
      <c r="O79" s="456">
        <f t="shared" si="10"/>
        <v>115.32030376470588</v>
      </c>
      <c r="Q79" s="4331"/>
      <c r="R79" s="383" t="s">
        <v>351</v>
      </c>
      <c r="S79" s="383" t="s">
        <v>351</v>
      </c>
      <c r="T79" s="383" t="s">
        <v>351</v>
      </c>
      <c r="U79" s="390"/>
      <c r="V79" s="390"/>
      <c r="W79" s="390"/>
      <c r="AH79" s="390"/>
      <c r="AI79" s="390"/>
      <c r="AJ79" s="390"/>
    </row>
    <row r="80" spans="1:36" ht="13.15" customHeight="1">
      <c r="A80" s="399"/>
      <c r="B80" s="406"/>
      <c r="C80" s="383" t="s">
        <v>360</v>
      </c>
      <c r="D80" s="430">
        <f>'SDK3'!D75</f>
        <v>50</v>
      </c>
      <c r="E80" s="404">
        <v>4</v>
      </c>
      <c r="F80" s="403">
        <f t="shared" si="8"/>
        <v>83</v>
      </c>
      <c r="G80" s="402"/>
      <c r="H80" s="401" t="s">
        <v>168</v>
      </c>
      <c r="I80" s="400"/>
      <c r="J80" s="4258">
        <f t="shared" si="11"/>
        <v>18.248561848739492</v>
      </c>
      <c r="K80" s="4259"/>
      <c r="L80" s="399"/>
      <c r="M80" s="398"/>
      <c r="N80" s="3544">
        <f>'SDK3'!N75</f>
        <v>21.5</v>
      </c>
      <c r="O80" s="456">
        <f t="shared" si="10"/>
        <v>442.34407974789906</v>
      </c>
      <c r="Q80" s="4331"/>
      <c r="R80" s="383" t="s">
        <v>359</v>
      </c>
      <c r="S80" s="383" t="s">
        <v>358</v>
      </c>
      <c r="T80" s="383" t="s">
        <v>357</v>
      </c>
      <c r="U80" s="390"/>
      <c r="V80" s="390"/>
      <c r="W80" s="390"/>
      <c r="AH80" s="390"/>
      <c r="AI80" s="390"/>
      <c r="AJ80" s="390"/>
    </row>
    <row r="81" spans="1:36" ht="13.15" customHeight="1">
      <c r="A81" s="399"/>
      <c r="B81" s="406"/>
      <c r="C81" s="383" t="s">
        <v>356</v>
      </c>
      <c r="D81" s="430">
        <f>'SDK3'!D76</f>
        <v>50</v>
      </c>
      <c r="E81" s="404"/>
      <c r="F81" s="403">
        <f t="shared" si="8"/>
        <v>0</v>
      </c>
      <c r="G81" s="402"/>
      <c r="H81" s="401"/>
      <c r="I81" s="400"/>
      <c r="J81" s="4258">
        <f t="shared" si="11"/>
        <v>0</v>
      </c>
      <c r="K81" s="4259"/>
      <c r="L81" s="399"/>
      <c r="M81" s="398"/>
      <c r="N81" s="3544">
        <f>'SDK3'!N76</f>
        <v>13.75</v>
      </c>
      <c r="O81" s="456">
        <f t="shared" si="10"/>
        <v>50</v>
      </c>
      <c r="Q81" s="4331"/>
      <c r="R81" s="383">
        <v>0</v>
      </c>
      <c r="S81" s="383">
        <v>0</v>
      </c>
      <c r="T81" s="383" t="s">
        <v>353</v>
      </c>
      <c r="U81" s="390"/>
      <c r="V81" s="390"/>
      <c r="W81" s="390"/>
      <c r="AH81" s="390"/>
      <c r="AI81" s="390"/>
      <c r="AJ81" s="390"/>
    </row>
    <row r="82" spans="1:36" ht="13.15" customHeight="1">
      <c r="A82" s="399"/>
      <c r="B82" s="406"/>
      <c r="C82" s="415" t="s">
        <v>352</v>
      </c>
      <c r="D82" s="430">
        <f>'SDK3'!D77</f>
        <v>7</v>
      </c>
      <c r="E82" s="413">
        <v>6</v>
      </c>
      <c r="F82" s="403">
        <f t="shared" si="8"/>
        <v>54</v>
      </c>
      <c r="G82" s="412"/>
      <c r="H82" s="411" t="s">
        <v>168</v>
      </c>
      <c r="I82" s="410"/>
      <c r="J82" s="4258">
        <f t="shared" si="11"/>
        <v>12.981024705882351</v>
      </c>
      <c r="K82" s="4259"/>
      <c r="L82" s="399"/>
      <c r="M82" s="398"/>
      <c r="N82" s="3544">
        <f>'SDK3'!N77</f>
        <v>1.95</v>
      </c>
      <c r="O82" s="456">
        <f t="shared" si="10"/>
        <v>32.312998176470586</v>
      </c>
      <c r="Q82" s="4331"/>
      <c r="R82" s="383" t="s">
        <v>351</v>
      </c>
      <c r="S82" s="383" t="s">
        <v>351</v>
      </c>
      <c r="T82" s="383" t="s">
        <v>351</v>
      </c>
      <c r="U82" s="390"/>
      <c r="V82" s="390"/>
      <c r="W82" s="390"/>
      <c r="AH82" s="390"/>
      <c r="AI82" s="390"/>
      <c r="AJ82" s="390"/>
    </row>
    <row r="83" spans="1:36" ht="13.15" customHeight="1">
      <c r="A83" s="399"/>
      <c r="B83" s="406"/>
      <c r="C83" s="383" t="s">
        <v>350</v>
      </c>
      <c r="D83" s="430">
        <f>'SDK3'!D78</f>
        <v>9</v>
      </c>
      <c r="E83" s="404">
        <v>3</v>
      </c>
      <c r="F83" s="403">
        <f t="shared" si="8"/>
        <v>102</v>
      </c>
      <c r="G83" s="402" t="s">
        <v>168</v>
      </c>
      <c r="H83" s="401"/>
      <c r="I83" s="400"/>
      <c r="J83" s="4258">
        <f t="shared" si="11"/>
        <v>17.230466</v>
      </c>
      <c r="K83" s="4259"/>
      <c r="L83" s="399"/>
      <c r="M83" s="398"/>
      <c r="N83" s="3544">
        <f>'SDK3'!N78</f>
        <v>1.68</v>
      </c>
      <c r="O83" s="456">
        <f t="shared" si="10"/>
        <v>37.94718288</v>
      </c>
      <c r="Q83" s="4331"/>
      <c r="R83" s="383" t="s">
        <v>349</v>
      </c>
      <c r="S83" s="383" t="s">
        <v>348</v>
      </c>
      <c r="T83" s="383">
        <v>0</v>
      </c>
      <c r="U83" s="390"/>
      <c r="V83" s="390"/>
      <c r="W83" s="390"/>
      <c r="AH83" s="390"/>
      <c r="AI83" s="390"/>
      <c r="AJ83" s="390"/>
    </row>
    <row r="84" spans="1:36" ht="13.15" customHeight="1">
      <c r="A84" s="399"/>
      <c r="B84" s="406"/>
      <c r="C84" s="383" t="s">
        <v>347</v>
      </c>
      <c r="D84" s="430" t="e">
        <f>'SDK3'!#REF!</f>
        <v>#REF!</v>
      </c>
      <c r="E84" s="404"/>
      <c r="F84" s="403">
        <f t="shared" si="8"/>
        <v>0</v>
      </c>
      <c r="G84" s="402"/>
      <c r="H84" s="401"/>
      <c r="I84" s="400"/>
      <c r="J84" s="4258">
        <f t="shared" si="11"/>
        <v>0</v>
      </c>
      <c r="K84" s="4259"/>
      <c r="L84" s="399"/>
      <c r="M84" s="398"/>
      <c r="N84" s="3544" t="e">
        <f>'SDK3'!#REF!</f>
        <v>#REF!</v>
      </c>
      <c r="O84" s="456" t="e">
        <f t="shared" si="10"/>
        <v>#REF!</v>
      </c>
      <c r="Q84" s="4331"/>
      <c r="R84" s="383">
        <v>0</v>
      </c>
      <c r="S84" s="383">
        <v>0</v>
      </c>
      <c r="T84" s="383" t="s">
        <v>1447</v>
      </c>
      <c r="U84" s="390"/>
      <c r="V84" s="390"/>
      <c r="W84" s="390"/>
      <c r="AH84" s="390"/>
      <c r="AI84" s="390"/>
      <c r="AJ84" s="390"/>
    </row>
    <row r="85" spans="1:36" ht="13.15" customHeight="1">
      <c r="A85" s="399"/>
      <c r="B85" s="406"/>
      <c r="C85" s="383" t="s">
        <v>346</v>
      </c>
      <c r="D85" s="430" t="e">
        <f>'SDK3'!#REF!</f>
        <v>#REF!</v>
      </c>
      <c r="E85" s="404"/>
      <c r="F85" s="403">
        <f t="shared" si="8"/>
        <v>0</v>
      </c>
      <c r="G85" s="402"/>
      <c r="H85" s="401"/>
      <c r="I85" s="400"/>
      <c r="J85" s="4258">
        <f t="shared" si="11"/>
        <v>0</v>
      </c>
      <c r="K85" s="4259"/>
      <c r="L85" s="399"/>
      <c r="M85" s="398"/>
      <c r="N85" s="3544" t="e">
        <f>'SDK3'!#REF!</f>
        <v>#REF!</v>
      </c>
      <c r="O85" s="456" t="e">
        <f t="shared" si="10"/>
        <v>#REF!</v>
      </c>
      <c r="Q85" s="4331"/>
      <c r="R85" s="383">
        <v>0</v>
      </c>
      <c r="S85" s="383">
        <v>0</v>
      </c>
      <c r="T85" s="383" t="s">
        <v>1447</v>
      </c>
      <c r="U85" s="390"/>
      <c r="V85" s="390"/>
      <c r="W85" s="390"/>
      <c r="AH85" s="390"/>
      <c r="AI85" s="390"/>
      <c r="AJ85" s="390"/>
    </row>
    <row r="86" spans="1:36" ht="13.15" customHeight="1">
      <c r="A86" s="399"/>
      <c r="B86" s="406"/>
      <c r="C86" s="383" t="s">
        <v>345</v>
      </c>
      <c r="D86" s="430">
        <f>'SDK3'!D79</f>
        <v>28.11</v>
      </c>
      <c r="E86" s="404">
        <v>6</v>
      </c>
      <c r="F86" s="403">
        <f t="shared" si="8"/>
        <v>54</v>
      </c>
      <c r="G86" s="402" t="s">
        <v>168</v>
      </c>
      <c r="H86" s="401"/>
      <c r="I86" s="400"/>
      <c r="J86" s="4258">
        <f t="shared" si="11"/>
        <v>10.886717294117647</v>
      </c>
      <c r="K86" s="4259"/>
      <c r="L86" s="399"/>
      <c r="M86" s="398"/>
      <c r="N86" s="3544">
        <f>'SDK3'!N79</f>
        <v>4.0999999999999996</v>
      </c>
      <c r="O86" s="456">
        <f t="shared" si="10"/>
        <v>72.745540905882336</v>
      </c>
      <c r="Q86" s="4331"/>
      <c r="R86" s="383">
        <v>0</v>
      </c>
      <c r="S86" s="383">
        <v>0</v>
      </c>
      <c r="T86" s="383" t="s">
        <v>1446</v>
      </c>
      <c r="U86" s="390"/>
      <c r="V86" s="390"/>
      <c r="W86" s="390"/>
      <c r="AH86" s="390"/>
      <c r="AI86" s="390"/>
      <c r="AJ86" s="390"/>
    </row>
    <row r="87" spans="1:36" ht="13.15" customHeight="1">
      <c r="A87" s="399"/>
      <c r="B87" s="406"/>
      <c r="C87" s="383" t="s">
        <v>342</v>
      </c>
      <c r="D87" s="430">
        <f>'SDK3'!D80</f>
        <v>17.560000000000002</v>
      </c>
      <c r="E87" s="404">
        <v>6</v>
      </c>
      <c r="F87" s="403">
        <f t="shared" si="8"/>
        <v>54</v>
      </c>
      <c r="G87" s="402"/>
      <c r="H87" s="401" t="s">
        <v>168</v>
      </c>
      <c r="I87" s="400"/>
      <c r="J87" s="4258">
        <f>IF(I87="x",VLOOKUP(E87,$B$11:$O$16,14,FALSE),IF(H87="x",VLOOKUP(E87,$B$11:$O$16,13,FALSE),IF(G87="x",VLOOKUP(E87,$B$11:$O$16,12,FALSE),0)))</f>
        <v>12.981024705882351</v>
      </c>
      <c r="K87" s="4259"/>
      <c r="L87" s="399"/>
      <c r="M87" s="398"/>
      <c r="N87" s="3544">
        <f>'SDK3'!N80</f>
        <v>10.19</v>
      </c>
      <c r="O87" s="456">
        <f t="shared" si="10"/>
        <v>149.83664175294115</v>
      </c>
      <c r="Q87" s="4331"/>
      <c r="R87" s="383">
        <v>0</v>
      </c>
      <c r="S87" s="383">
        <v>0</v>
      </c>
      <c r="T87" s="383">
        <v>0</v>
      </c>
      <c r="U87" s="390"/>
      <c r="V87" s="390"/>
      <c r="W87" s="390"/>
      <c r="AH87" s="390"/>
      <c r="AI87" s="390"/>
      <c r="AJ87" s="390"/>
    </row>
    <row r="88" spans="1:36" ht="6" customHeight="1">
      <c r="A88" s="396"/>
      <c r="B88" s="406"/>
      <c r="C88" s="383"/>
      <c r="D88" s="405"/>
      <c r="E88" s="404"/>
      <c r="F88" s="403"/>
      <c r="G88" s="402"/>
      <c r="H88" s="401"/>
      <c r="I88" s="400"/>
      <c r="J88" s="4258"/>
      <c r="K88" s="4259"/>
      <c r="L88" s="399"/>
      <c r="M88" s="398"/>
      <c r="N88" s="3544"/>
      <c r="O88" s="456"/>
      <c r="Q88" s="383"/>
      <c r="R88" s="383"/>
      <c r="S88" s="383"/>
      <c r="T88" s="383"/>
      <c r="U88" s="390"/>
      <c r="V88" s="390"/>
      <c r="W88" s="390"/>
      <c r="AH88" s="390"/>
      <c r="AI88" s="390"/>
      <c r="AJ88" s="390"/>
    </row>
    <row r="89" spans="1:36" ht="13.15" customHeight="1">
      <c r="A89" s="399"/>
      <c r="B89" s="406"/>
      <c r="C89" s="383" t="s">
        <v>1444</v>
      </c>
      <c r="D89" s="405">
        <v>1.65</v>
      </c>
      <c r="E89" s="404">
        <v>5</v>
      </c>
      <c r="F89" s="403"/>
      <c r="G89" s="402" t="s">
        <v>168</v>
      </c>
      <c r="H89" s="401"/>
      <c r="I89" s="400"/>
      <c r="J89" s="4304"/>
      <c r="K89" s="4305"/>
      <c r="L89" s="399"/>
      <c r="M89" s="398"/>
      <c r="N89" s="3544">
        <v>0.35</v>
      </c>
      <c r="O89" s="456">
        <f>((J89*N89)+D89)*(1+$G$4)</f>
        <v>1.65</v>
      </c>
      <c r="Q89" s="3200">
        <v>0</v>
      </c>
      <c r="R89" s="383">
        <v>0</v>
      </c>
      <c r="S89" s="383" t="s">
        <v>1443</v>
      </c>
      <c r="T89" s="383">
        <v>0</v>
      </c>
      <c r="U89" s="390"/>
      <c r="V89" s="390"/>
      <c r="W89" s="390"/>
      <c r="AH89" s="390"/>
      <c r="AI89" s="390"/>
      <c r="AJ89" s="390"/>
    </row>
    <row r="90" spans="1:36" ht="12.75" customHeight="1">
      <c r="A90" s="399"/>
      <c r="B90" s="406"/>
      <c r="C90" s="383" t="s">
        <v>1442</v>
      </c>
      <c r="D90" s="405">
        <v>1.3</v>
      </c>
      <c r="E90" s="404">
        <v>4</v>
      </c>
      <c r="F90" s="403"/>
      <c r="G90" s="402" t="s">
        <v>168</v>
      </c>
      <c r="H90" s="401"/>
      <c r="I90" s="400"/>
      <c r="J90" s="4258"/>
      <c r="K90" s="4259"/>
      <c r="L90" s="399"/>
      <c r="M90" s="398"/>
      <c r="N90" s="3544">
        <v>0.48</v>
      </c>
      <c r="O90" s="456">
        <f>((J90*N90)+D90)*(1+$G$4)</f>
        <v>1.3</v>
      </c>
      <c r="Q90" s="383">
        <v>0</v>
      </c>
      <c r="R90" s="383">
        <v>0</v>
      </c>
      <c r="S90" s="383">
        <v>0</v>
      </c>
      <c r="T90" s="383">
        <v>0</v>
      </c>
      <c r="U90" s="390"/>
      <c r="V90" s="390"/>
      <c r="W90" s="390"/>
      <c r="AH90" s="390"/>
      <c r="AI90" s="390"/>
      <c r="AJ90" s="390"/>
    </row>
    <row r="91" spans="1:36" ht="12.75" customHeight="1">
      <c r="A91" s="399"/>
      <c r="B91" s="406">
        <v>54</v>
      </c>
      <c r="C91" s="383" t="s">
        <v>1441</v>
      </c>
      <c r="D91" s="405">
        <v>0.2</v>
      </c>
      <c r="E91" s="404">
        <v>2</v>
      </c>
      <c r="F91" s="403">
        <f>IF(E91=0,0,INDEX($D$11:$E$17,E91,1))</f>
        <v>120</v>
      </c>
      <c r="G91" s="402" t="s">
        <v>168</v>
      </c>
      <c r="H91" s="401"/>
      <c r="I91" s="400"/>
      <c r="J91" s="4304">
        <f>IF(I91="x",VLOOKUP(E91,$B$11:$N$17,14,FALSE),IF(H91="x",VLOOKUP(E91,$B$11:$N$17,13,FALSE),IF(G91="x",VLOOKUP(E91,$B$11:$N$17,12,FALSE),0)))</f>
        <v>20.35937176470588</v>
      </c>
      <c r="K91" s="4305"/>
      <c r="L91" s="399"/>
      <c r="M91" s="398"/>
      <c r="N91" s="3546">
        <v>2.5</v>
      </c>
      <c r="O91" s="456">
        <f>((J91*N91)+D91)*(1+$G$4)</f>
        <v>51.098429411764705</v>
      </c>
      <c r="Q91" s="383">
        <v>0</v>
      </c>
      <c r="R91" s="383">
        <v>0</v>
      </c>
      <c r="S91" s="383">
        <v>0</v>
      </c>
      <c r="T91" s="383">
        <v>0</v>
      </c>
      <c r="U91" s="390"/>
      <c r="V91" s="390"/>
      <c r="W91" s="390"/>
      <c r="AH91" s="390"/>
      <c r="AI91" s="390"/>
      <c r="AJ91" s="390"/>
    </row>
    <row r="92" spans="1:36" ht="12.75" customHeight="1">
      <c r="A92" s="399"/>
      <c r="B92" s="406">
        <v>55</v>
      </c>
      <c r="C92" s="383" t="s">
        <v>1440</v>
      </c>
      <c r="D92" s="405">
        <v>1.3</v>
      </c>
      <c r="E92" s="404">
        <v>4</v>
      </c>
      <c r="F92" s="403">
        <f>IF(E92=0,0,INDEX($D$11:$E$17,E92,1))</f>
        <v>83</v>
      </c>
      <c r="G92" s="402" t="s">
        <v>168</v>
      </c>
      <c r="H92" s="401"/>
      <c r="I92" s="400"/>
      <c r="J92" s="4258">
        <f>IF(I92="x",VLOOKUP(E92,$B$11:$N$17,14,FALSE),IF(H92="x",VLOOKUP(E92,$B$11:$N$17,13,FALSE),IF(G92="x",VLOOKUP(E92,$B$11:$N$17,12,FALSE),0)))</f>
        <v>15.023993294117645</v>
      </c>
      <c r="K92" s="4259"/>
      <c r="L92" s="399"/>
      <c r="M92" s="398"/>
      <c r="N92" s="3546">
        <v>3</v>
      </c>
      <c r="O92" s="456">
        <f>((J92*N92)+D92)*(1+$G$4)</f>
        <v>46.371979882352932</v>
      </c>
      <c r="Q92" s="383">
        <v>0</v>
      </c>
      <c r="R92" s="383">
        <v>0</v>
      </c>
      <c r="S92" s="383">
        <v>0</v>
      </c>
      <c r="T92" s="383">
        <v>0</v>
      </c>
      <c r="U92" s="390"/>
      <c r="V92" s="390"/>
      <c r="W92" s="390"/>
      <c r="AH92" s="390"/>
      <c r="AI92" s="390"/>
      <c r="AJ92" s="390"/>
    </row>
    <row r="93" spans="1:36" ht="10.9" customHeight="1">
      <c r="A93" s="396"/>
      <c r="B93" s="406">
        <v>56</v>
      </c>
      <c r="C93" s="383"/>
      <c r="D93" s="405"/>
      <c r="E93" s="404"/>
      <c r="F93" s="403"/>
      <c r="G93" s="402"/>
      <c r="H93" s="401"/>
      <c r="I93" s="400"/>
      <c r="J93" s="4304"/>
      <c r="K93" s="4305"/>
      <c r="L93" s="399"/>
      <c r="M93" s="398"/>
      <c r="N93" s="3546"/>
      <c r="O93" s="456"/>
      <c r="Q93" s="383"/>
      <c r="R93" s="383"/>
      <c r="S93" s="383"/>
      <c r="T93" s="383"/>
      <c r="U93" s="390"/>
      <c r="V93" s="390"/>
      <c r="W93" s="390"/>
      <c r="AH93" s="390"/>
      <c r="AI93" s="390"/>
      <c r="AJ93" s="390"/>
    </row>
    <row r="94" spans="1:36" ht="13.15" customHeight="1">
      <c r="A94" s="399"/>
      <c r="B94" s="406">
        <v>57</v>
      </c>
      <c r="C94" s="415" t="s">
        <v>1439</v>
      </c>
      <c r="D94" s="414"/>
      <c r="E94" s="413"/>
      <c r="F94" s="403"/>
      <c r="G94" s="412"/>
      <c r="H94" s="411"/>
      <c r="I94" s="410"/>
      <c r="J94" s="4258">
        <f>IF(I94="x",VLOOKUP(E94,$B$11:$N$17,14,FALSE),IF(H94="x",VLOOKUP(E94,$B$11:$N$17,13,FALSE),IF(G94="x",VLOOKUP(E94,$B$11:$N$17,12,FALSE),0)))</f>
        <v>0</v>
      </c>
      <c r="K94" s="4259"/>
      <c r="L94" s="399"/>
      <c r="M94" s="398"/>
      <c r="N94" s="3546">
        <f>F118</f>
        <v>202</v>
      </c>
      <c r="O94" s="456"/>
      <c r="Q94" s="383" t="s">
        <v>1438</v>
      </c>
      <c r="R94" s="383" t="s">
        <v>351</v>
      </c>
      <c r="S94" s="383" t="s">
        <v>351</v>
      </c>
      <c r="T94" s="383" t="s">
        <v>351</v>
      </c>
      <c r="U94" s="390"/>
      <c r="V94" s="390"/>
      <c r="W94" s="390"/>
      <c r="AH94" s="390"/>
      <c r="AI94" s="390"/>
      <c r="AJ94" s="390"/>
    </row>
    <row r="95" spans="1:36" ht="13.15" customHeight="1">
      <c r="A95" s="399"/>
      <c r="B95" s="406"/>
      <c r="C95" s="415" t="s">
        <v>1437</v>
      </c>
      <c r="D95" s="414"/>
      <c r="E95" s="413"/>
      <c r="F95" s="403"/>
      <c r="G95" s="412"/>
      <c r="H95" s="411"/>
      <c r="I95" s="410"/>
      <c r="J95" s="4304"/>
      <c r="K95" s="4305"/>
      <c r="L95" s="399"/>
      <c r="M95" s="398"/>
      <c r="N95" s="3546">
        <f>E118</f>
        <v>1.08</v>
      </c>
      <c r="O95" s="456"/>
      <c r="Q95" s="383" t="s">
        <v>1436</v>
      </c>
      <c r="R95" s="383" t="s">
        <v>351</v>
      </c>
      <c r="S95" s="383" t="s">
        <v>351</v>
      </c>
      <c r="T95" s="383" t="s">
        <v>351</v>
      </c>
      <c r="U95" s="390"/>
      <c r="V95" s="390"/>
      <c r="W95" s="390"/>
      <c r="AH95" s="390"/>
      <c r="AI95" s="390"/>
      <c r="AJ95" s="390"/>
    </row>
    <row r="96" spans="1:36" ht="13.15" customHeight="1">
      <c r="A96" s="399"/>
      <c r="B96" s="406">
        <v>58</v>
      </c>
      <c r="C96" s="415" t="s">
        <v>1435</v>
      </c>
      <c r="D96" s="414"/>
      <c r="E96" s="413"/>
      <c r="F96" s="403"/>
      <c r="G96" s="412"/>
      <c r="H96" s="411"/>
      <c r="I96" s="410"/>
      <c r="J96" s="4258">
        <f>IF(I96="x",VLOOKUP(E96,$B$11:$N$17,14,FALSE),IF(H96="x",VLOOKUP(E96,$B$11:$N$17,13,FALSE),IF(G96="x",VLOOKUP(E96,$B$11:$N$17,12,FALSE),0)))</f>
        <v>0</v>
      </c>
      <c r="K96" s="4259"/>
      <c r="L96" s="399"/>
      <c r="M96" s="398"/>
      <c r="N96" s="3546">
        <f>G118</f>
        <v>0</v>
      </c>
      <c r="O96" s="456"/>
      <c r="Q96" s="383">
        <v>0</v>
      </c>
      <c r="R96" s="383" t="s">
        <v>351</v>
      </c>
      <c r="S96" s="383" t="s">
        <v>351</v>
      </c>
      <c r="T96" s="383" t="s">
        <v>351</v>
      </c>
      <c r="U96" s="390"/>
      <c r="V96" s="390"/>
      <c r="W96" s="390"/>
      <c r="AH96" s="390"/>
      <c r="AI96" s="390"/>
      <c r="AJ96" s="390"/>
    </row>
    <row r="97" spans="1:36" ht="13.15" customHeight="1">
      <c r="A97" s="399"/>
      <c r="B97" s="406"/>
      <c r="C97" s="415" t="s">
        <v>1434</v>
      </c>
      <c r="D97" s="414"/>
      <c r="E97" s="413"/>
      <c r="F97" s="403"/>
      <c r="G97" s="412"/>
      <c r="H97" s="411"/>
      <c r="I97" s="410"/>
      <c r="J97" s="4304"/>
      <c r="K97" s="4305"/>
      <c r="L97" s="399"/>
      <c r="M97" s="398"/>
      <c r="N97" s="3546">
        <f>E130</f>
        <v>51.17</v>
      </c>
      <c r="O97" s="456"/>
      <c r="Q97" s="383">
        <v>0</v>
      </c>
      <c r="R97" s="383" t="s">
        <v>351</v>
      </c>
      <c r="S97" s="383" t="s">
        <v>351</v>
      </c>
      <c r="T97" s="383" t="s">
        <v>351</v>
      </c>
      <c r="U97" s="390"/>
      <c r="V97" s="390"/>
      <c r="W97" s="390"/>
      <c r="AH97" s="390"/>
      <c r="AI97" s="390"/>
      <c r="AJ97" s="390"/>
    </row>
    <row r="98" spans="1:36" ht="13.15" customHeight="1">
      <c r="A98" s="399"/>
      <c r="B98" s="406"/>
      <c r="C98" s="415" t="s">
        <v>1433</v>
      </c>
      <c r="D98" s="414"/>
      <c r="E98" s="413"/>
      <c r="F98" s="403"/>
      <c r="G98" s="412"/>
      <c r="H98" s="411"/>
      <c r="I98" s="410"/>
      <c r="J98" s="4258"/>
      <c r="K98" s="4259"/>
      <c r="L98" s="399"/>
      <c r="M98" s="398"/>
      <c r="N98" s="3546">
        <f>F130</f>
        <v>246.75</v>
      </c>
      <c r="O98" s="456"/>
      <c r="Q98" s="383">
        <v>0</v>
      </c>
      <c r="R98" s="383" t="s">
        <v>351</v>
      </c>
      <c r="S98" s="383" t="s">
        <v>351</v>
      </c>
      <c r="T98" s="383" t="s">
        <v>351</v>
      </c>
      <c r="U98" s="390"/>
      <c r="V98" s="390"/>
      <c r="W98" s="390"/>
      <c r="AH98" s="390"/>
      <c r="AI98" s="390"/>
      <c r="AJ98" s="390"/>
    </row>
    <row r="99" spans="1:36" ht="12.6" customHeight="1">
      <c r="A99" s="399"/>
      <c r="B99" s="406"/>
      <c r="C99" s="415" t="s">
        <v>1432</v>
      </c>
      <c r="D99" s="414"/>
      <c r="E99" s="413"/>
      <c r="F99" s="403"/>
      <c r="G99" s="412"/>
      <c r="H99" s="411"/>
      <c r="I99" s="410"/>
      <c r="J99" s="4304">
        <f>IF(I99="x",VLOOKUP(E99,$B$11:$N$17,14,FALSE),IF(H99="x",VLOOKUP(E99,$B$11:$N$17,13,FALSE),IF(G99="x",VLOOKUP(E99,$B$11:$N$17,12,FALSE),0)))</f>
        <v>0</v>
      </c>
      <c r="K99" s="4305"/>
      <c r="L99" s="399"/>
      <c r="M99" s="398"/>
      <c r="N99" s="3546">
        <f>G130</f>
        <v>0</v>
      </c>
      <c r="O99" s="456"/>
      <c r="Q99" s="383">
        <v>0</v>
      </c>
      <c r="R99" s="383" t="s">
        <v>351</v>
      </c>
      <c r="S99" s="383" t="s">
        <v>351</v>
      </c>
      <c r="T99" s="383" t="s">
        <v>351</v>
      </c>
      <c r="U99" s="390"/>
      <c r="V99" s="390"/>
      <c r="W99" s="390"/>
      <c r="AH99" s="390"/>
      <c r="AI99" s="390"/>
      <c r="AJ99" s="390"/>
    </row>
    <row r="100" spans="1:36" ht="0.6" customHeight="1">
      <c r="B100" s="406"/>
      <c r="C100" s="415"/>
      <c r="D100" s="414"/>
      <c r="E100" s="413"/>
      <c r="F100" s="403">
        <f>IF(E100=0,0,INDEX($D$11:$E$17,E100,1))</f>
        <v>0</v>
      </c>
      <c r="G100" s="412"/>
      <c r="H100" s="411"/>
      <c r="I100" s="410"/>
      <c r="J100" s="2069">
        <f>IF(I100="x",VLOOKUP(E100,$B$11:$N$17,14,FALSE),IF(H100="x",VLOOKUP(E100,$B$11:$N$17,13,FALSE),IF(G100="x",VLOOKUP(E100,$B$11:$N$17,12,FALSE),0)))</f>
        <v>0</v>
      </c>
      <c r="K100" s="2068"/>
      <c r="L100" s="399"/>
      <c r="M100" s="398"/>
      <c r="N100" s="409"/>
      <c r="O100" s="390"/>
      <c r="P100" s="3320"/>
      <c r="Q100" s="390"/>
      <c r="R100" s="390"/>
      <c r="S100" s="390"/>
      <c r="T100" s="390"/>
      <c r="U100" s="390"/>
      <c r="V100" s="390"/>
      <c r="W100" s="390"/>
    </row>
    <row r="101" spans="1:36" s="390" customFormat="1" ht="13.5" hidden="1" customHeight="1" thickBot="1">
      <c r="B101" s="395">
        <v>59</v>
      </c>
      <c r="C101" s="2042"/>
      <c r="D101" s="2067"/>
      <c r="E101" s="2066"/>
      <c r="F101" s="394">
        <f>IF(E101=0,0,INDEX($D$11:$E$17,E101,1))</f>
        <v>0</v>
      </c>
      <c r="G101" s="2065"/>
      <c r="H101" s="2064"/>
      <c r="I101" s="2063"/>
      <c r="J101" s="2062">
        <f>IF(I101="x",VLOOKUP(E101,$B$11:$N$17,14,FALSE),IF(H101="x",VLOOKUP(E101,$B$11:$N$17,13,FALSE),IF(G101="x",VLOOKUP(E101,$B$11:$N$17,12,FALSE),0)))</f>
        <v>0</v>
      </c>
      <c r="K101" s="2061"/>
      <c r="L101" s="393"/>
      <c r="M101" s="392"/>
      <c r="N101" s="2060"/>
      <c r="P101" s="3320"/>
    </row>
    <row r="102" spans="1:36" s="390" customFormat="1" ht="0.6" hidden="1" customHeight="1">
      <c r="P102" s="3320"/>
    </row>
    <row r="103" spans="1:36" s="390" customFormat="1" ht="13.15" hidden="1" customHeight="1">
      <c r="A103" s="377"/>
      <c r="C103" s="2059" t="s">
        <v>1431</v>
      </c>
      <c r="D103" s="2058">
        <v>5.7</v>
      </c>
      <c r="E103" s="2057" t="s">
        <v>1430</v>
      </c>
      <c r="F103" s="2057"/>
      <c r="G103" s="2057"/>
      <c r="H103" s="2057"/>
      <c r="I103" s="2057"/>
      <c r="J103" s="2057"/>
      <c r="K103" s="2057"/>
      <c r="L103" s="2057"/>
      <c r="M103" s="2057"/>
      <c r="N103" s="432"/>
      <c r="P103" s="3320"/>
    </row>
    <row r="104" spans="1:36" s="390" customFormat="1" ht="13.15" customHeight="1">
      <c r="P104" s="3320"/>
    </row>
    <row r="105" spans="1:36" s="390" customFormat="1" ht="21.75" customHeight="1">
      <c r="B105" s="3422" t="s">
        <v>1429</v>
      </c>
      <c r="C105" s="3556"/>
      <c r="D105" s="4311" t="s">
        <v>1428</v>
      </c>
      <c r="E105" s="4313" t="s">
        <v>1427</v>
      </c>
      <c r="F105" s="4313" t="s">
        <v>1407</v>
      </c>
      <c r="G105" s="4315" t="s">
        <v>1406</v>
      </c>
      <c r="I105" s="2039"/>
      <c r="J105" s="391"/>
      <c r="K105" s="391"/>
      <c r="L105" s="391"/>
      <c r="M105" s="391"/>
      <c r="N105" s="391"/>
      <c r="P105" s="3320"/>
    </row>
    <row r="106" spans="1:36" s="390" customFormat="1" ht="13.15" customHeight="1">
      <c r="B106" s="3426"/>
      <c r="C106" s="3547"/>
      <c r="D106" s="4311"/>
      <c r="E106" s="4313"/>
      <c r="F106" s="4313"/>
      <c r="G106" s="4316"/>
      <c r="I106" s="377"/>
      <c r="J106" s="377"/>
      <c r="K106" s="377"/>
      <c r="L106" s="377"/>
      <c r="M106" s="377"/>
      <c r="N106" s="377"/>
      <c r="P106" s="3320"/>
    </row>
    <row r="107" spans="1:36" s="390" customFormat="1" ht="18.399999999999999" customHeight="1" thickBot="1">
      <c r="B107" s="3549"/>
      <c r="C107" s="3548" t="s">
        <v>1405</v>
      </c>
      <c r="D107" s="4312"/>
      <c r="E107" s="4314"/>
      <c r="F107" s="4314"/>
      <c r="G107" s="4317"/>
      <c r="I107" s="377"/>
      <c r="J107" s="377"/>
      <c r="K107" s="377"/>
      <c r="L107" s="377"/>
      <c r="M107" s="377"/>
      <c r="N107" s="377"/>
      <c r="P107" s="3320"/>
    </row>
    <row r="108" spans="1:36" s="390" customFormat="1" ht="13.15" customHeight="1">
      <c r="B108" s="3550"/>
      <c r="C108" s="415" t="s">
        <v>1426</v>
      </c>
      <c r="D108" s="2043">
        <v>2.36</v>
      </c>
      <c r="E108" s="2043"/>
      <c r="F108" s="2055"/>
      <c r="G108" s="3557"/>
      <c r="I108" s="2056"/>
      <c r="J108" s="377"/>
      <c r="K108" s="377"/>
      <c r="L108" s="377"/>
      <c r="M108" s="377"/>
      <c r="N108" s="377"/>
      <c r="P108" s="3320"/>
      <c r="Q108" s="390" t="s">
        <v>1425</v>
      </c>
    </row>
    <row r="109" spans="1:36" s="390" customFormat="1" ht="13.15" customHeight="1">
      <c r="B109" s="2072"/>
      <c r="C109" s="415" t="s">
        <v>1424</v>
      </c>
      <c r="D109" s="2043">
        <v>6.82</v>
      </c>
      <c r="E109" s="2043"/>
      <c r="F109" s="2055"/>
      <c r="G109" s="3557"/>
      <c r="I109" s="391"/>
      <c r="J109" s="377"/>
      <c r="K109" s="377"/>
      <c r="L109" s="377"/>
      <c r="M109" s="377"/>
      <c r="N109" s="377"/>
      <c r="P109" s="3320"/>
    </row>
    <row r="110" spans="1:36" s="390" customFormat="1" ht="13.15" customHeight="1">
      <c r="B110" s="2072"/>
      <c r="C110" s="415"/>
      <c r="D110" s="2047"/>
      <c r="E110" s="2055"/>
      <c r="F110" s="2055"/>
      <c r="G110" s="3557"/>
      <c r="I110" s="377"/>
      <c r="J110" s="377"/>
      <c r="K110" s="377"/>
      <c r="L110" s="377"/>
      <c r="M110" s="377"/>
      <c r="N110" s="377"/>
      <c r="P110" s="3320"/>
    </row>
    <row r="111" spans="1:36" s="390" customFormat="1" ht="13.15" customHeight="1">
      <c r="B111" s="2072"/>
      <c r="C111" s="415" t="s">
        <v>1423</v>
      </c>
      <c r="D111" s="2043">
        <v>51</v>
      </c>
      <c r="E111" s="2043"/>
      <c r="F111" s="2043">
        <v>2</v>
      </c>
      <c r="G111" s="414"/>
      <c r="I111" s="2054"/>
      <c r="J111" s="377"/>
      <c r="K111" s="377"/>
      <c r="L111" s="377"/>
      <c r="M111" s="377"/>
      <c r="N111" s="377"/>
      <c r="P111" s="3320"/>
      <c r="Q111" s="390" t="s">
        <v>1422</v>
      </c>
    </row>
    <row r="112" spans="1:36" s="390" customFormat="1" ht="13.15" customHeight="1">
      <c r="B112" s="2072"/>
      <c r="C112" s="415" t="s">
        <v>1421</v>
      </c>
      <c r="D112" s="2043">
        <v>50</v>
      </c>
      <c r="E112" s="2043"/>
      <c r="F112" s="2043">
        <v>2</v>
      </c>
      <c r="G112" s="414"/>
      <c r="I112" s="2054"/>
      <c r="J112" s="427"/>
      <c r="K112" s="377"/>
      <c r="L112" s="377"/>
      <c r="M112" s="377"/>
      <c r="N112" s="377"/>
      <c r="P112" s="3320"/>
    </row>
    <row r="113" spans="2:17" s="390" customFormat="1" ht="13.15" customHeight="1">
      <c r="B113" s="2072"/>
      <c r="C113" s="415" t="s">
        <v>1420</v>
      </c>
      <c r="D113" s="2043">
        <v>15</v>
      </c>
      <c r="E113" s="2043"/>
      <c r="F113" s="2047"/>
      <c r="G113" s="414"/>
      <c r="I113" s="391"/>
      <c r="J113" s="377"/>
      <c r="K113" s="391"/>
      <c r="L113" s="2039"/>
      <c r="M113" s="391"/>
      <c r="N113" s="391"/>
      <c r="P113" s="3320"/>
      <c r="Q113" s="390" t="s">
        <v>1419</v>
      </c>
    </row>
    <row r="114" spans="2:17" s="390" customFormat="1" ht="13.15" customHeight="1">
      <c r="B114" s="2072"/>
      <c r="C114" s="415" t="s">
        <v>1418</v>
      </c>
      <c r="D114" s="2043">
        <v>3.92</v>
      </c>
      <c r="E114" s="2047"/>
      <c r="F114" s="2047"/>
      <c r="G114" s="414"/>
      <c r="L114" s="2039"/>
      <c r="M114" s="391"/>
      <c r="N114" s="391"/>
      <c r="P114" s="3320"/>
      <c r="Q114" s="390" t="s">
        <v>1417</v>
      </c>
    </row>
    <row r="115" spans="2:17" s="390" customFormat="1" ht="13.15" customHeight="1">
      <c r="B115" s="2072"/>
      <c r="C115" s="415" t="s">
        <v>1416</v>
      </c>
      <c r="D115" s="2043">
        <v>3.13</v>
      </c>
      <c r="E115" s="2047"/>
      <c r="F115" s="2047"/>
      <c r="G115" s="414"/>
      <c r="L115" s="2039"/>
      <c r="M115" s="391"/>
      <c r="N115" s="391"/>
      <c r="P115" s="3320"/>
      <c r="Q115" s="390" t="s">
        <v>1415</v>
      </c>
    </row>
    <row r="116" spans="2:17" s="390" customFormat="1" ht="13.15" customHeight="1">
      <c r="B116" s="2072"/>
      <c r="C116" s="415" t="s">
        <v>1414</v>
      </c>
      <c r="D116" s="2043">
        <f>N65</f>
        <v>0.54</v>
      </c>
      <c r="E116" s="2043">
        <v>2</v>
      </c>
      <c r="F116" s="2047"/>
      <c r="G116" s="414"/>
      <c r="L116" s="377"/>
      <c r="M116" s="377"/>
      <c r="N116" s="377"/>
      <c r="P116" s="3320"/>
      <c r="Q116" s="2045" t="s">
        <v>1413</v>
      </c>
    </row>
    <row r="117" spans="2:17" s="390" customFormat="1" ht="13.15" customHeight="1">
      <c r="B117" s="2072"/>
      <c r="C117" s="415" t="s">
        <v>1412</v>
      </c>
      <c r="D117" s="2043">
        <v>824</v>
      </c>
      <c r="E117" s="3558"/>
      <c r="F117" s="3558"/>
      <c r="G117" s="3559"/>
      <c r="I117" s="2039"/>
      <c r="L117" s="377"/>
      <c r="M117" s="377"/>
      <c r="N117" s="377"/>
      <c r="P117" s="3320"/>
      <c r="Q117" s="390" t="s">
        <v>1411</v>
      </c>
    </row>
    <row r="118" spans="2:17" s="390" customFormat="1" ht="13.15" customHeight="1">
      <c r="B118" s="3550"/>
      <c r="C118" s="3560" t="s">
        <v>1410</v>
      </c>
      <c r="D118" s="3561"/>
      <c r="E118" s="3562">
        <f>SUMPRODUCT($D$108:$D$117,E108:E117)</f>
        <v>1.08</v>
      </c>
      <c r="F118" s="3562">
        <f>SUMPRODUCT($D$108:$D$117,F108:F117)</f>
        <v>202</v>
      </c>
      <c r="G118" s="3563">
        <f>SUMPRODUCT($D$108:$D$117,G108:G117)</f>
        <v>0</v>
      </c>
      <c r="I118" s="377"/>
      <c r="J118" s="377"/>
      <c r="K118" s="377"/>
      <c r="L118" s="377"/>
      <c r="M118" s="377"/>
      <c r="N118" s="377"/>
      <c r="P118" s="3320"/>
    </row>
    <row r="119" spans="2:17" s="390" customFormat="1" ht="13.15" customHeight="1">
      <c r="B119" s="33"/>
      <c r="C119" s="33"/>
      <c r="D119" s="2053"/>
      <c r="E119" s="2053"/>
      <c r="F119" s="2053"/>
      <c r="G119" s="33"/>
      <c r="H119" s="33"/>
      <c r="I119" s="2052"/>
      <c r="J119" s="377"/>
      <c r="K119" s="377"/>
      <c r="L119" s="377"/>
      <c r="M119" s="377"/>
      <c r="N119" s="377"/>
      <c r="P119" s="3320"/>
    </row>
    <row r="120" spans="2:17" s="390" customFormat="1" ht="17.649999999999999" customHeight="1">
      <c r="B120" s="3422" t="s">
        <v>1409</v>
      </c>
      <c r="C120" s="3556"/>
      <c r="D120" s="4311" t="s">
        <v>1408</v>
      </c>
      <c r="E120" s="4313" t="s">
        <v>1977</v>
      </c>
      <c r="F120" s="4313" t="s">
        <v>1407</v>
      </c>
      <c r="G120" s="4315" t="s">
        <v>1406</v>
      </c>
      <c r="H120" s="33"/>
      <c r="P120" s="3320"/>
    </row>
    <row r="121" spans="2:17" s="390" customFormat="1" ht="13.15" customHeight="1">
      <c r="B121" s="3426"/>
      <c r="C121" s="3547"/>
      <c r="D121" s="4311"/>
      <c r="E121" s="4313"/>
      <c r="F121" s="4313"/>
      <c r="G121" s="4316"/>
      <c r="H121" s="33"/>
      <c r="P121" s="3320"/>
    </row>
    <row r="122" spans="2:17" s="390" customFormat="1" ht="20.45" customHeight="1" thickBot="1">
      <c r="B122" s="3549"/>
      <c r="C122" s="3548" t="s">
        <v>1405</v>
      </c>
      <c r="D122" s="4312"/>
      <c r="E122" s="4314"/>
      <c r="F122" s="4314"/>
      <c r="G122" s="4317"/>
      <c r="H122" s="33"/>
      <c r="P122" s="3320"/>
    </row>
    <row r="123" spans="2:17" s="390" customFormat="1" ht="13.15" customHeight="1">
      <c r="B123" s="2072"/>
      <c r="C123" s="415" t="s">
        <v>1404</v>
      </c>
      <c r="D123" s="2043">
        <v>61.14</v>
      </c>
      <c r="E123" s="2047"/>
      <c r="F123" s="2047"/>
      <c r="G123" s="3557"/>
      <c r="H123" s="33"/>
      <c r="I123" s="377"/>
      <c r="J123" s="377"/>
      <c r="K123" s="377"/>
      <c r="L123" s="377"/>
      <c r="M123" s="377"/>
      <c r="N123" s="377"/>
      <c r="P123" s="3320"/>
      <c r="Q123" s="2045" t="s">
        <v>1403</v>
      </c>
    </row>
    <row r="124" spans="2:17" s="390" customFormat="1" ht="13.15" customHeight="1">
      <c r="B124" s="2072"/>
      <c r="C124" s="415" t="s">
        <v>1402</v>
      </c>
      <c r="D124" s="2043">
        <v>246.75</v>
      </c>
      <c r="E124" s="2047"/>
      <c r="F124" s="2043">
        <v>1</v>
      </c>
      <c r="G124" s="3557"/>
      <c r="H124" s="33"/>
      <c r="I124" s="377"/>
      <c r="J124" s="377"/>
      <c r="K124" s="377"/>
      <c r="L124" s="377"/>
      <c r="M124" s="377"/>
      <c r="N124" s="377"/>
      <c r="P124" s="3320"/>
      <c r="Q124" s="2045" t="s">
        <v>1401</v>
      </c>
    </row>
    <row r="125" spans="2:17" s="390" customFormat="1" ht="13.15" customHeight="1">
      <c r="B125" s="2072"/>
      <c r="C125" s="415"/>
      <c r="D125" s="2047"/>
      <c r="E125" s="2047"/>
      <c r="F125" s="2047"/>
      <c r="G125" s="3557"/>
      <c r="H125" s="33"/>
      <c r="I125" s="377"/>
      <c r="J125" s="377"/>
      <c r="K125" s="377"/>
      <c r="L125" s="377"/>
      <c r="M125" s="377"/>
      <c r="N125" s="377"/>
      <c r="P125" s="3320"/>
    </row>
    <row r="126" spans="2:17" s="390" customFormat="1" ht="13.15" customHeight="1">
      <c r="B126" s="2072"/>
      <c r="C126" s="415" t="s">
        <v>1400</v>
      </c>
      <c r="D126" s="2043">
        <v>51.17</v>
      </c>
      <c r="E126" s="2043">
        <v>1</v>
      </c>
      <c r="F126" s="2047"/>
      <c r="G126" s="414"/>
      <c r="H126" s="33"/>
      <c r="I126" s="377"/>
      <c r="J126" s="377"/>
      <c r="K126" s="377"/>
      <c r="L126" s="377"/>
      <c r="M126" s="377"/>
      <c r="N126" s="377"/>
      <c r="P126" s="3320"/>
      <c r="Q126" s="390" t="s">
        <v>1399</v>
      </c>
    </row>
    <row r="127" spans="2:17" s="390" customFormat="1" ht="13.15" customHeight="1">
      <c r="B127" s="2072"/>
      <c r="C127" s="415" t="s">
        <v>1398</v>
      </c>
      <c r="D127" s="2043">
        <v>100</v>
      </c>
      <c r="E127" s="2047"/>
      <c r="F127" s="2047"/>
      <c r="G127" s="414"/>
      <c r="H127" s="33"/>
      <c r="I127" s="377"/>
      <c r="J127" s="377"/>
      <c r="K127" s="377"/>
      <c r="L127" s="377"/>
      <c r="M127" s="377"/>
      <c r="N127" s="377"/>
      <c r="P127" s="3320"/>
    </row>
    <row r="128" spans="2:17" s="390" customFormat="1" ht="13.15" customHeight="1">
      <c r="B128" s="2072"/>
      <c r="C128" s="415"/>
      <c r="D128" s="2047"/>
      <c r="E128" s="2047"/>
      <c r="F128" s="2047"/>
      <c r="G128" s="414"/>
      <c r="H128" s="33"/>
      <c r="I128" s="2051"/>
      <c r="J128" s="2051"/>
      <c r="K128" s="377"/>
      <c r="L128" s="377"/>
      <c r="M128" s="377"/>
      <c r="N128" s="377"/>
      <c r="P128" s="3320"/>
    </row>
    <row r="129" spans="1:36" s="390" customFormat="1" ht="13.15" customHeight="1">
      <c r="B129" s="2072"/>
      <c r="C129" s="415"/>
      <c r="D129" s="2047"/>
      <c r="E129" s="2047"/>
      <c r="F129" s="2047"/>
      <c r="G129" s="414"/>
      <c r="H129" s="33"/>
      <c r="P129" s="3320"/>
    </row>
    <row r="130" spans="1:36" s="390" customFormat="1" ht="13.15" customHeight="1">
      <c r="B130" s="3564"/>
      <c r="C130" s="3560" t="s">
        <v>1397</v>
      </c>
      <c r="D130" s="3561"/>
      <c r="E130" s="3562">
        <f>SUMPRODUCT($D$123:$D$129,E123:E129)</f>
        <v>51.17</v>
      </c>
      <c r="F130" s="3562">
        <f>SUMPRODUCT($D$123:$D$129,F123:F129)</f>
        <v>246.75</v>
      </c>
      <c r="G130" s="3563">
        <f>SUMPRODUCT($D$123:$D$129,G123:G129)</f>
        <v>0</v>
      </c>
      <c r="H130" s="33"/>
      <c r="P130" s="3320"/>
    </row>
    <row r="131" spans="1:36" s="390" customFormat="1" ht="13.15" customHeight="1">
      <c r="B131" s="33"/>
      <c r="C131" s="33"/>
      <c r="D131" s="33"/>
      <c r="E131" s="33"/>
      <c r="F131" s="33"/>
      <c r="G131" s="33"/>
      <c r="H131" s="33"/>
      <c r="P131" s="3320"/>
    </row>
    <row r="132" spans="1:36" s="390" customFormat="1" ht="13.15" customHeight="1">
      <c r="H132" s="33"/>
      <c r="P132" s="3320"/>
    </row>
    <row r="133" spans="1:36" s="390" customFormat="1" ht="14.25" customHeight="1">
      <c r="H133" s="33"/>
      <c r="P133" s="3320"/>
    </row>
    <row r="134" spans="1:36" s="390" customFormat="1" ht="17.649999999999999" customHeight="1">
      <c r="B134" s="3422" t="s">
        <v>339</v>
      </c>
      <c r="C134" s="3443"/>
      <c r="D134" s="3470" t="s">
        <v>338</v>
      </c>
      <c r="E134" s="2039"/>
      <c r="F134" s="2039"/>
      <c r="G134" s="377"/>
      <c r="H134" s="377"/>
      <c r="I134" s="377"/>
      <c r="J134" s="377"/>
      <c r="K134" s="377"/>
      <c r="L134" s="377"/>
      <c r="M134" s="377"/>
      <c r="N134" s="377"/>
      <c r="P134" s="3320"/>
      <c r="Q134" s="2045" t="s">
        <v>1396</v>
      </c>
    </row>
    <row r="135" spans="1:36" ht="13.15" customHeight="1">
      <c r="A135" s="390"/>
      <c r="B135" s="3426" t="s">
        <v>287</v>
      </c>
      <c r="C135" s="3542" t="s">
        <v>337</v>
      </c>
      <c r="D135" s="3470" t="s">
        <v>336</v>
      </c>
      <c r="E135" s="2050"/>
      <c r="F135" s="377"/>
      <c r="G135" s="377"/>
      <c r="H135" s="377"/>
      <c r="I135" s="377"/>
      <c r="J135" s="377"/>
      <c r="K135" s="377"/>
      <c r="L135" s="377"/>
      <c r="M135" s="377"/>
      <c r="N135" s="377"/>
      <c r="O135" s="390"/>
      <c r="P135" s="3320"/>
      <c r="Q135" s="2045" t="s">
        <v>1395</v>
      </c>
      <c r="R135" s="390"/>
      <c r="S135" s="390"/>
      <c r="T135" s="390"/>
      <c r="U135" s="390"/>
      <c r="V135" s="390"/>
      <c r="W135" s="390"/>
    </row>
    <row r="136" spans="1:36" ht="19.149999999999999" customHeight="1">
      <c r="A136" s="2049"/>
      <c r="B136" s="3549"/>
      <c r="C136" s="386" t="str">
        <f>'SDK3'!C90</f>
        <v>(Datengrundlage MR 23/24)</v>
      </c>
      <c r="D136" s="3471" t="s">
        <v>335</v>
      </c>
      <c r="E136" s="377"/>
      <c r="F136" s="377"/>
      <c r="G136" s="377"/>
      <c r="H136" s="377"/>
      <c r="I136" s="377"/>
      <c r="J136" s="377"/>
      <c r="K136" s="377"/>
      <c r="L136" s="377"/>
      <c r="M136" s="377"/>
      <c r="N136" s="377"/>
      <c r="O136" s="390"/>
      <c r="P136" s="3320"/>
      <c r="Q136" s="390"/>
      <c r="R136" s="390"/>
      <c r="S136" s="390"/>
      <c r="T136" s="390"/>
      <c r="U136" s="390"/>
      <c r="V136" s="390"/>
      <c r="W136" s="390"/>
    </row>
    <row r="137" spans="1:36" ht="13.15" customHeight="1">
      <c r="B137" s="3550">
        <v>1</v>
      </c>
      <c r="C137" s="415"/>
      <c r="D137" s="414"/>
      <c r="O137" s="390"/>
      <c r="P137" s="3320"/>
      <c r="Q137" s="390"/>
      <c r="R137" s="390"/>
      <c r="S137" s="390"/>
      <c r="T137" s="390"/>
      <c r="U137" s="390"/>
      <c r="V137" s="390"/>
      <c r="W137" s="390"/>
    </row>
    <row r="138" spans="1:36" ht="13.15" customHeight="1">
      <c r="B138" s="2072">
        <v>2</v>
      </c>
      <c r="C138" s="415" t="s">
        <v>332</v>
      </c>
      <c r="D138" s="3551">
        <v>136</v>
      </c>
      <c r="E138" s="377"/>
      <c r="F138" s="2041"/>
      <c r="O138" s="390"/>
      <c r="P138" s="3320"/>
      <c r="Q138" s="390" t="s">
        <v>331</v>
      </c>
      <c r="R138" s="390"/>
      <c r="S138" s="390"/>
      <c r="T138" s="390"/>
      <c r="U138" s="390"/>
      <c r="V138" s="390"/>
      <c r="W138" s="390"/>
      <c r="AH138" s="390"/>
      <c r="AI138" s="390"/>
      <c r="AJ138" s="390"/>
    </row>
    <row r="139" spans="1:36" ht="13.15" customHeight="1">
      <c r="B139" s="2072">
        <f t="shared" ref="B139:B158" si="12">B138+1</f>
        <v>3</v>
      </c>
      <c r="C139" s="415" t="s">
        <v>330</v>
      </c>
      <c r="D139" s="3551">
        <v>167.8</v>
      </c>
      <c r="E139" s="377"/>
      <c r="F139" s="2041"/>
      <c r="O139" s="2045"/>
      <c r="P139" s="2045"/>
      <c r="Q139" s="2045" t="s">
        <v>1394</v>
      </c>
      <c r="R139" s="2045"/>
      <c r="S139" s="2045"/>
      <c r="T139" s="2045"/>
      <c r="U139" s="2045"/>
      <c r="V139" s="2045"/>
      <c r="W139" s="2045"/>
      <c r="AH139" s="2045"/>
      <c r="AI139" s="2045"/>
      <c r="AJ139" s="2045"/>
    </row>
    <row r="140" spans="1:36" ht="13.15" customHeight="1">
      <c r="B140" s="2072">
        <f t="shared" si="12"/>
        <v>4</v>
      </c>
      <c r="C140" s="415" t="s">
        <v>328</v>
      </c>
      <c r="D140" s="3551">
        <v>176.8</v>
      </c>
      <c r="E140" s="377"/>
      <c r="F140" s="2041"/>
      <c r="O140" s="2045"/>
      <c r="P140" s="2045"/>
      <c r="Q140" s="2045" t="s">
        <v>1393</v>
      </c>
      <c r="R140" s="2045"/>
      <c r="S140" s="2045"/>
      <c r="T140" s="2045"/>
      <c r="U140" s="2045"/>
      <c r="V140" s="2045"/>
      <c r="W140" s="2045"/>
      <c r="AH140" s="2045"/>
      <c r="AI140" s="2045"/>
      <c r="AJ140" s="2045"/>
    </row>
    <row r="141" spans="1:36" ht="13.15" customHeight="1">
      <c r="B141" s="2072">
        <f t="shared" si="12"/>
        <v>5</v>
      </c>
      <c r="C141" s="415" t="s">
        <v>326</v>
      </c>
      <c r="D141" s="3551">
        <v>173.1</v>
      </c>
      <c r="E141" s="377"/>
      <c r="F141" s="2041"/>
      <c r="O141" s="2045"/>
      <c r="P141" s="2045"/>
      <c r="Q141" s="2045" t="s">
        <v>325</v>
      </c>
      <c r="R141" s="2045"/>
      <c r="S141" s="2045"/>
      <c r="T141" s="2045"/>
      <c r="U141" s="2045"/>
      <c r="V141" s="2045"/>
      <c r="W141" s="2045"/>
      <c r="AH141" s="2045"/>
      <c r="AI141" s="2045"/>
      <c r="AJ141" s="2045"/>
    </row>
    <row r="142" spans="1:36" ht="13.15" customHeight="1">
      <c r="B142" s="2072">
        <f t="shared" si="12"/>
        <v>6</v>
      </c>
      <c r="C142" s="415" t="s">
        <v>324</v>
      </c>
      <c r="D142" s="3551">
        <v>151.9</v>
      </c>
      <c r="E142" s="377"/>
      <c r="F142" s="2041"/>
      <c r="O142" s="2045"/>
      <c r="P142" s="2045"/>
      <c r="Q142" s="2045" t="s">
        <v>1392</v>
      </c>
      <c r="R142" s="2045"/>
      <c r="S142" s="2045"/>
      <c r="T142" s="2045"/>
      <c r="U142" s="2045"/>
      <c r="V142" s="2045"/>
      <c r="W142" s="2045"/>
      <c r="AH142" s="2045"/>
      <c r="AI142" s="2045"/>
      <c r="AJ142" s="2045"/>
    </row>
    <row r="143" spans="1:36" ht="13.15" customHeight="1">
      <c r="B143" s="2072">
        <f t="shared" si="12"/>
        <v>7</v>
      </c>
      <c r="C143" s="415" t="s">
        <v>322</v>
      </c>
      <c r="D143" s="3551">
        <v>397.5</v>
      </c>
      <c r="E143" s="377"/>
      <c r="F143" s="2041"/>
      <c r="O143" s="2045"/>
      <c r="P143" s="2045"/>
      <c r="Q143" s="2048" t="s">
        <v>321</v>
      </c>
      <c r="R143" s="2045"/>
      <c r="S143" s="2045"/>
      <c r="T143" s="2045"/>
      <c r="U143" s="2045"/>
      <c r="V143" s="2045"/>
      <c r="W143" s="2045"/>
      <c r="AH143" s="2045"/>
      <c r="AI143" s="2045"/>
      <c r="AJ143" s="2045"/>
    </row>
    <row r="144" spans="1:36" ht="13.15" customHeight="1">
      <c r="B144" s="2072">
        <f t="shared" si="12"/>
        <v>8</v>
      </c>
      <c r="C144" s="415" t="s">
        <v>320</v>
      </c>
      <c r="D144" s="3551">
        <v>600</v>
      </c>
      <c r="E144" s="377"/>
      <c r="F144" s="2041"/>
      <c r="O144" s="390"/>
      <c r="P144" s="3320"/>
      <c r="Q144" s="2045" t="s">
        <v>1391</v>
      </c>
      <c r="R144" s="390"/>
      <c r="S144" s="390"/>
      <c r="T144" s="390"/>
      <c r="U144" s="390"/>
      <c r="V144" s="390"/>
      <c r="W144" s="390"/>
      <c r="AH144" s="390"/>
      <c r="AI144" s="390"/>
      <c r="AJ144" s="390"/>
    </row>
    <row r="145" spans="2:36" ht="13.15" customHeight="1">
      <c r="B145" s="2072">
        <f t="shared" si="12"/>
        <v>9</v>
      </c>
      <c r="C145" s="415" t="s">
        <v>1390</v>
      </c>
      <c r="D145" s="3551">
        <f>'SDK3'!D99</f>
        <v>100.405</v>
      </c>
      <c r="E145" s="377"/>
      <c r="F145" s="2041"/>
      <c r="O145" s="390"/>
      <c r="P145" s="3320"/>
      <c r="Q145" s="390" t="s">
        <v>1389</v>
      </c>
      <c r="R145" s="390"/>
      <c r="S145" s="390"/>
      <c r="T145" s="390"/>
      <c r="U145" s="390"/>
      <c r="V145" s="390"/>
      <c r="W145" s="390"/>
      <c r="AH145" s="390"/>
      <c r="AI145" s="390"/>
      <c r="AJ145" s="390"/>
    </row>
    <row r="146" spans="2:36" ht="13.15" customHeight="1">
      <c r="B146" s="2072">
        <f t="shared" si="12"/>
        <v>10</v>
      </c>
      <c r="C146" s="415" t="s">
        <v>312</v>
      </c>
      <c r="D146" s="3551">
        <f>'SDK3'!D103</f>
        <v>115</v>
      </c>
      <c r="E146" s="377"/>
      <c r="F146" s="2041"/>
      <c r="O146" s="390"/>
      <c r="P146" s="3320"/>
      <c r="Q146" s="2046" t="s">
        <v>1388</v>
      </c>
      <c r="R146" s="390"/>
      <c r="S146" s="390"/>
      <c r="T146" s="390"/>
      <c r="U146" s="390"/>
      <c r="V146" s="390"/>
      <c r="W146" s="390"/>
      <c r="AH146" s="390"/>
      <c r="AI146" s="390"/>
      <c r="AJ146" s="390"/>
    </row>
    <row r="147" spans="2:36" ht="13.15" customHeight="1">
      <c r="B147" s="2072">
        <f t="shared" si="12"/>
        <v>11</v>
      </c>
      <c r="C147" s="415" t="s">
        <v>309</v>
      </c>
      <c r="D147" s="3551">
        <f>'SDK3'!D104</f>
        <v>95.556999999999988</v>
      </c>
      <c r="E147" s="377"/>
      <c r="F147" s="2041"/>
      <c r="O147" s="390"/>
      <c r="P147" s="3320"/>
      <c r="Q147" s="390" t="s">
        <v>1387</v>
      </c>
      <c r="R147" s="390"/>
      <c r="S147" s="390"/>
      <c r="T147" s="390"/>
      <c r="U147" s="390"/>
      <c r="V147" s="390"/>
      <c r="W147" s="390"/>
      <c r="AH147" s="390"/>
      <c r="AI147" s="390"/>
      <c r="AJ147" s="390"/>
    </row>
    <row r="148" spans="2:36" ht="13.15" customHeight="1">
      <c r="B148" s="2072">
        <f t="shared" si="12"/>
        <v>12</v>
      </c>
      <c r="C148" s="415" t="s">
        <v>1386</v>
      </c>
      <c r="D148" s="3552">
        <v>80</v>
      </c>
      <c r="E148" s="377"/>
      <c r="F148" s="2041"/>
      <c r="O148" s="2045"/>
      <c r="P148" s="2045"/>
      <c r="Q148" s="2045" t="s">
        <v>1385</v>
      </c>
      <c r="R148" s="2045"/>
      <c r="S148" s="2045"/>
      <c r="T148" s="2045"/>
      <c r="U148" s="2045"/>
      <c r="V148" s="2045"/>
      <c r="W148" s="2045"/>
      <c r="AD148" s="391"/>
    </row>
    <row r="149" spans="2:36" ht="13.15" customHeight="1">
      <c r="B149" s="2072">
        <f t="shared" si="12"/>
        <v>13</v>
      </c>
      <c r="C149" s="415" t="s">
        <v>1384</v>
      </c>
      <c r="D149" s="3552">
        <v>124</v>
      </c>
      <c r="E149" s="377"/>
      <c r="F149" s="2041"/>
      <c r="O149" s="390"/>
      <c r="P149" s="3320"/>
      <c r="Q149" s="390" t="s">
        <v>1383</v>
      </c>
      <c r="R149" s="390"/>
      <c r="S149" s="390"/>
      <c r="T149" s="390"/>
      <c r="U149" s="390"/>
      <c r="V149" s="390"/>
      <c r="W149" s="390"/>
      <c r="AD149" s="391"/>
    </row>
    <row r="150" spans="2:36" ht="13.15" customHeight="1">
      <c r="B150" s="2072">
        <f t="shared" si="12"/>
        <v>14</v>
      </c>
      <c r="C150" s="415" t="s">
        <v>304</v>
      </c>
      <c r="D150" s="3552">
        <v>226</v>
      </c>
      <c r="E150" s="377"/>
      <c r="F150" s="2041"/>
      <c r="O150" s="390"/>
      <c r="P150" s="3320"/>
      <c r="Q150" s="390" t="s">
        <v>1382</v>
      </c>
      <c r="R150" s="390"/>
      <c r="S150" s="390"/>
      <c r="T150" s="390"/>
      <c r="U150" s="390"/>
      <c r="V150" s="390"/>
      <c r="W150" s="390"/>
    </row>
    <row r="151" spans="2:36" ht="13.15" customHeight="1">
      <c r="B151" s="2072">
        <f t="shared" si="12"/>
        <v>15</v>
      </c>
      <c r="C151" s="415" t="s">
        <v>303</v>
      </c>
      <c r="D151" s="3552">
        <v>58.34</v>
      </c>
      <c r="E151" s="377"/>
      <c r="F151" s="2041"/>
      <c r="O151" s="390"/>
      <c r="P151" s="3320"/>
      <c r="Q151" s="390" t="s">
        <v>1381</v>
      </c>
      <c r="R151" s="390"/>
      <c r="S151" s="390"/>
      <c r="T151" s="390"/>
      <c r="U151" s="390"/>
      <c r="V151" s="390"/>
      <c r="W151" s="390"/>
    </row>
    <row r="152" spans="2:36" ht="13.15" customHeight="1">
      <c r="B152" s="2072">
        <f t="shared" si="12"/>
        <v>16</v>
      </c>
      <c r="C152" s="415" t="s">
        <v>302</v>
      </c>
      <c r="D152" s="3552">
        <v>166</v>
      </c>
      <c r="E152" s="377"/>
      <c r="F152" s="2041"/>
      <c r="O152" s="390"/>
      <c r="P152" s="3320"/>
      <c r="Q152" s="390" t="s">
        <v>1380</v>
      </c>
      <c r="R152" s="390"/>
      <c r="S152" s="390"/>
      <c r="T152" s="390"/>
      <c r="U152" s="390"/>
      <c r="V152" s="390"/>
      <c r="W152" s="390"/>
    </row>
    <row r="153" spans="2:36" ht="13.15" customHeight="1">
      <c r="B153" s="2072">
        <f t="shared" si="12"/>
        <v>17</v>
      </c>
      <c r="C153" s="415" t="s">
        <v>301</v>
      </c>
      <c r="D153" s="3552">
        <v>139</v>
      </c>
      <c r="E153" s="377"/>
      <c r="F153" s="2041"/>
      <c r="O153" s="390"/>
      <c r="P153" s="3320"/>
      <c r="Q153" s="390" t="s">
        <v>1379</v>
      </c>
      <c r="R153" s="390"/>
      <c r="S153" s="390"/>
      <c r="T153" s="390"/>
      <c r="U153" s="390"/>
      <c r="V153" s="390"/>
      <c r="W153" s="390"/>
    </row>
    <row r="154" spans="2:36" ht="13.15" customHeight="1">
      <c r="B154" s="2072">
        <f t="shared" si="12"/>
        <v>18</v>
      </c>
      <c r="C154" s="415" t="s">
        <v>300</v>
      </c>
      <c r="D154" s="3552">
        <v>201</v>
      </c>
      <c r="E154" s="377"/>
      <c r="F154" s="2041"/>
      <c r="O154" s="390"/>
      <c r="P154" s="3320"/>
      <c r="Q154" s="2044" t="s">
        <v>1378</v>
      </c>
      <c r="R154" s="2044"/>
      <c r="S154" s="390"/>
      <c r="T154" s="390"/>
      <c r="U154" s="390"/>
      <c r="V154" s="390"/>
      <c r="W154" s="390"/>
    </row>
    <row r="155" spans="2:36" ht="13.15" customHeight="1">
      <c r="B155" s="2072">
        <f t="shared" si="12"/>
        <v>19</v>
      </c>
      <c r="C155" s="415" t="s">
        <v>299</v>
      </c>
      <c r="D155" s="3552">
        <v>15</v>
      </c>
      <c r="E155" s="377"/>
      <c r="F155" s="2041"/>
      <c r="O155" s="390"/>
      <c r="P155" s="3320"/>
      <c r="Q155" s="390" t="s">
        <v>1377</v>
      </c>
      <c r="R155" s="390"/>
      <c r="S155" s="390"/>
      <c r="T155" s="390"/>
      <c r="U155" s="390"/>
      <c r="V155" s="390"/>
      <c r="W155" s="390"/>
    </row>
    <row r="156" spans="2:36" ht="13.15" customHeight="1">
      <c r="B156" s="3553">
        <f t="shared" si="12"/>
        <v>20</v>
      </c>
      <c r="C156" s="415"/>
      <c r="D156" s="3551"/>
      <c r="E156" s="377"/>
      <c r="F156" s="2041"/>
      <c r="O156" s="390"/>
      <c r="P156" s="3320"/>
      <c r="Q156" s="390" t="s">
        <v>1376</v>
      </c>
      <c r="R156" s="390"/>
      <c r="S156" s="390"/>
      <c r="T156" s="390"/>
      <c r="U156" s="390"/>
      <c r="V156" s="390"/>
      <c r="W156" s="390"/>
    </row>
    <row r="157" spans="2:36" ht="13.15" customHeight="1">
      <c r="B157" s="2072">
        <f t="shared" si="12"/>
        <v>21</v>
      </c>
      <c r="C157" s="415" t="s">
        <v>307</v>
      </c>
      <c r="D157" s="3551">
        <v>2.5</v>
      </c>
      <c r="E157" s="377"/>
      <c r="F157" s="390"/>
      <c r="G157" s="390"/>
      <c r="H157" s="390"/>
      <c r="I157" s="390"/>
      <c r="J157" s="390"/>
      <c r="K157" s="390"/>
      <c r="O157" s="390"/>
      <c r="P157" s="3320"/>
      <c r="Q157" s="390" t="s">
        <v>1375</v>
      </c>
      <c r="R157" s="390"/>
      <c r="S157" s="390"/>
      <c r="T157" s="390"/>
      <c r="U157" s="390"/>
      <c r="V157" s="390"/>
      <c r="W157" s="390"/>
    </row>
    <row r="158" spans="2:36" ht="13.15" customHeight="1">
      <c r="B158" s="2072">
        <f t="shared" si="12"/>
        <v>22</v>
      </c>
      <c r="C158" s="415" t="s">
        <v>1374</v>
      </c>
      <c r="D158" s="3551">
        <v>3.1</v>
      </c>
      <c r="E158" s="377"/>
      <c r="F158" s="390"/>
      <c r="G158" s="390"/>
      <c r="H158" s="390"/>
      <c r="I158" s="390"/>
      <c r="J158" s="390"/>
      <c r="K158" s="390"/>
      <c r="O158" s="390"/>
      <c r="P158" s="3320"/>
      <c r="Q158" s="390" t="s">
        <v>1373</v>
      </c>
      <c r="R158" s="390"/>
      <c r="S158" s="390"/>
      <c r="T158" s="390"/>
      <c r="U158" s="390"/>
      <c r="V158" s="390"/>
      <c r="W158" s="390"/>
    </row>
    <row r="159" spans="2:36" ht="13.15" customHeight="1">
      <c r="B159" s="2072">
        <v>23</v>
      </c>
      <c r="C159" s="415" t="s">
        <v>1372</v>
      </c>
      <c r="D159" s="3552">
        <f>((1.6*20)+(23.9+16.5)*1.7)/20</f>
        <v>5.0339999999999998</v>
      </c>
      <c r="E159" s="377"/>
      <c r="F159" s="390"/>
      <c r="G159" s="390"/>
      <c r="H159" s="390"/>
      <c r="I159" s="390"/>
      <c r="J159" s="390"/>
      <c r="K159" s="390"/>
      <c r="L159" s="377"/>
      <c r="O159" s="390"/>
      <c r="P159" s="3320"/>
      <c r="Q159" s="390" t="s">
        <v>1371</v>
      </c>
      <c r="R159" s="390"/>
      <c r="S159" s="390"/>
      <c r="T159" s="390"/>
      <c r="U159" s="390"/>
      <c r="V159" s="390"/>
      <c r="W159" s="390"/>
    </row>
    <row r="160" spans="2:36" ht="13.15" customHeight="1">
      <c r="B160" s="2072">
        <v>24</v>
      </c>
      <c r="C160" s="415" t="s">
        <v>298</v>
      </c>
      <c r="D160" s="3552">
        <v>4.7699999999999996</v>
      </c>
      <c r="E160" s="377"/>
      <c r="F160" s="390"/>
      <c r="G160" s="390"/>
      <c r="H160" s="390"/>
      <c r="I160" s="390"/>
      <c r="J160" s="390"/>
      <c r="K160" s="390"/>
      <c r="L160" s="377"/>
      <c r="O160" s="390"/>
      <c r="P160" s="3320"/>
      <c r="Q160" s="390" t="s">
        <v>1370</v>
      </c>
      <c r="R160" s="390"/>
      <c r="S160" s="390"/>
      <c r="T160" s="390"/>
      <c r="U160" s="390"/>
      <c r="V160" s="390"/>
      <c r="W160" s="390"/>
      <c r="Y160" s="2040"/>
    </row>
    <row r="161" spans="2:25" ht="13.15" customHeight="1">
      <c r="B161" s="2072">
        <v>25</v>
      </c>
      <c r="C161" s="415" t="s">
        <v>1369</v>
      </c>
      <c r="D161" s="3552">
        <f>35.8+16.5</f>
        <v>52.3</v>
      </c>
      <c r="E161" s="377"/>
      <c r="F161" s="390"/>
      <c r="G161" s="390"/>
      <c r="H161" s="390"/>
      <c r="I161" s="390"/>
      <c r="J161" s="390"/>
      <c r="K161" s="390"/>
      <c r="L161" s="377"/>
      <c r="O161" s="390"/>
      <c r="P161" s="3320"/>
      <c r="Q161" s="390" t="s">
        <v>1368</v>
      </c>
      <c r="R161" s="390"/>
      <c r="S161" s="390"/>
      <c r="T161" s="390"/>
      <c r="U161" s="390"/>
      <c r="V161" s="390"/>
      <c r="W161" s="390"/>
      <c r="Y161" s="2040"/>
    </row>
    <row r="162" spans="2:25" ht="13.15" customHeight="1">
      <c r="B162" s="3553">
        <v>26</v>
      </c>
      <c r="C162" s="415" t="s">
        <v>1367</v>
      </c>
      <c r="D162" s="3551">
        <v>1.4</v>
      </c>
      <c r="E162" s="377"/>
      <c r="F162" s="390"/>
      <c r="G162" s="390"/>
      <c r="H162" s="390"/>
      <c r="I162" s="390"/>
      <c r="J162" s="390"/>
      <c r="K162" s="390"/>
      <c r="L162" s="377"/>
      <c r="N162" s="377"/>
      <c r="O162" s="390"/>
      <c r="P162" s="3320"/>
      <c r="Q162" s="390" t="s">
        <v>1366</v>
      </c>
      <c r="R162" s="390"/>
      <c r="S162" s="390"/>
      <c r="T162" s="390"/>
      <c r="U162" s="390"/>
      <c r="V162" s="390"/>
      <c r="W162" s="390"/>
    </row>
    <row r="163" spans="2:25" ht="13.15" customHeight="1">
      <c r="B163" s="390"/>
      <c r="C163" s="390"/>
      <c r="D163" s="390"/>
      <c r="F163" s="390"/>
      <c r="G163" s="390"/>
      <c r="H163" s="390"/>
      <c r="I163" s="390"/>
      <c r="J163" s="390"/>
      <c r="K163" s="390"/>
      <c r="N163" s="377"/>
      <c r="O163" s="390"/>
      <c r="P163" s="3320"/>
      <c r="Q163" s="390"/>
      <c r="R163" s="390"/>
      <c r="S163" s="390"/>
      <c r="T163" s="390"/>
      <c r="U163" s="390"/>
      <c r="V163" s="390"/>
      <c r="W163" s="390"/>
    </row>
    <row r="164" spans="2:25" ht="13.15" customHeight="1">
      <c r="O164" s="390"/>
      <c r="P164" s="3320"/>
      <c r="Q164" s="390"/>
      <c r="R164" s="390"/>
      <c r="S164" s="390"/>
      <c r="T164" s="390"/>
      <c r="U164" s="390"/>
      <c r="V164" s="390"/>
      <c r="W164" s="390"/>
    </row>
    <row r="165" spans="2:25" ht="13.9" customHeight="1">
      <c r="I165" s="377"/>
      <c r="J165" s="377"/>
      <c r="K165" s="377"/>
      <c r="L165" s="377"/>
      <c r="M165" s="377"/>
      <c r="N165" s="377"/>
      <c r="O165" s="390"/>
      <c r="P165" s="3320"/>
      <c r="Q165" s="390"/>
      <c r="R165" s="390"/>
      <c r="S165" s="390"/>
      <c r="T165" s="390"/>
      <c r="U165" s="390"/>
      <c r="V165" s="390"/>
      <c r="W165" s="390"/>
    </row>
    <row r="166" spans="2:25" ht="16.5" customHeight="1">
      <c r="I166" s="377"/>
      <c r="J166" s="377"/>
      <c r="K166" s="377"/>
      <c r="L166" s="377"/>
      <c r="M166" s="377"/>
      <c r="N166" s="377"/>
      <c r="O166" s="390"/>
      <c r="P166" s="3320"/>
      <c r="Q166" s="390"/>
      <c r="R166" s="390"/>
      <c r="S166" s="390"/>
      <c r="T166" s="390"/>
      <c r="U166" s="390"/>
      <c r="V166" s="390"/>
      <c r="W166" s="390"/>
    </row>
    <row r="167" spans="2:25" ht="16.5" customHeight="1">
      <c r="I167" s="377"/>
      <c r="J167" s="377"/>
      <c r="K167" s="377"/>
      <c r="L167" s="377"/>
      <c r="M167" s="377"/>
      <c r="N167" s="377"/>
      <c r="O167" s="390"/>
      <c r="P167" s="3320"/>
      <c r="Q167" s="390"/>
      <c r="R167" s="390"/>
      <c r="S167" s="390"/>
      <c r="T167" s="390"/>
      <c r="U167" s="390"/>
      <c r="V167" s="390"/>
      <c r="W167" s="390"/>
    </row>
    <row r="168" spans="2:25" ht="16.5" customHeight="1">
      <c r="B168" s="377"/>
      <c r="C168" s="377"/>
      <c r="D168" s="377"/>
      <c r="E168" s="377"/>
      <c r="F168" s="377"/>
      <c r="G168" s="377"/>
      <c r="H168" s="377"/>
      <c r="I168" s="377"/>
      <c r="J168" s="377"/>
      <c r="K168" s="377"/>
      <c r="L168" s="377"/>
      <c r="M168" s="377"/>
      <c r="N168" s="377"/>
      <c r="O168" s="390"/>
      <c r="P168" s="3320"/>
      <c r="Q168" s="390"/>
      <c r="R168" s="390"/>
      <c r="S168" s="390"/>
      <c r="T168" s="390"/>
      <c r="U168" s="390"/>
      <c r="V168" s="390"/>
      <c r="W168" s="390"/>
    </row>
    <row r="169" spans="2:25" ht="16.5" customHeight="1">
      <c r="B169" s="377"/>
      <c r="C169" s="377"/>
      <c r="D169" s="377"/>
      <c r="E169" s="377"/>
      <c r="F169" s="377"/>
      <c r="G169" s="377"/>
      <c r="H169" s="377"/>
      <c r="I169" s="377"/>
      <c r="J169" s="377"/>
      <c r="K169" s="377"/>
      <c r="L169" s="377"/>
      <c r="M169" s="377"/>
      <c r="N169" s="377"/>
      <c r="O169" s="390"/>
      <c r="P169" s="3320"/>
      <c r="Q169" s="390"/>
      <c r="R169" s="390"/>
      <c r="S169" s="390"/>
      <c r="T169" s="390"/>
      <c r="U169" s="390"/>
      <c r="V169" s="390"/>
      <c r="W169" s="390"/>
    </row>
    <row r="170" spans="2:25" ht="16.5" customHeight="1">
      <c r="B170" s="377"/>
      <c r="C170" s="377"/>
      <c r="D170" s="377"/>
      <c r="E170" s="377"/>
      <c r="F170" s="377"/>
      <c r="G170" s="377"/>
      <c r="H170" s="377"/>
      <c r="I170" s="377"/>
      <c r="J170" s="377"/>
      <c r="K170" s="377"/>
      <c r="L170" s="377"/>
      <c r="M170" s="377"/>
      <c r="N170" s="377"/>
      <c r="O170" s="390"/>
      <c r="P170" s="3320"/>
      <c r="Q170" s="390"/>
      <c r="R170" s="390"/>
      <c r="S170" s="390"/>
      <c r="T170" s="390"/>
      <c r="U170" s="390"/>
      <c r="V170" s="390"/>
      <c r="W170" s="390"/>
    </row>
    <row r="171" spans="2:25" ht="16.5" customHeight="1">
      <c r="B171" s="377"/>
      <c r="C171" s="377"/>
      <c r="D171" s="377"/>
      <c r="E171" s="377"/>
      <c r="F171" s="377"/>
      <c r="G171" s="377"/>
      <c r="H171" s="377"/>
      <c r="I171" s="377"/>
      <c r="J171" s="377"/>
      <c r="K171" s="377"/>
      <c r="L171" s="377"/>
      <c r="M171" s="377"/>
      <c r="N171" s="377"/>
      <c r="O171" s="390"/>
      <c r="P171" s="3320"/>
      <c r="Q171" s="390"/>
      <c r="R171" s="390"/>
      <c r="S171" s="390"/>
      <c r="T171" s="390"/>
      <c r="U171" s="390"/>
      <c r="V171" s="390"/>
      <c r="W171" s="390"/>
    </row>
    <row r="172" spans="2:25" ht="16.5" customHeight="1">
      <c r="B172" s="377"/>
      <c r="C172" s="377"/>
      <c r="D172" s="377"/>
      <c r="E172" s="377"/>
      <c r="F172" s="377"/>
      <c r="G172" s="377"/>
      <c r="H172" s="377"/>
      <c r="I172" s="377"/>
      <c r="J172" s="377"/>
      <c r="K172" s="377"/>
      <c r="L172" s="377"/>
      <c r="M172" s="377"/>
      <c r="N172" s="377"/>
      <c r="O172" s="390"/>
      <c r="P172" s="3320"/>
      <c r="Q172" s="390"/>
      <c r="R172" s="390"/>
      <c r="S172" s="390"/>
      <c r="T172" s="390"/>
      <c r="U172" s="390"/>
      <c r="V172" s="390"/>
      <c r="W172" s="390"/>
    </row>
    <row r="173" spans="2:25" ht="16.5" customHeight="1">
      <c r="B173" s="377"/>
      <c r="C173" s="377"/>
      <c r="D173" s="377"/>
      <c r="E173" s="377"/>
      <c r="F173" s="377"/>
      <c r="G173" s="377"/>
      <c r="H173" s="377"/>
      <c r="I173" s="377"/>
      <c r="J173" s="377"/>
      <c r="K173" s="377"/>
      <c r="L173" s="377"/>
      <c r="M173" s="377"/>
      <c r="N173" s="377"/>
      <c r="O173" s="390"/>
      <c r="P173" s="3320"/>
      <c r="Q173" s="390"/>
      <c r="R173" s="390"/>
      <c r="S173" s="390"/>
      <c r="T173" s="390"/>
      <c r="U173" s="390"/>
      <c r="V173" s="390"/>
      <c r="W173" s="390"/>
    </row>
    <row r="174" spans="2:25" ht="16.5" customHeight="1">
      <c r="B174" s="377"/>
      <c r="C174" s="377"/>
      <c r="D174" s="377"/>
      <c r="E174" s="377"/>
      <c r="F174" s="377"/>
      <c r="G174" s="377"/>
      <c r="H174" s="377"/>
      <c r="I174" s="377"/>
      <c r="J174" s="377"/>
      <c r="K174" s="377"/>
      <c r="L174" s="377"/>
      <c r="M174" s="377"/>
      <c r="N174" s="377"/>
      <c r="O174" s="377"/>
      <c r="P174" s="377"/>
    </row>
    <row r="175" spans="2:25" ht="16.5" customHeight="1">
      <c r="B175" s="377"/>
      <c r="C175" s="377"/>
      <c r="D175" s="377"/>
      <c r="E175" s="377"/>
      <c r="F175" s="377"/>
      <c r="G175" s="377"/>
      <c r="H175" s="377"/>
      <c r="I175" s="377"/>
      <c r="J175" s="377"/>
      <c r="K175" s="377"/>
      <c r="L175" s="377"/>
      <c r="M175" s="377"/>
      <c r="N175" s="377"/>
      <c r="O175" s="377"/>
      <c r="P175" s="377"/>
    </row>
    <row r="176" spans="2:25" ht="16.5" customHeight="1">
      <c r="B176" s="377"/>
      <c r="C176" s="377"/>
      <c r="D176" s="377"/>
      <c r="E176" s="377"/>
      <c r="F176" s="377"/>
      <c r="G176" s="377"/>
      <c r="H176" s="377"/>
      <c r="I176" s="377"/>
      <c r="J176" s="377"/>
      <c r="K176" s="377"/>
      <c r="L176" s="377"/>
      <c r="M176" s="377"/>
      <c r="N176" s="377"/>
      <c r="O176" s="377"/>
      <c r="P176" s="377"/>
    </row>
    <row r="177" spans="1:16" ht="16.5" customHeight="1">
      <c r="B177" s="377"/>
      <c r="C177" s="377"/>
      <c r="D177" s="377"/>
      <c r="E177" s="377"/>
      <c r="F177" s="377"/>
      <c r="G177" s="377"/>
      <c r="H177" s="377"/>
      <c r="I177" s="377"/>
      <c r="J177" s="377"/>
      <c r="K177" s="377"/>
      <c r="L177" s="377"/>
      <c r="M177" s="377"/>
      <c r="N177" s="377"/>
      <c r="O177" s="377"/>
      <c r="P177" s="377"/>
    </row>
    <row r="178" spans="1:16" ht="16.5" customHeight="1">
      <c r="B178" s="377"/>
      <c r="C178" s="377"/>
      <c r="D178" s="377"/>
      <c r="E178" s="377"/>
      <c r="F178" s="377"/>
      <c r="G178" s="377"/>
      <c r="H178" s="377"/>
      <c r="I178" s="377"/>
      <c r="J178" s="377"/>
      <c r="K178" s="377"/>
      <c r="L178" s="377"/>
      <c r="M178" s="377"/>
      <c r="N178" s="377"/>
      <c r="O178" s="377"/>
      <c r="P178" s="377"/>
    </row>
    <row r="179" spans="1:16" ht="16.5" customHeight="1">
      <c r="A179" s="390"/>
      <c r="B179" s="377"/>
      <c r="C179" s="377"/>
      <c r="D179" s="377"/>
      <c r="E179" s="377"/>
      <c r="F179" s="377"/>
      <c r="G179" s="377"/>
      <c r="H179" s="377"/>
      <c r="I179" s="377"/>
      <c r="J179" s="377"/>
      <c r="K179" s="377"/>
      <c r="L179" s="377"/>
      <c r="M179" s="377"/>
      <c r="N179" s="377"/>
      <c r="O179" s="377"/>
      <c r="P179" s="377"/>
    </row>
    <row r="180" spans="1:16" ht="16.5" customHeight="1">
      <c r="A180" s="390"/>
      <c r="B180" s="377"/>
      <c r="C180" s="377"/>
      <c r="D180" s="377"/>
      <c r="E180" s="377"/>
      <c r="F180" s="377"/>
      <c r="G180" s="377"/>
      <c r="H180" s="377"/>
      <c r="I180" s="377"/>
      <c r="J180" s="377"/>
      <c r="K180" s="377"/>
      <c r="L180" s="377"/>
      <c r="M180" s="377"/>
      <c r="N180" s="377"/>
      <c r="O180" s="377"/>
      <c r="P180" s="377"/>
    </row>
    <row r="181" spans="1:16" ht="16.5" customHeight="1">
      <c r="A181" s="390"/>
      <c r="B181" s="377"/>
      <c r="C181" s="377"/>
      <c r="D181" s="377"/>
      <c r="E181" s="377"/>
      <c r="F181" s="377"/>
      <c r="G181" s="377"/>
      <c r="H181" s="377"/>
      <c r="I181" s="377"/>
      <c r="J181" s="377"/>
      <c r="K181" s="377"/>
      <c r="L181" s="377"/>
      <c r="M181" s="377"/>
      <c r="N181" s="377"/>
      <c r="O181" s="377"/>
      <c r="P181" s="377"/>
    </row>
    <row r="182" spans="1:16" ht="16.5" customHeight="1">
      <c r="A182" s="390"/>
      <c r="B182" s="390"/>
      <c r="C182" s="390"/>
      <c r="D182" s="390"/>
      <c r="E182" s="390"/>
      <c r="F182" s="390"/>
      <c r="G182" s="390"/>
      <c r="H182" s="390"/>
      <c r="I182" s="377"/>
      <c r="J182" s="377"/>
      <c r="K182" s="377"/>
      <c r="L182" s="377"/>
      <c r="M182" s="377"/>
      <c r="N182" s="377"/>
      <c r="O182" s="2040"/>
      <c r="P182" s="2040"/>
    </row>
    <row r="183" spans="1:16" ht="16.5" customHeight="1">
      <c r="A183" s="390"/>
      <c r="B183" s="390"/>
      <c r="C183" s="390"/>
      <c r="D183" s="390"/>
      <c r="E183" s="390"/>
      <c r="F183" s="390"/>
      <c r="G183" s="390"/>
      <c r="H183" s="390"/>
      <c r="I183" s="377"/>
      <c r="J183" s="377"/>
      <c r="K183" s="377"/>
      <c r="L183" s="377"/>
      <c r="M183" s="377"/>
      <c r="N183" s="377"/>
      <c r="O183" s="2040"/>
      <c r="P183" s="2040"/>
    </row>
    <row r="184" spans="1:16" ht="16.5" customHeight="1">
      <c r="A184" s="390"/>
      <c r="B184" s="390"/>
      <c r="C184" s="390"/>
      <c r="D184" s="390"/>
      <c r="E184" s="390"/>
      <c r="F184" s="390"/>
      <c r="G184" s="390"/>
      <c r="H184" s="390"/>
      <c r="I184" s="377"/>
      <c r="J184" s="377"/>
      <c r="K184" s="377"/>
      <c r="L184" s="377"/>
      <c r="M184" s="377"/>
      <c r="N184" s="377"/>
      <c r="O184" s="2040"/>
      <c r="P184" s="2040"/>
    </row>
    <row r="185" spans="1:16" ht="16.5" customHeight="1">
      <c r="A185" s="390"/>
      <c r="B185" s="390"/>
      <c r="C185" s="390"/>
      <c r="D185" s="390"/>
      <c r="E185" s="390"/>
      <c r="F185" s="390"/>
      <c r="G185" s="390"/>
      <c r="H185" s="390"/>
      <c r="I185" s="377"/>
      <c r="J185" s="377"/>
      <c r="K185" s="377"/>
      <c r="L185" s="377"/>
      <c r="M185" s="377"/>
      <c r="N185" s="377"/>
      <c r="O185" s="2040"/>
      <c r="P185" s="2040"/>
    </row>
    <row r="186" spans="1:16" ht="16.5" customHeight="1">
      <c r="A186" s="390"/>
      <c r="B186" s="390"/>
      <c r="C186" s="390"/>
      <c r="D186" s="390"/>
      <c r="E186" s="390"/>
      <c r="F186" s="390"/>
      <c r="G186" s="390"/>
      <c r="H186" s="390"/>
      <c r="I186" s="377"/>
      <c r="J186" s="377"/>
      <c r="K186" s="377"/>
      <c r="L186" s="377"/>
      <c r="M186" s="377"/>
      <c r="N186" s="377"/>
      <c r="O186" s="2040"/>
      <c r="P186" s="2040"/>
    </row>
    <row r="187" spans="1:16" ht="16.5" customHeight="1">
      <c r="A187" s="390"/>
      <c r="B187" s="390"/>
      <c r="C187" s="390"/>
      <c r="D187" s="390"/>
      <c r="E187" s="390"/>
      <c r="F187" s="390"/>
      <c r="G187" s="390"/>
      <c r="H187" s="390"/>
      <c r="I187" s="377"/>
      <c r="J187" s="377"/>
      <c r="K187" s="377"/>
      <c r="L187" s="377"/>
      <c r="M187" s="377"/>
      <c r="N187" s="377"/>
      <c r="O187" s="2040"/>
      <c r="P187" s="2040"/>
    </row>
    <row r="188" spans="1:16" ht="16.5" customHeight="1">
      <c r="A188" s="390"/>
      <c r="B188" s="390"/>
      <c r="C188" s="390"/>
      <c r="D188" s="390"/>
      <c r="E188" s="390"/>
      <c r="F188" s="390"/>
      <c r="G188" s="377"/>
      <c r="H188" s="377"/>
      <c r="I188" s="377"/>
      <c r="J188" s="377"/>
      <c r="K188" s="377"/>
      <c r="L188" s="377"/>
      <c r="M188" s="377"/>
      <c r="N188" s="377"/>
      <c r="O188" s="2040"/>
      <c r="P188" s="2040"/>
    </row>
    <row r="189" spans="1:16" ht="16.5" customHeight="1">
      <c r="A189" s="390"/>
      <c r="B189" s="390"/>
      <c r="C189" s="390"/>
      <c r="D189" s="390"/>
      <c r="E189" s="390"/>
      <c r="F189" s="390"/>
      <c r="G189" s="377"/>
      <c r="H189" s="377"/>
      <c r="I189" s="377"/>
      <c r="J189" s="377"/>
      <c r="K189" s="377"/>
      <c r="L189" s="377"/>
      <c r="M189" s="377"/>
      <c r="N189" s="377"/>
      <c r="O189" s="2040"/>
      <c r="P189" s="2040"/>
    </row>
    <row r="190" spans="1:16" ht="16.5" customHeight="1">
      <c r="A190" s="390"/>
      <c r="B190" s="390"/>
      <c r="C190" s="390"/>
      <c r="D190" s="390"/>
      <c r="E190" s="390"/>
      <c r="F190" s="390"/>
      <c r="G190" s="377"/>
      <c r="H190" s="377"/>
      <c r="I190" s="377"/>
      <c r="J190" s="377"/>
      <c r="K190" s="377"/>
      <c r="L190" s="377"/>
      <c r="M190" s="377"/>
      <c r="N190" s="377"/>
      <c r="O190" s="2040"/>
      <c r="P190" s="2040"/>
    </row>
    <row r="191" spans="1:16" ht="16.5" customHeight="1">
      <c r="B191" s="377"/>
      <c r="C191" s="377"/>
      <c r="D191" s="377"/>
      <c r="E191" s="377"/>
      <c r="F191" s="377"/>
      <c r="G191" s="377"/>
      <c r="H191" s="377"/>
      <c r="I191" s="377"/>
      <c r="J191" s="377"/>
      <c r="K191" s="377"/>
      <c r="L191" s="377"/>
      <c r="M191" s="377"/>
      <c r="N191" s="377"/>
      <c r="O191" s="2040"/>
      <c r="P191" s="2040"/>
    </row>
    <row r="192" spans="1:16" ht="16.5" customHeight="1">
      <c r="B192" s="377"/>
      <c r="C192" s="377"/>
      <c r="D192" s="377"/>
      <c r="E192" s="377"/>
      <c r="F192" s="377"/>
      <c r="G192" s="377"/>
      <c r="H192" s="377"/>
      <c r="I192" s="377"/>
      <c r="J192" s="377"/>
      <c r="K192" s="377"/>
      <c r="L192" s="377"/>
      <c r="M192" s="377"/>
      <c r="N192" s="377"/>
      <c r="O192" s="2040"/>
      <c r="P192" s="2040"/>
    </row>
    <row r="193" spans="2:14">
      <c r="B193" s="377"/>
      <c r="C193" s="377"/>
      <c r="D193" s="377"/>
      <c r="E193" s="377"/>
      <c r="F193" s="377"/>
      <c r="G193" s="377"/>
      <c r="H193" s="377"/>
      <c r="I193" s="377"/>
      <c r="J193" s="377"/>
      <c r="K193" s="377"/>
      <c r="L193" s="377"/>
      <c r="M193" s="377"/>
      <c r="N193" s="377"/>
    </row>
  </sheetData>
  <sheetProtection selectLockedCells="1"/>
  <mergeCells count="131">
    <mergeCell ref="N21:O21"/>
    <mergeCell ref="H6:O6"/>
    <mergeCell ref="B3:N3"/>
    <mergeCell ref="D7:E7"/>
    <mergeCell ref="F7:G7"/>
    <mergeCell ref="H7:I8"/>
    <mergeCell ref="J7:K7"/>
    <mergeCell ref="D8:E8"/>
    <mergeCell ref="Q24:Q87"/>
    <mergeCell ref="F8:G8"/>
    <mergeCell ref="J8:K8"/>
    <mergeCell ref="D9:E9"/>
    <mergeCell ref="F9:G9"/>
    <mergeCell ref="J9:K9"/>
    <mergeCell ref="L21:M23"/>
    <mergeCell ref="F10:G10"/>
    <mergeCell ref="J10:K10"/>
    <mergeCell ref="D14:E14"/>
    <mergeCell ref="D11:E11"/>
    <mergeCell ref="F11:G11"/>
    <mergeCell ref="E20:K20"/>
    <mergeCell ref="J11:K11"/>
    <mergeCell ref="J12:K12"/>
    <mergeCell ref="D12:E12"/>
    <mergeCell ref="D120:D122"/>
    <mergeCell ref="E120:E122"/>
    <mergeCell ref="F120:F122"/>
    <mergeCell ref="G120:G122"/>
    <mergeCell ref="G21:I21"/>
    <mergeCell ref="D105:D107"/>
    <mergeCell ref="E105:E107"/>
    <mergeCell ref="F105:F107"/>
    <mergeCell ref="G105:G107"/>
    <mergeCell ref="E21:F21"/>
    <mergeCell ref="F13:G13"/>
    <mergeCell ref="F14:G14"/>
    <mergeCell ref="F12:G12"/>
    <mergeCell ref="D13:E13"/>
    <mergeCell ref="F15:G15"/>
    <mergeCell ref="D16:E16"/>
    <mergeCell ref="D15:E15"/>
    <mergeCell ref="F16:G16"/>
    <mergeCell ref="H11:I11"/>
    <mergeCell ref="H12:I12"/>
    <mergeCell ref="H13:I13"/>
    <mergeCell ref="H14:I14"/>
    <mergeCell ref="H15:I15"/>
    <mergeCell ref="H16:I16"/>
    <mergeCell ref="J21:K21"/>
    <mergeCell ref="J22:K22"/>
    <mergeCell ref="J23:K23"/>
    <mergeCell ref="J13:K13"/>
    <mergeCell ref="J14:K14"/>
    <mergeCell ref="J15:K15"/>
    <mergeCell ref="J16:K16"/>
    <mergeCell ref="J24:K24"/>
    <mergeCell ref="J25:K25"/>
    <mergeCell ref="J30:K30"/>
    <mergeCell ref="J31:K31"/>
    <mergeCell ref="J32:K32"/>
    <mergeCell ref="J33:K33"/>
    <mergeCell ref="J34:K34"/>
    <mergeCell ref="J26:K26"/>
    <mergeCell ref="J27:K27"/>
    <mergeCell ref="J28:K28"/>
    <mergeCell ref="J29:K29"/>
    <mergeCell ref="J41:K41"/>
    <mergeCell ref="J42:K42"/>
    <mergeCell ref="J44:K44"/>
    <mergeCell ref="J45:K45"/>
    <mergeCell ref="J46:K46"/>
    <mergeCell ref="J35:K35"/>
    <mergeCell ref="J37:K37"/>
    <mergeCell ref="J38:K38"/>
    <mergeCell ref="J39:K39"/>
    <mergeCell ref="J40:K40"/>
    <mergeCell ref="J36:K36"/>
    <mergeCell ref="J43:K43"/>
    <mergeCell ref="J53:K53"/>
    <mergeCell ref="J54:K54"/>
    <mergeCell ref="J55:K55"/>
    <mergeCell ref="J56:K56"/>
    <mergeCell ref="J57:K57"/>
    <mergeCell ref="J47:K47"/>
    <mergeCell ref="J48:K48"/>
    <mergeCell ref="J49:K49"/>
    <mergeCell ref="J51:K51"/>
    <mergeCell ref="J52:K52"/>
    <mergeCell ref="J50:K50"/>
    <mergeCell ref="J63:K63"/>
    <mergeCell ref="J65:K65"/>
    <mergeCell ref="J66:K66"/>
    <mergeCell ref="J67:K67"/>
    <mergeCell ref="J68:K68"/>
    <mergeCell ref="J58:K58"/>
    <mergeCell ref="J59:K59"/>
    <mergeCell ref="J60:K60"/>
    <mergeCell ref="J61:K61"/>
    <mergeCell ref="J62:K62"/>
    <mergeCell ref="J64:K64"/>
    <mergeCell ref="J74:K74"/>
    <mergeCell ref="J75:K75"/>
    <mergeCell ref="J76:K76"/>
    <mergeCell ref="J77:K77"/>
    <mergeCell ref="J78:K78"/>
    <mergeCell ref="J69:K69"/>
    <mergeCell ref="J70:K70"/>
    <mergeCell ref="J71:K71"/>
    <mergeCell ref="J72:K72"/>
    <mergeCell ref="J73:K73"/>
    <mergeCell ref="J84:K84"/>
    <mergeCell ref="J85:K85"/>
    <mergeCell ref="J86:K86"/>
    <mergeCell ref="J87:K87"/>
    <mergeCell ref="J88:K88"/>
    <mergeCell ref="J79:K79"/>
    <mergeCell ref="J80:K80"/>
    <mergeCell ref="J81:K81"/>
    <mergeCell ref="J82:K82"/>
    <mergeCell ref="J83:K83"/>
    <mergeCell ref="J99:K99"/>
    <mergeCell ref="J94:K94"/>
    <mergeCell ref="J95:K95"/>
    <mergeCell ref="J96:K96"/>
    <mergeCell ref="J97:K97"/>
    <mergeCell ref="J98:K98"/>
    <mergeCell ref="J89:K89"/>
    <mergeCell ref="J90:K90"/>
    <mergeCell ref="J91:K91"/>
    <mergeCell ref="J92:K92"/>
    <mergeCell ref="J93:K93"/>
  </mergeCells>
  <printOptions horizontalCentered="1"/>
  <pageMargins left="0.59055118110236227" right="0.59055118110236227" top="0.61" bottom="0.56000000000000005" header="0.27" footer="0.39370078740157483"/>
  <pageSetup paperSize="8" scale="57" firstPageNumber="8" orientation="portrait" useFirstPageNumber="1" r:id="rId1"/>
  <headerFooter alignWithMargins="0">
    <oddFooter xml:space="preserve">&amp;L&amp;11LEL Schwäbisch Gmünd&amp;R&amp;11&amp;F </oddFooter>
  </headerFooter>
  <rowBreaks count="1" manualBreakCount="1">
    <brk id="103" max="16383" man="1"/>
  </rowBreaks>
  <colBreaks count="2" manualBreakCount="2">
    <brk id="14" max="84" man="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B1:T303"/>
  <sheetViews>
    <sheetView showZeros="0" workbookViewId="0"/>
  </sheetViews>
  <sheetFormatPr baseColWidth="10" defaultColWidth="10.5" defaultRowHeight="12.75"/>
  <cols>
    <col min="1" max="1" width="0.875" style="31" customWidth="1"/>
    <col min="2" max="2" width="1.25" style="31" customWidth="1"/>
    <col min="3" max="3" width="4.25" style="31" customWidth="1"/>
    <col min="4" max="4" width="9.625" style="31" customWidth="1"/>
    <col min="5" max="5" width="4.25" style="31" customWidth="1"/>
    <col min="6" max="6" width="9.125" style="31" customWidth="1"/>
    <col min="7" max="7" width="4.25" style="31" customWidth="1"/>
    <col min="8" max="8" width="8.75" style="31" customWidth="1"/>
    <col min="9" max="9" width="4.25" style="31" customWidth="1"/>
    <col min="10" max="10" width="8.75" style="31" customWidth="1"/>
    <col min="11" max="11" width="4.25" style="31" customWidth="1"/>
    <col min="12" max="12" width="8.75" style="31" customWidth="1"/>
    <col min="13" max="13" width="4.25" style="31" customWidth="1"/>
    <col min="14" max="14" width="8.75" style="32" customWidth="1"/>
    <col min="15" max="15" width="4.25" style="31" customWidth="1"/>
    <col min="16" max="16" width="8.75" style="31" customWidth="1"/>
    <col min="17" max="17" width="10.25" style="31" customWidth="1"/>
    <col min="18" max="19" width="10.5" style="31" customWidth="1"/>
    <col min="20" max="20" width="10.875" style="31" customWidth="1"/>
    <col min="21" max="16384" width="10.5" style="31"/>
  </cols>
  <sheetData>
    <row r="1" spans="2:20" ht="6.6" customHeight="1">
      <c r="Q1" s="32"/>
    </row>
    <row r="2" spans="2:20" ht="26.45" customHeight="1">
      <c r="C2" s="76" t="s">
        <v>167</v>
      </c>
      <c r="D2" s="75"/>
      <c r="E2" s="75"/>
      <c r="F2" s="75"/>
      <c r="G2" s="75"/>
      <c r="H2" s="75"/>
      <c r="I2" s="75"/>
      <c r="J2" s="75"/>
      <c r="K2" s="75"/>
      <c r="L2" s="75"/>
      <c r="M2" s="75"/>
      <c r="N2" s="75"/>
      <c r="O2" s="74"/>
      <c r="P2" s="74"/>
      <c r="Q2" s="74"/>
      <c r="R2" s="74"/>
      <c r="S2" s="73"/>
      <c r="T2" s="72"/>
    </row>
    <row r="3" spans="2:20" ht="15" customHeight="1">
      <c r="B3" s="49"/>
      <c r="C3" s="32"/>
      <c r="D3" s="32"/>
      <c r="E3" s="32"/>
      <c r="F3" s="32"/>
      <c r="G3" s="32"/>
      <c r="H3" s="32"/>
      <c r="I3" s="32"/>
      <c r="J3" s="32"/>
      <c r="K3" s="32"/>
      <c r="L3" s="32"/>
      <c r="M3" s="32"/>
      <c r="O3" s="32"/>
      <c r="P3" s="32"/>
      <c r="Q3" s="32"/>
      <c r="R3" s="32"/>
      <c r="S3" s="32"/>
      <c r="T3" s="46"/>
    </row>
    <row r="4" spans="2:20" ht="146.1" customHeight="1">
      <c r="C4" s="4146" t="s">
        <v>2231</v>
      </c>
      <c r="D4" s="4147"/>
      <c r="E4" s="4147"/>
      <c r="F4" s="4147"/>
      <c r="G4" s="4147"/>
      <c r="H4" s="4147"/>
      <c r="I4" s="4147"/>
      <c r="J4" s="4147"/>
      <c r="K4" s="4147"/>
      <c r="L4" s="4147"/>
      <c r="M4" s="4147"/>
      <c r="N4" s="4147"/>
      <c r="O4" s="4147"/>
      <c r="P4" s="4147"/>
      <c r="Q4" s="32"/>
      <c r="R4" s="32"/>
      <c r="S4" s="32"/>
      <c r="T4" s="46"/>
    </row>
    <row r="5" spans="2:20" ht="15" customHeight="1">
      <c r="C5" s="39"/>
      <c r="D5" s="71"/>
      <c r="E5" s="71"/>
      <c r="F5" s="71"/>
      <c r="G5" s="71"/>
      <c r="H5" s="71"/>
      <c r="I5" s="71"/>
      <c r="J5" s="71"/>
      <c r="K5" s="71"/>
      <c r="L5" s="71"/>
      <c r="M5" s="71"/>
      <c r="N5" s="71"/>
      <c r="O5" s="71"/>
      <c r="P5" s="71"/>
      <c r="Q5" s="32"/>
      <c r="R5" s="32"/>
      <c r="S5" s="32"/>
      <c r="T5" s="46"/>
    </row>
    <row r="6" spans="2:20" s="42" customFormat="1" ht="24" customHeight="1">
      <c r="C6" s="48" t="s">
        <v>166</v>
      </c>
      <c r="D6" s="70"/>
      <c r="E6" s="45"/>
      <c r="F6" s="45"/>
      <c r="G6" s="45"/>
      <c r="H6" s="45"/>
      <c r="I6" s="45"/>
      <c r="J6" s="45"/>
      <c r="K6" s="45"/>
      <c r="L6" s="45"/>
      <c r="M6" s="45"/>
      <c r="N6" s="45"/>
      <c r="O6" s="45"/>
      <c r="P6" s="45"/>
      <c r="Q6" s="45"/>
      <c r="R6" s="45"/>
      <c r="S6" s="44"/>
      <c r="T6" s="43"/>
    </row>
    <row r="7" spans="2:20" s="42" customFormat="1" ht="6.6" customHeight="1">
      <c r="C7" s="45"/>
      <c r="D7" s="45"/>
      <c r="E7" s="45"/>
      <c r="F7" s="45"/>
      <c r="G7" s="45"/>
      <c r="H7" s="45"/>
      <c r="I7" s="45"/>
      <c r="J7" s="45"/>
      <c r="K7" s="45"/>
      <c r="L7" s="45"/>
      <c r="M7" s="45"/>
      <c r="N7" s="45"/>
      <c r="O7" s="45"/>
      <c r="P7" s="45"/>
      <c r="Q7" s="45"/>
      <c r="R7" s="45"/>
      <c r="S7" s="44"/>
      <c r="T7" s="43"/>
    </row>
    <row r="8" spans="2:20" s="42" customFormat="1" ht="15" customHeight="1">
      <c r="C8" s="59" t="s">
        <v>165</v>
      </c>
      <c r="D8" s="51"/>
      <c r="E8" s="51"/>
      <c r="F8" s="51"/>
      <c r="G8" s="51"/>
      <c r="H8" s="51"/>
      <c r="I8" s="51"/>
      <c r="J8" s="51"/>
      <c r="K8" s="51"/>
      <c r="L8" s="51"/>
      <c r="M8" s="51"/>
      <c r="N8" s="51"/>
      <c r="O8" s="51"/>
      <c r="P8" s="51"/>
      <c r="Q8" s="51"/>
      <c r="R8" s="45"/>
      <c r="S8" s="44"/>
      <c r="T8" s="43"/>
    </row>
    <row r="9" spans="2:20" s="42" customFormat="1" ht="15" customHeight="1" thickBot="1">
      <c r="C9" s="51"/>
      <c r="D9" s="51"/>
      <c r="E9" s="51"/>
      <c r="F9" s="51"/>
      <c r="G9" s="51"/>
      <c r="H9" s="51"/>
      <c r="I9" s="51"/>
      <c r="J9" s="51"/>
      <c r="K9" s="51"/>
      <c r="L9" s="51"/>
      <c r="M9" s="51"/>
      <c r="N9" s="51"/>
      <c r="O9" s="51"/>
      <c r="P9" s="51"/>
      <c r="Q9" s="51"/>
      <c r="R9" s="45"/>
      <c r="S9" s="44"/>
      <c r="T9" s="43"/>
    </row>
    <row r="10" spans="2:20" s="42" customFormat="1" ht="15" customHeight="1">
      <c r="C10" s="61"/>
      <c r="D10" s="63" t="s">
        <v>164</v>
      </c>
      <c r="E10" s="60"/>
      <c r="F10" s="63" t="s">
        <v>163</v>
      </c>
      <c r="G10" s="69"/>
      <c r="H10" s="63" t="s">
        <v>162</v>
      </c>
      <c r="I10" s="60"/>
      <c r="J10" s="63" t="s">
        <v>1967</v>
      </c>
      <c r="K10" s="69"/>
      <c r="L10" s="63" t="s">
        <v>161</v>
      </c>
      <c r="M10" s="60"/>
      <c r="N10" s="63" t="s">
        <v>160</v>
      </c>
      <c r="O10" s="60"/>
      <c r="P10" s="63" t="s">
        <v>159</v>
      </c>
      <c r="Q10" s="61"/>
      <c r="R10" s="45"/>
      <c r="S10" s="44"/>
      <c r="T10" s="43"/>
    </row>
    <row r="11" spans="2:20" s="42" customFormat="1" ht="15" customHeight="1">
      <c r="C11" s="61"/>
      <c r="D11" s="3347" t="s">
        <v>1962</v>
      </c>
      <c r="E11" s="60"/>
      <c r="F11" s="3343" t="s">
        <v>158</v>
      </c>
      <c r="G11" s="60"/>
      <c r="H11" s="62" t="s">
        <v>1168</v>
      </c>
      <c r="I11" s="60"/>
      <c r="J11" s="62" t="s">
        <v>153</v>
      </c>
      <c r="K11" s="60"/>
      <c r="L11" s="62" t="s">
        <v>157</v>
      </c>
      <c r="M11" s="60"/>
      <c r="N11" s="62" t="s">
        <v>156</v>
      </c>
      <c r="O11" s="60"/>
      <c r="P11" s="62" t="s">
        <v>155</v>
      </c>
      <c r="Q11" s="61"/>
      <c r="R11" s="45"/>
      <c r="S11" s="44"/>
      <c r="T11" s="43"/>
    </row>
    <row r="12" spans="2:20" s="42" customFormat="1" ht="15" customHeight="1">
      <c r="C12" s="61"/>
      <c r="D12" s="3347" t="s">
        <v>1963</v>
      </c>
      <c r="E12" s="60"/>
      <c r="F12" s="3343" t="s">
        <v>154</v>
      </c>
      <c r="G12" s="60"/>
      <c r="H12" s="3347" t="s">
        <v>1965</v>
      </c>
      <c r="I12" s="60"/>
      <c r="J12" s="62" t="s">
        <v>151</v>
      </c>
      <c r="K12" s="60"/>
      <c r="L12" s="62" t="s">
        <v>152</v>
      </c>
      <c r="M12" s="60"/>
      <c r="N12" s="62" t="s">
        <v>151</v>
      </c>
      <c r="O12" s="60"/>
      <c r="P12" s="3347" t="s">
        <v>1971</v>
      </c>
      <c r="Q12" s="61"/>
      <c r="R12" s="45"/>
      <c r="S12" s="44"/>
      <c r="T12" s="43"/>
    </row>
    <row r="13" spans="2:20" s="65" customFormat="1" ht="15" customHeight="1" thickBot="1">
      <c r="C13" s="61"/>
      <c r="D13" s="56"/>
      <c r="E13" s="60"/>
      <c r="F13" s="3348" t="s">
        <v>1964</v>
      </c>
      <c r="G13" s="60"/>
      <c r="H13" s="3348" t="s">
        <v>1966</v>
      </c>
      <c r="I13" s="60"/>
      <c r="J13" s="3346" t="s">
        <v>1968</v>
      </c>
      <c r="K13" s="60"/>
      <c r="L13" s="3346" t="s">
        <v>1969</v>
      </c>
      <c r="M13" s="60"/>
      <c r="N13" s="3346" t="s">
        <v>1970</v>
      </c>
      <c r="O13" s="60"/>
      <c r="P13" s="3348" t="s">
        <v>1955</v>
      </c>
      <c r="Q13" s="61"/>
      <c r="R13" s="68"/>
      <c r="S13" s="67"/>
      <c r="T13" s="66"/>
    </row>
    <row r="14" spans="2:20" s="42" customFormat="1" ht="15" customHeight="1">
      <c r="C14" s="53"/>
      <c r="D14" s="55"/>
      <c r="E14" s="55"/>
      <c r="F14" s="55"/>
      <c r="G14" s="55"/>
      <c r="H14" s="55"/>
      <c r="I14" s="55"/>
      <c r="J14" s="55"/>
      <c r="K14" s="55"/>
      <c r="L14" s="55"/>
      <c r="M14" s="55"/>
      <c r="N14" s="55"/>
      <c r="O14" s="55"/>
      <c r="P14" s="51"/>
      <c r="Q14" s="51"/>
      <c r="R14" s="45"/>
      <c r="S14" s="44"/>
      <c r="T14" s="43"/>
    </row>
    <row r="15" spans="2:20" s="42" customFormat="1" ht="15" customHeight="1">
      <c r="C15" s="53"/>
      <c r="D15" s="55"/>
      <c r="E15" s="55"/>
      <c r="F15" s="55"/>
      <c r="G15" s="55"/>
      <c r="H15" s="55"/>
      <c r="I15" s="55"/>
      <c r="J15" s="55"/>
      <c r="K15" s="55"/>
      <c r="L15" s="55"/>
      <c r="M15" s="55"/>
      <c r="N15" s="55"/>
      <c r="O15" s="55"/>
      <c r="P15" s="51"/>
      <c r="Q15" s="51"/>
      <c r="R15" s="45"/>
      <c r="S15" s="44"/>
      <c r="T15" s="43"/>
    </row>
    <row r="16" spans="2:20" s="42" customFormat="1" ht="15" customHeight="1">
      <c r="B16" s="64"/>
      <c r="C16" s="59" t="s">
        <v>150</v>
      </c>
      <c r="D16" s="52"/>
      <c r="E16" s="52"/>
      <c r="F16" s="53"/>
      <c r="G16" s="52"/>
      <c r="H16" s="52"/>
      <c r="I16" s="53"/>
      <c r="J16" s="53"/>
      <c r="K16" s="52"/>
      <c r="L16" s="52"/>
      <c r="M16" s="53"/>
      <c r="N16" s="52"/>
      <c r="O16" s="52"/>
      <c r="P16" s="51"/>
      <c r="Q16" s="51"/>
      <c r="R16" s="45"/>
      <c r="S16" s="44"/>
      <c r="T16" s="43"/>
    </row>
    <row r="17" spans="3:20" s="42" customFormat="1" ht="15" customHeight="1" thickBot="1">
      <c r="C17" s="53"/>
      <c r="D17" s="53"/>
      <c r="E17" s="53"/>
      <c r="F17" s="53"/>
      <c r="G17" s="53"/>
      <c r="H17" s="53"/>
      <c r="I17" s="53"/>
      <c r="J17" s="53"/>
      <c r="K17" s="52"/>
      <c r="L17" s="52"/>
      <c r="M17" s="53"/>
      <c r="N17" s="53"/>
      <c r="O17" s="53"/>
      <c r="P17" s="51"/>
      <c r="Q17" s="51"/>
      <c r="R17" s="45"/>
      <c r="S17" s="44"/>
      <c r="T17" s="43"/>
    </row>
    <row r="18" spans="3:20" s="42" customFormat="1" ht="15" customHeight="1">
      <c r="C18" s="53"/>
      <c r="D18" s="58" t="s">
        <v>149</v>
      </c>
      <c r="E18" s="55"/>
      <c r="F18" s="58" t="s">
        <v>148</v>
      </c>
      <c r="G18" s="55"/>
      <c r="H18" s="58" t="s">
        <v>144</v>
      </c>
      <c r="I18" s="55"/>
      <c r="J18" s="3349" t="s">
        <v>1972</v>
      </c>
      <c r="K18" s="55"/>
      <c r="L18" s="58" t="s">
        <v>144</v>
      </c>
      <c r="M18" s="55"/>
      <c r="N18" s="58" t="s">
        <v>147</v>
      </c>
      <c r="O18" s="53"/>
      <c r="P18" s="51"/>
      <c r="Q18" s="51"/>
      <c r="R18" s="45"/>
      <c r="S18" s="44"/>
      <c r="T18" s="43"/>
    </row>
    <row r="19" spans="3:20" s="42" customFormat="1" ht="15" customHeight="1">
      <c r="C19" s="53"/>
      <c r="D19" s="57" t="s">
        <v>146</v>
      </c>
      <c r="E19" s="55"/>
      <c r="F19" s="57" t="s">
        <v>145</v>
      </c>
      <c r="G19" s="55"/>
      <c r="H19" s="57" t="s">
        <v>144</v>
      </c>
      <c r="I19" s="55"/>
      <c r="J19" s="3350" t="s">
        <v>1973</v>
      </c>
      <c r="K19" s="55"/>
      <c r="L19" s="57" t="s">
        <v>144</v>
      </c>
      <c r="M19" s="55"/>
      <c r="N19" s="57"/>
      <c r="O19" s="53"/>
      <c r="P19" s="51"/>
      <c r="Q19" s="51"/>
      <c r="R19" s="45"/>
      <c r="S19" s="44"/>
      <c r="T19" s="43"/>
    </row>
    <row r="20" spans="3:20" s="42" customFormat="1" ht="15" customHeight="1">
      <c r="C20" s="53"/>
      <c r="D20" s="57" t="s">
        <v>143</v>
      </c>
      <c r="E20" s="55"/>
      <c r="F20" s="57"/>
      <c r="G20" s="55"/>
      <c r="H20" s="57"/>
      <c r="I20" s="55"/>
      <c r="J20" s="3350" t="s">
        <v>146</v>
      </c>
      <c r="K20" s="55"/>
      <c r="L20" s="57"/>
      <c r="M20" s="55"/>
      <c r="N20" s="57"/>
      <c r="O20" s="53"/>
      <c r="P20" s="51"/>
      <c r="Q20" s="51"/>
      <c r="R20" s="45"/>
      <c r="S20" s="44"/>
      <c r="T20" s="43"/>
    </row>
    <row r="21" spans="3:20" s="42" customFormat="1" ht="15" customHeight="1" thickBot="1">
      <c r="C21" s="53"/>
      <c r="D21" s="56"/>
      <c r="E21" s="55"/>
      <c r="F21" s="56"/>
      <c r="G21" s="55"/>
      <c r="H21" s="56"/>
      <c r="I21" s="55"/>
      <c r="J21" s="3351" t="s">
        <v>143</v>
      </c>
      <c r="K21" s="55"/>
      <c r="L21" s="56"/>
      <c r="M21" s="55"/>
      <c r="N21" s="56"/>
      <c r="O21" s="53"/>
      <c r="P21" s="51"/>
      <c r="Q21" s="51"/>
      <c r="R21" s="45"/>
      <c r="S21" s="44"/>
      <c r="T21" s="43"/>
    </row>
    <row r="22" spans="3:20" s="42" customFormat="1" ht="15" customHeight="1">
      <c r="C22" s="53"/>
      <c r="D22" s="53"/>
      <c r="E22" s="53"/>
      <c r="F22" s="53"/>
      <c r="G22" s="53"/>
      <c r="H22" s="53"/>
      <c r="I22" s="53"/>
      <c r="J22" s="53"/>
      <c r="K22" s="53"/>
      <c r="L22" s="53"/>
      <c r="M22" s="53"/>
      <c r="N22" s="53"/>
      <c r="O22" s="53"/>
      <c r="P22" s="51"/>
      <c r="Q22" s="51"/>
      <c r="R22" s="45"/>
      <c r="S22" s="44"/>
      <c r="T22" s="43"/>
    </row>
    <row r="23" spans="3:20" s="42" customFormat="1" ht="15" customHeight="1">
      <c r="C23" s="53"/>
      <c r="D23" s="53"/>
      <c r="E23" s="53"/>
      <c r="F23" s="53"/>
      <c r="G23" s="53"/>
      <c r="H23" s="53"/>
      <c r="I23" s="53"/>
      <c r="J23" s="53"/>
      <c r="K23" s="53"/>
      <c r="L23" s="53"/>
      <c r="M23" s="53"/>
      <c r="N23" s="53"/>
      <c r="O23" s="53"/>
      <c r="P23" s="51"/>
      <c r="Q23" s="51"/>
      <c r="R23" s="45"/>
      <c r="S23" s="44"/>
      <c r="T23" s="43"/>
    </row>
    <row r="24" spans="3:20" s="42" customFormat="1" ht="15" customHeight="1">
      <c r="C24" s="59" t="s">
        <v>1975</v>
      </c>
      <c r="D24" s="52"/>
      <c r="E24" s="52"/>
      <c r="F24" s="53"/>
      <c r="G24" s="52"/>
      <c r="H24" s="52"/>
      <c r="I24" s="54"/>
      <c r="J24" s="54"/>
      <c r="K24" s="52"/>
      <c r="L24" s="52"/>
      <c r="M24" s="53"/>
      <c r="N24" s="52"/>
      <c r="O24" s="52"/>
      <c r="P24" s="51"/>
      <c r="Q24" s="51"/>
      <c r="R24" s="45"/>
      <c r="S24" s="44"/>
      <c r="T24" s="43"/>
    </row>
    <row r="25" spans="3:20" s="42" customFormat="1" ht="15" customHeight="1" thickBot="1">
      <c r="C25" s="53"/>
      <c r="D25" s="53"/>
      <c r="E25" s="53"/>
      <c r="F25" s="53"/>
      <c r="G25" s="52"/>
      <c r="H25" s="52"/>
      <c r="I25" s="54"/>
      <c r="J25" s="54"/>
      <c r="K25" s="52"/>
      <c r="L25" s="52"/>
      <c r="M25" s="53"/>
      <c r="N25" s="52"/>
      <c r="O25" s="52"/>
      <c r="P25" s="51"/>
      <c r="Q25" s="51"/>
      <c r="R25" s="45"/>
      <c r="S25" s="44"/>
      <c r="T25" s="43"/>
    </row>
    <row r="26" spans="3:20" s="42" customFormat="1" ht="15" customHeight="1">
      <c r="C26" s="61"/>
      <c r="D26" s="3355" t="s">
        <v>142</v>
      </c>
      <c r="E26" s="60"/>
      <c r="F26" s="3355" t="s">
        <v>141</v>
      </c>
      <c r="G26" s="60"/>
      <c r="H26" s="3352" t="s">
        <v>136</v>
      </c>
      <c r="I26" s="55"/>
      <c r="J26" s="3352" t="s">
        <v>136</v>
      </c>
      <c r="K26" s="52"/>
      <c r="L26" s="52"/>
      <c r="M26" s="53"/>
      <c r="N26" s="52"/>
      <c r="O26" s="52"/>
      <c r="P26" s="51"/>
      <c r="Q26" s="51"/>
      <c r="R26" s="45"/>
      <c r="S26" s="44"/>
      <c r="T26" s="43"/>
    </row>
    <row r="27" spans="3:20" s="42" customFormat="1" ht="15" customHeight="1">
      <c r="C27" s="61"/>
      <c r="D27" s="3343" t="s">
        <v>140</v>
      </c>
      <c r="E27" s="60"/>
      <c r="F27" s="3343" t="s">
        <v>139</v>
      </c>
      <c r="G27" s="60"/>
      <c r="H27" s="3353" t="s">
        <v>135</v>
      </c>
      <c r="I27" s="55"/>
      <c r="J27" s="3353" t="s">
        <v>134</v>
      </c>
      <c r="K27" s="52"/>
      <c r="L27" s="52"/>
      <c r="M27" s="53"/>
      <c r="N27" s="52"/>
      <c r="O27" s="52"/>
      <c r="P27" s="51"/>
      <c r="Q27" s="51"/>
      <c r="R27" s="45"/>
      <c r="S27" s="44"/>
      <c r="T27" s="43"/>
    </row>
    <row r="28" spans="3:20" s="42" customFormat="1" ht="15" customHeight="1">
      <c r="C28" s="61"/>
      <c r="D28" s="3343"/>
      <c r="E28" s="60"/>
      <c r="F28" s="3343" t="s">
        <v>132</v>
      </c>
      <c r="G28" s="60"/>
      <c r="H28" s="3353" t="s">
        <v>133</v>
      </c>
      <c r="I28" s="55"/>
      <c r="J28" s="3353" t="s">
        <v>132</v>
      </c>
      <c r="K28" s="52"/>
      <c r="L28" s="52"/>
      <c r="M28" s="53"/>
      <c r="N28" s="52"/>
      <c r="O28" s="52"/>
      <c r="P28" s="51"/>
      <c r="Q28" s="51"/>
      <c r="R28" s="45"/>
      <c r="S28" s="44"/>
      <c r="T28" s="43"/>
    </row>
    <row r="29" spans="3:20" s="42" customFormat="1" ht="15" customHeight="1">
      <c r="C29" s="61"/>
      <c r="D29" s="3343" t="s">
        <v>138</v>
      </c>
      <c r="E29" s="60"/>
      <c r="F29" s="3345" t="s">
        <v>1974</v>
      </c>
      <c r="G29" s="60"/>
      <c r="H29" s="3353" t="s">
        <v>131</v>
      </c>
      <c r="I29" s="55"/>
      <c r="J29" s="3353" t="s">
        <v>130</v>
      </c>
      <c r="K29" s="52"/>
      <c r="L29" s="52"/>
      <c r="M29" s="53"/>
      <c r="N29" s="52"/>
      <c r="O29" s="52"/>
      <c r="P29" s="51"/>
      <c r="Q29" s="51"/>
      <c r="R29" s="45"/>
      <c r="S29" s="44"/>
      <c r="T29" s="43"/>
    </row>
    <row r="30" spans="3:20" s="42" customFormat="1" ht="15" customHeight="1" thickBot="1">
      <c r="C30" s="61"/>
      <c r="D30" s="3344" t="s">
        <v>137</v>
      </c>
      <c r="E30" s="60"/>
      <c r="F30" s="3344"/>
      <c r="G30" s="60"/>
      <c r="H30" s="3354" t="s">
        <v>129</v>
      </c>
      <c r="I30" s="55"/>
      <c r="J30" s="3354" t="s">
        <v>129</v>
      </c>
      <c r="K30" s="52"/>
      <c r="L30" s="52"/>
      <c r="M30" s="53"/>
      <c r="N30" s="52"/>
      <c r="O30" s="52"/>
      <c r="P30" s="51"/>
      <c r="Q30" s="51"/>
      <c r="R30" s="45"/>
      <c r="S30" s="44"/>
      <c r="T30" s="43"/>
    </row>
    <row r="31" spans="3:20" s="42" customFormat="1" ht="15" customHeight="1">
      <c r="C31" s="53"/>
      <c r="D31" s="55"/>
      <c r="E31" s="55"/>
      <c r="F31" s="55"/>
      <c r="G31" s="55"/>
      <c r="H31" s="55"/>
      <c r="I31" s="54"/>
      <c r="J31" s="54"/>
      <c r="K31" s="52"/>
      <c r="L31" s="52"/>
      <c r="M31" s="53"/>
      <c r="N31" s="52"/>
      <c r="O31" s="52"/>
      <c r="P31" s="51"/>
      <c r="Q31" s="51"/>
      <c r="R31" s="45"/>
      <c r="S31" s="44"/>
      <c r="T31" s="43"/>
    </row>
    <row r="32" spans="3:20" s="42" customFormat="1" ht="15" customHeight="1">
      <c r="C32" s="33"/>
      <c r="D32" s="33"/>
      <c r="E32" s="33"/>
      <c r="F32" s="33"/>
      <c r="G32" s="33"/>
      <c r="H32" s="33"/>
      <c r="I32" s="33"/>
      <c r="J32" s="33"/>
      <c r="K32" s="33"/>
      <c r="L32" s="33"/>
      <c r="M32" s="33"/>
      <c r="N32" s="33"/>
      <c r="O32" s="33"/>
      <c r="P32" s="33"/>
      <c r="Q32" s="45"/>
      <c r="R32" s="45"/>
      <c r="S32" s="44"/>
      <c r="T32" s="43"/>
    </row>
    <row r="33" spans="2:20" s="42" customFormat="1" ht="264" customHeight="1">
      <c r="C33" s="4149" t="s">
        <v>2134</v>
      </c>
      <c r="D33" s="4144"/>
      <c r="E33" s="4144"/>
      <c r="F33" s="4144"/>
      <c r="G33" s="4144"/>
      <c r="H33" s="4144"/>
      <c r="I33" s="4144"/>
      <c r="J33" s="4144"/>
      <c r="K33" s="4144"/>
      <c r="L33" s="4144"/>
      <c r="M33" s="4144"/>
      <c r="N33" s="4144"/>
      <c r="O33" s="4144"/>
      <c r="P33" s="4144"/>
      <c r="Q33" s="45"/>
      <c r="R33" s="45"/>
      <c r="S33" s="44"/>
      <c r="T33" s="43"/>
    </row>
    <row r="34" spans="2:20" s="42" customFormat="1" ht="14.25" customHeight="1">
      <c r="C34" s="50"/>
      <c r="D34" s="50"/>
      <c r="E34" s="50"/>
      <c r="F34" s="50"/>
      <c r="G34" s="50"/>
      <c r="H34" s="50"/>
      <c r="I34" s="50"/>
      <c r="J34" s="50"/>
      <c r="K34" s="50"/>
      <c r="L34" s="50"/>
      <c r="M34" s="50"/>
      <c r="N34" s="50"/>
      <c r="O34" s="50"/>
      <c r="P34" s="50"/>
      <c r="Q34" s="45"/>
      <c r="R34" s="45"/>
      <c r="S34" s="44"/>
      <c r="T34" s="43"/>
    </row>
    <row r="35" spans="2:20" s="42" customFormat="1" ht="69.400000000000006" customHeight="1">
      <c r="C35" s="4149" t="s">
        <v>2135</v>
      </c>
      <c r="D35" s="4144"/>
      <c r="E35" s="4144"/>
      <c r="F35" s="4144"/>
      <c r="G35" s="4144"/>
      <c r="H35" s="4144"/>
      <c r="I35" s="4144"/>
      <c r="J35" s="4144"/>
      <c r="K35" s="4144"/>
      <c r="L35" s="4144"/>
      <c r="M35" s="4144"/>
      <c r="N35" s="4144"/>
      <c r="O35" s="4144"/>
      <c r="P35" s="4144"/>
      <c r="Q35" s="45"/>
      <c r="R35" s="45"/>
      <c r="S35" s="44"/>
      <c r="T35" s="43"/>
    </row>
    <row r="36" spans="2:20" s="42" customFormat="1" ht="14.25" customHeight="1">
      <c r="C36" s="50"/>
      <c r="D36" s="50"/>
      <c r="E36" s="50"/>
      <c r="F36" s="50"/>
      <c r="G36" s="50"/>
      <c r="H36" s="50"/>
      <c r="I36" s="50"/>
      <c r="J36" s="50"/>
      <c r="K36" s="50"/>
      <c r="L36" s="50"/>
      <c r="M36" s="50"/>
      <c r="N36" s="50"/>
      <c r="O36" s="50"/>
      <c r="P36" s="50"/>
      <c r="Q36" s="45"/>
      <c r="R36" s="45"/>
      <c r="S36" s="44"/>
      <c r="T36" s="43"/>
    </row>
    <row r="37" spans="2:20" s="42" customFormat="1" ht="119.65" customHeight="1">
      <c r="C37" s="4144" t="s">
        <v>2136</v>
      </c>
      <c r="D37" s="4144"/>
      <c r="E37" s="4144"/>
      <c r="F37" s="4144"/>
      <c r="G37" s="4144"/>
      <c r="H37" s="4144"/>
      <c r="I37" s="4144"/>
      <c r="J37" s="4144"/>
      <c r="K37" s="4144"/>
      <c r="L37" s="4144"/>
      <c r="M37" s="4144"/>
      <c r="N37" s="4144"/>
      <c r="O37" s="4144"/>
      <c r="P37" s="4144"/>
      <c r="Q37" s="45"/>
      <c r="R37" s="45"/>
      <c r="S37" s="44"/>
      <c r="T37" s="43"/>
    </row>
    <row r="38" spans="2:20" s="42" customFormat="1" ht="14.25" customHeight="1">
      <c r="C38" s="50"/>
      <c r="D38" s="50"/>
      <c r="E38" s="50"/>
      <c r="F38" s="50"/>
      <c r="G38" s="50"/>
      <c r="H38" s="50"/>
      <c r="I38" s="50"/>
      <c r="J38" s="50"/>
      <c r="K38" s="50"/>
      <c r="L38" s="50"/>
      <c r="M38" s="50"/>
      <c r="N38" s="50"/>
      <c r="O38" s="50"/>
      <c r="P38" s="50"/>
      <c r="Q38" s="45"/>
      <c r="R38" s="45"/>
      <c r="S38" s="44"/>
      <c r="T38" s="43"/>
    </row>
    <row r="39" spans="2:20" s="42" customFormat="1" ht="136.9" customHeight="1">
      <c r="C39" s="4149" t="s">
        <v>128</v>
      </c>
      <c r="D39" s="4144"/>
      <c r="E39" s="4144"/>
      <c r="F39" s="4144"/>
      <c r="G39" s="4144"/>
      <c r="H39" s="4144"/>
      <c r="I39" s="4144"/>
      <c r="J39" s="4144"/>
      <c r="K39" s="4144"/>
      <c r="L39" s="4144"/>
      <c r="M39" s="4144"/>
      <c r="N39" s="4144"/>
      <c r="O39" s="4144"/>
      <c r="P39" s="4144"/>
      <c r="Q39" s="45"/>
      <c r="R39" s="45"/>
      <c r="S39" s="44"/>
      <c r="T39" s="43"/>
    </row>
    <row r="40" spans="2:20" s="42" customFormat="1" ht="14.25" customHeight="1">
      <c r="C40" s="50"/>
      <c r="D40" s="50"/>
      <c r="E40" s="50"/>
      <c r="F40" s="50"/>
      <c r="G40" s="50"/>
      <c r="H40" s="50"/>
      <c r="I40" s="50"/>
      <c r="J40" s="50"/>
      <c r="K40" s="50"/>
      <c r="L40" s="50"/>
      <c r="M40" s="50"/>
      <c r="N40" s="50"/>
      <c r="O40" s="50"/>
      <c r="P40" s="50"/>
      <c r="Q40" s="45"/>
      <c r="R40" s="45"/>
      <c r="S40" s="44"/>
      <c r="T40" s="43"/>
    </row>
    <row r="41" spans="2:20" s="42" customFormat="1" ht="40.15" customHeight="1">
      <c r="C41" s="4145" t="s">
        <v>127</v>
      </c>
      <c r="D41" s="4144"/>
      <c r="E41" s="4144"/>
      <c r="F41" s="4144"/>
      <c r="G41" s="4144"/>
      <c r="H41" s="4144"/>
      <c r="I41" s="4144"/>
      <c r="J41" s="4144"/>
      <c r="K41" s="4144"/>
      <c r="L41" s="4144"/>
      <c r="M41" s="4144"/>
      <c r="N41" s="4144"/>
      <c r="O41" s="4144"/>
      <c r="P41" s="4144"/>
      <c r="Q41" s="45"/>
      <c r="R41" s="45"/>
      <c r="S41" s="44"/>
      <c r="T41" s="43"/>
    </row>
    <row r="42" spans="2:20" ht="14.25" customHeight="1">
      <c r="B42" s="49"/>
      <c r="C42" s="48"/>
      <c r="D42" s="47"/>
      <c r="E42" s="47"/>
      <c r="F42" s="47"/>
      <c r="G42" s="47"/>
      <c r="H42" s="47"/>
      <c r="I42" s="47"/>
      <c r="J42" s="47"/>
      <c r="K42" s="47"/>
      <c r="L42" s="47"/>
      <c r="M42" s="47"/>
      <c r="N42" s="47"/>
      <c r="O42" s="32"/>
      <c r="P42" s="32"/>
      <c r="Q42" s="32"/>
      <c r="R42" s="32"/>
      <c r="S42" s="37"/>
      <c r="T42" s="46"/>
    </row>
    <row r="43" spans="2:20" s="42" customFormat="1" ht="86.45" customHeight="1">
      <c r="C43" s="4146" t="s">
        <v>1976</v>
      </c>
      <c r="D43" s="4148"/>
      <c r="E43" s="4148"/>
      <c r="F43" s="4148"/>
      <c r="G43" s="4148"/>
      <c r="H43" s="4148"/>
      <c r="I43" s="4148"/>
      <c r="J43" s="4148"/>
      <c r="K43" s="4148"/>
      <c r="L43" s="4148"/>
      <c r="M43" s="4148"/>
      <c r="N43" s="4148"/>
      <c r="O43" s="4148"/>
      <c r="P43" s="4148"/>
      <c r="Q43" s="45"/>
      <c r="R43" s="45"/>
      <c r="S43" s="44"/>
      <c r="T43" s="43"/>
    </row>
    <row r="44" spans="2:20" s="42" customFormat="1" ht="93.75" customHeight="1">
      <c r="C44" s="4143"/>
      <c r="D44" s="4143"/>
      <c r="E44" s="4143"/>
      <c r="F44" s="4143"/>
      <c r="G44" s="4143"/>
      <c r="H44" s="4143"/>
      <c r="I44" s="4143"/>
      <c r="J44" s="4143"/>
      <c r="K44" s="4143"/>
      <c r="L44" s="4143"/>
      <c r="M44" s="4143"/>
      <c r="N44" s="4143"/>
      <c r="O44" s="4143"/>
      <c r="P44" s="4143"/>
      <c r="Q44" s="45"/>
      <c r="R44" s="45"/>
      <c r="S44" s="44"/>
      <c r="T44" s="43"/>
    </row>
    <row r="45" spans="2:20" s="42" customFormat="1" ht="14.25" customHeight="1">
      <c r="Q45" s="45"/>
      <c r="R45" s="45"/>
      <c r="S45" s="44"/>
      <c r="T45" s="43"/>
    </row>
    <row r="46" spans="2:20" s="35" customFormat="1" ht="146.44999999999999" customHeight="1">
      <c r="C46" s="4148" t="s">
        <v>126</v>
      </c>
      <c r="D46" s="4148"/>
      <c r="E46" s="4148"/>
      <c r="F46" s="4148"/>
      <c r="G46" s="4148"/>
      <c r="H46" s="4148"/>
      <c r="I46" s="4148"/>
      <c r="J46" s="4148"/>
      <c r="K46" s="4148"/>
      <c r="L46" s="4148"/>
      <c r="M46" s="4148"/>
      <c r="N46" s="4148"/>
      <c r="O46" s="4148"/>
      <c r="P46" s="4148"/>
      <c r="Q46" s="38"/>
      <c r="R46" s="38"/>
      <c r="S46" s="39"/>
      <c r="T46" s="36"/>
    </row>
    <row r="47" spans="2:20" s="35" customFormat="1" ht="14.25" customHeight="1">
      <c r="C47" s="41"/>
      <c r="D47" s="41"/>
      <c r="E47" s="41"/>
      <c r="F47" s="41"/>
      <c r="G47" s="41"/>
      <c r="H47" s="41"/>
      <c r="I47" s="41"/>
      <c r="J47" s="41"/>
      <c r="K47" s="41"/>
      <c r="L47" s="41"/>
      <c r="M47" s="41"/>
      <c r="N47" s="41"/>
      <c r="O47" s="41"/>
      <c r="P47" s="41"/>
      <c r="Q47" s="38"/>
      <c r="R47" s="38"/>
      <c r="S47" s="39"/>
      <c r="T47" s="36"/>
    </row>
    <row r="48" spans="2:20" s="35" customFormat="1" ht="153.6" customHeight="1">
      <c r="C48" s="4148" t="s">
        <v>125</v>
      </c>
      <c r="D48" s="4148"/>
      <c r="E48" s="4148"/>
      <c r="F48" s="4148"/>
      <c r="G48" s="4148"/>
      <c r="H48" s="4148"/>
      <c r="I48" s="4148"/>
      <c r="J48" s="4148"/>
      <c r="K48" s="4148"/>
      <c r="L48" s="4148"/>
      <c r="M48" s="4148"/>
      <c r="N48" s="4148"/>
      <c r="O48" s="4148"/>
      <c r="P48" s="4148"/>
      <c r="Q48" s="38"/>
      <c r="R48" s="38"/>
      <c r="S48" s="39"/>
      <c r="T48" s="36"/>
    </row>
    <row r="49" spans="3:20" s="35" customFormat="1" ht="14.25" customHeight="1">
      <c r="C49" s="4148"/>
      <c r="D49" s="4148"/>
      <c r="E49" s="4148"/>
      <c r="F49" s="4148"/>
      <c r="G49" s="4148"/>
      <c r="H49" s="4148"/>
      <c r="I49" s="4148"/>
      <c r="J49" s="4148"/>
      <c r="K49" s="4148"/>
      <c r="L49" s="4148"/>
      <c r="M49" s="4148"/>
      <c r="N49" s="4148"/>
      <c r="O49" s="4148"/>
      <c r="P49" s="4148"/>
      <c r="Q49" s="38"/>
      <c r="R49" s="38"/>
      <c r="S49" s="39"/>
      <c r="T49" s="36"/>
    </row>
    <row r="50" spans="3:20" s="35" customFormat="1" ht="121.7" customHeight="1">
      <c r="C50" s="4148" t="s">
        <v>124</v>
      </c>
      <c r="D50" s="4148"/>
      <c r="E50" s="4148"/>
      <c r="F50" s="4148"/>
      <c r="G50" s="4148"/>
      <c r="H50" s="4148"/>
      <c r="I50" s="4148"/>
      <c r="J50" s="4148"/>
      <c r="K50" s="4148"/>
      <c r="L50" s="4148"/>
      <c r="M50" s="4148"/>
      <c r="N50" s="4148"/>
      <c r="O50" s="4148"/>
      <c r="P50" s="4148"/>
      <c r="Q50" s="38"/>
      <c r="R50" s="38"/>
      <c r="S50" s="39"/>
      <c r="T50" s="36"/>
    </row>
    <row r="51" spans="3:20" s="35" customFormat="1" ht="14.25" customHeight="1">
      <c r="C51" s="40"/>
      <c r="D51" s="40"/>
      <c r="E51" s="40"/>
      <c r="F51" s="40"/>
      <c r="G51" s="40"/>
      <c r="H51" s="40"/>
      <c r="I51" s="40"/>
      <c r="J51" s="40"/>
      <c r="K51" s="40"/>
      <c r="L51" s="40"/>
      <c r="M51" s="40"/>
      <c r="N51" s="40"/>
      <c r="O51" s="40"/>
      <c r="P51" s="40"/>
      <c r="Q51" s="38"/>
      <c r="R51" s="38"/>
      <c r="S51" s="39"/>
      <c r="T51" s="36"/>
    </row>
    <row r="52" spans="3:20" s="35" customFormat="1" ht="168.6" customHeight="1">
      <c r="C52" s="4148" t="s">
        <v>123</v>
      </c>
      <c r="D52" s="4148"/>
      <c r="E52" s="4148"/>
      <c r="F52" s="4148"/>
      <c r="G52" s="4148"/>
      <c r="H52" s="4148"/>
      <c r="I52" s="4148"/>
      <c r="J52" s="4148"/>
      <c r="K52" s="4148"/>
      <c r="L52" s="4148"/>
      <c r="M52" s="4148"/>
      <c r="N52" s="4148"/>
      <c r="O52" s="4148"/>
      <c r="P52" s="4148"/>
      <c r="Q52" s="38"/>
      <c r="R52" s="38"/>
      <c r="S52" s="39"/>
      <c r="T52" s="36"/>
    </row>
    <row r="53" spans="3:20" s="35" customFormat="1" ht="14.25" customHeight="1">
      <c r="C53" s="40"/>
      <c r="D53" s="40"/>
      <c r="E53" s="40"/>
      <c r="F53" s="40"/>
      <c r="G53" s="40"/>
      <c r="H53" s="40"/>
      <c r="I53" s="40"/>
      <c r="J53" s="40"/>
      <c r="K53" s="40"/>
      <c r="L53" s="40"/>
      <c r="M53" s="40"/>
      <c r="N53" s="40"/>
      <c r="O53" s="40"/>
      <c r="P53" s="40"/>
      <c r="Q53" s="38"/>
      <c r="R53" s="38"/>
      <c r="S53" s="39"/>
      <c r="T53" s="36"/>
    </row>
    <row r="54" spans="3:20" s="35" customFormat="1" ht="71.45" customHeight="1">
      <c r="C54" s="4148" t="s">
        <v>122</v>
      </c>
      <c r="D54" s="4148"/>
      <c r="E54" s="4148"/>
      <c r="F54" s="4148"/>
      <c r="G54" s="4148"/>
      <c r="H54" s="4148"/>
      <c r="I54" s="4148"/>
      <c r="J54" s="4148"/>
      <c r="K54" s="4148"/>
      <c r="L54" s="4148"/>
      <c r="M54" s="4148"/>
      <c r="N54" s="4148"/>
      <c r="O54" s="4148"/>
      <c r="P54" s="4148"/>
      <c r="Q54" s="38"/>
      <c r="R54" s="38"/>
      <c r="S54" s="39"/>
      <c r="T54" s="36"/>
    </row>
    <row r="55" spans="3:20" s="35" customFormat="1" ht="14.25" customHeight="1">
      <c r="C55" s="40"/>
      <c r="D55" s="40"/>
      <c r="E55" s="40"/>
      <c r="F55" s="40"/>
      <c r="G55" s="40"/>
      <c r="H55" s="40"/>
      <c r="I55" s="40"/>
      <c r="J55" s="40"/>
      <c r="K55" s="40"/>
      <c r="L55" s="40"/>
      <c r="M55" s="40"/>
      <c r="N55" s="40"/>
      <c r="O55" s="40"/>
      <c r="P55" s="40"/>
      <c r="Q55" s="38"/>
      <c r="R55" s="38"/>
      <c r="S55" s="39"/>
      <c r="T55" s="36"/>
    </row>
    <row r="56" spans="3:20" s="35" customFormat="1" ht="82.15" customHeight="1">
      <c r="C56" s="4148" t="s">
        <v>121</v>
      </c>
      <c r="D56" s="4148"/>
      <c r="E56" s="4148"/>
      <c r="F56" s="4148"/>
      <c r="G56" s="4148"/>
      <c r="H56" s="4148"/>
      <c r="I56" s="4148"/>
      <c r="J56" s="4148"/>
      <c r="K56" s="4148"/>
      <c r="L56" s="4148"/>
      <c r="M56" s="4148"/>
      <c r="N56" s="4148"/>
      <c r="O56" s="4148"/>
      <c r="P56" s="4148"/>
      <c r="Q56" s="38"/>
      <c r="R56" s="38"/>
      <c r="S56" s="37"/>
      <c r="T56" s="36"/>
    </row>
    <row r="57" spans="3:20" s="35" customFormat="1" ht="16.350000000000001" customHeight="1">
      <c r="C57" s="41"/>
      <c r="D57" s="41"/>
      <c r="E57" s="41"/>
      <c r="F57" s="41"/>
      <c r="G57" s="41"/>
      <c r="H57" s="41"/>
      <c r="I57" s="41"/>
      <c r="J57" s="41"/>
      <c r="K57" s="41"/>
      <c r="L57" s="41"/>
      <c r="M57" s="41"/>
      <c r="N57" s="41"/>
      <c r="O57" s="41"/>
      <c r="P57" s="41"/>
      <c r="Q57" s="38"/>
      <c r="R57" s="38"/>
      <c r="S57" s="37"/>
      <c r="T57" s="36"/>
    </row>
    <row r="58" spans="3:20" s="35" customFormat="1" ht="131.85" customHeight="1">
      <c r="C58" s="4148" t="s">
        <v>120</v>
      </c>
      <c r="D58" s="4148"/>
      <c r="E58" s="4148"/>
      <c r="F58" s="4148"/>
      <c r="G58" s="4148"/>
      <c r="H58" s="4148"/>
      <c r="I58" s="4148"/>
      <c r="J58" s="4148"/>
      <c r="K58" s="4148"/>
      <c r="L58" s="4148"/>
      <c r="M58" s="4148"/>
      <c r="N58" s="4148"/>
      <c r="O58" s="4148"/>
      <c r="P58" s="4148"/>
      <c r="Q58" s="38"/>
      <c r="R58" s="38"/>
      <c r="S58" s="37"/>
      <c r="T58" s="36"/>
    </row>
    <row r="59" spans="3:20" s="35" customFormat="1" ht="14.25" customHeight="1">
      <c r="C59" s="40"/>
      <c r="D59" s="40"/>
      <c r="E59" s="40"/>
      <c r="F59" s="40"/>
      <c r="G59" s="40"/>
      <c r="H59" s="40"/>
      <c r="I59" s="40"/>
      <c r="J59" s="40"/>
      <c r="K59" s="40"/>
      <c r="L59" s="40"/>
      <c r="M59" s="40"/>
      <c r="N59" s="40"/>
      <c r="O59" s="40"/>
      <c r="P59" s="40"/>
      <c r="Q59" s="38"/>
      <c r="R59" s="38"/>
      <c r="S59" s="37"/>
      <c r="T59" s="36"/>
    </row>
    <row r="60" spans="3:20" s="35" customFormat="1" ht="92.45" customHeight="1">
      <c r="C60" s="4148" t="s">
        <v>119</v>
      </c>
      <c r="D60" s="4148"/>
      <c r="E60" s="4148"/>
      <c r="F60" s="4148"/>
      <c r="G60" s="4148"/>
      <c r="H60" s="4148"/>
      <c r="I60" s="4148"/>
      <c r="J60" s="4148"/>
      <c r="K60" s="4148"/>
      <c r="L60" s="4148"/>
      <c r="M60" s="4148"/>
      <c r="N60" s="4148"/>
      <c r="O60" s="4148"/>
      <c r="P60" s="4148"/>
      <c r="Q60" s="38"/>
      <c r="R60" s="38"/>
      <c r="S60" s="39"/>
      <c r="T60" s="36"/>
    </row>
    <row r="61" spans="3:20" s="35" customFormat="1" ht="14.25" customHeight="1">
      <c r="C61" s="40"/>
      <c r="D61" s="40"/>
      <c r="E61" s="40"/>
      <c r="F61" s="40"/>
      <c r="G61" s="40"/>
      <c r="H61" s="40"/>
      <c r="I61" s="40"/>
      <c r="J61" s="40"/>
      <c r="K61" s="40"/>
      <c r="L61" s="40"/>
      <c r="M61" s="40"/>
      <c r="N61" s="40"/>
      <c r="O61" s="40"/>
      <c r="P61" s="40"/>
      <c r="Q61" s="38"/>
      <c r="R61" s="38"/>
      <c r="S61" s="39"/>
      <c r="T61" s="36"/>
    </row>
    <row r="62" spans="3:20" s="35" customFormat="1" ht="159.6" customHeight="1">
      <c r="C62" s="4148" t="s">
        <v>118</v>
      </c>
      <c r="D62" s="4148"/>
      <c r="E62" s="4148"/>
      <c r="F62" s="4148"/>
      <c r="G62" s="4148"/>
      <c r="H62" s="4148"/>
      <c r="I62" s="4148"/>
      <c r="J62" s="4148"/>
      <c r="K62" s="4148"/>
      <c r="L62" s="4148"/>
      <c r="M62" s="4148"/>
      <c r="N62" s="4148"/>
      <c r="O62" s="4148"/>
      <c r="P62" s="4148"/>
      <c r="Q62" s="38"/>
      <c r="R62" s="38"/>
      <c r="S62" s="37"/>
      <c r="T62" s="36"/>
    </row>
    <row r="63" spans="3:20" s="35" customFormat="1" ht="15" customHeight="1">
      <c r="C63" s="38"/>
      <c r="D63" s="37"/>
      <c r="E63" s="37"/>
      <c r="F63" s="37"/>
      <c r="G63" s="37"/>
      <c r="H63" s="37"/>
      <c r="I63" s="37"/>
      <c r="J63" s="37"/>
      <c r="K63" s="37"/>
      <c r="L63" s="37"/>
      <c r="M63" s="37"/>
      <c r="N63" s="37"/>
      <c r="O63" s="38"/>
      <c r="P63" s="38"/>
      <c r="Q63" s="38"/>
      <c r="R63" s="38"/>
      <c r="S63" s="37"/>
      <c r="T63" s="36"/>
    </row>
    <row r="64" spans="3:20" s="15" customFormat="1">
      <c r="C64" s="15" t="s">
        <v>117</v>
      </c>
      <c r="H64" s="3191" t="s">
        <v>2137</v>
      </c>
      <c r="J64" s="35"/>
      <c r="K64" s="4141" t="s">
        <v>2232</v>
      </c>
      <c r="L64" s="4142"/>
      <c r="Q64" s="34"/>
    </row>
    <row r="65" spans="17:17" s="15" customFormat="1">
      <c r="Q65" s="34"/>
    </row>
    <row r="66" spans="17:17" s="15" customFormat="1"/>
    <row r="67" spans="17:17" s="15" customFormat="1"/>
    <row r="68" spans="17:17" s="15" customFormat="1"/>
    <row r="69" spans="17:17" s="15" customFormat="1"/>
    <row r="70" spans="17:17" s="15" customFormat="1"/>
    <row r="71" spans="17:17" s="15" customFormat="1"/>
    <row r="72" spans="17:17" s="15" customFormat="1"/>
    <row r="73" spans="17:17" s="15" customFormat="1"/>
    <row r="74" spans="17:17" s="15" customFormat="1"/>
    <row r="75" spans="17:17" s="33" customFormat="1"/>
    <row r="76" spans="17:17" s="33" customFormat="1"/>
    <row r="77" spans="17:17" s="33" customFormat="1"/>
    <row r="78" spans="17:17" s="33" customFormat="1"/>
    <row r="79" spans="17:17" s="33" customFormat="1"/>
    <row r="80" spans="17:17" s="33" customFormat="1"/>
    <row r="81" s="33" customFormat="1"/>
    <row r="82" s="33" customFormat="1"/>
    <row r="83" s="33" customFormat="1"/>
    <row r="84" s="33" customFormat="1"/>
    <row r="85" s="33" customFormat="1"/>
    <row r="86" s="33" customFormat="1"/>
    <row r="87" s="33" customFormat="1"/>
    <row r="88" s="33" customFormat="1"/>
    <row r="89" s="33" customFormat="1"/>
    <row r="90" s="33" customFormat="1"/>
    <row r="91" s="33" customFormat="1"/>
    <row r="92" s="33" customFormat="1"/>
    <row r="93" s="33" customFormat="1"/>
    <row r="94" s="33" customFormat="1"/>
    <row r="95" s="33" customFormat="1"/>
    <row r="96" s="33" customFormat="1"/>
    <row r="97" s="33" customFormat="1"/>
    <row r="98" s="33" customFormat="1"/>
    <row r="99" s="33" customFormat="1"/>
    <row r="100" s="33" customFormat="1"/>
    <row r="101" s="33" customFormat="1"/>
    <row r="102" s="33" customFormat="1"/>
    <row r="103" s="33" customFormat="1"/>
    <row r="104" s="33" customFormat="1"/>
    <row r="105" s="33" customFormat="1"/>
    <row r="106" s="33" customFormat="1"/>
    <row r="107" s="33" customFormat="1"/>
    <row r="108" s="33" customFormat="1"/>
    <row r="109" s="33" customFormat="1"/>
    <row r="110" s="33" customFormat="1"/>
    <row r="111" s="33" customFormat="1"/>
    <row r="112" s="33" customFormat="1"/>
    <row r="113"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5" s="33" customFormat="1"/>
    <row r="136" s="33" customFormat="1"/>
    <row r="137" s="33" customFormat="1"/>
    <row r="138" s="33" customFormat="1"/>
    <row r="139" s="33" customFormat="1"/>
    <row r="140" s="33" customFormat="1"/>
    <row r="141" s="33" customFormat="1"/>
    <row r="142" s="33" customFormat="1"/>
    <row r="143" s="33" customFormat="1"/>
    <row r="144" s="33" customFormat="1"/>
    <row r="145" s="33" customFormat="1"/>
    <row r="146"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1" s="33" customFormat="1"/>
    <row r="162" s="33" customFormat="1"/>
    <row r="163" s="33" customFormat="1"/>
    <row r="164" s="33" customFormat="1"/>
    <row r="165" s="33" customFormat="1"/>
    <row r="166" s="33" customFormat="1"/>
    <row r="167" s="33" customFormat="1"/>
    <row r="168" s="33" customFormat="1"/>
    <row r="169" s="33" customFormat="1"/>
    <row r="170" s="33" customFormat="1"/>
    <row r="171" s="33" customFormat="1"/>
    <row r="172" s="33" customFormat="1"/>
    <row r="173" s="33" customFormat="1"/>
    <row r="174" s="33" customFormat="1"/>
    <row r="175" s="33" customFormat="1"/>
    <row r="176" s="33" customFormat="1"/>
    <row r="177" s="33" customFormat="1"/>
    <row r="178" s="33" customFormat="1"/>
    <row r="179" s="33" customFormat="1"/>
    <row r="180" s="33" customFormat="1"/>
    <row r="181" s="33" customFormat="1"/>
    <row r="182" s="33" customFormat="1"/>
    <row r="183" s="33" customFormat="1"/>
    <row r="184" s="33" customFormat="1"/>
    <row r="185" s="33" customFormat="1"/>
    <row r="186" s="33" customFormat="1"/>
    <row r="187" s="33" customFormat="1"/>
    <row r="188" s="33" customFormat="1"/>
    <row r="189" s="33" customFormat="1"/>
    <row r="190" s="33" customFormat="1"/>
    <row r="191" s="33" customFormat="1"/>
    <row r="192" s="33" customFormat="1"/>
    <row r="193" s="33" customFormat="1"/>
    <row r="194" s="33" customFormat="1"/>
    <row r="195" s="33" customFormat="1"/>
    <row r="196" s="33" customFormat="1"/>
    <row r="197" s="33" customFormat="1"/>
    <row r="198" s="33" customFormat="1"/>
    <row r="199" s="33" customFormat="1"/>
    <row r="200" s="33" customFormat="1"/>
    <row r="201" s="33" customFormat="1"/>
    <row r="202" s="33" customFormat="1"/>
    <row r="203" s="33" customFormat="1"/>
    <row r="204" s="33" customFormat="1"/>
    <row r="205" s="33" customFormat="1"/>
    <row r="206" s="33" customFormat="1"/>
    <row r="207" s="33" customFormat="1"/>
    <row r="208" s="33" customFormat="1"/>
    <row r="209" s="33" customFormat="1"/>
    <row r="210" s="33" customFormat="1"/>
    <row r="211" s="33" customFormat="1"/>
    <row r="212" s="33" customFormat="1"/>
    <row r="213" s="33" customFormat="1"/>
    <row r="214" s="33" customFormat="1"/>
    <row r="215" s="33" customFormat="1"/>
    <row r="216" s="33" customFormat="1"/>
    <row r="217" s="33" customFormat="1"/>
    <row r="218" s="33" customFormat="1"/>
    <row r="219" s="33" customFormat="1"/>
    <row r="220" s="33" customFormat="1"/>
    <row r="221" s="33" customFormat="1"/>
    <row r="222" s="33" customFormat="1"/>
    <row r="223" s="33" customFormat="1"/>
    <row r="224" s="33" customFormat="1"/>
    <row r="225" s="33" customFormat="1"/>
    <row r="226" s="33" customFormat="1"/>
    <row r="227" s="33" customFormat="1"/>
    <row r="228" s="33" customFormat="1"/>
    <row r="229" s="33" customFormat="1"/>
    <row r="230" s="33" customFormat="1"/>
    <row r="231" s="33" customFormat="1"/>
    <row r="232" s="33" customFormat="1"/>
    <row r="233" s="33" customFormat="1"/>
    <row r="234" s="33" customFormat="1"/>
    <row r="235" s="33" customFormat="1"/>
    <row r="236" s="33" customFormat="1"/>
    <row r="237" s="33" customFormat="1"/>
    <row r="238" s="33" customFormat="1"/>
    <row r="239" s="33" customFormat="1"/>
    <row r="240" s="33" customFormat="1"/>
    <row r="241" s="33" customFormat="1"/>
    <row r="242" s="33" customFormat="1"/>
    <row r="243" s="33" customFormat="1"/>
    <row r="244" s="33" customFormat="1"/>
    <row r="245" s="33" customFormat="1"/>
    <row r="246" s="33" customFormat="1"/>
    <row r="247" s="33" customFormat="1"/>
    <row r="248" s="33" customFormat="1"/>
    <row r="249" s="33" customFormat="1"/>
    <row r="250" s="33" customFormat="1"/>
    <row r="251" s="33" customFormat="1"/>
    <row r="252" s="33" customFormat="1"/>
    <row r="253" s="33" customFormat="1"/>
    <row r="254" s="33" customFormat="1"/>
    <row r="255" s="33" customFormat="1"/>
    <row r="256" s="33" customFormat="1"/>
    <row r="257" s="33" customFormat="1"/>
    <row r="258" s="33" customFormat="1"/>
    <row r="259" s="33" customFormat="1"/>
    <row r="260" s="33" customFormat="1"/>
    <row r="261" s="33" customFormat="1"/>
    <row r="262" s="33" customFormat="1"/>
    <row r="263" s="33" customFormat="1"/>
    <row r="264" s="33" customFormat="1"/>
    <row r="265" s="33" customFormat="1"/>
    <row r="266" s="33" customFormat="1"/>
    <row r="267" s="33" customFormat="1"/>
    <row r="268" s="33" customFormat="1"/>
    <row r="269" s="33" customFormat="1"/>
    <row r="270" s="33" customFormat="1"/>
    <row r="271" s="33" customFormat="1"/>
    <row r="272" s="33" customFormat="1"/>
    <row r="273" s="33" customFormat="1"/>
    <row r="274" s="33" customFormat="1"/>
    <row r="275" s="33" customFormat="1"/>
    <row r="276" s="33" customFormat="1"/>
    <row r="277" s="33" customFormat="1"/>
    <row r="278" s="33" customFormat="1"/>
    <row r="279" s="33" customFormat="1"/>
    <row r="280" s="33" customFormat="1"/>
    <row r="281" s="33" customFormat="1"/>
    <row r="282" s="33" customFormat="1"/>
    <row r="283" s="33" customFormat="1"/>
    <row r="284" s="33" customFormat="1"/>
    <row r="285" s="33" customFormat="1"/>
    <row r="286" s="33" customFormat="1"/>
    <row r="287" s="33" customFormat="1"/>
    <row r="288" s="33" customFormat="1"/>
    <row r="289" s="33" customFormat="1"/>
    <row r="290" s="33" customFormat="1"/>
    <row r="291" s="33" customFormat="1"/>
    <row r="292" s="33" customFormat="1"/>
    <row r="293" s="33" customFormat="1"/>
    <row r="294" s="33" customFormat="1"/>
    <row r="295" s="33" customFormat="1"/>
    <row r="296" s="33" customFormat="1"/>
    <row r="297" s="33" customFormat="1"/>
    <row r="298" s="33" customFormat="1"/>
    <row r="299" s="33" customFormat="1"/>
    <row r="300" s="33" customFormat="1"/>
    <row r="301" s="33" customFormat="1"/>
    <row r="302" s="33" customFormat="1"/>
    <row r="303" s="33" customFormat="1"/>
  </sheetData>
  <mergeCells count="19">
    <mergeCell ref="C50:P50"/>
    <mergeCell ref="C35:P35"/>
    <mergeCell ref="C39:P39"/>
    <mergeCell ref="K64:L64"/>
    <mergeCell ref="C44:P44"/>
    <mergeCell ref="C37:P37"/>
    <mergeCell ref="C41:P41"/>
    <mergeCell ref="C4:P4"/>
    <mergeCell ref="C62:P62"/>
    <mergeCell ref="C60:P60"/>
    <mergeCell ref="C43:P43"/>
    <mergeCell ref="C58:P58"/>
    <mergeCell ref="C56:P56"/>
    <mergeCell ref="C33:P33"/>
    <mergeCell ref="C46:P46"/>
    <mergeCell ref="C48:P48"/>
    <mergeCell ref="C49:P49"/>
    <mergeCell ref="C54:P54"/>
    <mergeCell ref="C52:P52"/>
  </mergeCells>
  <printOptions horizontalCentered="1"/>
  <pageMargins left="0.39370078740157483" right="0.39370078740157483" top="0.59055118110236227" bottom="0.59055118110236227" header="0.39370078740157483" footer="0.39370078740157483"/>
  <pageSetup paperSize="9" scale="84" firstPageNumber="2" fitToHeight="0" orientation="portrait" useFirstPageNumber="1" r:id="rId1"/>
  <headerFooter alignWithMargins="0">
    <oddFooter>&amp;L&amp;11LEL Schwäbisch Gmünd&amp;C&amp;11&amp;P&amp;R&amp;11&amp;F</oddFooter>
  </headerFooter>
  <rowBreaks count="3" manualBreakCount="3">
    <brk id="32" min="1" max="16" man="1"/>
    <brk id="46" min="1" max="16" man="1"/>
    <brk id="58" min="1" max="16"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rgb="FF00B0F0"/>
    <pageSetUpPr fitToPage="1"/>
  </sheetPr>
  <dimension ref="A1:AP127"/>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9.25" style="32" customWidth="1"/>
    <col min="15" max="15" width="9.25" style="4031" customWidth="1"/>
    <col min="16" max="16" width="9.25" style="3995" customWidth="1"/>
    <col min="17" max="17" width="8.875" style="32" customWidth="1"/>
    <col min="18" max="18" width="10.5" style="31" customWidth="1"/>
    <col min="19" max="19" width="11.625" style="31" customWidth="1"/>
    <col min="20" max="27" width="11.625" style="31" hidden="1" customWidth="1"/>
    <col min="28" max="28" width="11.625" style="31" customWidth="1"/>
    <col min="29" max="38" width="10.5" style="4047"/>
    <col min="39" max="16384" width="10.5" style="31"/>
  </cols>
  <sheetData>
    <row r="1" spans="1:42" ht="14.25">
      <c r="A1" s="49"/>
      <c r="O1" s="4050"/>
      <c r="P1" s="4050"/>
    </row>
    <row r="2" spans="1:42" ht="21.4" customHeight="1">
      <c r="A2" s="313"/>
      <c r="B2" s="592" t="s">
        <v>567</v>
      </c>
      <c r="C2" s="274"/>
      <c r="D2" s="274"/>
      <c r="E2" s="274"/>
      <c r="F2" s="274"/>
      <c r="G2" s="274"/>
      <c r="H2" s="274"/>
      <c r="I2" s="136"/>
      <c r="J2" s="588"/>
      <c r="K2" s="136"/>
      <c r="L2" s="274"/>
      <c r="M2" s="4065"/>
      <c r="N2" s="4062" t="str">
        <f>'SDK1'!O2</f>
        <v>Marktfrüchte Konventionell</v>
      </c>
      <c r="O2" s="4060"/>
      <c r="P2" s="4050"/>
    </row>
    <row r="3" spans="1:42" ht="21.4" customHeight="1">
      <c r="A3" s="313"/>
      <c r="B3" s="591"/>
      <c r="C3" s="136"/>
      <c r="D3" s="274"/>
      <c r="E3" s="590"/>
      <c r="F3" s="589" t="s">
        <v>566</v>
      </c>
      <c r="G3" s="316"/>
      <c r="H3" s="585"/>
      <c r="I3" s="136"/>
      <c r="J3" s="588"/>
      <c r="K3" s="136"/>
      <c r="L3" s="584"/>
      <c r="M3" s="4066"/>
      <c r="N3" s="4063">
        <f>'SDK1'!O3</f>
        <v>0</v>
      </c>
      <c r="O3" s="4061"/>
      <c r="P3" s="4050"/>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2" ht="12.4" customHeight="1">
      <c r="A4" s="313"/>
      <c r="B4" s="586"/>
      <c r="C4" s="274"/>
      <c r="D4" s="316"/>
      <c r="E4" s="316"/>
      <c r="F4" s="316"/>
      <c r="G4" s="316"/>
      <c r="H4" s="585"/>
      <c r="I4" s="315"/>
      <c r="J4" s="585"/>
      <c r="K4" s="585"/>
      <c r="L4" s="584"/>
      <c r="M4" s="31"/>
      <c r="N4" s="4064"/>
      <c r="O4" s="4050"/>
      <c r="P4" s="4050"/>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row>
    <row r="5" spans="1:42" ht="18" customHeight="1">
      <c r="A5" s="313"/>
      <c r="B5" s="586"/>
      <c r="C5" s="39" t="s">
        <v>565</v>
      </c>
      <c r="D5" s="38"/>
      <c r="E5" s="38"/>
      <c r="F5" s="38"/>
      <c r="G5" s="38"/>
      <c r="H5" s="582" t="s">
        <v>564</v>
      </c>
      <c r="I5" s="3476" t="s">
        <v>563</v>
      </c>
      <c r="J5" s="3403"/>
      <c r="K5" s="581" t="s">
        <v>562</v>
      </c>
      <c r="L5" s="581" t="s">
        <v>561</v>
      </c>
      <c r="M5" s="581" t="s">
        <v>155</v>
      </c>
      <c r="N5" s="4106" t="s">
        <v>560</v>
      </c>
      <c r="O5" s="4050"/>
      <c r="P5" s="4050"/>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row>
    <row r="6" spans="1:42" ht="18" customHeight="1">
      <c r="A6" s="313"/>
      <c r="B6" s="586"/>
      <c r="C6" s="39" t="s">
        <v>559</v>
      </c>
      <c r="D6" s="38"/>
      <c r="E6" s="38"/>
      <c r="F6" s="583">
        <f>'SDK1'!O11</f>
        <v>0</v>
      </c>
      <c r="G6" s="38" t="s">
        <v>113</v>
      </c>
      <c r="H6" s="582" t="s">
        <v>558</v>
      </c>
      <c r="I6" s="581" t="s">
        <v>249</v>
      </c>
      <c r="J6" s="581" t="str">
        <f>IF('SDK1'!O8="mit MwSt.","mit MwSt.","")</f>
        <v/>
      </c>
      <c r="K6" s="581" t="s">
        <v>151</v>
      </c>
      <c r="L6" s="581"/>
      <c r="M6" s="581"/>
      <c r="N6" s="4059"/>
      <c r="O6" s="4050"/>
      <c r="P6" s="4050"/>
      <c r="R6" s="580"/>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row>
    <row r="7" spans="1:42" ht="18.75" thickBot="1">
      <c r="A7" s="313"/>
      <c r="B7" s="3478"/>
      <c r="C7" s="579"/>
      <c r="D7" s="346"/>
      <c r="E7" s="346"/>
      <c r="F7" s="578"/>
      <c r="G7" s="346"/>
      <c r="H7" s="577" t="s">
        <v>557</v>
      </c>
      <c r="I7" s="576" t="s">
        <v>556</v>
      </c>
      <c r="J7" s="576" t="s">
        <v>556</v>
      </c>
      <c r="K7" s="576" t="s">
        <v>113</v>
      </c>
      <c r="L7" s="576" t="s">
        <v>114</v>
      </c>
      <c r="M7" s="575" t="s">
        <v>171</v>
      </c>
      <c r="N7" s="3479" t="s">
        <v>171</v>
      </c>
      <c r="O7" s="4050"/>
      <c r="P7" s="4050"/>
      <c r="R7" s="256"/>
      <c r="S7" s="256"/>
      <c r="T7" s="226" t="s">
        <v>527</v>
      </c>
      <c r="U7" s="256"/>
      <c r="V7" s="256"/>
      <c r="W7" s="256"/>
      <c r="X7" s="256"/>
      <c r="Y7" s="256"/>
      <c r="Z7" s="256"/>
      <c r="AA7" s="256"/>
      <c r="AB7" s="256"/>
      <c r="AC7" s="256"/>
      <c r="AD7" s="256"/>
      <c r="AE7" s="256"/>
      <c r="AF7" s="256"/>
      <c r="AG7" s="256"/>
      <c r="AH7" s="256"/>
      <c r="AI7" s="256"/>
      <c r="AJ7" s="256"/>
      <c r="AK7" s="256"/>
      <c r="AL7" s="256"/>
      <c r="AM7" s="256"/>
      <c r="AN7" s="256"/>
      <c r="AO7" s="256"/>
      <c r="AP7" s="256"/>
    </row>
    <row r="8" spans="1:42" s="251" customFormat="1" ht="18" customHeight="1">
      <c r="A8" s="574"/>
      <c r="B8" s="47"/>
      <c r="C8" s="47" t="s">
        <v>555</v>
      </c>
      <c r="D8" s="47"/>
      <c r="E8" s="47"/>
      <c r="F8" s="47"/>
      <c r="G8" s="573"/>
      <c r="H8" s="572"/>
      <c r="I8" s="544"/>
      <c r="J8" s="544"/>
      <c r="K8" s="544"/>
      <c r="L8" s="544"/>
      <c r="M8" s="254"/>
      <c r="N8" s="3480">
        <f>ROUND(SUM(M11:M18),0)</f>
        <v>209</v>
      </c>
      <c r="O8" s="4107"/>
      <c r="P8" s="4050"/>
      <c r="R8" s="376"/>
      <c r="T8" s="504" t="s">
        <v>2218</v>
      </c>
      <c r="U8" s="571"/>
      <c r="V8" s="571"/>
      <c r="W8" s="571"/>
      <c r="X8" s="571"/>
      <c r="Y8" s="570"/>
    </row>
    <row r="9" spans="1:42" s="231" customFormat="1" ht="18" customHeight="1">
      <c r="B9" s="68"/>
      <c r="C9" s="3319"/>
      <c r="D9" s="3481" t="s">
        <v>535</v>
      </c>
      <c r="E9" s="3481"/>
      <c r="F9" s="3481">
        <f>'SDK1'!O60</f>
        <v>2</v>
      </c>
      <c r="G9" s="3481" t="s">
        <v>113</v>
      </c>
      <c r="H9" s="569"/>
      <c r="I9" s="568"/>
      <c r="J9" s="568"/>
      <c r="K9" s="568"/>
      <c r="L9" s="568"/>
      <c r="M9" s="568"/>
      <c r="N9" s="4105"/>
      <c r="O9" s="4050"/>
      <c r="P9" s="4050"/>
      <c r="Q9" s="45"/>
      <c r="T9" s="567" t="s">
        <v>553</v>
      </c>
      <c r="U9" s="566"/>
      <c r="V9" s="566"/>
      <c r="W9" s="566"/>
      <c r="X9" s="566"/>
      <c r="Y9" s="565"/>
    </row>
    <row r="10" spans="1:42" s="231" customFormat="1" ht="18" customHeight="1" thickBot="1">
      <c r="B10" s="535"/>
      <c r="C10" s="550"/>
      <c r="D10" s="534" t="s">
        <v>534</v>
      </c>
      <c r="E10" s="550"/>
      <c r="F10" s="564">
        <v>0.5</v>
      </c>
      <c r="G10" s="532" t="s">
        <v>113</v>
      </c>
      <c r="H10" s="563"/>
      <c r="I10" s="562"/>
      <c r="J10" s="562"/>
      <c r="K10" s="562"/>
      <c r="L10" s="562"/>
      <c r="M10" s="561"/>
      <c r="N10" s="3482"/>
      <c r="O10" s="3999"/>
      <c r="P10" s="3999"/>
      <c r="Q10" s="45"/>
      <c r="T10" s="560" t="s">
        <v>552</v>
      </c>
      <c r="U10" s="497"/>
      <c r="V10" s="497"/>
      <c r="W10" s="497"/>
      <c r="X10" s="497"/>
      <c r="Y10" s="496"/>
    </row>
    <row r="11" spans="1:42" s="42" customFormat="1" ht="18" customHeight="1">
      <c r="B11" s="45"/>
      <c r="C11" s="526" t="s">
        <v>466</v>
      </c>
      <c r="D11" s="528"/>
      <c r="E11" s="38"/>
      <c r="F11" s="38"/>
      <c r="G11" s="38"/>
      <c r="H11" s="525">
        <v>15</v>
      </c>
      <c r="I11" s="524">
        <v>220000</v>
      </c>
      <c r="J11" s="523">
        <f>I11*((100+$F$6)/100)</f>
        <v>220000</v>
      </c>
      <c r="K11" s="522">
        <f>IF(H11=0,0,100/H11+$F$9/2+F10)</f>
        <v>8.1666666666666679</v>
      </c>
      <c r="L11" s="521">
        <v>150</v>
      </c>
      <c r="M11" s="520">
        <f>IF(L11=0,0,J11*K11/100/L11)</f>
        <v>119.77777777777781</v>
      </c>
      <c r="N11" s="3483"/>
      <c r="O11" s="4000"/>
      <c r="P11" s="4000"/>
      <c r="Q11" s="45"/>
      <c r="R11" s="4050"/>
      <c r="S11" s="4050"/>
      <c r="T11" s="559" t="s">
        <v>2215</v>
      </c>
      <c r="U11" s="559"/>
      <c r="V11" s="559"/>
    </row>
    <row r="12" spans="1:42" s="42" customFormat="1" ht="18" customHeight="1">
      <c r="B12" s="45"/>
      <c r="C12" s="526" t="s">
        <v>550</v>
      </c>
      <c r="D12" s="528"/>
      <c r="E12" s="38"/>
      <c r="F12" s="38"/>
      <c r="G12" s="38"/>
      <c r="H12" s="525">
        <v>14</v>
      </c>
      <c r="I12" s="524">
        <v>84000</v>
      </c>
      <c r="J12" s="523">
        <f t="shared" ref="J12:J18" si="0">I12*((100+$F$6)/100)</f>
        <v>84000</v>
      </c>
      <c r="K12" s="522">
        <f>IF(H12=0,0,100/H12+$F$9/2)</f>
        <v>8.1428571428571423</v>
      </c>
      <c r="L12" s="521">
        <v>150</v>
      </c>
      <c r="M12" s="520">
        <f t="shared" ref="M12:M18" si="1">IF(L12=0,0,J12*K12/100/L12)</f>
        <v>45.6</v>
      </c>
      <c r="N12" s="3483"/>
      <c r="O12" s="4000"/>
      <c r="P12" s="4000"/>
      <c r="Q12" s="45"/>
      <c r="T12" s="486" t="s">
        <v>2216</v>
      </c>
    </row>
    <row r="13" spans="1:42" s="42" customFormat="1" ht="18" customHeight="1">
      <c r="B13" s="45"/>
      <c r="C13" s="4051" t="s">
        <v>548</v>
      </c>
      <c r="D13" s="528"/>
      <c r="E13" s="38"/>
      <c r="F13" s="38"/>
      <c r="G13" s="38"/>
      <c r="H13" s="525">
        <v>12</v>
      </c>
      <c r="I13" s="524">
        <v>36000</v>
      </c>
      <c r="J13" s="523">
        <f t="shared" si="0"/>
        <v>36000</v>
      </c>
      <c r="K13" s="522">
        <f>IF(H13=0,0,100/H13+$F$9/2)</f>
        <v>9.3333333333333339</v>
      </c>
      <c r="L13" s="521">
        <v>150</v>
      </c>
      <c r="M13" s="520">
        <f t="shared" si="1"/>
        <v>22.4</v>
      </c>
      <c r="N13" s="3483"/>
      <c r="O13" s="4000"/>
      <c r="P13" s="4000"/>
      <c r="Q13" s="45"/>
      <c r="T13" s="323" t="s">
        <v>2219</v>
      </c>
    </row>
    <row r="14" spans="1:42" s="42" customFormat="1" ht="18" customHeight="1">
      <c r="B14" s="45"/>
      <c r="C14" s="526" t="s">
        <v>546</v>
      </c>
      <c r="D14" s="528"/>
      <c r="E14" s="38"/>
      <c r="F14" s="38"/>
      <c r="G14" s="38"/>
      <c r="H14" s="525">
        <v>20</v>
      </c>
      <c r="I14" s="524">
        <v>37000</v>
      </c>
      <c r="J14" s="523">
        <f t="shared" si="0"/>
        <v>37000</v>
      </c>
      <c r="K14" s="522">
        <f>IF(H14=0,0,100/H14+$F$9/2)</f>
        <v>6</v>
      </c>
      <c r="L14" s="521">
        <v>150</v>
      </c>
      <c r="M14" s="520">
        <f t="shared" si="1"/>
        <v>14.8</v>
      </c>
      <c r="N14" s="3483"/>
      <c r="O14" s="4000"/>
      <c r="P14" s="4000"/>
      <c r="Q14" s="558"/>
      <c r="T14" s="557" t="s">
        <v>2220</v>
      </c>
    </row>
    <row r="15" spans="1:42" s="42" customFormat="1" ht="18" customHeight="1">
      <c r="B15" s="45"/>
      <c r="C15" s="526" t="s">
        <v>544</v>
      </c>
      <c r="D15" s="528"/>
      <c r="E15" s="38"/>
      <c r="F15" s="38"/>
      <c r="G15" s="38"/>
      <c r="H15" s="525">
        <v>15</v>
      </c>
      <c r="I15" s="524">
        <v>13000</v>
      </c>
      <c r="J15" s="523">
        <f t="shared" si="0"/>
        <v>13000</v>
      </c>
      <c r="K15" s="522">
        <f>IF(H15=0,0,100/H15+$F$9/2)</f>
        <v>7.666666666666667</v>
      </c>
      <c r="L15" s="521">
        <v>150</v>
      </c>
      <c r="M15" s="520">
        <f t="shared" si="1"/>
        <v>6.6444444444444448</v>
      </c>
      <c r="N15" s="3483"/>
      <c r="O15" s="4000"/>
      <c r="P15" s="4000"/>
      <c r="Q15" s="45"/>
      <c r="T15" s="557" t="s">
        <v>2221</v>
      </c>
    </row>
    <row r="16" spans="1:42" s="42" customFormat="1" ht="18" customHeight="1">
      <c r="B16" s="45"/>
      <c r="C16" s="526"/>
      <c r="D16" s="528"/>
      <c r="E16" s="38"/>
      <c r="F16" s="38"/>
      <c r="G16" s="38"/>
      <c r="H16" s="525"/>
      <c r="I16" s="524"/>
      <c r="J16" s="523">
        <f t="shared" si="0"/>
        <v>0</v>
      </c>
      <c r="K16" s="522">
        <f>IF(H16=0,0,100/H16+$F$9/2)</f>
        <v>0</v>
      </c>
      <c r="L16" s="521"/>
      <c r="M16" s="520">
        <f t="shared" si="1"/>
        <v>0</v>
      </c>
      <c r="N16" s="3483"/>
    </row>
    <row r="17" spans="2:14" s="42" customFormat="1" ht="4.5" hidden="1" customHeight="1">
      <c r="B17" s="45"/>
      <c r="C17" s="526"/>
      <c r="D17" s="38"/>
      <c r="E17" s="38"/>
      <c r="F17" s="38"/>
      <c r="G17" s="38"/>
      <c r="H17" s="525"/>
      <c r="I17" s="524"/>
      <c r="J17" s="523">
        <f t="shared" si="0"/>
        <v>0</v>
      </c>
      <c r="K17" s="522">
        <f>IF(H17=0,0,100/H17+$F$9/2+F10)</f>
        <v>0</v>
      </c>
      <c r="L17" s="521"/>
      <c r="M17" s="520">
        <f t="shared" si="1"/>
        <v>0</v>
      </c>
      <c r="N17" s="3483"/>
    </row>
    <row r="18" spans="2:14" s="42" customFormat="1" ht="7.5" hidden="1" customHeight="1">
      <c r="B18" s="279"/>
      <c r="C18" s="519"/>
      <c r="D18" s="346"/>
      <c r="E18" s="346"/>
      <c r="F18" s="346"/>
      <c r="G18" s="346"/>
      <c r="H18" s="518"/>
      <c r="I18" s="517"/>
      <c r="J18" s="516">
        <f t="shared" si="0"/>
        <v>0</v>
      </c>
      <c r="K18" s="515">
        <f>IF(H18=0,0,100/H18+$F$9/2+F10)</f>
        <v>0</v>
      </c>
      <c r="L18" s="514"/>
      <c r="M18" s="513">
        <f t="shared" si="1"/>
        <v>0</v>
      </c>
      <c r="N18" s="3484"/>
    </row>
    <row r="19" spans="2:14" s="42" customFormat="1" ht="18" hidden="1" customHeight="1">
      <c r="B19" s="45"/>
      <c r="C19" s="47" t="s">
        <v>542</v>
      </c>
      <c r="D19" s="47"/>
      <c r="E19" s="47"/>
      <c r="F19" s="47"/>
      <c r="G19" s="47"/>
      <c r="H19" s="544"/>
      <c r="I19" s="145"/>
      <c r="J19" s="544"/>
      <c r="K19" s="544"/>
      <c r="L19" s="544"/>
      <c r="M19" s="543"/>
      <c r="N19" s="3480">
        <f>ROUND(SUM(M22:M25),0)</f>
        <v>588</v>
      </c>
    </row>
    <row r="20" spans="2:14" s="42" customFormat="1" ht="18" hidden="1" customHeight="1">
      <c r="B20" s="45"/>
      <c r="C20" s="3319"/>
      <c r="D20" s="39" t="s">
        <v>535</v>
      </c>
      <c r="E20" s="38"/>
      <c r="F20" s="555">
        <f>'SDK1'!O61</f>
        <v>3</v>
      </c>
      <c r="G20" s="38" t="s">
        <v>113</v>
      </c>
      <c r="H20" s="3429"/>
      <c r="I20" s="553"/>
      <c r="J20" s="552"/>
      <c r="K20" s="492"/>
      <c r="L20" s="492"/>
      <c r="M20" s="492"/>
      <c r="N20" s="3483"/>
    </row>
    <row r="21" spans="2:14" s="42" customFormat="1" ht="18" hidden="1" customHeight="1">
      <c r="B21" s="3485"/>
      <c r="C21" s="550"/>
      <c r="D21" s="534" t="s">
        <v>534</v>
      </c>
      <c r="E21" s="532"/>
      <c r="F21" s="533">
        <v>1</v>
      </c>
      <c r="G21" s="532" t="s">
        <v>113</v>
      </c>
      <c r="H21" s="549"/>
      <c r="I21" s="548"/>
      <c r="J21" s="548"/>
      <c r="K21" s="548"/>
      <c r="L21" s="548"/>
      <c r="M21" s="547"/>
      <c r="N21" s="3483"/>
    </row>
    <row r="22" spans="2:14" s="42" customFormat="1" ht="18" hidden="1" customHeight="1">
      <c r="B22" s="45"/>
      <c r="C22" s="526" t="s">
        <v>533</v>
      </c>
      <c r="D22" s="528"/>
      <c r="E22" s="38"/>
      <c r="F22" s="38"/>
      <c r="G22" s="38"/>
      <c r="H22" s="525">
        <v>30</v>
      </c>
      <c r="I22" s="524">
        <v>57000</v>
      </c>
      <c r="J22" s="523">
        <f>I22*((100+$F$6)/100)</f>
        <v>57000</v>
      </c>
      <c r="K22" s="522">
        <f>IF(H22=0,0,100/H22+$F$20/2+$F$21)</f>
        <v>5.8333333333333339</v>
      </c>
      <c r="L22" s="521">
        <v>150</v>
      </c>
      <c r="M22" s="520">
        <f>IF(L22=0,0,J22*K22/100/L22)</f>
        <v>22.166666666666671</v>
      </c>
      <c r="N22" s="3483"/>
    </row>
    <row r="23" spans="2:14" s="42" customFormat="1" ht="18" hidden="1" customHeight="1">
      <c r="B23" s="45"/>
      <c r="C23" s="526" t="s">
        <v>541</v>
      </c>
      <c r="D23" s="38"/>
      <c r="E23" s="38"/>
      <c r="F23" s="38"/>
      <c r="G23" s="38"/>
      <c r="H23" s="525">
        <v>12</v>
      </c>
      <c r="I23" s="524">
        <v>17300</v>
      </c>
      <c r="J23" s="523">
        <f>I23*((100+$F$6)/100)</f>
        <v>17300</v>
      </c>
      <c r="K23" s="522">
        <f>IF(H23=0,0,100/H23+$F$20/2+$F$21)</f>
        <v>10.833333333333334</v>
      </c>
      <c r="L23" s="521">
        <v>10</v>
      </c>
      <c r="M23" s="520">
        <f>IF(L23=0,0,J23*K23/100/L23)</f>
        <v>187.41666666666669</v>
      </c>
      <c r="N23" s="3483"/>
    </row>
    <row r="24" spans="2:14" s="42" customFormat="1" ht="18" hidden="1" customHeight="1">
      <c r="B24" s="45"/>
      <c r="C24" s="526" t="s">
        <v>540</v>
      </c>
      <c r="D24" s="38"/>
      <c r="E24" s="38"/>
      <c r="F24" s="38"/>
      <c r="G24" s="38"/>
      <c r="H24" s="525">
        <v>20</v>
      </c>
      <c r="I24" s="524">
        <v>75630</v>
      </c>
      <c r="J24" s="523">
        <f>I24*((100+$F$6)/100)</f>
        <v>75630</v>
      </c>
      <c r="K24" s="522">
        <f>IF(H24=0,0,100/H24+$F$20/2+$F$21)</f>
        <v>7.5</v>
      </c>
      <c r="L24" s="521">
        <v>15</v>
      </c>
      <c r="M24" s="520">
        <f>IF(L24=0,0,J24*K24/100/L24)</f>
        <v>378.15</v>
      </c>
      <c r="N24" s="3483"/>
    </row>
    <row r="25" spans="2:14" s="42" customFormat="1" ht="18" hidden="1" customHeight="1">
      <c r="B25" s="279"/>
      <c r="C25" s="519"/>
      <c r="D25" s="346"/>
      <c r="E25" s="346"/>
      <c r="F25" s="346"/>
      <c r="G25" s="346"/>
      <c r="H25" s="518"/>
      <c r="I25" s="517"/>
      <c r="J25" s="516">
        <f>I25*((100+$F$6)/100)</f>
        <v>0</v>
      </c>
      <c r="K25" s="515">
        <f>IF(H25=0,0,100/H25+$F$20/2+$F$21)</f>
        <v>0</v>
      </c>
      <c r="L25" s="514"/>
      <c r="M25" s="513">
        <f>IF(L25=0,0,J25*K25/100/L25)</f>
        <v>0</v>
      </c>
      <c r="N25" s="3484"/>
    </row>
    <row r="26" spans="2:14" s="42" customFormat="1" ht="18" hidden="1" customHeight="1">
      <c r="B26" s="45"/>
      <c r="C26" s="47" t="s">
        <v>539</v>
      </c>
      <c r="D26" s="47"/>
      <c r="E26" s="47"/>
      <c r="F26" s="47"/>
      <c r="G26" s="47"/>
      <c r="H26" s="544"/>
      <c r="I26" s="145"/>
      <c r="J26" s="544"/>
      <c r="K26" s="544"/>
      <c r="L26" s="544"/>
      <c r="M26" s="543"/>
      <c r="N26" s="3480">
        <f>ROUND(SUM(M29:M32),0)</f>
        <v>144</v>
      </c>
    </row>
    <row r="27" spans="2:14" s="42" customFormat="1" ht="18" hidden="1" customHeight="1">
      <c r="B27" s="38"/>
      <c r="C27" s="3319"/>
      <c r="D27" s="39" t="s">
        <v>535</v>
      </c>
      <c r="E27" s="38"/>
      <c r="F27" s="555">
        <f>'SDK1'!O61</f>
        <v>3</v>
      </c>
      <c r="G27" s="38" t="s">
        <v>113</v>
      </c>
      <c r="H27" s="3429"/>
      <c r="I27" s="553"/>
      <c r="J27" s="552"/>
      <c r="K27" s="492"/>
      <c r="L27" s="492"/>
      <c r="M27" s="492"/>
      <c r="N27" s="3483"/>
    </row>
    <row r="28" spans="2:14" s="42" customFormat="1" ht="18" hidden="1" customHeight="1">
      <c r="B28" s="532"/>
      <c r="C28" s="550"/>
      <c r="D28" s="534" t="s">
        <v>534</v>
      </c>
      <c r="E28" s="532"/>
      <c r="F28" s="533">
        <v>1</v>
      </c>
      <c r="G28" s="532" t="s">
        <v>113</v>
      </c>
      <c r="H28" s="549"/>
      <c r="I28" s="548"/>
      <c r="J28" s="548"/>
      <c r="K28" s="548"/>
      <c r="L28" s="548"/>
      <c r="M28" s="547"/>
      <c r="N28" s="3483"/>
    </row>
    <row r="29" spans="2:14" s="42" customFormat="1" ht="18" hidden="1" customHeight="1">
      <c r="B29" s="38"/>
      <c r="C29" s="526" t="s">
        <v>533</v>
      </c>
      <c r="D29" s="528"/>
      <c r="E29" s="38"/>
      <c r="F29" s="38"/>
      <c r="G29" s="38"/>
      <c r="H29" s="525">
        <v>30</v>
      </c>
      <c r="I29" s="524">
        <v>57000</v>
      </c>
      <c r="J29" s="523">
        <f>I29*((100+$F$6)/100)</f>
        <v>57000</v>
      </c>
      <c r="K29" s="522">
        <f>IF(H29=0,0,100/H29+$F$27/2+$F$28)</f>
        <v>5.8333333333333339</v>
      </c>
      <c r="L29" s="521">
        <v>100</v>
      </c>
      <c r="M29" s="520">
        <f>IF(L29=0,0,J29*K29/100/L29)</f>
        <v>33.250000000000007</v>
      </c>
      <c r="N29" s="3483"/>
    </row>
    <row r="30" spans="2:14" s="42" customFormat="1" ht="18" hidden="1" customHeight="1">
      <c r="B30" s="38"/>
      <c r="C30" s="526" t="s">
        <v>538</v>
      </c>
      <c r="D30" s="38"/>
      <c r="E30" s="38"/>
      <c r="F30" s="38"/>
      <c r="G30" s="38"/>
      <c r="H30" s="525">
        <v>30</v>
      </c>
      <c r="I30" s="524">
        <v>9450</v>
      </c>
      <c r="J30" s="523">
        <f>I30*((100+$F$6)/100)</f>
        <v>9450</v>
      </c>
      <c r="K30" s="522">
        <f>IF(H30=0,0,100/H30+$F$27/2+$F$28)</f>
        <v>5.8333333333333339</v>
      </c>
      <c r="L30" s="521">
        <v>5</v>
      </c>
      <c r="M30" s="520">
        <f>IF(L30=0,0,J30*K30/100/L30)</f>
        <v>110.25000000000003</v>
      </c>
      <c r="N30" s="3483"/>
    </row>
    <row r="31" spans="2:14" s="42" customFormat="1" ht="18" hidden="1" customHeight="1">
      <c r="B31" s="38"/>
      <c r="C31" s="526" t="s">
        <v>537</v>
      </c>
      <c r="D31" s="38"/>
      <c r="E31" s="38"/>
      <c r="F31" s="38"/>
      <c r="G31" s="38"/>
      <c r="H31" s="525"/>
      <c r="I31" s="524"/>
      <c r="J31" s="523">
        <f>I31*((100+$F$6)/100)</f>
        <v>0</v>
      </c>
      <c r="K31" s="522">
        <f>IF(H31=0,0,100/H31+$F$27/2+$F$28)</f>
        <v>0</v>
      </c>
      <c r="L31" s="521"/>
      <c r="M31" s="520">
        <f>IF(L31=0,0,J31*K31/100/L31)</f>
        <v>0</v>
      </c>
      <c r="N31" s="3483"/>
    </row>
    <row r="32" spans="2:14" s="42" customFormat="1" ht="18" hidden="1" customHeight="1">
      <c r="B32" s="346"/>
      <c r="C32" s="526"/>
      <c r="D32" s="38"/>
      <c r="E32" s="38"/>
      <c r="F32" s="38"/>
      <c r="G32" s="38"/>
      <c r="H32" s="525"/>
      <c r="I32" s="524"/>
      <c r="J32" s="523">
        <f>I32*((100+$F$6)/100)</f>
        <v>0</v>
      </c>
      <c r="K32" s="522">
        <f>IF(H32=0,0,100/H32+$F$27/2+$F$28)</f>
        <v>0</v>
      </c>
      <c r="L32" s="521"/>
      <c r="M32" s="520">
        <f>IF(L32=0,0,J32*K32/100/L32)</f>
        <v>0</v>
      </c>
      <c r="N32" s="3483"/>
    </row>
    <row r="33" spans="1:24" s="42" customFormat="1" ht="18" customHeight="1">
      <c r="B33" s="45"/>
      <c r="C33" s="3267" t="s">
        <v>536</v>
      </c>
      <c r="D33" s="3267"/>
      <c r="E33" s="3267"/>
      <c r="F33" s="3267"/>
      <c r="G33" s="3267"/>
      <c r="H33" s="545"/>
      <c r="I33" s="3498"/>
      <c r="J33" s="3495"/>
      <c r="K33" s="3495"/>
      <c r="L33" s="3495"/>
      <c r="M33" s="3499"/>
      <c r="N33" s="3497">
        <f>ROUND(SUM(M36:M38),0)</f>
        <v>41</v>
      </c>
      <c r="O33" s="4109"/>
    </row>
    <row r="34" spans="1:24" s="42" customFormat="1" ht="18" customHeight="1">
      <c r="B34" s="45"/>
      <c r="C34" s="68"/>
      <c r="D34" s="542" t="s">
        <v>535</v>
      </c>
      <c r="E34" s="540"/>
      <c r="F34" s="541">
        <f>'SDK1'!O61</f>
        <v>3</v>
      </c>
      <c r="G34" s="540" t="s">
        <v>113</v>
      </c>
      <c r="H34" s="539"/>
      <c r="I34" s="538"/>
      <c r="J34" s="537"/>
      <c r="K34" s="536"/>
      <c r="L34" s="536"/>
      <c r="M34" s="536"/>
      <c r="N34" s="4108"/>
    </row>
    <row r="35" spans="1:24" s="42" customFormat="1" ht="18" customHeight="1">
      <c r="B35" s="3485"/>
      <c r="C35" s="535"/>
      <c r="D35" s="534" t="s">
        <v>534</v>
      </c>
      <c r="E35" s="532"/>
      <c r="F35" s="533">
        <v>1</v>
      </c>
      <c r="G35" s="532" t="s">
        <v>113</v>
      </c>
      <c r="H35" s="531"/>
      <c r="I35" s="530"/>
      <c r="J35" s="530"/>
      <c r="K35" s="530"/>
      <c r="L35" s="530"/>
      <c r="M35" s="529"/>
      <c r="N35" s="3486"/>
      <c r="O35" s="4001"/>
      <c r="P35" s="4001"/>
      <c r="Q35" s="45"/>
    </row>
    <row r="36" spans="1:24" s="42" customFormat="1" ht="18" customHeight="1">
      <c r="B36" s="45"/>
      <c r="C36" s="4104" t="s">
        <v>533</v>
      </c>
      <c r="D36" s="528"/>
      <c r="E36" s="38"/>
      <c r="F36" s="38"/>
      <c r="G36" s="38"/>
      <c r="H36" s="525">
        <v>20</v>
      </c>
      <c r="I36" s="524">
        <v>81000</v>
      </c>
      <c r="J36" s="523">
        <f>I36*((100+$F$6)/100)</f>
        <v>81000</v>
      </c>
      <c r="K36" s="522">
        <f>IF(H36=0,0,100/H36+$F$34/2+$F$35)</f>
        <v>7.5</v>
      </c>
      <c r="L36" s="521">
        <v>150</v>
      </c>
      <c r="M36" s="520">
        <f>IF(L36=0,0,J36*K36/100/L36)</f>
        <v>40.5</v>
      </c>
      <c r="N36" s="3483"/>
      <c r="O36" s="4000"/>
      <c r="P36" s="4000"/>
      <c r="Q36" s="45"/>
      <c r="T36" s="4049" t="s">
        <v>2217</v>
      </c>
    </row>
    <row r="37" spans="1:24" s="42" customFormat="1" ht="18" customHeight="1">
      <c r="B37" s="4093"/>
      <c r="C37" s="4102"/>
      <c r="D37" s="4101"/>
      <c r="E37" s="4094"/>
      <c r="F37" s="38"/>
      <c r="G37" s="4087"/>
      <c r="H37" s="4086"/>
      <c r="I37" s="524"/>
      <c r="J37" s="523">
        <f>I37*((100+$F$6)/100)</f>
        <v>0</v>
      </c>
      <c r="K37" s="522">
        <f>IF(H37=0,0,100/H37+$F$34/2+$F$35)</f>
        <v>0</v>
      </c>
      <c r="L37" s="521"/>
      <c r="M37" s="4071">
        <f>IF(L37=0,0,J37*K37/100/L37)</f>
        <v>0</v>
      </c>
      <c r="N37" s="3483"/>
      <c r="O37" s="4000"/>
      <c r="P37" s="4000"/>
      <c r="Q37" s="45"/>
    </row>
    <row r="38" spans="1:24" s="42" customFormat="1" ht="4.1500000000000004" hidden="1" customHeight="1">
      <c r="B38" s="4095"/>
      <c r="C38" s="519"/>
      <c r="D38" s="346"/>
      <c r="E38" s="4096"/>
      <c r="F38" s="346"/>
      <c r="G38" s="38"/>
      <c r="H38" s="525"/>
      <c r="I38" s="524"/>
      <c r="J38" s="523">
        <f>I38*((100+$F$6)/100)</f>
        <v>0</v>
      </c>
      <c r="K38" s="522">
        <f>IF(H38=0,0,100/H38+$F$34/2+$F$35)</f>
        <v>0</v>
      </c>
      <c r="L38" s="521"/>
      <c r="M38" s="513">
        <f>IF(L38=0,0,J38*K38/100/L38)</f>
        <v>0</v>
      </c>
      <c r="N38" s="4074"/>
      <c r="O38" s="4000"/>
      <c r="P38" s="4000"/>
      <c r="Q38" s="45"/>
    </row>
    <row r="39" spans="1:24" s="42" customFormat="1" ht="13.7" customHeight="1">
      <c r="B39" s="4097"/>
      <c r="C39" s="4103" t="s">
        <v>531</v>
      </c>
      <c r="D39" s="53"/>
      <c r="E39" s="4090"/>
      <c r="F39" s="53"/>
      <c r="G39" s="4089"/>
      <c r="H39" s="4088"/>
      <c r="I39" s="4079"/>
      <c r="J39" s="4081"/>
      <c r="K39" s="4077"/>
      <c r="L39" s="4075"/>
      <c r="M39" s="509"/>
      <c r="N39" s="4072"/>
      <c r="O39" s="3852"/>
      <c r="P39" s="3852"/>
      <c r="Q39" s="45"/>
    </row>
    <row r="40" spans="1:24" s="42" customFormat="1" ht="19.149999999999999" customHeight="1">
      <c r="B40" s="4098"/>
      <c r="C40" s="4099"/>
      <c r="D40" s="4092"/>
      <c r="E40" s="4100"/>
      <c r="F40" s="4089"/>
      <c r="G40" s="4085"/>
      <c r="H40" s="4084"/>
      <c r="I40" s="4083"/>
      <c r="J40" s="4081"/>
      <c r="K40" s="4077"/>
      <c r="L40" s="4075"/>
      <c r="M40" s="4067"/>
      <c r="N40" s="4072"/>
      <c r="O40" s="4068"/>
      <c r="P40" s="4068"/>
      <c r="Q40" s="4068"/>
      <c r="R40" s="4069"/>
    </row>
    <row r="41" spans="1:24" s="42" customFormat="1" ht="19.149999999999999" customHeight="1" thickBot="1">
      <c r="A41" s="4091"/>
      <c r="B41" s="51"/>
      <c r="C41" s="47"/>
      <c r="D41" s="47"/>
      <c r="E41" s="573"/>
      <c r="F41" s="4359" t="s">
        <v>530</v>
      </c>
      <c r="G41" s="4360"/>
      <c r="H41" s="3500" t="s">
        <v>529</v>
      </c>
      <c r="I41" s="4082"/>
      <c r="J41" s="4080"/>
      <c r="K41" s="4078"/>
      <c r="L41" s="4076"/>
      <c r="M41" s="509"/>
      <c r="N41" s="4073"/>
      <c r="O41" s="4058"/>
      <c r="P41" s="509"/>
      <c r="Q41" s="4070" t="s">
        <v>528</v>
      </c>
      <c r="T41" s="226" t="s">
        <v>527</v>
      </c>
    </row>
    <row r="42" spans="1:24" s="42" customFormat="1" ht="15.75">
      <c r="B42" s="45"/>
      <c r="C42" s="3428" t="s">
        <v>1464</v>
      </c>
      <c r="D42" s="38"/>
      <c r="E42" s="38"/>
      <c r="F42" s="4351"/>
      <c r="G42" s="4352"/>
      <c r="H42" s="507" t="s">
        <v>526</v>
      </c>
      <c r="I42" s="506">
        <v>2017</v>
      </c>
      <c r="J42" s="505">
        <f>I42+1</f>
        <v>2018</v>
      </c>
      <c r="K42" s="4002">
        <f>J42+1</f>
        <v>2019</v>
      </c>
      <c r="L42" s="505">
        <f>K42+1</f>
        <v>2020</v>
      </c>
      <c r="M42" s="4002">
        <f>L42+1</f>
        <v>2021</v>
      </c>
      <c r="N42" s="505">
        <f>2022</f>
        <v>2022</v>
      </c>
      <c r="O42" s="4002">
        <v>2023</v>
      </c>
      <c r="P42" s="4002" t="s">
        <v>2138</v>
      </c>
      <c r="Q42" s="3501" t="str">
        <f>'SDK1'!O6</f>
        <v>ᴓ 2023</v>
      </c>
      <c r="R42" s="45"/>
      <c r="T42" s="504" t="s">
        <v>2225</v>
      </c>
      <c r="U42" s="503"/>
      <c r="V42" s="503"/>
      <c r="W42" s="503"/>
      <c r="X42" s="502"/>
    </row>
    <row r="43" spans="1:24" s="42" customFormat="1" ht="16.5" thickBot="1">
      <c r="B43" s="45"/>
      <c r="C43" s="3428" t="s">
        <v>1463</v>
      </c>
      <c r="D43" s="38"/>
      <c r="E43" s="38"/>
      <c r="F43" s="546"/>
      <c r="G43" s="36"/>
      <c r="H43" s="2092" t="s">
        <v>113</v>
      </c>
      <c r="I43" s="3515"/>
      <c r="J43" s="4013"/>
      <c r="K43" s="3516"/>
      <c r="L43" s="4013"/>
      <c r="M43" s="3516"/>
      <c r="N43" s="4013"/>
      <c r="O43" s="3516"/>
      <c r="P43" s="4012"/>
      <c r="Q43" s="272"/>
      <c r="R43" s="45"/>
      <c r="T43" s="501" t="s">
        <v>2226</v>
      </c>
      <c r="U43" s="500"/>
      <c r="V43" s="500"/>
      <c r="W43" s="500"/>
      <c r="X43" s="499"/>
    </row>
    <row r="44" spans="1:24" s="42" customFormat="1" ht="15.75" thickBot="1">
      <c r="A44" s="45"/>
      <c r="B44" s="45"/>
      <c r="C44" s="3513" t="s">
        <v>1928</v>
      </c>
      <c r="D44" s="3513"/>
      <c r="E44" s="3514"/>
      <c r="F44" s="4353" t="s">
        <v>523</v>
      </c>
      <c r="G44" s="4354"/>
      <c r="H44" s="3517"/>
      <c r="I44" s="3518"/>
      <c r="J44" s="3519"/>
      <c r="K44" s="3519"/>
      <c r="L44" s="3520"/>
      <c r="M44" s="3519"/>
      <c r="N44" s="3519"/>
      <c r="O44" s="3521"/>
      <c r="P44" s="3521"/>
      <c r="Q44" s="4110"/>
      <c r="T44" s="498"/>
      <c r="U44" s="497"/>
      <c r="V44" s="497"/>
      <c r="W44" s="497"/>
      <c r="X44" s="496"/>
    </row>
    <row r="45" spans="1:24" s="42" customFormat="1" ht="14.25">
      <c r="B45" s="45"/>
      <c r="C45" s="4345" t="s">
        <v>522</v>
      </c>
      <c r="D45" s="4346"/>
      <c r="E45" s="3524" t="s">
        <v>521</v>
      </c>
      <c r="F45" s="4355"/>
      <c r="G45" s="4356"/>
      <c r="H45" s="492"/>
      <c r="I45" s="491">
        <v>200</v>
      </c>
      <c r="J45" s="491">
        <v>220</v>
      </c>
      <c r="K45" s="490">
        <v>250</v>
      </c>
      <c r="L45" s="489">
        <v>250</v>
      </c>
      <c r="M45" s="489">
        <v>250</v>
      </c>
      <c r="N45" s="489">
        <v>260</v>
      </c>
      <c r="O45" s="489">
        <v>260</v>
      </c>
      <c r="P45" s="4014">
        <f>AVERAGE(M45:O45)</f>
        <v>256.66666666666669</v>
      </c>
      <c r="Q45" s="4111">
        <f>HLOOKUP($Q$42,$I$42:P45,4,FALSE)</f>
        <v>256.66666666666669</v>
      </c>
    </row>
    <row r="46" spans="1:24" s="42" customFormat="1" ht="14.25">
      <c r="B46" s="45"/>
      <c r="C46" s="4346"/>
      <c r="D46" s="4346"/>
      <c r="E46" s="3524" t="s">
        <v>520</v>
      </c>
      <c r="F46" s="4355"/>
      <c r="G46" s="4356"/>
      <c r="H46" s="492"/>
      <c r="I46" s="491">
        <v>250</v>
      </c>
      <c r="J46" s="491">
        <v>270</v>
      </c>
      <c r="K46" s="490">
        <v>300</v>
      </c>
      <c r="L46" s="4011">
        <v>300</v>
      </c>
      <c r="M46" s="489">
        <v>300</v>
      </c>
      <c r="N46" s="489">
        <v>310</v>
      </c>
      <c r="O46" s="489">
        <v>310</v>
      </c>
      <c r="P46" s="4014">
        <f>AVERAGE(M46:O46)</f>
        <v>306.66666666666669</v>
      </c>
      <c r="Q46" s="3502">
        <f>HLOOKUP($Q$42,$I$42:P46,5,FALSE)</f>
        <v>306.66666666666669</v>
      </c>
      <c r="T46" s="376"/>
    </row>
    <row r="47" spans="1:24" s="42" customFormat="1" ht="14.25">
      <c r="B47" s="45"/>
      <c r="C47" s="4346"/>
      <c r="D47" s="4346"/>
      <c r="E47" s="3525" t="s">
        <v>518</v>
      </c>
      <c r="F47" s="4357"/>
      <c r="G47" s="4358"/>
      <c r="H47" s="495"/>
      <c r="I47" s="3522">
        <v>300</v>
      </c>
      <c r="J47" s="3522">
        <v>320</v>
      </c>
      <c r="K47" s="3523">
        <v>350</v>
      </c>
      <c r="L47" s="3313">
        <v>350</v>
      </c>
      <c r="M47" s="3991">
        <v>350</v>
      </c>
      <c r="N47" s="4029">
        <v>360</v>
      </c>
      <c r="O47" s="4048">
        <v>360</v>
      </c>
      <c r="P47" s="4015">
        <f>AVERAGE(M47:O47)</f>
        <v>356.66666666666669</v>
      </c>
      <c r="Q47" s="4112">
        <f>HLOOKUP($Q$42,$I$42:P47,6,FALSE)</f>
        <v>356.66666666666669</v>
      </c>
      <c r="T47" s="376" t="s">
        <v>2222</v>
      </c>
    </row>
    <row r="48" spans="1:24" s="42" customFormat="1" ht="16.5">
      <c r="B48" s="45"/>
      <c r="C48" s="3197" t="s">
        <v>517</v>
      </c>
      <c r="D48" s="3197"/>
      <c r="E48" s="3197"/>
      <c r="F48" s="4361" t="s">
        <v>171</v>
      </c>
      <c r="G48" s="4362"/>
      <c r="H48" s="4347">
        <f>'SDK1'!O12</f>
        <v>0</v>
      </c>
      <c r="I48" s="4349">
        <v>115</v>
      </c>
      <c r="J48" s="4349">
        <v>115</v>
      </c>
      <c r="K48" s="4363">
        <v>115</v>
      </c>
      <c r="L48" s="4379">
        <v>115</v>
      </c>
      <c r="M48" s="4364">
        <v>115</v>
      </c>
      <c r="N48" s="4364">
        <v>115</v>
      </c>
      <c r="O48" s="4364">
        <v>191</v>
      </c>
      <c r="P48" s="4372">
        <f>AVERAGE(M48:O48)</f>
        <v>140.33333333333334</v>
      </c>
      <c r="Q48" s="4376">
        <f>HLOOKUP($Q$42,$I$42:P48,7,FALSE)*((100+$H$48)/100)</f>
        <v>140.33333333333334</v>
      </c>
      <c r="T48" s="376"/>
    </row>
    <row r="49" spans="1:25" s="42" customFormat="1" ht="16.149999999999999" customHeight="1">
      <c r="B49" s="45"/>
      <c r="C49" s="472" t="str">
        <f>IF(H48&gt;0,"incl. PKW, mit MwSt.", "incl. PKW, ohne MwSt.")</f>
        <v>incl. PKW, ohne MwSt.</v>
      </c>
      <c r="D49" s="301"/>
      <c r="E49" s="301"/>
      <c r="F49" s="488"/>
      <c r="G49" s="487"/>
      <c r="H49" s="4348"/>
      <c r="I49" s="4350"/>
      <c r="J49" s="4350"/>
      <c r="K49" s="4350"/>
      <c r="L49" s="4380"/>
      <c r="M49" s="4365"/>
      <c r="N49" s="4365"/>
      <c r="O49" s="4365"/>
      <c r="P49" s="4373"/>
      <c r="Q49" s="4377"/>
      <c r="T49" s="4366" t="s">
        <v>2223</v>
      </c>
      <c r="U49" s="4366"/>
      <c r="V49" s="4366"/>
      <c r="W49" s="4366"/>
      <c r="X49" s="4366"/>
      <c r="Y49" s="4366"/>
    </row>
    <row r="50" spans="1:25" s="42" customFormat="1" ht="15">
      <c r="B50" s="279"/>
      <c r="C50" s="68" t="s">
        <v>515</v>
      </c>
      <c r="D50" s="68"/>
      <c r="E50" s="68"/>
      <c r="F50" s="4369" t="s">
        <v>514</v>
      </c>
      <c r="G50" s="4370"/>
      <c r="H50" s="289"/>
      <c r="I50" s="4367">
        <v>16</v>
      </c>
      <c r="J50" s="4367">
        <v>16.5</v>
      </c>
      <c r="K50" s="4378">
        <v>16.5</v>
      </c>
      <c r="L50" s="4371">
        <v>16.5</v>
      </c>
      <c r="M50" s="4371">
        <v>16.5</v>
      </c>
      <c r="N50" s="4371">
        <v>17.5</v>
      </c>
      <c r="O50" s="4371">
        <v>20</v>
      </c>
      <c r="P50" s="4374">
        <f>AVERAGE(M50:O50)</f>
        <v>18</v>
      </c>
      <c r="Q50" s="4381">
        <f>HLOOKUP($Q$42,$I$42:P50,9,FALSE)</f>
        <v>18</v>
      </c>
      <c r="T50" s="4366"/>
      <c r="U50" s="4366"/>
      <c r="V50" s="4366"/>
      <c r="W50" s="4366"/>
      <c r="X50" s="4366"/>
      <c r="Y50" s="4366"/>
    </row>
    <row r="51" spans="1:25" s="42" customFormat="1" ht="15">
      <c r="B51" s="45"/>
      <c r="C51" s="323" t="s">
        <v>513</v>
      </c>
      <c r="D51" s="68"/>
      <c r="E51" s="68"/>
      <c r="F51" s="494"/>
      <c r="G51" s="493"/>
      <c r="H51" s="289"/>
      <c r="I51" s="4368"/>
      <c r="J51" s="4368"/>
      <c r="K51" s="4368"/>
      <c r="L51" s="4371"/>
      <c r="M51" s="4371"/>
      <c r="N51" s="4371"/>
      <c r="O51" s="4371"/>
      <c r="P51" s="4375"/>
      <c r="Q51" s="4381"/>
      <c r="R51" s="4113"/>
      <c r="T51" s="376"/>
    </row>
    <row r="52" spans="1:25" s="42" customFormat="1" ht="14.25">
      <c r="B52" s="45"/>
      <c r="C52" s="486" t="s">
        <v>2224</v>
      </c>
      <c r="D52" s="31"/>
      <c r="E52" s="31"/>
      <c r="F52" s="31"/>
      <c r="G52" s="31"/>
      <c r="H52" s="31"/>
      <c r="I52" s="31"/>
      <c r="J52" s="31"/>
      <c r="K52" s="31"/>
      <c r="L52" s="31"/>
      <c r="M52" s="31"/>
      <c r="N52" s="31"/>
      <c r="O52" s="4030"/>
      <c r="P52" s="3994"/>
      <c r="Q52" s="4114"/>
      <c r="R52" s="376"/>
    </row>
    <row r="53" spans="1:25" ht="13.7" customHeight="1">
      <c r="B53" s="31"/>
      <c r="C53" s="31"/>
      <c r="D53" s="31"/>
      <c r="E53" s="31"/>
      <c r="F53" s="31"/>
      <c r="G53" s="31"/>
      <c r="H53" s="31"/>
      <c r="I53" s="31"/>
      <c r="J53" s="31"/>
      <c r="K53" s="31"/>
      <c r="L53" s="31"/>
      <c r="M53" s="31"/>
      <c r="N53" s="31"/>
      <c r="O53" s="4030"/>
      <c r="P53" s="3994"/>
      <c r="Q53" s="31"/>
    </row>
    <row r="54" spans="1:25" ht="13.7" customHeight="1">
      <c r="A54" s="49"/>
      <c r="C54" s="42"/>
      <c r="D54" s="42"/>
      <c r="E54" s="42"/>
      <c r="F54" s="42"/>
      <c r="G54" s="42"/>
      <c r="H54" s="42"/>
      <c r="I54" s="42"/>
      <c r="J54" s="42"/>
      <c r="K54" s="42"/>
      <c r="L54" s="42"/>
      <c r="M54" s="42"/>
      <c r="N54" s="42"/>
      <c r="O54" s="42"/>
      <c r="P54" s="42"/>
      <c r="Q54" s="42"/>
    </row>
    <row r="55" spans="1:25" s="42" customFormat="1" ht="19.149999999999999" customHeight="1"/>
    <row r="56" spans="1:25" s="42" customFormat="1" ht="16.899999999999999" customHeight="1"/>
    <row r="57" spans="1:25" s="42" customFormat="1" ht="16.899999999999999" customHeight="1"/>
    <row r="58" spans="1:25" s="42" customFormat="1" ht="16.899999999999999" customHeight="1"/>
    <row r="59" spans="1:25" s="42" customFormat="1" ht="16.899999999999999" customHeight="1"/>
    <row r="60" spans="1:25" s="42" customFormat="1" ht="16.899999999999999" customHeight="1"/>
    <row r="61" spans="1:25" s="42" customFormat="1" ht="16.899999999999999" customHeight="1"/>
    <row r="62" spans="1:25" s="42" customFormat="1" ht="16.899999999999999" customHeight="1"/>
    <row r="63" spans="1:25" s="42" customFormat="1" ht="16.899999999999999" customHeight="1"/>
    <row r="64" spans="1:25" s="42" customFormat="1" ht="16.149999999999999" customHeight="1"/>
    <row r="65" s="42" customFormat="1" ht="16.149999999999999" customHeight="1"/>
    <row r="66" s="42" customFormat="1" ht="16.149999999999999" customHeight="1"/>
    <row r="67" s="42" customFormat="1" ht="16.149999999999999" customHeight="1"/>
    <row r="68" s="42" customFormat="1" ht="16.149999999999999" customHeight="1"/>
    <row r="69" s="42" customFormat="1" ht="16.149999999999999" customHeight="1"/>
    <row r="70" s="42" customFormat="1" ht="16.149999999999999" customHeight="1"/>
    <row r="71" s="42" customFormat="1" ht="16.149999999999999" customHeight="1"/>
    <row r="72" s="42" customFormat="1" ht="16.149999999999999" customHeight="1"/>
    <row r="73" s="42" customFormat="1" ht="16.149999999999999" customHeight="1"/>
    <row r="74" s="42" customFormat="1" ht="16.149999999999999" customHeight="1"/>
    <row r="75" s="42" customFormat="1" ht="16.149999999999999" customHeight="1"/>
    <row r="76" s="42" customFormat="1" ht="16.149999999999999" customHeight="1"/>
    <row r="77" s="42" customFormat="1" ht="16.149999999999999" customHeight="1"/>
    <row r="78" s="42" customFormat="1" ht="16.149999999999999" customHeight="1"/>
    <row r="79" s="42" customFormat="1" ht="16.149999999999999" customHeight="1"/>
    <row r="80" s="42" customFormat="1" ht="16.149999999999999" customHeight="1"/>
    <row r="81" s="42" customFormat="1" ht="16.149999999999999" customHeight="1"/>
    <row r="82" s="42" customFormat="1" ht="16.5" customHeight="1"/>
    <row r="83" s="42" customFormat="1" ht="16.5" customHeight="1"/>
    <row r="84" s="42" customFormat="1" ht="16.5" customHeight="1"/>
    <row r="85" s="42" customFormat="1" ht="16.5" customHeight="1"/>
    <row r="86" s="42" customFormat="1" ht="16.5" customHeight="1"/>
    <row r="87" s="42" customFormat="1" ht="16.5" customHeight="1"/>
    <row r="88" s="42" customFormat="1" ht="16.5" customHeight="1"/>
    <row r="89" s="42" customFormat="1" ht="16.5" customHeight="1"/>
    <row r="90" s="42" customFormat="1" ht="16.5" customHeight="1"/>
    <row r="91" s="42" customFormat="1" ht="16.5" customHeight="1"/>
    <row r="92" s="42" customFormat="1" ht="16.5" customHeight="1"/>
    <row r="93" s="42" customFormat="1" ht="16.5" customHeight="1"/>
    <row r="94" s="42" customFormat="1" ht="16.5" customHeight="1"/>
    <row r="95" s="42" customFormat="1" ht="16.5" customHeight="1"/>
    <row r="96" s="42" customFormat="1" ht="16.5" customHeight="1"/>
    <row r="97" s="42" customFormat="1" ht="16.5" customHeight="1"/>
    <row r="98" s="42" customFormat="1" ht="16.5" customHeight="1"/>
    <row r="99" s="42" customFormat="1" ht="16.5" customHeight="1"/>
    <row r="100" s="42" customFormat="1" ht="16.5" customHeight="1"/>
    <row r="101" s="42" customFormat="1" ht="16.5" customHeight="1"/>
    <row r="102" s="42" customFormat="1" ht="16.5" customHeight="1"/>
    <row r="103" s="42" customFormat="1" ht="16.5" customHeight="1"/>
    <row r="104" s="42" customFormat="1" ht="16.5" customHeight="1"/>
    <row r="105" s="42" customFormat="1" ht="16.5" customHeight="1"/>
    <row r="106" s="42" customFormat="1" ht="16.5" customHeight="1"/>
    <row r="107" s="42" customFormat="1" ht="16.5" customHeight="1"/>
    <row r="108" s="42" customFormat="1" ht="16.5" customHeight="1"/>
    <row r="109" s="42" customFormat="1" ht="16.5" customHeight="1"/>
    <row r="110" s="42" customFormat="1" ht="16.5" customHeight="1"/>
    <row r="111" s="42" customFormat="1" ht="16.5" customHeight="1"/>
    <row r="112" s="42" customFormat="1" ht="16.5" customHeight="1"/>
    <row r="113" spans="3:17" s="42" customFormat="1" ht="16.5" customHeight="1"/>
    <row r="114" spans="3:17" s="42" customFormat="1" ht="16.5" customHeight="1"/>
    <row r="115" spans="3:17" s="42" customFormat="1" ht="16.5" customHeight="1"/>
    <row r="116" spans="3:17" s="42" customFormat="1" ht="16.5" customHeight="1"/>
    <row r="117" spans="3:17" s="42" customFormat="1" ht="16.5" customHeight="1"/>
    <row r="118" spans="3:17" s="42" customFormat="1" ht="16.5" customHeight="1"/>
    <row r="119" spans="3:17" s="42" customFormat="1" ht="16.5" customHeight="1"/>
    <row r="120" spans="3:17" s="42" customFormat="1" ht="16.5" customHeight="1"/>
    <row r="121" spans="3:17" s="42" customFormat="1" ht="16.5" customHeight="1"/>
    <row r="122" spans="3:17" s="42" customFormat="1" ht="16.5" customHeight="1"/>
    <row r="123" spans="3:17" s="42" customFormat="1" ht="16.5" customHeight="1"/>
    <row r="124" spans="3:17" s="42" customFormat="1" ht="16.5" customHeight="1"/>
    <row r="125" spans="3:17" s="42" customFormat="1" ht="16.5" customHeight="1"/>
    <row r="126" spans="3:17" s="42" customFormat="1" ht="16.5" customHeight="1"/>
    <row r="127" spans="3:17" s="42" customFormat="1" ht="16.5" customHeight="1">
      <c r="C127" s="32"/>
      <c r="D127" s="32"/>
      <c r="E127" s="32"/>
      <c r="F127" s="32"/>
      <c r="G127" s="32"/>
      <c r="H127" s="39"/>
      <c r="I127" s="39"/>
      <c r="J127" s="39"/>
      <c r="K127" s="39"/>
      <c r="L127" s="39"/>
      <c r="M127" s="32"/>
      <c r="N127" s="32"/>
      <c r="O127" s="4031"/>
      <c r="P127" s="3995"/>
      <c r="Q127" s="32"/>
    </row>
  </sheetData>
  <mergeCells count="26">
    <mergeCell ref="T49:Y50"/>
    <mergeCell ref="I50:I51"/>
    <mergeCell ref="F50:G50"/>
    <mergeCell ref="N50:N51"/>
    <mergeCell ref="P48:P49"/>
    <mergeCell ref="P50:P51"/>
    <mergeCell ref="M50:M51"/>
    <mergeCell ref="N48:N49"/>
    <mergeCell ref="M48:M49"/>
    <mergeCell ref="Q48:Q49"/>
    <mergeCell ref="L50:L51"/>
    <mergeCell ref="J50:J51"/>
    <mergeCell ref="K50:K51"/>
    <mergeCell ref="L48:L49"/>
    <mergeCell ref="Q50:Q51"/>
    <mergeCell ref="O50:O51"/>
    <mergeCell ref="F41:G41"/>
    <mergeCell ref="F48:G48"/>
    <mergeCell ref="J48:J49"/>
    <mergeCell ref="K48:K49"/>
    <mergeCell ref="O48:O49"/>
    <mergeCell ref="C45:D47"/>
    <mergeCell ref="H48:H49"/>
    <mergeCell ref="I48:I49"/>
    <mergeCell ref="F42:G42"/>
    <mergeCell ref="F44:G47"/>
  </mergeCells>
  <hyperlinks>
    <hyperlink ref="D34:G34" location="'SD1'!K64" display="Zinssatz (i):"/>
  </hyperlinks>
  <printOptions horizontalCentered="1"/>
  <pageMargins left="0.59055118110236227" right="0.59055118110236227" top="0.59055118110236227" bottom="0.59055118110236227" header="0.39370078740157483" footer="0.39370078740157483"/>
  <pageSetup paperSize="8" scale="66" firstPageNumber="10" orientation="landscape" useFirstPageNumber="1" r:id="rId1"/>
  <headerFooter alignWithMargins="0">
    <oddFooter>&amp;L&amp;11LEL Schwäbisch Gmünd&amp;C&amp;11&amp;P+8&amp;R&amp;11&amp;F</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8">
    <tabColor rgb="FF00B0F0"/>
    <pageSetUpPr fitToPage="1"/>
  </sheetPr>
  <dimension ref="A1:AO133"/>
  <sheetViews>
    <sheetView showZeros="0" zoomScaleNormal="100" workbookViewId="0"/>
  </sheetViews>
  <sheetFormatPr baseColWidth="10" defaultColWidth="10.5" defaultRowHeight="12.75"/>
  <cols>
    <col min="1" max="1" width="1.75" style="31" customWidth="1"/>
    <col min="2" max="2" width="0.875" style="32" customWidth="1"/>
    <col min="3" max="3" width="4.375" style="32" customWidth="1"/>
    <col min="4" max="4" width="5.25" style="32" customWidth="1"/>
    <col min="5" max="5" width="12.25" style="32" customWidth="1"/>
    <col min="6" max="6" width="4.75" style="32" customWidth="1"/>
    <col min="7" max="7" width="3.25" style="32" customWidth="1"/>
    <col min="8" max="8" width="9.125" style="39" customWidth="1"/>
    <col min="9" max="10" width="10.25" style="39" customWidth="1"/>
    <col min="11" max="11" width="8.25" style="39" customWidth="1"/>
    <col min="12" max="12" width="7.5" style="39" customWidth="1"/>
    <col min="13" max="13" width="8.375" style="32" customWidth="1"/>
    <col min="14" max="14" width="8.375" style="3995" customWidth="1"/>
    <col min="15" max="15" width="20.625" style="32" bestFit="1" customWidth="1"/>
    <col min="16" max="16" width="19.75" style="32" hidden="1" customWidth="1"/>
    <col min="17" max="17" width="18" style="31" hidden="1" customWidth="1"/>
    <col min="18" max="21" width="0" style="31" hidden="1" customWidth="1"/>
    <col min="22" max="22" width="22.5" style="2086" customWidth="1"/>
    <col min="23" max="28" width="0" style="31" hidden="1" customWidth="1"/>
    <col min="29" max="16384" width="10.5" style="31"/>
  </cols>
  <sheetData>
    <row r="1" spans="1:41" ht="23.25">
      <c r="A1" s="49"/>
      <c r="D1" s="1941"/>
    </row>
    <row r="2" spans="1:41" ht="21.2" customHeight="1">
      <c r="A2" s="313"/>
      <c r="B2" s="592" t="s">
        <v>567</v>
      </c>
      <c r="C2" s="274"/>
      <c r="D2" s="274"/>
      <c r="E2" s="274"/>
      <c r="F2" s="274"/>
      <c r="G2" s="274"/>
      <c r="H2" s="274"/>
      <c r="I2" s="136"/>
      <c r="J2" s="588"/>
      <c r="K2" s="136"/>
      <c r="L2" s="274"/>
      <c r="M2" s="136"/>
      <c r="N2" s="136"/>
      <c r="O2" s="587" t="str">
        <f>SDÖ1!O2</f>
        <v>Marktfrüchte Öko</v>
      </c>
    </row>
    <row r="3" spans="1:41" ht="21.2" customHeight="1">
      <c r="A3" s="313"/>
      <c r="B3" s="2119" t="s">
        <v>1479</v>
      </c>
      <c r="D3" s="274"/>
      <c r="E3" s="590"/>
      <c r="F3" s="316"/>
      <c r="G3" s="316"/>
      <c r="H3" s="585"/>
      <c r="I3" s="136"/>
      <c r="J3" s="588"/>
      <c r="K3" s="136"/>
      <c r="L3" s="584"/>
      <c r="M3" s="136"/>
      <c r="N3" s="136"/>
      <c r="O3" s="587">
        <f>SDÖ1!O3</f>
        <v>0</v>
      </c>
      <c r="Q3" s="256"/>
      <c r="R3" s="256"/>
      <c r="S3" s="256"/>
      <c r="T3" s="256"/>
      <c r="U3" s="256"/>
      <c r="V3" s="2115"/>
      <c r="W3" s="256"/>
      <c r="X3" s="256"/>
      <c r="Y3" s="256"/>
      <c r="Z3" s="256"/>
      <c r="AA3" s="256"/>
      <c r="AB3" s="256"/>
      <c r="AC3" s="256"/>
      <c r="AD3" s="256"/>
      <c r="AE3" s="256"/>
      <c r="AF3" s="256"/>
      <c r="AG3" s="256"/>
      <c r="AH3" s="256"/>
      <c r="AI3" s="256"/>
      <c r="AJ3" s="256"/>
      <c r="AK3" s="256"/>
      <c r="AL3" s="256"/>
      <c r="AM3" s="256"/>
      <c r="AN3" s="256"/>
      <c r="AO3" s="256"/>
    </row>
    <row r="4" spans="1:41" ht="3.4" customHeight="1">
      <c r="A4" s="313"/>
      <c r="B4" s="586"/>
      <c r="C4" s="274"/>
      <c r="D4" s="316"/>
      <c r="E4" s="316"/>
      <c r="F4" s="316"/>
      <c r="G4" s="316"/>
      <c r="H4" s="585"/>
      <c r="I4" s="315"/>
      <c r="J4" s="585"/>
      <c r="K4" s="585"/>
      <c r="L4" s="584"/>
      <c r="M4" s="31"/>
      <c r="N4" s="3994"/>
      <c r="O4" s="31"/>
      <c r="Q4" s="256"/>
      <c r="R4" s="256"/>
      <c r="S4" s="256"/>
      <c r="T4" s="256"/>
      <c r="U4" s="256"/>
      <c r="V4" s="2115"/>
      <c r="W4" s="256"/>
      <c r="X4" s="256"/>
      <c r="Y4" s="256"/>
      <c r="Z4" s="256"/>
      <c r="AA4" s="256"/>
      <c r="AB4" s="256"/>
      <c r="AC4" s="256"/>
      <c r="AD4" s="256"/>
      <c r="AE4" s="256"/>
      <c r="AF4" s="256"/>
      <c r="AG4" s="256"/>
      <c r="AH4" s="256"/>
      <c r="AI4" s="256"/>
      <c r="AJ4" s="256"/>
      <c r="AK4" s="256"/>
      <c r="AL4" s="256"/>
      <c r="AM4" s="256"/>
      <c r="AN4" s="256"/>
      <c r="AO4" s="256"/>
    </row>
    <row r="5" spans="1:41" ht="18" customHeight="1">
      <c r="A5" s="313"/>
      <c r="B5" s="3487"/>
      <c r="C5" s="3428"/>
      <c r="D5" s="2116"/>
      <c r="E5" s="2116"/>
      <c r="F5" s="2116"/>
      <c r="G5" s="2116"/>
      <c r="H5" s="582" t="s">
        <v>564</v>
      </c>
      <c r="I5" s="3476" t="s">
        <v>563</v>
      </c>
      <c r="J5" s="3488"/>
      <c r="K5" s="581" t="s">
        <v>562</v>
      </c>
      <c r="L5" s="581" t="s">
        <v>561</v>
      </c>
      <c r="M5" s="581" t="s">
        <v>155</v>
      </c>
      <c r="N5" s="3990"/>
      <c r="O5" s="3489" t="s">
        <v>560</v>
      </c>
      <c r="Q5" s="256"/>
      <c r="R5" s="256"/>
      <c r="S5" s="256"/>
      <c r="T5" s="256"/>
      <c r="U5" s="256"/>
      <c r="V5" s="2115"/>
      <c r="W5" s="256"/>
      <c r="X5" s="256"/>
      <c r="Y5" s="256"/>
      <c r="Z5" s="256"/>
      <c r="AA5" s="256"/>
      <c r="AB5" s="256"/>
      <c r="AC5" s="256"/>
      <c r="AD5" s="256"/>
      <c r="AE5" s="256"/>
      <c r="AF5" s="256"/>
      <c r="AG5" s="256"/>
      <c r="AH5" s="256"/>
      <c r="AI5" s="256"/>
      <c r="AJ5" s="256"/>
      <c r="AK5" s="256"/>
      <c r="AL5" s="256"/>
      <c r="AM5" s="256"/>
      <c r="AN5" s="256"/>
      <c r="AO5" s="256"/>
    </row>
    <row r="6" spans="1:41" ht="18" customHeight="1">
      <c r="A6" s="313"/>
      <c r="B6" s="3487"/>
      <c r="C6" s="223" t="s">
        <v>1478</v>
      </c>
      <c r="D6" s="2116"/>
      <c r="E6" s="2116"/>
      <c r="F6" s="2117">
        <f>SDÖ1!O11</f>
        <v>0</v>
      </c>
      <c r="G6" s="2116" t="s">
        <v>113</v>
      </c>
      <c r="H6" s="582" t="s">
        <v>558</v>
      </c>
      <c r="I6" s="581" t="s">
        <v>249</v>
      </c>
      <c r="J6" s="581" t="str">
        <f>SDÖ1!O8</f>
        <v>ohne MwSt.</v>
      </c>
      <c r="K6" s="581" t="s">
        <v>151</v>
      </c>
      <c r="L6" s="581"/>
      <c r="M6" s="581"/>
      <c r="N6" s="3990"/>
      <c r="O6" s="3477"/>
      <c r="Q6" s="256"/>
      <c r="R6" s="256"/>
      <c r="S6" s="256"/>
      <c r="T6" s="256"/>
      <c r="U6" s="256"/>
      <c r="V6" s="2115"/>
      <c r="W6" s="557"/>
      <c r="X6" s="256"/>
      <c r="Y6" s="256"/>
      <c r="Z6" s="256"/>
      <c r="AA6" s="256"/>
      <c r="AB6" s="256"/>
      <c r="AC6" s="256"/>
      <c r="AD6" s="256"/>
      <c r="AE6" s="256"/>
      <c r="AF6" s="256"/>
      <c r="AG6" s="256"/>
      <c r="AH6" s="256"/>
      <c r="AI6" s="256"/>
      <c r="AJ6" s="256"/>
      <c r="AK6" s="256"/>
      <c r="AL6" s="256"/>
      <c r="AM6" s="256"/>
      <c r="AN6" s="256"/>
      <c r="AO6" s="256"/>
    </row>
    <row r="7" spans="1:41" ht="18">
      <c r="A7" s="313"/>
      <c r="B7" s="3487"/>
      <c r="C7" s="223"/>
      <c r="D7" s="2116"/>
      <c r="E7" s="2116"/>
      <c r="F7" s="2117"/>
      <c r="G7" s="2116"/>
      <c r="H7" s="3491" t="s">
        <v>557</v>
      </c>
      <c r="I7" s="3492" t="s">
        <v>556</v>
      </c>
      <c r="J7" s="3492" t="s">
        <v>556</v>
      </c>
      <c r="K7" s="3492" t="s">
        <v>113</v>
      </c>
      <c r="L7" s="3492" t="s">
        <v>114</v>
      </c>
      <c r="M7" s="3493" t="s">
        <v>171</v>
      </c>
      <c r="N7" s="492"/>
      <c r="O7" s="3490" t="s">
        <v>171</v>
      </c>
      <c r="Q7" s="256"/>
      <c r="R7" s="256"/>
      <c r="S7" s="256"/>
      <c r="T7" s="256"/>
      <c r="U7" s="256"/>
      <c r="V7" s="2115"/>
      <c r="W7" s="256"/>
      <c r="X7" s="323"/>
      <c r="Y7" s="256"/>
      <c r="Z7" s="256"/>
      <c r="AA7" s="256"/>
      <c r="AB7" s="256"/>
      <c r="AC7" s="256"/>
      <c r="AD7" s="256"/>
      <c r="AE7" s="256"/>
      <c r="AF7" s="256"/>
      <c r="AG7" s="256"/>
      <c r="AH7" s="256"/>
      <c r="AI7" s="256"/>
      <c r="AJ7" s="256"/>
      <c r="AK7" s="256"/>
      <c r="AL7" s="256"/>
      <c r="AM7" s="256"/>
      <c r="AN7" s="256"/>
      <c r="AO7" s="256"/>
    </row>
    <row r="8" spans="1:41" s="251" customFormat="1" ht="18" customHeight="1" thickBot="1">
      <c r="A8" s="574"/>
      <c r="B8" s="3267"/>
      <c r="C8" s="3267" t="s">
        <v>1477</v>
      </c>
      <c r="D8" s="3267"/>
      <c r="E8" s="3267"/>
      <c r="F8" s="3267"/>
      <c r="G8" s="3494"/>
      <c r="H8" s="545"/>
      <c r="I8" s="3495"/>
      <c r="J8" s="3495"/>
      <c r="K8" s="3495"/>
      <c r="L8" s="3495"/>
      <c r="M8" s="3496"/>
      <c r="N8" s="3496"/>
      <c r="O8" s="3497">
        <f>ROUND(SUM(M11:M18),0)</f>
        <v>195</v>
      </c>
      <c r="P8" s="376" t="s">
        <v>1476</v>
      </c>
      <c r="V8" s="2114"/>
      <c r="W8" s="226" t="s">
        <v>527</v>
      </c>
    </row>
    <row r="9" spans="1:41" s="231" customFormat="1" ht="18" customHeight="1">
      <c r="B9" s="68"/>
      <c r="C9" s="3319"/>
      <c r="D9" s="39" t="s">
        <v>535</v>
      </c>
      <c r="E9" s="38"/>
      <c r="F9" s="555">
        <f>SDÖ1!O72</f>
        <v>2</v>
      </c>
      <c r="G9" s="38" t="s">
        <v>113</v>
      </c>
      <c r="H9" s="569"/>
      <c r="I9" s="568"/>
      <c r="J9" s="568"/>
      <c r="K9" s="568"/>
      <c r="L9" s="568"/>
      <c r="M9" s="568"/>
      <c r="N9" s="568"/>
      <c r="O9" s="3482"/>
      <c r="P9" s="45"/>
      <c r="V9" s="2113"/>
      <c r="W9" s="504" t="s">
        <v>554</v>
      </c>
      <c r="X9" s="571"/>
      <c r="Y9" s="571"/>
      <c r="Z9" s="571"/>
      <c r="AA9" s="571"/>
      <c r="AB9" s="570"/>
    </row>
    <row r="10" spans="1:41" s="231" customFormat="1" ht="18" customHeight="1">
      <c r="B10" s="535"/>
      <c r="C10" s="550"/>
      <c r="D10" s="534" t="s">
        <v>1475</v>
      </c>
      <c r="E10" s="550"/>
      <c r="F10" s="564">
        <v>0.5</v>
      </c>
      <c r="G10" s="532" t="s">
        <v>113</v>
      </c>
      <c r="H10" s="563"/>
      <c r="I10" s="562"/>
      <c r="J10" s="562"/>
      <c r="K10" s="562"/>
      <c r="L10" s="562"/>
      <c r="M10" s="561"/>
      <c r="N10" s="568"/>
      <c r="O10" s="3482"/>
      <c r="P10" s="45"/>
      <c r="V10" s="2113"/>
      <c r="W10" s="567" t="s">
        <v>553</v>
      </c>
      <c r="X10" s="566"/>
      <c r="Y10" s="566"/>
      <c r="Z10" s="566"/>
      <c r="AA10" s="566"/>
      <c r="AB10" s="565"/>
    </row>
    <row r="11" spans="1:41" s="42" customFormat="1" ht="22.5" customHeight="1" thickBot="1">
      <c r="B11" s="45"/>
      <c r="C11" s="526" t="s">
        <v>466</v>
      </c>
      <c r="D11" s="528"/>
      <c r="E11" s="38"/>
      <c r="F11" s="38"/>
      <c r="G11" s="38"/>
      <c r="H11" s="525">
        <v>15</v>
      </c>
      <c r="I11" s="524">
        <v>220000</v>
      </c>
      <c r="J11" s="523">
        <f t="shared" ref="J11:J18" si="0">I11*((100+$F$6)/100)</f>
        <v>220000</v>
      </c>
      <c r="K11" s="522">
        <f>IF(H11=0,0,100/H11+$F$9/2+F10)</f>
        <v>8.1666666666666679</v>
      </c>
      <c r="L11" s="521">
        <v>150</v>
      </c>
      <c r="M11" s="520">
        <f t="shared" ref="M11:M18" si="1">IF(L11=0,0,J11*K11/100/L11)</f>
        <v>119.77777777777781</v>
      </c>
      <c r="N11" s="3516"/>
      <c r="O11" s="3483"/>
      <c r="P11" s="45"/>
      <c r="V11" s="2087"/>
      <c r="W11" s="560" t="s">
        <v>552</v>
      </c>
      <c r="X11" s="497"/>
      <c r="Y11" s="497"/>
      <c r="Z11" s="497"/>
      <c r="AA11" s="497"/>
      <c r="AB11" s="496"/>
    </row>
    <row r="12" spans="1:41" s="42" customFormat="1" ht="21.75" customHeight="1">
      <c r="B12" s="45"/>
      <c r="C12" s="526" t="s">
        <v>1474</v>
      </c>
      <c r="D12" s="528"/>
      <c r="E12" s="38"/>
      <c r="F12" s="38"/>
      <c r="G12" s="38"/>
      <c r="H12" s="525">
        <v>14</v>
      </c>
      <c r="I12" s="524">
        <v>53000</v>
      </c>
      <c r="J12" s="523">
        <f t="shared" si="0"/>
        <v>53000</v>
      </c>
      <c r="K12" s="522">
        <f t="shared" ref="K12:K18" si="2">IF(H12=0,0,100/H12+$F$9/2)</f>
        <v>8.1428571428571423</v>
      </c>
      <c r="L12" s="521">
        <v>150</v>
      </c>
      <c r="M12" s="520">
        <f t="shared" si="1"/>
        <v>28.771428571428569</v>
      </c>
      <c r="N12" s="3516"/>
      <c r="O12" s="3483"/>
      <c r="P12" s="45"/>
      <c r="V12" s="3317"/>
      <c r="W12" s="559" t="s">
        <v>551</v>
      </c>
    </row>
    <row r="13" spans="1:41" s="42" customFormat="1" ht="25.15" customHeight="1">
      <c r="B13" s="45"/>
      <c r="C13" s="526" t="s">
        <v>1473</v>
      </c>
      <c r="D13" s="528"/>
      <c r="E13" s="38"/>
      <c r="F13" s="38"/>
      <c r="G13" s="38"/>
      <c r="H13" s="525">
        <v>12</v>
      </c>
      <c r="I13" s="524">
        <v>39000</v>
      </c>
      <c r="J13" s="523">
        <f t="shared" si="0"/>
        <v>39000</v>
      </c>
      <c r="K13" s="522">
        <f t="shared" si="2"/>
        <v>9.3333333333333339</v>
      </c>
      <c r="L13" s="521">
        <v>150</v>
      </c>
      <c r="M13" s="520">
        <f t="shared" si="1"/>
        <v>24.266666666666666</v>
      </c>
      <c r="N13" s="3516"/>
      <c r="O13" s="3483"/>
      <c r="P13" s="45"/>
      <c r="V13" s="3317"/>
      <c r="W13" s="486" t="s">
        <v>549</v>
      </c>
      <c r="X13" s="557"/>
      <c r="Y13" s="557"/>
      <c r="Z13" s="557"/>
      <c r="AA13" s="557"/>
      <c r="AB13" s="557"/>
    </row>
    <row r="14" spans="1:41" s="42" customFormat="1" ht="18.399999999999999" customHeight="1">
      <c r="B14" s="45"/>
      <c r="C14" s="526" t="s">
        <v>546</v>
      </c>
      <c r="D14" s="528"/>
      <c r="E14" s="38"/>
      <c r="F14" s="38"/>
      <c r="G14" s="38"/>
      <c r="H14" s="525">
        <v>20</v>
      </c>
      <c r="I14" s="524">
        <v>30000</v>
      </c>
      <c r="J14" s="523">
        <f t="shared" si="0"/>
        <v>30000</v>
      </c>
      <c r="K14" s="522">
        <f t="shared" si="2"/>
        <v>6</v>
      </c>
      <c r="L14" s="521">
        <v>150</v>
      </c>
      <c r="M14" s="520">
        <f t="shared" si="1"/>
        <v>12</v>
      </c>
      <c r="N14" s="3516"/>
      <c r="O14" s="3483"/>
      <c r="P14" s="45"/>
      <c r="V14" s="3317"/>
      <c r="W14" s="323" t="s">
        <v>547</v>
      </c>
      <c r="X14" s="557"/>
      <c r="Y14" s="557"/>
      <c r="Z14" s="557"/>
      <c r="AA14" s="557"/>
      <c r="AB14" s="557"/>
    </row>
    <row r="15" spans="1:41" s="42" customFormat="1" ht="18" customHeight="1">
      <c r="B15" s="45"/>
      <c r="C15" s="526" t="s">
        <v>544</v>
      </c>
      <c r="D15" s="528"/>
      <c r="E15" s="38"/>
      <c r="F15" s="38"/>
      <c r="G15" s="38"/>
      <c r="H15" s="525">
        <v>15</v>
      </c>
      <c r="I15" s="524">
        <v>20000</v>
      </c>
      <c r="J15" s="523">
        <f t="shared" si="0"/>
        <v>20000</v>
      </c>
      <c r="K15" s="522">
        <f t="shared" si="2"/>
        <v>7.666666666666667</v>
      </c>
      <c r="L15" s="521">
        <v>150</v>
      </c>
      <c r="M15" s="520">
        <f t="shared" si="1"/>
        <v>10.222222222222223</v>
      </c>
      <c r="N15" s="3516"/>
      <c r="O15" s="3483"/>
      <c r="P15" s="45"/>
      <c r="V15" s="2112"/>
      <c r="W15" s="557" t="s">
        <v>545</v>
      </c>
      <c r="X15" s="557"/>
      <c r="Y15" s="557"/>
      <c r="Z15" s="557"/>
      <c r="AA15" s="557"/>
      <c r="AB15" s="557"/>
    </row>
    <row r="16" spans="1:41" s="42" customFormat="1" ht="18" customHeight="1">
      <c r="B16" s="45"/>
      <c r="C16" s="526"/>
      <c r="D16" s="528"/>
      <c r="E16" s="38"/>
      <c r="F16" s="38"/>
      <c r="G16" s="38"/>
      <c r="H16" s="525"/>
      <c r="I16" s="524"/>
      <c r="J16" s="523">
        <f t="shared" si="0"/>
        <v>0</v>
      </c>
      <c r="K16" s="522">
        <f t="shared" si="2"/>
        <v>0</v>
      </c>
      <c r="L16" s="521"/>
      <c r="M16" s="520">
        <f t="shared" si="1"/>
        <v>0</v>
      </c>
      <c r="N16" s="3516"/>
      <c r="O16" s="3483"/>
      <c r="P16" s="45"/>
      <c r="V16" s="2087"/>
      <c r="W16" s="557" t="s">
        <v>543</v>
      </c>
      <c r="X16" s="557"/>
      <c r="Y16" s="557"/>
      <c r="Z16" s="557"/>
      <c r="AA16" s="557"/>
      <c r="AB16" s="557"/>
    </row>
    <row r="17" spans="2:28" s="42" customFormat="1" ht="18" customHeight="1">
      <c r="B17" s="45"/>
      <c r="C17" s="526"/>
      <c r="D17" s="38"/>
      <c r="E17" s="38"/>
      <c r="F17" s="38"/>
      <c r="G17" s="38"/>
      <c r="H17" s="525"/>
      <c r="I17" s="524"/>
      <c r="J17" s="523">
        <f t="shared" si="0"/>
        <v>0</v>
      </c>
      <c r="K17" s="522">
        <f t="shared" si="2"/>
        <v>0</v>
      </c>
      <c r="L17" s="521"/>
      <c r="M17" s="520">
        <f t="shared" si="1"/>
        <v>0</v>
      </c>
      <c r="N17" s="3516"/>
      <c r="O17" s="3483"/>
      <c r="P17" s="45"/>
      <c r="V17" s="2087"/>
      <c r="W17" s="557"/>
      <c r="X17" s="557"/>
      <c r="Y17" s="557"/>
      <c r="Z17" s="557"/>
      <c r="AA17" s="557"/>
      <c r="AB17" s="557"/>
    </row>
    <row r="18" spans="2:28" s="42" customFormat="1" ht="18" customHeight="1">
      <c r="B18" s="279"/>
      <c r="C18" s="519"/>
      <c r="D18" s="346"/>
      <c r="E18" s="346"/>
      <c r="F18" s="346"/>
      <c r="G18" s="346"/>
      <c r="H18" s="518"/>
      <c r="I18" s="517"/>
      <c r="J18" s="516">
        <f t="shared" si="0"/>
        <v>0</v>
      </c>
      <c r="K18" s="515">
        <f t="shared" si="2"/>
        <v>0</v>
      </c>
      <c r="L18" s="514"/>
      <c r="M18" s="3474">
        <f t="shared" si="1"/>
        <v>0</v>
      </c>
      <c r="N18" s="4004"/>
      <c r="O18" s="3484"/>
      <c r="P18" s="556"/>
      <c r="V18" s="2087"/>
      <c r="W18" s="557"/>
      <c r="X18" s="557"/>
      <c r="Y18" s="557"/>
      <c r="Z18" s="557"/>
      <c r="AA18" s="557"/>
      <c r="AB18" s="557"/>
    </row>
    <row r="19" spans="2:28" s="42" customFormat="1" ht="18" customHeight="1">
      <c r="B19" s="227"/>
      <c r="C19" s="3428" t="s">
        <v>1472</v>
      </c>
      <c r="D19" s="3428"/>
      <c r="E19" s="3428"/>
      <c r="F19" s="3428"/>
      <c r="G19" s="3428"/>
      <c r="H19" s="544"/>
      <c r="I19" s="2322"/>
      <c r="J19" s="544"/>
      <c r="K19" s="544"/>
      <c r="L19" s="544"/>
      <c r="M19" s="543"/>
      <c r="N19" s="543"/>
      <c r="O19" s="3480">
        <f>ROUND(SUM(M22:M24),0)</f>
        <v>31</v>
      </c>
      <c r="P19" s="556"/>
      <c r="V19" s="2087"/>
      <c r="W19" s="557"/>
      <c r="X19" s="557"/>
      <c r="Y19" s="557"/>
      <c r="Z19" s="557"/>
      <c r="AA19" s="557"/>
      <c r="AB19" s="557"/>
    </row>
    <row r="20" spans="2:28" s="42" customFormat="1" ht="18" customHeight="1">
      <c r="B20" s="45"/>
      <c r="C20" s="68"/>
      <c r="D20" s="39" t="s">
        <v>535</v>
      </c>
      <c r="E20" s="38"/>
      <c r="F20" s="555">
        <f>SDÖ1!$O$73</f>
        <v>3</v>
      </c>
      <c r="G20" s="38" t="s">
        <v>113</v>
      </c>
      <c r="H20" s="539"/>
      <c r="I20" s="538"/>
      <c r="J20" s="537"/>
      <c r="K20" s="536"/>
      <c r="L20" s="536"/>
      <c r="M20" s="536"/>
      <c r="N20" s="536"/>
      <c r="O20" s="3486"/>
      <c r="P20" s="556"/>
      <c r="Q20" s="33"/>
      <c r="V20" s="2087"/>
      <c r="W20" s="557"/>
      <c r="X20" s="557"/>
      <c r="Y20" s="557"/>
      <c r="Z20" s="557"/>
      <c r="AA20" s="557"/>
      <c r="AB20" s="557"/>
    </row>
    <row r="21" spans="2:28" s="42" customFormat="1" ht="18" customHeight="1">
      <c r="B21" s="3485"/>
      <c r="C21" s="535"/>
      <c r="D21" s="534" t="s">
        <v>534</v>
      </c>
      <c r="E21" s="532"/>
      <c r="F21" s="533">
        <v>1</v>
      </c>
      <c r="G21" s="532" t="s">
        <v>113</v>
      </c>
      <c r="H21" s="531"/>
      <c r="I21" s="530"/>
      <c r="J21" s="530"/>
      <c r="K21" s="530"/>
      <c r="L21" s="530"/>
      <c r="M21" s="529"/>
      <c r="N21" s="536"/>
      <c r="O21" s="3486"/>
      <c r="P21" s="556"/>
      <c r="V21" s="2087"/>
      <c r="W21" s="557"/>
      <c r="X21" s="557"/>
      <c r="Y21" s="557"/>
      <c r="Z21" s="557"/>
      <c r="AA21" s="557"/>
      <c r="AB21" s="557"/>
    </row>
    <row r="22" spans="2:28" s="42" customFormat="1" ht="18" customHeight="1">
      <c r="B22" s="45"/>
      <c r="C22" s="526" t="s">
        <v>1471</v>
      </c>
      <c r="D22" s="528"/>
      <c r="E22" s="38"/>
      <c r="F22" s="38"/>
      <c r="G22" s="38"/>
      <c r="H22" s="525">
        <v>20</v>
      </c>
      <c r="I22" s="524">
        <v>62000</v>
      </c>
      <c r="J22" s="523">
        <f>I22*((100+$F$6)/100)</f>
        <v>62000</v>
      </c>
      <c r="K22" s="522">
        <f>IF(H22=0,0,100/H22+$F$20/2+$F$21)</f>
        <v>7.5</v>
      </c>
      <c r="L22" s="521">
        <v>150</v>
      </c>
      <c r="M22" s="520">
        <f>IF(L22=0,0,J22*K22/100/L22)</f>
        <v>31</v>
      </c>
      <c r="N22" s="3516"/>
      <c r="O22" s="3483"/>
      <c r="P22" s="556"/>
      <c r="V22" s="2087"/>
      <c r="W22" s="527" t="s">
        <v>532</v>
      </c>
      <c r="X22" s="557"/>
      <c r="Y22" s="557"/>
      <c r="Z22" s="557"/>
      <c r="AA22" s="557"/>
      <c r="AB22" s="557"/>
    </row>
    <row r="23" spans="2:28" s="42" customFormat="1" ht="18" customHeight="1">
      <c r="B23" s="45"/>
      <c r="C23" s="526"/>
      <c r="D23" s="38"/>
      <c r="E23" s="38"/>
      <c r="F23" s="38"/>
      <c r="G23" s="38"/>
      <c r="H23" s="525"/>
      <c r="I23" s="524"/>
      <c r="J23" s="523">
        <f>I23*((100+$F$6)/100)</f>
        <v>0</v>
      </c>
      <c r="K23" s="522">
        <f>IF(H23=0,0,100/H23+$F$38/2+$F$39)</f>
        <v>0</v>
      </c>
      <c r="L23" s="521"/>
      <c r="M23" s="520">
        <f>IF(L23=0,0,J23*K23/100/L23)</f>
        <v>0</v>
      </c>
      <c r="N23" s="3516"/>
      <c r="O23" s="3483"/>
      <c r="P23" s="556"/>
      <c r="V23" s="2087"/>
    </row>
    <row r="24" spans="2:28" s="42" customFormat="1" ht="18" customHeight="1" thickBot="1">
      <c r="B24" s="45"/>
      <c r="C24" s="526"/>
      <c r="D24" s="38"/>
      <c r="E24" s="38"/>
      <c r="F24" s="38"/>
      <c r="G24" s="38"/>
      <c r="H24" s="525"/>
      <c r="I24" s="524"/>
      <c r="J24" s="523">
        <f>I24*((100+$F$6)/100)</f>
        <v>0</v>
      </c>
      <c r="K24" s="522">
        <f>IF(H24=0,0,100/H24+$F$38/2+$F$39)</f>
        <v>0</v>
      </c>
      <c r="L24" s="521"/>
      <c r="M24" s="520">
        <f>IF(L24=0,0,J24*K24/100/L24)</f>
        <v>0</v>
      </c>
      <c r="N24" s="3516"/>
      <c r="O24" s="3483"/>
      <c r="P24" s="556"/>
      <c r="V24" s="2087"/>
    </row>
    <row r="25" spans="2:28" s="42" customFormat="1" ht="18" hidden="1" customHeight="1">
      <c r="B25" s="273"/>
      <c r="C25" s="47" t="s">
        <v>1470</v>
      </c>
      <c r="D25" s="47"/>
      <c r="E25" s="47"/>
      <c r="F25" s="47"/>
      <c r="G25" s="47"/>
      <c r="H25" s="544"/>
      <c r="I25" s="145"/>
      <c r="J25" s="544"/>
      <c r="K25" s="544"/>
      <c r="L25" s="544"/>
      <c r="M25" s="2110"/>
      <c r="N25" s="2110"/>
      <c r="O25" s="2107">
        <f>ROUND(SUM(M28:M30),0)</f>
        <v>692</v>
      </c>
      <c r="P25" s="45" t="s">
        <v>1468</v>
      </c>
      <c r="V25" s="2087"/>
    </row>
    <row r="26" spans="2:28" s="42" customFormat="1" ht="18" hidden="1" customHeight="1">
      <c r="B26" s="273"/>
      <c r="C26" s="37"/>
      <c r="D26" s="39" t="s">
        <v>535</v>
      </c>
      <c r="E26" s="38"/>
      <c r="F26" s="555">
        <f>SDÖ1!$O$73</f>
        <v>3</v>
      </c>
      <c r="G26" s="38" t="s">
        <v>113</v>
      </c>
      <c r="H26" s="554"/>
      <c r="I26" s="553"/>
      <c r="J26" s="552"/>
      <c r="K26" s="492"/>
      <c r="L26" s="492"/>
      <c r="M26" s="492"/>
      <c r="N26" s="492"/>
      <c r="O26" s="2105"/>
      <c r="P26" s="45"/>
      <c r="V26" s="2087"/>
    </row>
    <row r="27" spans="2:28" s="42" customFormat="1" ht="18" hidden="1" customHeight="1">
      <c r="B27" s="2109"/>
      <c r="C27" s="550"/>
      <c r="D27" s="534" t="s">
        <v>534</v>
      </c>
      <c r="E27" s="532"/>
      <c r="F27" s="533">
        <v>1</v>
      </c>
      <c r="G27" s="532" t="s">
        <v>113</v>
      </c>
      <c r="H27" s="549"/>
      <c r="I27" s="548"/>
      <c r="J27" s="548"/>
      <c r="K27" s="548"/>
      <c r="L27" s="548"/>
      <c r="M27" s="547"/>
      <c r="N27" s="492"/>
      <c r="O27" s="2105"/>
      <c r="P27" s="45"/>
      <c r="V27" s="2087"/>
    </row>
    <row r="28" spans="2:28" s="42" customFormat="1" ht="18" hidden="1" customHeight="1">
      <c r="B28" s="273"/>
      <c r="C28" s="526" t="s">
        <v>541</v>
      </c>
      <c r="D28" s="38"/>
      <c r="E28" s="38"/>
      <c r="F28" s="38"/>
      <c r="G28" s="38"/>
      <c r="H28" s="525">
        <v>12</v>
      </c>
      <c r="I28" s="524">
        <v>17300</v>
      </c>
      <c r="J28" s="523">
        <f>I28*((100+$F$6)/100)</f>
        <v>17300</v>
      </c>
      <c r="K28" s="522">
        <f>IF(H28=0,0,100/H28+$F$26/2+$F$27)</f>
        <v>10.833333333333334</v>
      </c>
      <c r="L28" s="521">
        <v>15</v>
      </c>
      <c r="M28" s="520">
        <f>IF(L28=0,0,J28*K28/100/L28)</f>
        <v>124.94444444444447</v>
      </c>
      <c r="N28" s="3516"/>
      <c r="O28" s="2105"/>
      <c r="P28" s="45"/>
      <c r="V28" s="2087"/>
    </row>
    <row r="29" spans="2:28" s="42" customFormat="1" ht="18" hidden="1" customHeight="1">
      <c r="B29" s="273"/>
      <c r="C29" s="526" t="s">
        <v>540</v>
      </c>
      <c r="D29" s="38"/>
      <c r="E29" s="38"/>
      <c r="F29" s="38"/>
      <c r="G29" s="38"/>
      <c r="H29" s="525">
        <v>20</v>
      </c>
      <c r="I29" s="524">
        <v>75630</v>
      </c>
      <c r="J29" s="523">
        <f>I29*((100+$F$6)/100)</f>
        <v>75630</v>
      </c>
      <c r="K29" s="522">
        <f>IF(H29=0,0,100/H29+$F$26/2+$F$27)</f>
        <v>7.5</v>
      </c>
      <c r="L29" s="521">
        <v>10</v>
      </c>
      <c r="M29" s="520">
        <f>IF(L29=0,0,J29*K29/100/L29)</f>
        <v>567.22500000000002</v>
      </c>
      <c r="N29" s="3516"/>
      <c r="O29" s="2105"/>
      <c r="P29" s="45"/>
      <c r="V29" s="2087"/>
    </row>
    <row r="30" spans="2:28" s="42" customFormat="1" ht="18" hidden="1" customHeight="1">
      <c r="B30" s="2088"/>
      <c r="C30" s="519"/>
      <c r="D30" s="346"/>
      <c r="E30" s="346"/>
      <c r="F30" s="346"/>
      <c r="G30" s="346"/>
      <c r="H30" s="518"/>
      <c r="I30" s="517"/>
      <c r="J30" s="516">
        <f>I30*((100+$F$6)/100)</f>
        <v>0</v>
      </c>
      <c r="K30" s="515">
        <f>IF(H30=0,0,100/H30+$F$26/2+$F$27)</f>
        <v>0</v>
      </c>
      <c r="L30" s="514"/>
      <c r="M30" s="513">
        <f>IF(L30=0,0,J30*K30/100/L30)</f>
        <v>0</v>
      </c>
      <c r="N30" s="4004"/>
      <c r="O30" s="2108"/>
      <c r="P30" s="45"/>
      <c r="V30" s="2087"/>
    </row>
    <row r="31" spans="2:28" s="42" customFormat="1" ht="18" hidden="1" customHeight="1">
      <c r="B31" s="273"/>
      <c r="C31" s="47" t="s">
        <v>1469</v>
      </c>
      <c r="D31" s="47"/>
      <c r="E31" s="47"/>
      <c r="F31" s="47"/>
      <c r="G31" s="47"/>
      <c r="H31" s="544"/>
      <c r="I31" s="145"/>
      <c r="J31" s="544"/>
      <c r="K31" s="544"/>
      <c r="L31" s="544"/>
      <c r="M31" s="543"/>
      <c r="N31" s="543"/>
      <c r="O31" s="2107">
        <f>ROUND(SUM(M34:M36),0)</f>
        <v>363</v>
      </c>
      <c r="P31" s="45" t="s">
        <v>1468</v>
      </c>
      <c r="V31" s="2087"/>
    </row>
    <row r="32" spans="2:28" s="42" customFormat="1" ht="18" hidden="1" customHeight="1">
      <c r="B32" s="273"/>
      <c r="C32" s="68"/>
      <c r="D32" s="39" t="s">
        <v>535</v>
      </c>
      <c r="E32" s="38"/>
      <c r="F32" s="555">
        <f>SDÖ1!$O$73</f>
        <v>3</v>
      </c>
      <c r="G32" s="38" t="s">
        <v>113</v>
      </c>
      <c r="H32" s="539"/>
      <c r="I32" s="538"/>
      <c r="J32" s="537"/>
      <c r="K32" s="536"/>
      <c r="L32" s="536"/>
      <c r="M32" s="536"/>
      <c r="N32" s="536"/>
      <c r="O32" s="2106"/>
      <c r="P32" s="45"/>
      <c r="V32" s="2087"/>
    </row>
    <row r="33" spans="1:31" s="42" customFormat="1" ht="18" hidden="1" customHeight="1">
      <c r="B33" s="273"/>
      <c r="C33" s="535"/>
      <c r="D33" s="534" t="s">
        <v>534</v>
      </c>
      <c r="E33" s="532"/>
      <c r="F33" s="533">
        <v>1.5</v>
      </c>
      <c r="G33" s="532" t="s">
        <v>113</v>
      </c>
      <c r="H33" s="531"/>
      <c r="I33" s="530"/>
      <c r="J33" s="530"/>
      <c r="K33" s="530"/>
      <c r="L33" s="530"/>
      <c r="M33" s="529"/>
      <c r="N33" s="536"/>
      <c r="O33" s="2106"/>
      <c r="P33" s="45"/>
      <c r="V33" s="2087"/>
    </row>
    <row r="34" spans="1:31" s="42" customFormat="1" ht="18" hidden="1" customHeight="1">
      <c r="B34" s="273"/>
      <c r="C34" s="526" t="s">
        <v>1467</v>
      </c>
      <c r="D34" s="528"/>
      <c r="E34" s="38"/>
      <c r="F34" s="38"/>
      <c r="G34" s="38"/>
      <c r="H34" s="525">
        <v>12</v>
      </c>
      <c r="I34" s="524">
        <v>5000</v>
      </c>
      <c r="J34" s="523">
        <f>I34*((100+$F$6)/100)</f>
        <v>5000</v>
      </c>
      <c r="K34" s="522">
        <f>IF(H34=0,0,100/H34+$F$32/2+$F$33)</f>
        <v>11.333333333333334</v>
      </c>
      <c r="L34" s="521">
        <v>5</v>
      </c>
      <c r="M34" s="520">
        <f>IF(L34=0,0,J34*K34/100/L34)</f>
        <v>113.33333333333334</v>
      </c>
      <c r="N34" s="3516"/>
      <c r="O34" s="2105"/>
      <c r="P34" s="45"/>
      <c r="V34" s="2087"/>
    </row>
    <row r="35" spans="1:31" s="42" customFormat="1" ht="18" hidden="1" customHeight="1">
      <c r="B35" s="273"/>
      <c r="C35" s="526" t="s">
        <v>1466</v>
      </c>
      <c r="D35" s="528"/>
      <c r="E35" s="38"/>
      <c r="F35" s="38"/>
      <c r="G35" s="38"/>
      <c r="H35" s="525">
        <v>20</v>
      </c>
      <c r="I35" s="524">
        <v>10000</v>
      </c>
      <c r="J35" s="523">
        <f>I35*((100+$F$6)/100)</f>
        <v>10000</v>
      </c>
      <c r="K35" s="522">
        <f>IF(H35=0,0,100/H35+$F$38/2+$F$39)</f>
        <v>5</v>
      </c>
      <c r="L35" s="521">
        <v>2</v>
      </c>
      <c r="M35" s="520">
        <f>IF(L35=0,0,J35*K35/100/L35)</f>
        <v>250</v>
      </c>
      <c r="N35" s="3516"/>
      <c r="O35" s="2105"/>
      <c r="P35" s="45"/>
      <c r="V35" s="2087"/>
    </row>
    <row r="36" spans="1:31" s="42" customFormat="1" ht="18" hidden="1" customHeight="1" thickBot="1">
      <c r="B36" s="273"/>
      <c r="C36" s="2104"/>
      <c r="D36" s="2103"/>
      <c r="E36" s="2103"/>
      <c r="F36" s="2103"/>
      <c r="G36" s="2103"/>
      <c r="H36" s="2102"/>
      <c r="I36" s="2101"/>
      <c r="J36" s="2100">
        <f>I36*((100+$F$6)/100)</f>
        <v>0</v>
      </c>
      <c r="K36" s="2099">
        <f>IF(H36=0,0,100/H36+$F$38/2+$F$39)</f>
        <v>0</v>
      </c>
      <c r="L36" s="2098"/>
      <c r="M36" s="2097">
        <f>IF(L36=0,0,J36*K36/100/L36)</f>
        <v>0</v>
      </c>
      <c r="N36" s="4005"/>
      <c r="O36" s="2096"/>
      <c r="P36" s="45"/>
      <c r="V36" s="2087"/>
    </row>
    <row r="37" spans="1:31" s="42" customFormat="1" ht="18" customHeight="1">
      <c r="A37" s="33"/>
      <c r="B37" s="2095"/>
      <c r="C37" s="35" t="s">
        <v>1465</v>
      </c>
      <c r="D37" s="15"/>
      <c r="E37" s="33"/>
      <c r="F37" s="33"/>
      <c r="G37" s="33"/>
      <c r="H37" s="33"/>
      <c r="I37" s="33"/>
      <c r="J37" s="33"/>
      <c r="K37" s="33"/>
      <c r="L37" s="33"/>
      <c r="M37" s="33"/>
      <c r="N37" s="33"/>
      <c r="O37" s="33"/>
      <c r="P37" s="33"/>
      <c r="V37" s="2087"/>
    </row>
    <row r="38" spans="1:31" s="42" customFormat="1" ht="18" hidden="1" customHeight="1">
      <c r="A38" s="33"/>
      <c r="B38" s="33"/>
      <c r="C38" s="33"/>
      <c r="D38" s="33"/>
      <c r="E38" s="33"/>
      <c r="F38" s="33"/>
      <c r="G38" s="33"/>
      <c r="H38" s="33"/>
      <c r="I38" s="33"/>
      <c r="J38" s="33"/>
      <c r="K38" s="33"/>
      <c r="L38" s="33"/>
      <c r="M38" s="33"/>
      <c r="N38" s="33"/>
      <c r="O38" s="33"/>
      <c r="P38" s="33"/>
      <c r="Q38" s="555"/>
      <c r="V38" s="2087"/>
    </row>
    <row r="39" spans="1:31" s="42" customFormat="1" ht="18" hidden="1" customHeight="1">
      <c r="A39" s="33"/>
      <c r="B39" s="33"/>
      <c r="C39" s="33"/>
      <c r="D39" s="33"/>
      <c r="E39" s="33"/>
      <c r="F39" s="33"/>
      <c r="G39" s="33"/>
      <c r="H39" s="33"/>
      <c r="I39" s="33"/>
      <c r="J39" s="33"/>
      <c r="K39" s="33"/>
      <c r="L39" s="33"/>
      <c r="M39" s="33"/>
      <c r="N39" s="33"/>
      <c r="O39" s="33"/>
      <c r="P39" s="33"/>
      <c r="V39" s="2087"/>
    </row>
    <row r="40" spans="1:31" s="42" customFormat="1" ht="18" hidden="1" customHeight="1">
      <c r="A40" s="33"/>
      <c r="B40" s="33"/>
      <c r="C40" s="33"/>
      <c r="D40" s="33"/>
      <c r="E40" s="33"/>
      <c r="F40" s="33"/>
      <c r="G40" s="33"/>
      <c r="H40" s="33"/>
      <c r="I40" s="33"/>
      <c r="J40" s="33"/>
      <c r="K40" s="33"/>
      <c r="L40" s="33"/>
      <c r="M40" s="33"/>
      <c r="N40" s="33"/>
      <c r="O40" s="33"/>
      <c r="P40" s="33"/>
      <c r="V40" s="2087"/>
    </row>
    <row r="41" spans="1:31" s="42" customFormat="1" ht="18" hidden="1" customHeight="1">
      <c r="A41" s="33"/>
      <c r="B41" s="33"/>
      <c r="C41" s="33"/>
      <c r="D41" s="33"/>
      <c r="E41" s="33"/>
      <c r="F41" s="33"/>
      <c r="G41" s="33"/>
      <c r="H41" s="33"/>
      <c r="I41" s="33"/>
      <c r="J41" s="33"/>
      <c r="K41" s="33"/>
      <c r="L41" s="33"/>
      <c r="M41" s="33"/>
      <c r="N41" s="33"/>
      <c r="O41" s="33"/>
      <c r="P41" s="33"/>
      <c r="V41" s="2087"/>
    </row>
    <row r="42" spans="1:31" s="42" customFormat="1" ht="18" hidden="1" customHeight="1">
      <c r="A42" s="33"/>
      <c r="B42" s="33"/>
      <c r="C42" s="33"/>
      <c r="D42" s="33"/>
      <c r="E42" s="33"/>
      <c r="F42" s="33"/>
      <c r="G42" s="33"/>
      <c r="H42" s="33"/>
      <c r="I42" s="33"/>
      <c r="J42" s="33"/>
      <c r="K42" s="33"/>
      <c r="L42" s="33"/>
      <c r="M42" s="33"/>
      <c r="N42" s="33"/>
      <c r="O42" s="33"/>
      <c r="P42" s="33"/>
      <c r="V42" s="2087"/>
    </row>
    <row r="43" spans="1:31" s="42" customFormat="1" ht="19.149999999999999" customHeight="1">
      <c r="B43" s="51"/>
      <c r="C43" s="53"/>
      <c r="D43" s="53"/>
      <c r="E43" s="53"/>
      <c r="F43" s="53"/>
      <c r="G43" s="53"/>
      <c r="H43" s="510"/>
      <c r="I43" s="512"/>
      <c r="J43" s="512"/>
      <c r="K43" s="511"/>
      <c r="L43" s="510"/>
      <c r="M43" s="509"/>
      <c r="N43" s="509"/>
      <c r="O43" s="508"/>
      <c r="P43" s="45"/>
      <c r="V43" s="2087"/>
    </row>
    <row r="44" spans="1:31" s="42" customFormat="1" ht="19.149999999999999" customHeight="1" thickBot="1">
      <c r="B44" s="227"/>
      <c r="D44" s="2116"/>
      <c r="E44" s="2116"/>
      <c r="F44" s="4384" t="s">
        <v>530</v>
      </c>
      <c r="G44" s="4385"/>
      <c r="H44" s="3503" t="s">
        <v>529</v>
      </c>
      <c r="I44" s="3504"/>
      <c r="J44" s="3505"/>
      <c r="K44" s="3506"/>
      <c r="L44" s="3507"/>
      <c r="M44" s="3507"/>
      <c r="N44" s="3507"/>
      <c r="O44" s="539" t="s">
        <v>528</v>
      </c>
      <c r="U44" s="2087"/>
      <c r="W44" s="226" t="s">
        <v>527</v>
      </c>
      <c r="AE44" s="4016"/>
    </row>
    <row r="45" spans="1:31" s="42" customFormat="1" ht="15.75">
      <c r="B45" s="227"/>
      <c r="C45" s="3428" t="s">
        <v>1464</v>
      </c>
      <c r="D45" s="2116"/>
      <c r="E45" s="2116"/>
      <c r="F45" s="4382"/>
      <c r="G45" s="4383"/>
      <c r="H45" s="507" t="s">
        <v>526</v>
      </c>
      <c r="I45" s="3430">
        <v>2017</v>
      </c>
      <c r="J45" s="3430">
        <f>I45+1</f>
        <v>2018</v>
      </c>
      <c r="K45" s="3431">
        <f>J45+1</f>
        <v>2019</v>
      </c>
      <c r="L45" s="3431">
        <f>K45+1</f>
        <v>2020</v>
      </c>
      <c r="M45" s="3431">
        <f>L45+1</f>
        <v>2021</v>
      </c>
      <c r="N45" s="4006" t="s">
        <v>2032</v>
      </c>
      <c r="O45" s="3508" t="str">
        <f>SDÖ1!O6</f>
        <v>ᴓ 2023</v>
      </c>
      <c r="U45" s="2087"/>
      <c r="W45" s="504" t="s">
        <v>525</v>
      </c>
      <c r="X45" s="503"/>
      <c r="Y45" s="503"/>
      <c r="Z45" s="503"/>
      <c r="AA45" s="502"/>
    </row>
    <row r="46" spans="1:31" s="42" customFormat="1" ht="16.5" thickBot="1">
      <c r="B46" s="3509"/>
      <c r="C46" s="3527" t="s">
        <v>1463</v>
      </c>
      <c r="D46" s="2314"/>
      <c r="E46" s="2314"/>
      <c r="F46" s="3432"/>
      <c r="G46" s="3433"/>
      <c r="H46" s="3434" t="s">
        <v>113</v>
      </c>
      <c r="I46" s="3435"/>
      <c r="J46" s="3436"/>
      <c r="K46" s="3437"/>
      <c r="L46" s="3438"/>
      <c r="M46" s="3438"/>
      <c r="N46" s="4007"/>
      <c r="O46" s="3510"/>
      <c r="Q46" s="376" t="s">
        <v>1462</v>
      </c>
      <c r="U46" s="2087"/>
      <c r="W46" s="501" t="s">
        <v>524</v>
      </c>
      <c r="X46" s="500"/>
      <c r="Y46" s="500"/>
      <c r="Z46" s="500"/>
      <c r="AA46" s="499"/>
    </row>
    <row r="47" spans="1:31" s="42" customFormat="1" ht="18" thickBot="1">
      <c r="B47" s="45"/>
      <c r="C47" s="3511" t="s">
        <v>1461</v>
      </c>
      <c r="D47" s="68"/>
      <c r="E47" s="68"/>
      <c r="F47" s="4394" t="s">
        <v>523</v>
      </c>
      <c r="G47" s="4354"/>
      <c r="H47" s="492"/>
      <c r="I47" s="2094"/>
      <c r="J47" s="2094"/>
      <c r="K47" s="2094"/>
      <c r="L47" s="2093"/>
      <c r="M47" s="2093"/>
      <c r="N47" s="4008"/>
      <c r="O47" s="3512"/>
      <c r="Q47" s="376"/>
      <c r="U47" s="2087"/>
      <c r="W47" s="498"/>
      <c r="X47" s="497"/>
      <c r="Y47" s="497"/>
      <c r="Z47" s="497"/>
      <c r="AA47" s="496"/>
    </row>
    <row r="48" spans="1:31" s="42" customFormat="1" ht="13.7" customHeight="1">
      <c r="B48" s="45"/>
      <c r="C48" s="4387" t="s">
        <v>1460</v>
      </c>
      <c r="D48" s="4387"/>
      <c r="E48" s="38" t="s">
        <v>179</v>
      </c>
      <c r="F48" s="4395"/>
      <c r="G48" s="4356"/>
      <c r="H48" s="2092"/>
      <c r="I48" s="2094">
        <v>200</v>
      </c>
      <c r="J48" s="2094">
        <v>200</v>
      </c>
      <c r="K48" s="3841">
        <v>223</v>
      </c>
      <c r="L48" s="3845">
        <v>230</v>
      </c>
      <c r="M48" s="3315">
        <v>250</v>
      </c>
      <c r="N48" s="3992">
        <f>AVERAGE(K48:M48)</f>
        <v>234.33333333333334</v>
      </c>
      <c r="O48" s="3512" t="e">
        <f>HLOOKUP($O$45,$I$45:N48,4,FALSE)</f>
        <v>#N/A</v>
      </c>
      <c r="Q48" s="376"/>
      <c r="U48" s="2087"/>
      <c r="AA48" s="2091"/>
      <c r="AB48" s="2091"/>
      <c r="AE48" s="4003"/>
    </row>
    <row r="49" spans="1:28" s="42" customFormat="1" ht="15">
      <c r="B49" s="45"/>
      <c r="C49" s="4387"/>
      <c r="D49" s="4387"/>
      <c r="E49" s="38" t="s">
        <v>152</v>
      </c>
      <c r="F49" s="4395"/>
      <c r="G49" s="4356"/>
      <c r="H49" s="492"/>
      <c r="I49" s="2094">
        <v>250</v>
      </c>
      <c r="J49" s="2094">
        <v>250</v>
      </c>
      <c r="K49" s="3841">
        <v>230</v>
      </c>
      <c r="L49" s="3845">
        <v>250</v>
      </c>
      <c r="M49" s="3315">
        <v>300</v>
      </c>
      <c r="N49" s="3992">
        <f>AVERAGE(K49:M49)</f>
        <v>260</v>
      </c>
      <c r="O49" s="3512" t="e">
        <f>HLOOKUP($O$45,$I$45:N49,5,FALSE)</f>
        <v>#N/A</v>
      </c>
      <c r="Q49" s="376"/>
      <c r="U49" s="2090"/>
      <c r="W49" s="376" t="s">
        <v>519</v>
      </c>
    </row>
    <row r="50" spans="1:28" s="42" customFormat="1" ht="14.25">
      <c r="B50" s="279"/>
      <c r="C50" s="4388"/>
      <c r="D50" s="4388"/>
      <c r="E50" s="2089" t="s">
        <v>178</v>
      </c>
      <c r="F50" s="4396"/>
      <c r="G50" s="4358"/>
      <c r="H50" s="495"/>
      <c r="I50" s="3526">
        <v>300</v>
      </c>
      <c r="J50" s="3526">
        <v>300</v>
      </c>
      <c r="K50" s="3842">
        <v>255</v>
      </c>
      <c r="L50" s="3846">
        <v>270</v>
      </c>
      <c r="M50" s="3316">
        <v>350</v>
      </c>
      <c r="N50" s="3993">
        <f>AVERAGE(K50:M50)</f>
        <v>291.66666666666669</v>
      </c>
      <c r="O50" s="3512" t="e">
        <f>HLOOKUP($O$45,$I$45:N50,6,FALSE)</f>
        <v>#N/A</v>
      </c>
      <c r="Q50" s="376" t="s">
        <v>1459</v>
      </c>
      <c r="U50" s="2087"/>
    </row>
    <row r="51" spans="1:28" s="42" customFormat="1" ht="14.25" customHeight="1">
      <c r="B51" s="45"/>
      <c r="C51" s="68" t="s">
        <v>1458</v>
      </c>
      <c r="D51" s="68"/>
      <c r="E51" s="68"/>
      <c r="F51" s="4369" t="s">
        <v>171</v>
      </c>
      <c r="G51" s="4370"/>
      <c r="H51" s="4386">
        <f>SDÖ1!O12</f>
        <v>0</v>
      </c>
      <c r="I51" s="3839">
        <v>100</v>
      </c>
      <c r="J51" s="3839">
        <v>115</v>
      </c>
      <c r="K51" s="3841">
        <v>115</v>
      </c>
      <c r="L51" s="4389">
        <v>115</v>
      </c>
      <c r="M51" s="4389">
        <v>115</v>
      </c>
      <c r="N51" s="4389">
        <f>AVERAGE(K51:M51)</f>
        <v>115</v>
      </c>
      <c r="O51" s="4391" t="e">
        <f>HLOOKUP($O$45,$I$45:N52,7,FALSE)</f>
        <v>#N/A</v>
      </c>
      <c r="Q51" s="376"/>
      <c r="U51" s="2087"/>
      <c r="V51" s="3475"/>
      <c r="W51" s="4366" t="s">
        <v>516</v>
      </c>
      <c r="X51" s="4366"/>
      <c r="Y51" s="4366"/>
      <c r="Z51" s="4366"/>
      <c r="AA51" s="4366"/>
      <c r="AB51" s="4366"/>
    </row>
    <row r="52" spans="1:28" s="42" customFormat="1" ht="15">
      <c r="B52" s="279"/>
      <c r="C52" s="472" t="s">
        <v>1457</v>
      </c>
      <c r="D52" s="301"/>
      <c r="E52" s="301"/>
      <c r="F52" s="488"/>
      <c r="G52" s="487"/>
      <c r="H52" s="4348"/>
      <c r="I52" s="3840"/>
      <c r="J52" s="3840"/>
      <c r="K52" s="3842"/>
      <c r="L52" s="4390"/>
      <c r="M52" s="4390"/>
      <c r="N52" s="4390"/>
      <c r="O52" s="4392" t="e">
        <f>HLOOKUP($O$45,$I$45:L52,4,FALSE)</f>
        <v>#N/A</v>
      </c>
      <c r="P52" s="42" t="s">
        <v>1213</v>
      </c>
      <c r="U52" s="2087"/>
      <c r="V52" s="3475"/>
      <c r="W52" s="4366"/>
      <c r="X52" s="4366"/>
      <c r="Y52" s="4366"/>
      <c r="Z52" s="4366"/>
      <c r="AA52" s="4366"/>
      <c r="AB52" s="4366"/>
    </row>
    <row r="53" spans="1:28" s="42" customFormat="1" ht="15">
      <c r="B53" s="45"/>
      <c r="C53" s="68" t="s">
        <v>515</v>
      </c>
      <c r="D53" s="68"/>
      <c r="E53" s="68"/>
      <c r="F53" s="4369" t="s">
        <v>514</v>
      </c>
      <c r="G53" s="4370"/>
      <c r="H53" s="289"/>
      <c r="I53" s="3843">
        <v>15.5</v>
      </c>
      <c r="J53" s="3843">
        <v>16</v>
      </c>
      <c r="K53" s="3844">
        <v>16.5</v>
      </c>
      <c r="L53" s="4393">
        <v>16.5</v>
      </c>
      <c r="M53" s="4393">
        <v>16.5</v>
      </c>
      <c r="N53" s="4393">
        <f>AVERAGE(K53:M53)</f>
        <v>16.5</v>
      </c>
      <c r="O53" s="4397" t="e">
        <f>HLOOKUP($O$45,$I$45:N53,9,FALSE)</f>
        <v>#N/A</v>
      </c>
      <c r="U53" s="2087"/>
    </row>
    <row r="54" spans="1:28" s="42" customFormat="1" ht="15">
      <c r="B54" s="45"/>
      <c r="C54" s="323" t="s">
        <v>513</v>
      </c>
      <c r="D54" s="68"/>
      <c r="E54" s="68"/>
      <c r="F54" s="494"/>
      <c r="G54" s="493"/>
      <c r="H54" s="289"/>
      <c r="I54" s="3843"/>
      <c r="J54" s="3843"/>
      <c r="K54" s="3844"/>
      <c r="L54" s="4393"/>
      <c r="M54" s="4393"/>
      <c r="N54" s="4393"/>
      <c r="O54" s="4397" t="e">
        <f>HLOOKUP($O$45,$I$45:L54,4,FALSE)</f>
        <v>#N/A</v>
      </c>
      <c r="U54" s="2087"/>
    </row>
    <row r="55" spans="1:28" s="42" customFormat="1" ht="14.25">
      <c r="B55" s="33"/>
      <c r="C55" s="35" t="s">
        <v>1456</v>
      </c>
      <c r="D55" s="33"/>
      <c r="E55" s="33"/>
      <c r="F55" s="33"/>
      <c r="G55" s="33"/>
      <c r="H55" s="33"/>
      <c r="I55" s="33"/>
      <c r="J55" s="33"/>
      <c r="K55" s="33"/>
      <c r="L55" s="33"/>
      <c r="M55" s="33"/>
      <c r="N55" s="33"/>
      <c r="O55" s="33"/>
      <c r="P55" s="376"/>
      <c r="V55" s="2087"/>
    </row>
    <row r="56" spans="1:28" s="42" customFormat="1" ht="14.25">
      <c r="B56" s="33"/>
      <c r="C56" s="33"/>
      <c r="D56" s="33"/>
      <c r="E56" s="33"/>
      <c r="F56" s="33"/>
      <c r="G56" s="33"/>
      <c r="H56" s="33"/>
      <c r="I56" s="33"/>
      <c r="J56" s="33"/>
      <c r="K56" s="33"/>
      <c r="L56" s="33"/>
      <c r="M56" s="33"/>
      <c r="N56" s="33"/>
      <c r="O56" s="33"/>
      <c r="P56" s="376"/>
      <c r="V56" s="2087"/>
    </row>
    <row r="57" spans="1:28" ht="9" customHeight="1">
      <c r="B57" s="31"/>
      <c r="C57" s="31"/>
      <c r="D57" s="31"/>
      <c r="E57" s="31"/>
      <c r="F57" s="31"/>
      <c r="G57" s="31"/>
      <c r="H57" s="31"/>
      <c r="I57" s="31"/>
      <c r="J57" s="31"/>
      <c r="K57" s="31"/>
      <c r="L57" s="31"/>
      <c r="M57" s="31"/>
      <c r="N57" s="3994"/>
      <c r="O57" s="31"/>
      <c r="P57" s="31"/>
    </row>
    <row r="58" spans="1:28" ht="19.149999999999999" customHeight="1">
      <c r="A58" s="49"/>
      <c r="C58" s="42"/>
      <c r="D58" s="31"/>
      <c r="E58" s="31"/>
      <c r="F58" s="31"/>
      <c r="G58" s="31"/>
      <c r="H58" s="31"/>
      <c r="I58" s="31"/>
      <c r="J58" s="31"/>
      <c r="K58" s="31"/>
      <c r="L58" s="31"/>
      <c r="M58" s="31"/>
      <c r="N58" s="3994"/>
      <c r="O58" s="31"/>
      <c r="P58" s="31"/>
    </row>
    <row r="59" spans="1:28" ht="19.149999999999999" customHeight="1">
      <c r="A59" s="49"/>
      <c r="C59" s="42"/>
      <c r="D59" s="31"/>
      <c r="E59" s="31"/>
      <c r="F59" s="35"/>
      <c r="G59" s="35"/>
      <c r="H59" s="35"/>
      <c r="I59" s="35"/>
      <c r="J59" s="35"/>
      <c r="K59" s="35"/>
      <c r="L59" s="35"/>
      <c r="M59" s="31"/>
      <c r="N59" s="3994"/>
      <c r="O59" s="31"/>
      <c r="P59" s="31"/>
    </row>
    <row r="60" spans="1:28" ht="19.149999999999999" customHeight="1">
      <c r="A60" s="49"/>
      <c r="C60" s="65"/>
      <c r="D60" s="31"/>
      <c r="E60" s="31"/>
      <c r="F60" s="31"/>
      <c r="G60" s="31"/>
      <c r="H60" s="31"/>
      <c r="I60" s="31"/>
      <c r="J60" s="31"/>
      <c r="K60" s="31"/>
      <c r="L60" s="31"/>
      <c r="M60" s="31"/>
      <c r="N60" s="3994"/>
      <c r="O60" s="31"/>
      <c r="P60" s="31"/>
    </row>
    <row r="61" spans="1:28" s="42" customFormat="1" ht="19.149999999999999" hidden="1" customHeight="1">
      <c r="C61" s="42" t="s">
        <v>1455</v>
      </c>
      <c r="V61" s="2087"/>
    </row>
    <row r="62" spans="1:28" s="42" customFormat="1" ht="16.899999999999999" customHeight="1">
      <c r="J62" s="485"/>
      <c r="V62" s="2087"/>
    </row>
    <row r="63" spans="1:28" s="42" customFormat="1" ht="16.899999999999999" customHeight="1">
      <c r="V63" s="2087"/>
    </row>
    <row r="64" spans="1:28" s="42" customFormat="1" ht="16.899999999999999" customHeight="1">
      <c r="V64" s="2087"/>
    </row>
    <row r="65" spans="22:22" s="42" customFormat="1" ht="16.899999999999999" customHeight="1">
      <c r="V65" s="2087"/>
    </row>
    <row r="66" spans="22:22" s="42" customFormat="1" ht="16.899999999999999" customHeight="1">
      <c r="V66" s="2087"/>
    </row>
    <row r="67" spans="22:22" s="42" customFormat="1" ht="16.899999999999999" customHeight="1">
      <c r="V67" s="2087"/>
    </row>
    <row r="68" spans="22:22" s="42" customFormat="1" ht="16.899999999999999" customHeight="1">
      <c r="V68" s="2087"/>
    </row>
    <row r="69" spans="22:22" s="42" customFormat="1" ht="16.899999999999999" customHeight="1">
      <c r="V69" s="2087"/>
    </row>
    <row r="70" spans="22:22" s="42" customFormat="1" ht="16.149999999999999" customHeight="1">
      <c r="V70" s="2087"/>
    </row>
    <row r="71" spans="22:22" s="42" customFormat="1" ht="16.149999999999999" customHeight="1">
      <c r="V71" s="2087"/>
    </row>
    <row r="72" spans="22:22" s="42" customFormat="1" ht="16.149999999999999" customHeight="1">
      <c r="V72" s="2087"/>
    </row>
    <row r="73" spans="22:22" s="42" customFormat="1" ht="16.149999999999999" customHeight="1">
      <c r="V73" s="2087"/>
    </row>
    <row r="74" spans="22:22" s="42" customFormat="1" ht="16.149999999999999" customHeight="1">
      <c r="V74" s="2087"/>
    </row>
    <row r="75" spans="22:22" s="42" customFormat="1" ht="16.149999999999999" customHeight="1">
      <c r="V75" s="2087"/>
    </row>
    <row r="76" spans="22:22" s="42" customFormat="1" ht="16.149999999999999" customHeight="1">
      <c r="V76" s="2087"/>
    </row>
    <row r="77" spans="22:22" s="42" customFormat="1" ht="16.149999999999999" customHeight="1">
      <c r="V77" s="2087"/>
    </row>
    <row r="78" spans="22:22" s="42" customFormat="1" ht="16.149999999999999" customHeight="1">
      <c r="V78" s="2087"/>
    </row>
    <row r="79" spans="22:22" s="42" customFormat="1" ht="16.149999999999999" customHeight="1">
      <c r="V79" s="2087"/>
    </row>
    <row r="80" spans="22:22" s="42" customFormat="1" ht="16.149999999999999" customHeight="1">
      <c r="V80" s="2087"/>
    </row>
    <row r="81" spans="22:22" s="42" customFormat="1" ht="16.149999999999999" customHeight="1">
      <c r="V81" s="2087"/>
    </row>
    <row r="82" spans="22:22" s="42" customFormat="1" ht="16.149999999999999" customHeight="1">
      <c r="V82" s="2087"/>
    </row>
    <row r="83" spans="22:22" s="42" customFormat="1" ht="16.149999999999999" customHeight="1">
      <c r="V83" s="2087"/>
    </row>
    <row r="84" spans="22:22" s="42" customFormat="1" ht="16.149999999999999" customHeight="1">
      <c r="V84" s="2087"/>
    </row>
    <row r="85" spans="22:22" s="42" customFormat="1" ht="16.149999999999999" customHeight="1">
      <c r="V85" s="2087"/>
    </row>
    <row r="86" spans="22:22" s="42" customFormat="1" ht="16.149999999999999" customHeight="1">
      <c r="V86" s="2087"/>
    </row>
    <row r="87" spans="22:22" s="42" customFormat="1" ht="16.149999999999999" customHeight="1">
      <c r="V87" s="2087"/>
    </row>
    <row r="88" spans="22:22" s="42" customFormat="1" ht="16.5" customHeight="1">
      <c r="V88" s="2087"/>
    </row>
    <row r="89" spans="22:22" s="42" customFormat="1" ht="16.5" customHeight="1">
      <c r="V89" s="2087"/>
    </row>
    <row r="90" spans="22:22" s="42" customFormat="1" ht="16.5" customHeight="1">
      <c r="V90" s="2087"/>
    </row>
    <row r="91" spans="22:22" s="42" customFormat="1" ht="16.5" customHeight="1">
      <c r="V91" s="2087"/>
    </row>
    <row r="92" spans="22:22" s="42" customFormat="1" ht="16.5" customHeight="1">
      <c r="V92" s="2087"/>
    </row>
    <row r="93" spans="22:22" s="42" customFormat="1" ht="16.5" customHeight="1">
      <c r="V93" s="2087"/>
    </row>
    <row r="94" spans="22:22" s="42" customFormat="1" ht="16.5" customHeight="1">
      <c r="V94" s="2087"/>
    </row>
    <row r="95" spans="22:22" s="42" customFormat="1" ht="16.5" customHeight="1">
      <c r="V95" s="2087"/>
    </row>
    <row r="96" spans="22:22" s="42" customFormat="1" ht="16.5" customHeight="1">
      <c r="V96" s="2087"/>
    </row>
    <row r="97" spans="22:22" s="42" customFormat="1" ht="16.5" customHeight="1">
      <c r="V97" s="2087"/>
    </row>
    <row r="98" spans="22:22" s="42" customFormat="1" ht="16.5" customHeight="1">
      <c r="V98" s="2087"/>
    </row>
    <row r="99" spans="22:22" s="42" customFormat="1" ht="16.5" customHeight="1">
      <c r="V99" s="2087"/>
    </row>
    <row r="100" spans="22:22" s="42" customFormat="1" ht="16.5" customHeight="1">
      <c r="V100" s="2087"/>
    </row>
    <row r="101" spans="22:22" s="42" customFormat="1" ht="16.5" customHeight="1">
      <c r="V101" s="2087"/>
    </row>
    <row r="102" spans="22:22" s="42" customFormat="1" ht="16.5" customHeight="1">
      <c r="V102" s="2087"/>
    </row>
    <row r="103" spans="22:22" s="42" customFormat="1" ht="16.5" customHeight="1">
      <c r="V103" s="2087"/>
    </row>
    <row r="104" spans="22:22" s="42" customFormat="1" ht="16.5" customHeight="1">
      <c r="V104" s="2087"/>
    </row>
    <row r="105" spans="22:22" s="42" customFormat="1" ht="16.5" customHeight="1">
      <c r="V105" s="2087"/>
    </row>
    <row r="106" spans="22:22" s="42" customFormat="1" ht="16.5" customHeight="1">
      <c r="V106" s="2087"/>
    </row>
    <row r="107" spans="22:22" s="42" customFormat="1" ht="16.5" customHeight="1">
      <c r="V107" s="2087"/>
    </row>
    <row r="108" spans="22:22" s="42" customFormat="1" ht="16.5" customHeight="1">
      <c r="V108" s="2087"/>
    </row>
    <row r="109" spans="22:22" s="42" customFormat="1" ht="16.5" customHeight="1">
      <c r="V109" s="2087"/>
    </row>
    <row r="110" spans="22:22" s="42" customFormat="1" ht="16.5" customHeight="1">
      <c r="V110" s="2087"/>
    </row>
    <row r="111" spans="22:22" s="42" customFormat="1" ht="16.5" customHeight="1">
      <c r="V111" s="2087"/>
    </row>
    <row r="112" spans="22:22" s="42" customFormat="1" ht="16.5" customHeight="1">
      <c r="V112" s="2087"/>
    </row>
    <row r="113" spans="22:22" s="42" customFormat="1" ht="16.5" customHeight="1">
      <c r="V113" s="2087"/>
    </row>
    <row r="114" spans="22:22" s="42" customFormat="1" ht="16.5" customHeight="1">
      <c r="V114" s="2087"/>
    </row>
    <row r="115" spans="22:22" s="42" customFormat="1" ht="16.5" customHeight="1">
      <c r="V115" s="2087"/>
    </row>
    <row r="116" spans="22:22" s="42" customFormat="1" ht="16.5" customHeight="1">
      <c r="V116" s="2087"/>
    </row>
    <row r="117" spans="22:22" s="42" customFormat="1" ht="16.5" customHeight="1">
      <c r="V117" s="2087"/>
    </row>
    <row r="118" spans="22:22" s="42" customFormat="1" ht="16.5" customHeight="1">
      <c r="V118" s="2087"/>
    </row>
    <row r="119" spans="22:22" s="42" customFormat="1" ht="16.5" customHeight="1">
      <c r="V119" s="2087"/>
    </row>
    <row r="120" spans="22:22" s="42" customFormat="1" ht="16.5" customHeight="1">
      <c r="V120" s="2087"/>
    </row>
    <row r="121" spans="22:22" s="42" customFormat="1" ht="16.5" customHeight="1">
      <c r="V121" s="2087"/>
    </row>
    <row r="122" spans="22:22" s="42" customFormat="1" ht="16.5" customHeight="1">
      <c r="V122" s="2087"/>
    </row>
    <row r="123" spans="22:22" s="42" customFormat="1" ht="16.5" customHeight="1">
      <c r="V123" s="2087"/>
    </row>
    <row r="124" spans="22:22" s="42" customFormat="1" ht="16.5" customHeight="1">
      <c r="V124" s="2087"/>
    </row>
    <row r="125" spans="22:22" s="42" customFormat="1" ht="16.5" customHeight="1">
      <c r="V125" s="2087"/>
    </row>
    <row r="126" spans="22:22" s="42" customFormat="1" ht="16.5" customHeight="1">
      <c r="V126" s="2087"/>
    </row>
    <row r="127" spans="22:22" s="42" customFormat="1" ht="16.5" customHeight="1">
      <c r="V127" s="2087"/>
    </row>
    <row r="128" spans="22:22" s="42" customFormat="1" ht="16.5" customHeight="1">
      <c r="V128" s="2087"/>
    </row>
    <row r="129" spans="22:22" s="42" customFormat="1" ht="16.5" customHeight="1">
      <c r="V129" s="2087"/>
    </row>
    <row r="130" spans="22:22" s="42" customFormat="1" ht="16.5" customHeight="1">
      <c r="V130" s="2087"/>
    </row>
    <row r="131" spans="22:22" s="42" customFormat="1" ht="16.5" customHeight="1">
      <c r="V131" s="2087"/>
    </row>
    <row r="132" spans="22:22" s="42" customFormat="1" ht="16.5" customHeight="1">
      <c r="V132" s="2087"/>
    </row>
    <row r="133" spans="22:22" s="42" customFormat="1" ht="16.5" customHeight="1">
      <c r="V133" s="2087"/>
    </row>
  </sheetData>
  <sheetProtection sheet="1" selectLockedCells="1"/>
  <mergeCells count="16">
    <mergeCell ref="C48:D50"/>
    <mergeCell ref="L51:L52"/>
    <mergeCell ref="O51:O52"/>
    <mergeCell ref="F53:G53"/>
    <mergeCell ref="L53:L54"/>
    <mergeCell ref="M51:M52"/>
    <mergeCell ref="M53:M54"/>
    <mergeCell ref="F47:G50"/>
    <mergeCell ref="O53:O54"/>
    <mergeCell ref="N51:N52"/>
    <mergeCell ref="N53:N54"/>
    <mergeCell ref="W51:AB52"/>
    <mergeCell ref="F45:G45"/>
    <mergeCell ref="F44:G44"/>
    <mergeCell ref="F51:G51"/>
    <mergeCell ref="H51:H52"/>
  </mergeCells>
  <printOptions horizontalCentered="1"/>
  <pageMargins left="0.59055118110236227" right="0.57999999999999996" top="0.59055118110236227" bottom="0.59055118110236227" header="0.39370078740157483" footer="0.39370078740157483"/>
  <pageSetup paperSize="9" scale="76" firstPageNumber="10" orientation="landscape" useFirstPageNumber="1" r:id="rId1"/>
  <headerFooter alignWithMargins="0">
    <oddFooter>&amp;L&amp;11LEL Schwäbisch Gmünd&amp;C&amp;11 &amp;R&amp;11&amp;F</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9">
    <tabColor rgb="FF00B0F0"/>
    <pageSetUpPr fitToPage="1"/>
  </sheetPr>
  <dimension ref="A1:BG313"/>
  <sheetViews>
    <sheetView showZeros="0" zoomScaleNormal="100" workbookViewId="0"/>
  </sheetViews>
  <sheetFormatPr baseColWidth="10" defaultColWidth="11.625" defaultRowHeight="15"/>
  <cols>
    <col min="1" max="1" width="1.75" style="3669" customWidth="1"/>
    <col min="2" max="2" width="5.5" style="2121" bestFit="1" customWidth="1"/>
    <col min="3" max="3" width="22.5" style="2120" customWidth="1"/>
    <col min="4" max="4" width="13.75" style="2122" customWidth="1"/>
    <col min="5" max="5" width="6.75" style="2121" customWidth="1"/>
    <col min="6" max="15" width="9.5" style="2120" customWidth="1"/>
    <col min="16" max="16" width="8.625" style="2120" hidden="1" customWidth="1"/>
    <col min="17" max="32" width="9.5" style="2120" customWidth="1"/>
    <col min="33" max="33" width="14.125" style="2120" hidden="1" customWidth="1"/>
    <col min="34" max="34" width="9.5" style="2120" hidden="1" customWidth="1"/>
    <col min="35" max="35" width="5" style="2120" hidden="1" customWidth="1"/>
    <col min="36" max="36" width="16" style="2120" hidden="1" customWidth="1"/>
    <col min="37" max="41" width="5" style="2120" hidden="1" customWidth="1"/>
    <col min="42" max="42" width="5.5" style="2120" hidden="1" customWidth="1"/>
    <col min="43" max="46" width="5" style="2120" hidden="1" customWidth="1"/>
    <col min="47" max="47" width="5.75" style="2120" hidden="1" customWidth="1"/>
    <col min="48" max="48" width="11.625" style="2120" hidden="1" customWidth="1"/>
    <col min="49" max="49" width="4.625" style="2120" hidden="1" customWidth="1"/>
    <col min="50" max="50" width="1.75" style="2120" hidden="1" customWidth="1"/>
    <col min="51" max="51" width="5.5" style="2120" hidden="1" customWidth="1"/>
    <col min="52" max="52" width="11.625" style="2120" hidden="1" customWidth="1"/>
    <col min="53" max="53" width="9" style="2120" hidden="1" customWidth="1"/>
    <col min="54" max="54" width="11.625" style="2120" hidden="1" customWidth="1"/>
    <col min="55" max="55" width="4.25" style="2120" hidden="1" customWidth="1"/>
    <col min="56" max="56" width="2.75" style="2120" hidden="1" customWidth="1"/>
    <col min="57" max="57" width="1.125" style="2120" hidden="1" customWidth="1"/>
    <col min="58" max="58" width="1.625" style="2120" customWidth="1"/>
    <col min="59" max="16384" width="11.625" style="2120"/>
  </cols>
  <sheetData>
    <row r="1" spans="1:59">
      <c r="A1" s="3754"/>
      <c r="AP1" s="2162" t="s">
        <v>676</v>
      </c>
    </row>
    <row r="2" spans="1:59" ht="30">
      <c r="B2" s="2158" t="s">
        <v>675</v>
      </c>
      <c r="AP2" s="2158" t="str">
        <f>B2</f>
        <v>Pflanzenschutzmittel</v>
      </c>
    </row>
    <row r="3" spans="1:59" ht="15.75" thickBot="1">
      <c r="C3" s="2162" t="s">
        <v>2214</v>
      </c>
    </row>
    <row r="4" spans="1:59" ht="21.4" customHeight="1" thickBot="1">
      <c r="B4" s="3646" t="s">
        <v>591</v>
      </c>
      <c r="C4" s="3647" t="s">
        <v>589</v>
      </c>
      <c r="D4" s="3648" t="s">
        <v>590</v>
      </c>
      <c r="E4" s="3649" t="s">
        <v>337</v>
      </c>
      <c r="F4" s="3649" t="s">
        <v>588</v>
      </c>
      <c r="G4" s="3650" t="s">
        <v>84</v>
      </c>
      <c r="H4" s="3650" t="s">
        <v>587</v>
      </c>
      <c r="I4" s="3650" t="s">
        <v>586</v>
      </c>
      <c r="J4" s="3650" t="s">
        <v>585</v>
      </c>
      <c r="K4" s="3650" t="s">
        <v>584</v>
      </c>
      <c r="L4" s="3650" t="s">
        <v>583</v>
      </c>
      <c r="M4" s="3650" t="s">
        <v>582</v>
      </c>
      <c r="N4" s="3650" t="s">
        <v>75</v>
      </c>
      <c r="O4" s="3650" t="s">
        <v>73</v>
      </c>
      <c r="P4" s="3650" t="s">
        <v>581</v>
      </c>
      <c r="Q4" s="3650" t="s">
        <v>580</v>
      </c>
      <c r="R4" s="3650" t="s">
        <v>579</v>
      </c>
      <c r="S4" s="3650" t="s">
        <v>578</v>
      </c>
      <c r="T4" s="3650" t="s">
        <v>577</v>
      </c>
      <c r="U4" s="3650" t="s">
        <v>576</v>
      </c>
      <c r="V4" s="3650" t="s">
        <v>58</v>
      </c>
      <c r="W4" s="3650" t="s">
        <v>57</v>
      </c>
      <c r="X4" s="3650" t="s">
        <v>575</v>
      </c>
      <c r="Y4" s="3650" t="s">
        <v>574</v>
      </c>
      <c r="Z4" s="3650" t="s">
        <v>50</v>
      </c>
      <c r="AA4" s="3650" t="s">
        <v>573</v>
      </c>
      <c r="AB4" s="3650" t="s">
        <v>572</v>
      </c>
      <c r="AC4" s="3650" t="s">
        <v>571</v>
      </c>
      <c r="AD4" s="3650" t="s">
        <v>570</v>
      </c>
      <c r="AE4" s="3650" t="s">
        <v>569</v>
      </c>
      <c r="AF4" s="3651" t="s">
        <v>568</v>
      </c>
    </row>
    <row r="5" spans="1:59" s="3669" customFormat="1" ht="18">
      <c r="B5" s="2136">
        <v>1</v>
      </c>
      <c r="C5" s="3654"/>
      <c r="D5" s="4019"/>
      <c r="E5" s="3656"/>
      <c r="F5" s="598"/>
      <c r="G5" s="597"/>
      <c r="H5" s="597"/>
      <c r="I5" s="597"/>
      <c r="J5" s="597"/>
      <c r="K5" s="597"/>
      <c r="L5" s="597"/>
      <c r="M5" s="597"/>
      <c r="N5" s="597"/>
      <c r="O5" s="597"/>
      <c r="P5" s="597"/>
      <c r="Q5" s="597"/>
      <c r="R5" s="597"/>
      <c r="S5" s="597"/>
      <c r="T5" s="597"/>
      <c r="U5" s="597"/>
      <c r="V5" s="597"/>
      <c r="W5" s="597"/>
      <c r="X5" s="597"/>
      <c r="Y5" s="597"/>
      <c r="Z5" s="597"/>
      <c r="AA5" s="597"/>
      <c r="AB5" s="597"/>
      <c r="AC5" s="597"/>
      <c r="AD5" s="3674"/>
      <c r="AE5" s="3674"/>
      <c r="AF5" s="3729"/>
      <c r="AG5" s="3676">
        <f t="shared" ref="AG5:AG68" si="0">IF(AND(I5="x",X5="x"),1,0)</f>
        <v>0</v>
      </c>
      <c r="BG5" s="3730"/>
    </row>
    <row r="6" spans="1:59" ht="18">
      <c r="B6" s="2136">
        <f t="shared" ref="B6:B69" si="1">B5+1</f>
        <v>2</v>
      </c>
      <c r="C6" s="3654" t="s">
        <v>2026</v>
      </c>
      <c r="D6" s="3655">
        <v>157.80000000000001</v>
      </c>
      <c r="E6" s="3656" t="s">
        <v>596</v>
      </c>
      <c r="F6" s="598"/>
      <c r="G6" s="597"/>
      <c r="H6" s="597"/>
      <c r="I6" s="597"/>
      <c r="J6" s="597"/>
      <c r="K6" s="597"/>
      <c r="L6" s="597"/>
      <c r="M6" s="597"/>
      <c r="N6" s="597"/>
      <c r="O6" s="597"/>
      <c r="P6" s="597" t="s">
        <v>168</v>
      </c>
      <c r="Q6" s="597" t="s">
        <v>168</v>
      </c>
      <c r="R6" s="597" t="s">
        <v>168</v>
      </c>
      <c r="S6" s="597"/>
      <c r="T6" s="597"/>
      <c r="U6" s="597"/>
      <c r="V6" s="597"/>
      <c r="W6" s="597"/>
      <c r="X6" s="597"/>
      <c r="Y6" s="597"/>
      <c r="Z6" s="597"/>
      <c r="AA6" s="597"/>
      <c r="AB6" s="597"/>
      <c r="AC6" s="597"/>
      <c r="AD6" s="597" t="s">
        <v>168</v>
      </c>
      <c r="AE6" s="597"/>
      <c r="AF6" s="599"/>
      <c r="AG6" s="2121">
        <f t="shared" si="0"/>
        <v>0</v>
      </c>
      <c r="AI6" s="2120" t="s">
        <v>598</v>
      </c>
      <c r="AJ6" s="3657" t="s">
        <v>673</v>
      </c>
      <c r="AP6" s="3658" t="s">
        <v>598</v>
      </c>
      <c r="AQ6" s="3659" t="s">
        <v>673</v>
      </c>
      <c r="AR6" s="3660"/>
      <c r="AS6" s="3660"/>
      <c r="AT6" s="3661"/>
      <c r="BG6" s="3662"/>
    </row>
    <row r="7" spans="1:59" ht="18">
      <c r="B7" s="2136">
        <f t="shared" si="1"/>
        <v>3</v>
      </c>
      <c r="C7" s="3654" t="s">
        <v>670</v>
      </c>
      <c r="D7" s="3655">
        <v>35.5</v>
      </c>
      <c r="E7" s="3656" t="s">
        <v>596</v>
      </c>
      <c r="F7" s="598"/>
      <c r="G7" s="597"/>
      <c r="H7" s="597"/>
      <c r="I7" s="597"/>
      <c r="J7" s="597"/>
      <c r="K7" s="597"/>
      <c r="L7" s="597"/>
      <c r="M7" s="597"/>
      <c r="N7" s="597"/>
      <c r="O7" s="597"/>
      <c r="P7" s="597"/>
      <c r="Q7" s="597"/>
      <c r="R7" s="597"/>
      <c r="S7" s="597" t="s">
        <v>168</v>
      </c>
      <c r="T7" s="597"/>
      <c r="U7" s="597" t="s">
        <v>168</v>
      </c>
      <c r="V7" s="597"/>
      <c r="W7" s="597"/>
      <c r="X7" s="597" t="s">
        <v>168</v>
      </c>
      <c r="Y7" s="597" t="s">
        <v>168</v>
      </c>
      <c r="Z7" s="597"/>
      <c r="AA7" s="597" t="s">
        <v>168</v>
      </c>
      <c r="AB7" s="597" t="s">
        <v>168</v>
      </c>
      <c r="AC7" s="597"/>
      <c r="AD7" s="597" t="s">
        <v>168</v>
      </c>
      <c r="AE7" s="597"/>
      <c r="AF7" s="599"/>
      <c r="AG7" s="2121">
        <f t="shared" si="0"/>
        <v>0</v>
      </c>
      <c r="AI7" s="2120" t="s">
        <v>596</v>
      </c>
      <c r="AJ7" s="3657" t="s">
        <v>671</v>
      </c>
      <c r="AP7" s="3663" t="s">
        <v>596</v>
      </c>
      <c r="AQ7" s="3664" t="s">
        <v>671</v>
      </c>
      <c r="AR7" s="2130"/>
      <c r="AS7" s="2130"/>
      <c r="AT7" s="2143"/>
      <c r="BG7" s="3662"/>
    </row>
    <row r="8" spans="1:59" ht="18">
      <c r="B8" s="2136">
        <f t="shared" si="1"/>
        <v>4</v>
      </c>
      <c r="C8" s="3654" t="s">
        <v>668</v>
      </c>
      <c r="D8" s="3655">
        <v>35.1</v>
      </c>
      <c r="E8" s="3656" t="s">
        <v>596</v>
      </c>
      <c r="F8" s="598" t="s">
        <v>168</v>
      </c>
      <c r="G8" s="597" t="s">
        <v>168</v>
      </c>
      <c r="H8" s="597" t="s">
        <v>168</v>
      </c>
      <c r="I8" s="597" t="s">
        <v>168</v>
      </c>
      <c r="J8" s="597" t="s">
        <v>168</v>
      </c>
      <c r="K8" s="597" t="s">
        <v>168</v>
      </c>
      <c r="L8" s="597" t="s">
        <v>168</v>
      </c>
      <c r="M8" s="597" t="s">
        <v>168</v>
      </c>
      <c r="N8" s="597" t="s">
        <v>168</v>
      </c>
      <c r="O8" s="597"/>
      <c r="P8" s="597"/>
      <c r="Q8" s="597"/>
      <c r="R8" s="597"/>
      <c r="S8" s="597"/>
      <c r="T8" s="597"/>
      <c r="U8" s="597"/>
      <c r="V8" s="597"/>
      <c r="W8" s="597"/>
      <c r="X8" s="597"/>
      <c r="Y8" s="597"/>
      <c r="Z8" s="597"/>
      <c r="AA8" s="597"/>
      <c r="AB8" s="597"/>
      <c r="AC8" s="597"/>
      <c r="AD8" s="597" t="s">
        <v>168</v>
      </c>
      <c r="AE8" s="597"/>
      <c r="AF8" s="599"/>
      <c r="AG8" s="2121">
        <f t="shared" si="0"/>
        <v>0</v>
      </c>
      <c r="AI8" s="2120" t="s">
        <v>593</v>
      </c>
      <c r="AJ8" s="3657" t="s">
        <v>669</v>
      </c>
      <c r="AP8" s="3663" t="s">
        <v>593</v>
      </c>
      <c r="AQ8" s="3664" t="s">
        <v>669</v>
      </c>
      <c r="AR8" s="2130"/>
      <c r="AS8" s="2130"/>
      <c r="AT8" s="2143"/>
      <c r="BG8" s="3662"/>
    </row>
    <row r="9" spans="1:59" s="3669" customFormat="1" ht="18">
      <c r="B9" s="2136">
        <f t="shared" si="1"/>
        <v>5</v>
      </c>
      <c r="C9" s="3654" t="s">
        <v>666</v>
      </c>
      <c r="D9" s="3655">
        <v>44.9</v>
      </c>
      <c r="E9" s="3656" t="s">
        <v>596</v>
      </c>
      <c r="F9" s="598"/>
      <c r="G9" s="597"/>
      <c r="H9" s="597"/>
      <c r="I9" s="597"/>
      <c r="J9" s="597"/>
      <c r="K9" s="597"/>
      <c r="L9" s="597"/>
      <c r="M9" s="597"/>
      <c r="N9" s="597"/>
      <c r="O9" s="597"/>
      <c r="P9" s="597"/>
      <c r="Q9" s="597"/>
      <c r="R9" s="597"/>
      <c r="S9" s="597"/>
      <c r="T9" s="597"/>
      <c r="U9" s="597"/>
      <c r="V9" s="597" t="s">
        <v>168</v>
      </c>
      <c r="W9" s="597"/>
      <c r="X9" s="597"/>
      <c r="Y9" s="597"/>
      <c r="Z9" s="597"/>
      <c r="AA9" s="597"/>
      <c r="AB9" s="597" t="s">
        <v>168</v>
      </c>
      <c r="AC9" s="597"/>
      <c r="AD9" s="3674" t="s">
        <v>168</v>
      </c>
      <c r="AE9" s="3674"/>
      <c r="AF9" s="3675"/>
      <c r="AG9" s="3676">
        <f t="shared" si="0"/>
        <v>0</v>
      </c>
      <c r="AI9" s="3669" t="s">
        <v>2004</v>
      </c>
      <c r="AJ9" s="3731" t="s">
        <v>2005</v>
      </c>
      <c r="AP9" s="3732" t="s">
        <v>2004</v>
      </c>
      <c r="AQ9" s="3733" t="s">
        <v>2005</v>
      </c>
      <c r="AR9" s="3689"/>
      <c r="AS9" s="3689"/>
      <c r="AT9" s="3734"/>
      <c r="BG9" s="3730"/>
    </row>
    <row r="10" spans="1:59" ht="18">
      <c r="B10" s="2136">
        <f t="shared" si="1"/>
        <v>6</v>
      </c>
      <c r="C10" s="3654" t="s">
        <v>663</v>
      </c>
      <c r="D10" s="3671">
        <v>578.1</v>
      </c>
      <c r="E10" s="3672" t="s">
        <v>596</v>
      </c>
      <c r="F10" s="3673" t="s">
        <v>168</v>
      </c>
      <c r="G10" s="3674"/>
      <c r="H10" s="3674" t="s">
        <v>168</v>
      </c>
      <c r="I10" s="3674" t="s">
        <v>168</v>
      </c>
      <c r="J10" s="3674" t="s">
        <v>168</v>
      </c>
      <c r="K10" s="3674" t="s">
        <v>168</v>
      </c>
      <c r="L10" s="3674" t="s">
        <v>168</v>
      </c>
      <c r="M10" s="3674" t="s">
        <v>168</v>
      </c>
      <c r="N10" s="3674" t="s">
        <v>168</v>
      </c>
      <c r="O10" s="3674"/>
      <c r="P10" s="3674"/>
      <c r="Q10" s="3674"/>
      <c r="R10" s="3674"/>
      <c r="S10" s="3674"/>
      <c r="T10" s="3674"/>
      <c r="U10" s="3674"/>
      <c r="V10" s="3674"/>
      <c r="W10" s="3674"/>
      <c r="X10" s="3674"/>
      <c r="Y10" s="3674"/>
      <c r="Z10" s="3674"/>
      <c r="AA10" s="3674"/>
      <c r="AB10" s="3674"/>
      <c r="AC10" s="3674"/>
      <c r="AD10" s="597" t="s">
        <v>168</v>
      </c>
      <c r="AE10" s="597"/>
      <c r="AF10" s="599"/>
      <c r="AG10" s="2121">
        <f t="shared" si="0"/>
        <v>0</v>
      </c>
      <c r="AI10" s="2120" t="s">
        <v>621</v>
      </c>
      <c r="AJ10" s="3657" t="s">
        <v>667</v>
      </c>
      <c r="AP10" s="3663" t="s">
        <v>621</v>
      </c>
      <c r="AQ10" s="3664" t="s">
        <v>667</v>
      </c>
      <c r="AR10" s="2130"/>
      <c r="AS10" s="2130"/>
      <c r="AT10" s="2143"/>
      <c r="BG10" s="3662"/>
    </row>
    <row r="11" spans="1:59" ht="18">
      <c r="B11" s="2136">
        <f t="shared" si="1"/>
        <v>7</v>
      </c>
      <c r="C11" s="3654" t="s">
        <v>2007</v>
      </c>
      <c r="D11" s="3671">
        <v>71.599999999999994</v>
      </c>
      <c r="E11" s="3672" t="s">
        <v>598</v>
      </c>
      <c r="F11" s="3673" t="s">
        <v>168</v>
      </c>
      <c r="G11" s="3674" t="s">
        <v>168</v>
      </c>
      <c r="H11" s="3674" t="s">
        <v>168</v>
      </c>
      <c r="I11" s="3674" t="s">
        <v>168</v>
      </c>
      <c r="J11" s="3674" t="s">
        <v>168</v>
      </c>
      <c r="K11" s="3674" t="s">
        <v>168</v>
      </c>
      <c r="L11" s="3674" t="s">
        <v>168</v>
      </c>
      <c r="M11" s="3674" t="s">
        <v>168</v>
      </c>
      <c r="N11" s="3674" t="s">
        <v>168</v>
      </c>
      <c r="O11" s="3674" t="s">
        <v>168</v>
      </c>
      <c r="P11" s="3674"/>
      <c r="Q11" s="3674"/>
      <c r="R11" s="3674"/>
      <c r="S11" s="3674"/>
      <c r="T11" s="3674"/>
      <c r="U11" s="3674"/>
      <c r="V11" s="3674"/>
      <c r="W11" s="3674"/>
      <c r="X11" s="3674"/>
      <c r="Y11" s="3674"/>
      <c r="Z11" s="3674"/>
      <c r="AA11" s="3674"/>
      <c r="AB11" s="3674"/>
      <c r="AC11" s="3674"/>
      <c r="AD11" s="597" t="s">
        <v>168</v>
      </c>
      <c r="AE11" s="597"/>
      <c r="AF11" s="599"/>
      <c r="AG11" s="2121">
        <f t="shared" si="0"/>
        <v>0</v>
      </c>
      <c r="AI11" s="2120" t="s">
        <v>665</v>
      </c>
      <c r="AJ11" s="2120" t="s">
        <v>664</v>
      </c>
      <c r="AP11" s="3666" t="s">
        <v>665</v>
      </c>
      <c r="AQ11" s="3667" t="s">
        <v>664</v>
      </c>
      <c r="AR11" s="2124"/>
      <c r="AS11" s="2124"/>
      <c r="AT11" s="3668"/>
    </row>
    <row r="12" spans="1:59" s="3669" customFormat="1" ht="18">
      <c r="B12" s="2136">
        <f t="shared" si="1"/>
        <v>8</v>
      </c>
      <c r="C12" s="3654" t="s">
        <v>1998</v>
      </c>
      <c r="D12" s="3655">
        <v>248.3</v>
      </c>
      <c r="E12" s="3656" t="s">
        <v>596</v>
      </c>
      <c r="F12" s="598" t="s">
        <v>168</v>
      </c>
      <c r="G12" s="597" t="s">
        <v>168</v>
      </c>
      <c r="H12" s="597" t="s">
        <v>168</v>
      </c>
      <c r="I12" s="597" t="s">
        <v>168</v>
      </c>
      <c r="J12" s="597"/>
      <c r="K12" s="597"/>
      <c r="L12" s="597"/>
      <c r="M12" s="597"/>
      <c r="N12" s="597"/>
      <c r="O12" s="597" t="s">
        <v>168</v>
      </c>
      <c r="P12" s="597"/>
      <c r="Q12" s="597"/>
      <c r="R12" s="597"/>
      <c r="S12" s="597"/>
      <c r="T12" s="597"/>
      <c r="U12" s="597"/>
      <c r="V12" s="597"/>
      <c r="W12" s="597"/>
      <c r="X12" s="597"/>
      <c r="Y12" s="597"/>
      <c r="Z12" s="597"/>
      <c r="AA12" s="597"/>
      <c r="AB12" s="597"/>
      <c r="AC12" s="597"/>
      <c r="AD12" s="3674" t="s">
        <v>168</v>
      </c>
      <c r="AE12" s="3674"/>
      <c r="AF12" s="3675"/>
      <c r="AG12" s="3676">
        <f t="shared" si="0"/>
        <v>0</v>
      </c>
    </row>
    <row r="13" spans="1:59" ht="18">
      <c r="B13" s="2136">
        <f t="shared" si="1"/>
        <v>9</v>
      </c>
      <c r="C13" s="4020"/>
      <c r="D13" s="3655"/>
      <c r="E13" s="3656"/>
      <c r="F13" s="598"/>
      <c r="G13" s="597"/>
      <c r="H13" s="597"/>
      <c r="I13" s="597"/>
      <c r="J13" s="597"/>
      <c r="K13" s="597"/>
      <c r="L13" s="597"/>
      <c r="M13" s="597"/>
      <c r="N13" s="597"/>
      <c r="O13" s="597"/>
      <c r="P13" s="597"/>
      <c r="Q13" s="597"/>
      <c r="R13" s="597"/>
      <c r="S13" s="597"/>
      <c r="T13" s="597"/>
      <c r="U13" s="597"/>
      <c r="V13" s="597"/>
      <c r="W13" s="597"/>
      <c r="X13" s="597"/>
      <c r="Y13" s="597"/>
      <c r="Z13" s="597"/>
      <c r="AA13" s="597"/>
      <c r="AB13" s="597"/>
      <c r="AC13" s="597"/>
      <c r="AD13" s="597"/>
      <c r="AE13" s="597"/>
      <c r="AF13" s="599"/>
      <c r="AG13" s="2121">
        <f t="shared" si="0"/>
        <v>0</v>
      </c>
      <c r="AP13" s="3677" t="s">
        <v>661</v>
      </c>
    </row>
    <row r="14" spans="1:59" ht="18">
      <c r="B14" s="2136">
        <f t="shared" si="1"/>
        <v>10</v>
      </c>
      <c r="C14" s="3654" t="s">
        <v>1999</v>
      </c>
      <c r="D14" s="3655">
        <v>74.599999999999994</v>
      </c>
      <c r="E14" s="3656" t="s">
        <v>598</v>
      </c>
      <c r="F14" s="598" t="s">
        <v>168</v>
      </c>
      <c r="G14" s="597" t="s">
        <v>168</v>
      </c>
      <c r="H14" s="597" t="s">
        <v>168</v>
      </c>
      <c r="I14" s="597" t="s">
        <v>168</v>
      </c>
      <c r="J14" s="597" t="s">
        <v>168</v>
      </c>
      <c r="K14" s="597" t="s">
        <v>168</v>
      </c>
      <c r="L14" s="597" t="s">
        <v>168</v>
      </c>
      <c r="M14" s="597" t="s">
        <v>168</v>
      </c>
      <c r="N14" s="597"/>
      <c r="O14" s="597" t="s">
        <v>168</v>
      </c>
      <c r="P14" s="597"/>
      <c r="Q14" s="597"/>
      <c r="R14" s="597"/>
      <c r="S14" s="597"/>
      <c r="T14" s="597"/>
      <c r="U14" s="597"/>
      <c r="V14" s="597"/>
      <c r="W14" s="597"/>
      <c r="X14" s="597"/>
      <c r="Y14" s="597"/>
      <c r="Z14" s="597"/>
      <c r="AA14" s="597"/>
      <c r="AB14" s="597"/>
      <c r="AC14" s="597"/>
      <c r="AD14" s="597" t="s">
        <v>168</v>
      </c>
      <c r="AE14" s="597"/>
      <c r="AF14" s="599"/>
      <c r="AG14" s="2121">
        <f t="shared" si="0"/>
        <v>0</v>
      </c>
    </row>
    <row r="15" spans="1:59" ht="18">
      <c r="B15" s="2136">
        <f t="shared" si="1"/>
        <v>11</v>
      </c>
      <c r="C15" s="3654" t="s">
        <v>657</v>
      </c>
      <c r="D15" s="3655">
        <v>52.8</v>
      </c>
      <c r="E15" s="3656" t="s">
        <v>596</v>
      </c>
      <c r="F15" s="598" t="s">
        <v>168</v>
      </c>
      <c r="G15" s="597" t="s">
        <v>168</v>
      </c>
      <c r="H15" s="597" t="s">
        <v>168</v>
      </c>
      <c r="I15" s="597" t="s">
        <v>168</v>
      </c>
      <c r="J15" s="597" t="s">
        <v>168</v>
      </c>
      <c r="K15" s="597" t="s">
        <v>168</v>
      </c>
      <c r="L15" s="597" t="s">
        <v>168</v>
      </c>
      <c r="M15" s="597" t="s">
        <v>168</v>
      </c>
      <c r="N15" s="597"/>
      <c r="O15" s="597" t="s">
        <v>168</v>
      </c>
      <c r="P15" s="597"/>
      <c r="Q15" s="597"/>
      <c r="R15" s="597"/>
      <c r="S15" s="597"/>
      <c r="T15" s="597"/>
      <c r="U15" s="597"/>
      <c r="V15" s="597"/>
      <c r="W15" s="597"/>
      <c r="X15" s="597"/>
      <c r="Y15" s="597"/>
      <c r="Z15" s="597"/>
      <c r="AA15" s="597"/>
      <c r="AB15" s="597"/>
      <c r="AC15" s="597"/>
      <c r="AD15" s="597" t="s">
        <v>168</v>
      </c>
      <c r="AE15" s="597"/>
      <c r="AF15" s="599"/>
      <c r="AG15" s="2121">
        <f t="shared" si="0"/>
        <v>0</v>
      </c>
      <c r="AP15" s="3678">
        <f t="shared" ref="AP15:AP64" si="2">B5</f>
        <v>1</v>
      </c>
      <c r="AQ15" s="3660" t="str">
        <f t="shared" ref="AQ15:AQ64" si="3">IF(C5="","",C5)</f>
        <v/>
      </c>
      <c r="AR15" s="3660"/>
      <c r="AS15" s="3660"/>
      <c r="AT15" s="3660"/>
      <c r="AU15" s="3660"/>
      <c r="AV15" s="3679" t="str">
        <f t="shared" ref="AV15:AW46" si="4">IF(D5="","",D5)</f>
        <v/>
      </c>
      <c r="AW15" s="3680" t="str">
        <f t="shared" si="4"/>
        <v/>
      </c>
      <c r="AX15"/>
      <c r="AY15" s="3678">
        <f t="shared" ref="AY15:AY63" si="5">B55</f>
        <v>51</v>
      </c>
      <c r="AZ15" s="3679" t="str">
        <f t="shared" ref="AZ15:AZ64" si="6">IF(C55="","",C55)</f>
        <v>Moddus</v>
      </c>
      <c r="BA15" s="3660"/>
      <c r="BB15" s="3679">
        <f t="shared" ref="BB15:BC46" si="7">IF(D55="","",D55)</f>
        <v>68.7</v>
      </c>
      <c r="BC15" s="3680" t="str">
        <f t="shared" si="7"/>
        <v>W</v>
      </c>
      <c r="BD15"/>
    </row>
    <row r="16" spans="1:59" ht="18">
      <c r="B16" s="2136">
        <f t="shared" si="1"/>
        <v>12</v>
      </c>
      <c r="C16" s="4020"/>
      <c r="D16" s="3655"/>
      <c r="E16" s="3656"/>
      <c r="F16" s="598"/>
      <c r="G16" s="597"/>
      <c r="H16" s="597"/>
      <c r="I16" s="597"/>
      <c r="J16" s="597"/>
      <c r="K16" s="597"/>
      <c r="L16" s="597"/>
      <c r="M16" s="597"/>
      <c r="N16" s="597"/>
      <c r="O16" s="597"/>
      <c r="P16" s="597"/>
      <c r="Q16" s="597"/>
      <c r="R16" s="597"/>
      <c r="S16" s="597"/>
      <c r="T16" s="597"/>
      <c r="U16" s="597"/>
      <c r="V16" s="597"/>
      <c r="W16" s="597"/>
      <c r="X16" s="597"/>
      <c r="Y16" s="597"/>
      <c r="Z16" s="597"/>
      <c r="AA16" s="597"/>
      <c r="AB16" s="597"/>
      <c r="AC16" s="597"/>
      <c r="AD16" s="597"/>
      <c r="AE16" s="597"/>
      <c r="AF16" s="599"/>
      <c r="AG16" s="2121">
        <f t="shared" si="0"/>
        <v>0</v>
      </c>
      <c r="AP16" s="3681">
        <f t="shared" si="2"/>
        <v>2</v>
      </c>
      <c r="AQ16" s="2130" t="str">
        <f t="shared" si="3"/>
        <v>Arrat + Dash</v>
      </c>
      <c r="AR16" s="2130"/>
      <c r="AS16" s="2130"/>
      <c r="AT16" s="2130"/>
      <c r="AU16" s="2130"/>
      <c r="AV16" s="3682">
        <f t="shared" si="4"/>
        <v>157.80000000000001</v>
      </c>
      <c r="AW16" s="3683" t="str">
        <f t="shared" si="4"/>
        <v>H</v>
      </c>
      <c r="AX16" s="2130"/>
      <c r="AY16" s="3681">
        <f t="shared" si="5"/>
        <v>52</v>
      </c>
      <c r="AZ16" s="3682" t="str">
        <f t="shared" si="6"/>
        <v>Ortiva</v>
      </c>
      <c r="BA16" s="2130"/>
      <c r="BB16" s="3682">
        <f t="shared" si="7"/>
        <v>41.3</v>
      </c>
      <c r="BC16" s="3683" t="str">
        <f t="shared" si="7"/>
        <v>F</v>
      </c>
      <c r="BD16" s="2130"/>
    </row>
    <row r="17" spans="1:58" ht="18">
      <c r="B17" s="2136">
        <f t="shared" si="1"/>
        <v>13</v>
      </c>
      <c r="C17" s="3654" t="s">
        <v>655</v>
      </c>
      <c r="D17" s="3655">
        <v>32.799999999999997</v>
      </c>
      <c r="E17" s="3656" t="s">
        <v>596</v>
      </c>
      <c r="F17" s="598"/>
      <c r="G17" s="597"/>
      <c r="H17" s="597"/>
      <c r="I17" s="597"/>
      <c r="J17" s="597"/>
      <c r="K17" s="597"/>
      <c r="L17" s="597"/>
      <c r="M17" s="597"/>
      <c r="N17" s="597"/>
      <c r="O17" s="597"/>
      <c r="P17" s="597"/>
      <c r="Q17" s="597"/>
      <c r="R17" s="597"/>
      <c r="S17" s="597"/>
      <c r="T17" s="597"/>
      <c r="U17" s="597" t="s">
        <v>168</v>
      </c>
      <c r="V17" s="597"/>
      <c r="W17" s="597"/>
      <c r="X17" s="597" t="s">
        <v>168</v>
      </c>
      <c r="Y17" s="597" t="s">
        <v>168</v>
      </c>
      <c r="Z17" s="597"/>
      <c r="AA17" s="597"/>
      <c r="AB17" s="597" t="s">
        <v>168</v>
      </c>
      <c r="AC17" s="597"/>
      <c r="AD17" s="597" t="s">
        <v>168</v>
      </c>
      <c r="AE17" s="597"/>
      <c r="AF17" s="599"/>
      <c r="AG17" s="2121">
        <f t="shared" si="0"/>
        <v>0</v>
      </c>
      <c r="AP17" s="3681">
        <f t="shared" si="2"/>
        <v>3</v>
      </c>
      <c r="AQ17" s="2130" t="str">
        <f t="shared" si="3"/>
        <v>Agil-S</v>
      </c>
      <c r="AR17" s="2130"/>
      <c r="AS17" s="2130"/>
      <c r="AT17" s="2130"/>
      <c r="AU17" s="2130"/>
      <c r="AV17" s="3682">
        <f t="shared" si="4"/>
        <v>35.5</v>
      </c>
      <c r="AW17" s="3683" t="str">
        <f t="shared" si="4"/>
        <v>H</v>
      </c>
      <c r="AX17" s="2130"/>
      <c r="AY17" s="3681">
        <f t="shared" si="5"/>
        <v>53</v>
      </c>
      <c r="AZ17" s="3682" t="str">
        <f t="shared" si="6"/>
        <v>Mospilan SG</v>
      </c>
      <c r="BA17" s="2130"/>
      <c r="BB17" s="3682">
        <f t="shared" si="7"/>
        <v>103.9</v>
      </c>
      <c r="BC17" s="3683" t="str">
        <f t="shared" si="7"/>
        <v>I</v>
      </c>
      <c r="BD17" s="2130"/>
    </row>
    <row r="18" spans="1:58" ht="18">
      <c r="B18" s="2136">
        <f t="shared" si="1"/>
        <v>14</v>
      </c>
      <c r="C18" s="3654" t="s">
        <v>2023</v>
      </c>
      <c r="D18" s="3655">
        <v>37</v>
      </c>
      <c r="E18" s="3656" t="s">
        <v>596</v>
      </c>
      <c r="F18" s="598"/>
      <c r="G18" s="597"/>
      <c r="H18" s="597"/>
      <c r="I18" s="597"/>
      <c r="J18" s="597"/>
      <c r="K18" s="597"/>
      <c r="L18" s="597"/>
      <c r="M18" s="597"/>
      <c r="N18" s="597"/>
      <c r="O18" s="597"/>
      <c r="P18" s="597"/>
      <c r="Q18" s="597"/>
      <c r="R18" s="597"/>
      <c r="S18" s="597"/>
      <c r="T18" s="597"/>
      <c r="U18" s="597"/>
      <c r="V18" s="597"/>
      <c r="W18" s="597"/>
      <c r="X18" s="597"/>
      <c r="Y18" s="597"/>
      <c r="Z18" s="597"/>
      <c r="AA18" s="597" t="s">
        <v>168</v>
      </c>
      <c r="AB18" s="597"/>
      <c r="AC18" s="597"/>
      <c r="AD18" s="597" t="s">
        <v>168</v>
      </c>
      <c r="AE18" s="597"/>
      <c r="AF18" s="599"/>
      <c r="AG18" s="2121">
        <f t="shared" si="0"/>
        <v>0</v>
      </c>
      <c r="AP18" s="3681">
        <f t="shared" si="2"/>
        <v>4</v>
      </c>
      <c r="AQ18" s="2130" t="str">
        <f t="shared" si="3"/>
        <v>Ariane C</v>
      </c>
      <c r="AR18" s="2130"/>
      <c r="AS18" s="2130"/>
      <c r="AT18" s="2130"/>
      <c r="AU18" s="2130"/>
      <c r="AV18" s="3682">
        <f t="shared" si="4"/>
        <v>35.1</v>
      </c>
      <c r="AW18" s="3683" t="str">
        <f t="shared" si="4"/>
        <v>H</v>
      </c>
      <c r="AX18" s="2130"/>
      <c r="AY18" s="3681">
        <f t="shared" si="5"/>
        <v>54</v>
      </c>
      <c r="AZ18" s="3682" t="str">
        <f t="shared" si="6"/>
        <v>Pointer Plus</v>
      </c>
      <c r="BA18" s="2130"/>
      <c r="BB18" s="3682">
        <f t="shared" si="7"/>
        <v>637.70000000000005</v>
      </c>
      <c r="BC18" s="3683" t="str">
        <f t="shared" si="7"/>
        <v>H</v>
      </c>
      <c r="BD18" s="2130"/>
    </row>
    <row r="19" spans="1:58" ht="18">
      <c r="B19" s="2136">
        <f t="shared" si="1"/>
        <v>15</v>
      </c>
      <c r="C19" s="3654" t="s">
        <v>2001</v>
      </c>
      <c r="D19" s="3655">
        <v>510.6</v>
      </c>
      <c r="E19" s="3656" t="s">
        <v>596</v>
      </c>
      <c r="F19" s="598" t="s">
        <v>168</v>
      </c>
      <c r="G19" s="597" t="s">
        <v>168</v>
      </c>
      <c r="H19" s="597" t="s">
        <v>168</v>
      </c>
      <c r="I19" s="597" t="s">
        <v>168</v>
      </c>
      <c r="J19" s="597" t="s">
        <v>168</v>
      </c>
      <c r="K19" s="597" t="s">
        <v>168</v>
      </c>
      <c r="L19" s="597" t="s">
        <v>168</v>
      </c>
      <c r="M19" s="597" t="s">
        <v>168</v>
      </c>
      <c r="N19" s="597" t="s">
        <v>168</v>
      </c>
      <c r="O19" s="597" t="s">
        <v>168</v>
      </c>
      <c r="P19" s="597" t="s">
        <v>168</v>
      </c>
      <c r="Q19" s="597"/>
      <c r="R19" s="597"/>
      <c r="S19" s="597"/>
      <c r="T19" s="597"/>
      <c r="U19" s="597"/>
      <c r="V19" s="597"/>
      <c r="W19" s="597"/>
      <c r="X19" s="597"/>
      <c r="Y19" s="597"/>
      <c r="Z19" s="597"/>
      <c r="AA19" s="597"/>
      <c r="AB19" s="597"/>
      <c r="AC19" s="597"/>
      <c r="AD19" s="597" t="s">
        <v>168</v>
      </c>
      <c r="AE19" s="597"/>
      <c r="AF19" s="599"/>
      <c r="AG19" s="2121">
        <f t="shared" si="0"/>
        <v>0</v>
      </c>
      <c r="AP19" s="3681">
        <f t="shared" si="2"/>
        <v>5</v>
      </c>
      <c r="AQ19" s="2130" t="str">
        <f t="shared" si="3"/>
        <v>Artist</v>
      </c>
      <c r="AR19" s="2130"/>
      <c r="AS19" s="2130"/>
      <c r="AT19" s="2130"/>
      <c r="AU19" s="2130"/>
      <c r="AV19" s="3682">
        <f t="shared" si="4"/>
        <v>44.9</v>
      </c>
      <c r="AW19" s="3683" t="str">
        <f t="shared" si="4"/>
        <v>H</v>
      </c>
      <c r="AX19" s="2130"/>
      <c r="AY19" s="3681">
        <f t="shared" si="5"/>
        <v>55</v>
      </c>
      <c r="AZ19" s="3682" t="str">
        <f t="shared" si="6"/>
        <v>Polyram WG</v>
      </c>
      <c r="BA19" s="2130"/>
      <c r="BB19" s="3682">
        <f t="shared" si="7"/>
        <v>15.3</v>
      </c>
      <c r="BC19" s="3683" t="str">
        <f t="shared" si="7"/>
        <v>F</v>
      </c>
      <c r="BD19" s="2130"/>
    </row>
    <row r="20" spans="1:58" ht="18">
      <c r="B20" s="2136">
        <f t="shared" si="1"/>
        <v>16</v>
      </c>
      <c r="C20" s="3654" t="s">
        <v>2029</v>
      </c>
      <c r="D20" s="3655">
        <v>46.4</v>
      </c>
      <c r="E20" s="3656" t="s">
        <v>598</v>
      </c>
      <c r="F20" s="598"/>
      <c r="G20" s="597"/>
      <c r="H20" s="597"/>
      <c r="I20" s="597"/>
      <c r="J20" s="597"/>
      <c r="K20" s="597"/>
      <c r="L20" s="597"/>
      <c r="M20" s="597"/>
      <c r="N20" s="597"/>
      <c r="O20" s="597"/>
      <c r="P20" s="597" t="s">
        <v>168</v>
      </c>
      <c r="Q20" s="597"/>
      <c r="R20" s="597"/>
      <c r="S20" s="597" t="s">
        <v>168</v>
      </c>
      <c r="T20" s="597"/>
      <c r="U20" s="597"/>
      <c r="V20" s="597"/>
      <c r="W20" s="597"/>
      <c r="X20" s="597"/>
      <c r="Y20" s="597"/>
      <c r="Z20" s="597"/>
      <c r="AA20" s="597" t="s">
        <v>168</v>
      </c>
      <c r="AB20" s="597"/>
      <c r="AC20" s="597"/>
      <c r="AD20" s="597" t="s">
        <v>168</v>
      </c>
      <c r="AE20" s="597"/>
      <c r="AF20" s="599"/>
      <c r="AG20" s="2121">
        <f t="shared" si="0"/>
        <v>0</v>
      </c>
      <c r="AP20" s="3681">
        <f t="shared" si="2"/>
        <v>6</v>
      </c>
      <c r="AQ20" s="2130" t="str">
        <f t="shared" si="3"/>
        <v>Artus</v>
      </c>
      <c r="AR20" s="2130"/>
      <c r="AS20" s="2130"/>
      <c r="AT20" s="2130"/>
      <c r="AU20" s="2130"/>
      <c r="AV20" s="3682">
        <f t="shared" si="4"/>
        <v>578.1</v>
      </c>
      <c r="AW20" s="3683" t="str">
        <f t="shared" si="4"/>
        <v>H</v>
      </c>
      <c r="AX20" s="2130"/>
      <c r="AY20" s="3681">
        <f t="shared" si="5"/>
        <v>56</v>
      </c>
      <c r="AZ20" s="3682" t="str">
        <f t="shared" si="6"/>
        <v>Primus Perfect</v>
      </c>
      <c r="BA20" s="2130"/>
      <c r="BB20" s="3682">
        <f t="shared" si="7"/>
        <v>150.19999999999999</v>
      </c>
      <c r="BC20" s="3683" t="str">
        <f t="shared" si="7"/>
        <v>H</v>
      </c>
      <c r="BD20" s="2130"/>
    </row>
    <row r="21" spans="1:58" ht="18">
      <c r="B21" s="2136">
        <f t="shared" si="1"/>
        <v>17</v>
      </c>
      <c r="C21" s="3654" t="s">
        <v>651</v>
      </c>
      <c r="D21" s="3655">
        <v>15.4</v>
      </c>
      <c r="E21" s="3656" t="s">
        <v>596</v>
      </c>
      <c r="F21" s="598" t="s">
        <v>168</v>
      </c>
      <c r="G21" s="597" t="s">
        <v>168</v>
      </c>
      <c r="H21" s="597" t="s">
        <v>168</v>
      </c>
      <c r="I21" s="597"/>
      <c r="J21" s="597" t="s">
        <v>168</v>
      </c>
      <c r="K21" s="597"/>
      <c r="L21" s="597" t="s">
        <v>168</v>
      </c>
      <c r="M21" s="597" t="s">
        <v>168</v>
      </c>
      <c r="N21" s="597"/>
      <c r="O21" s="597"/>
      <c r="P21" s="597"/>
      <c r="Q21" s="597"/>
      <c r="R21" s="597"/>
      <c r="S21" s="597"/>
      <c r="T21" s="597"/>
      <c r="U21" s="597" t="s">
        <v>168</v>
      </c>
      <c r="V21" s="597"/>
      <c r="W21" s="597"/>
      <c r="X21" s="597" t="s">
        <v>168</v>
      </c>
      <c r="Y21" s="597" t="s">
        <v>168</v>
      </c>
      <c r="Z21" s="597" t="s">
        <v>168</v>
      </c>
      <c r="AA21" s="597"/>
      <c r="AB21" s="597" t="s">
        <v>168</v>
      </c>
      <c r="AC21" s="597"/>
      <c r="AD21" s="597" t="s">
        <v>168</v>
      </c>
      <c r="AE21" s="597"/>
      <c r="AF21" s="599"/>
      <c r="AG21" s="2121">
        <f t="shared" si="0"/>
        <v>0</v>
      </c>
      <c r="AP21" s="3681">
        <f t="shared" si="2"/>
        <v>7</v>
      </c>
      <c r="AQ21" s="2130" t="str">
        <f t="shared" si="3"/>
        <v>Ascra Xpro</v>
      </c>
      <c r="AR21" s="2130"/>
      <c r="AS21" s="2130"/>
      <c r="AT21" s="2130"/>
      <c r="AU21" s="2130"/>
      <c r="AV21" s="3682">
        <f t="shared" si="4"/>
        <v>71.599999999999994</v>
      </c>
      <c r="AW21" s="3683" t="str">
        <f t="shared" si="4"/>
        <v>F</v>
      </c>
      <c r="AX21" s="2130"/>
      <c r="AY21" s="3681">
        <f t="shared" si="5"/>
        <v>57</v>
      </c>
      <c r="AZ21" s="3682" t="str">
        <f t="shared" si="6"/>
        <v>Proline</v>
      </c>
      <c r="BA21" s="2130"/>
      <c r="BB21" s="3682">
        <f t="shared" si="7"/>
        <v>68.2</v>
      </c>
      <c r="BC21" s="3683" t="str">
        <f t="shared" si="7"/>
        <v>F</v>
      </c>
      <c r="BD21" s="2130"/>
      <c r="BE21" s="2130"/>
      <c r="BF21"/>
    </row>
    <row r="22" spans="1:58" ht="18">
      <c r="B22" s="2136">
        <f t="shared" si="1"/>
        <v>18</v>
      </c>
      <c r="C22" s="3654" t="s">
        <v>650</v>
      </c>
      <c r="D22" s="3655">
        <v>306</v>
      </c>
      <c r="E22" s="3656" t="s">
        <v>596</v>
      </c>
      <c r="F22" s="598" t="s">
        <v>168</v>
      </c>
      <c r="G22" s="597" t="s">
        <v>168</v>
      </c>
      <c r="H22" s="597" t="s">
        <v>168</v>
      </c>
      <c r="I22" s="597" t="s">
        <v>168</v>
      </c>
      <c r="J22" s="597"/>
      <c r="K22" s="597"/>
      <c r="L22" s="597"/>
      <c r="M22" s="597"/>
      <c r="N22" s="597"/>
      <c r="O22" s="597" t="s">
        <v>168</v>
      </c>
      <c r="P22" s="597" t="s">
        <v>168</v>
      </c>
      <c r="Q22" s="597"/>
      <c r="R22" s="597"/>
      <c r="S22" s="597"/>
      <c r="T22" s="597"/>
      <c r="U22" s="597"/>
      <c r="V22" s="597"/>
      <c r="W22" s="597"/>
      <c r="X22" s="597"/>
      <c r="Y22" s="597"/>
      <c r="Z22" s="597"/>
      <c r="AA22" s="597"/>
      <c r="AB22" s="597"/>
      <c r="AC22" s="597"/>
      <c r="AD22" s="597" t="s">
        <v>168</v>
      </c>
      <c r="AE22" s="597"/>
      <c r="AF22" s="599"/>
      <c r="AG22" s="2121">
        <f t="shared" si="0"/>
        <v>0</v>
      </c>
      <c r="AP22" s="3681">
        <f t="shared" si="2"/>
        <v>8</v>
      </c>
      <c r="AQ22" s="2130" t="str">
        <f t="shared" si="3"/>
        <v>Atlantis Flex + Biopower</v>
      </c>
      <c r="AR22" s="2130"/>
      <c r="AS22" s="2130"/>
      <c r="AT22" s="2130"/>
      <c r="AU22" s="2130"/>
      <c r="AV22" s="3682">
        <f t="shared" si="4"/>
        <v>248.3</v>
      </c>
      <c r="AW22" s="3683" t="str">
        <f t="shared" si="4"/>
        <v>H</v>
      </c>
      <c r="AX22" s="2130"/>
      <c r="AY22" s="3681">
        <f t="shared" si="5"/>
        <v>58</v>
      </c>
      <c r="AZ22" s="3682" t="str">
        <f t="shared" si="6"/>
        <v>Propulse</v>
      </c>
      <c r="BA22" s="2130"/>
      <c r="BB22" s="3682">
        <f t="shared" si="7"/>
        <v>66.7</v>
      </c>
      <c r="BC22" s="3683" t="str">
        <f t="shared" si="7"/>
        <v>F</v>
      </c>
      <c r="BD22" s="2130"/>
      <c r="BE22" s="2130"/>
      <c r="BF22"/>
    </row>
    <row r="23" spans="1:58" ht="18">
      <c r="B23" s="2136">
        <f t="shared" si="1"/>
        <v>19</v>
      </c>
      <c r="C23" s="3654" t="s">
        <v>2128</v>
      </c>
      <c r="D23" s="3655">
        <v>54.6</v>
      </c>
      <c r="E23" s="3656" t="s">
        <v>596</v>
      </c>
      <c r="F23" s="598"/>
      <c r="G23" s="597"/>
      <c r="H23" s="597"/>
      <c r="I23" s="597"/>
      <c r="J23" s="597"/>
      <c r="K23" s="597"/>
      <c r="L23" s="597"/>
      <c r="M23" s="597"/>
      <c r="N23" s="597"/>
      <c r="O23" s="597"/>
      <c r="P23" s="597"/>
      <c r="Q23" s="597"/>
      <c r="R23" s="597"/>
      <c r="S23" s="597" t="s">
        <v>168</v>
      </c>
      <c r="T23" s="597" t="s">
        <v>168</v>
      </c>
      <c r="U23" s="597"/>
      <c r="V23" s="597"/>
      <c r="W23" s="597"/>
      <c r="X23" s="597"/>
      <c r="Y23" s="597"/>
      <c r="Z23" s="597"/>
      <c r="AA23" s="597"/>
      <c r="AB23" s="597"/>
      <c r="AC23" s="597"/>
      <c r="AD23" s="597" t="s">
        <v>168</v>
      </c>
      <c r="AE23" s="597"/>
      <c r="AF23" s="599"/>
      <c r="AG23" s="2121">
        <f t="shared" si="0"/>
        <v>0</v>
      </c>
      <c r="AP23" s="3681">
        <f t="shared" si="2"/>
        <v>9</v>
      </c>
      <c r="AQ23" s="2130" t="str">
        <f t="shared" si="3"/>
        <v/>
      </c>
      <c r="AR23" s="2130"/>
      <c r="AS23" s="2130"/>
      <c r="AT23" s="2130"/>
      <c r="AU23" s="2130"/>
      <c r="AV23" s="3682" t="str">
        <f t="shared" si="4"/>
        <v/>
      </c>
      <c r="AW23" s="3683" t="str">
        <f t="shared" si="4"/>
        <v/>
      </c>
      <c r="AX23" s="2130"/>
      <c r="AY23" s="3681">
        <f t="shared" si="5"/>
        <v>59</v>
      </c>
      <c r="AZ23" s="3682" t="str">
        <f t="shared" si="6"/>
        <v>Prosaro</v>
      </c>
      <c r="BA23" s="2130"/>
      <c r="BB23" s="3682">
        <f t="shared" si="7"/>
        <v>61.3</v>
      </c>
      <c r="BC23" s="3683" t="str">
        <f t="shared" si="7"/>
        <v>F</v>
      </c>
      <c r="BD23" s="2130"/>
      <c r="BE23" s="2130"/>
      <c r="BF23"/>
    </row>
    <row r="24" spans="1:58" s="3652" customFormat="1" ht="18">
      <c r="A24" s="3669"/>
      <c r="B24" s="2136">
        <f t="shared" si="1"/>
        <v>20</v>
      </c>
      <c r="C24" s="3654" t="s">
        <v>648</v>
      </c>
      <c r="D24" s="3655">
        <v>25.2</v>
      </c>
      <c r="E24" s="3656" t="s">
        <v>596</v>
      </c>
      <c r="F24" s="598"/>
      <c r="G24" s="597"/>
      <c r="H24" s="597"/>
      <c r="I24" s="597"/>
      <c r="J24" s="597"/>
      <c r="K24" s="597"/>
      <c r="L24" s="597"/>
      <c r="M24" s="597"/>
      <c r="N24" s="597"/>
      <c r="O24" s="597"/>
      <c r="P24" s="597"/>
      <c r="Q24" s="597"/>
      <c r="R24" s="597" t="s">
        <v>168</v>
      </c>
      <c r="S24" s="597"/>
      <c r="T24" s="597"/>
      <c r="U24" s="597"/>
      <c r="V24" s="597"/>
      <c r="W24" s="597" t="s">
        <v>168</v>
      </c>
      <c r="X24" s="597"/>
      <c r="Y24" s="597"/>
      <c r="Z24" s="597"/>
      <c r="AA24" s="597"/>
      <c r="AB24" s="597"/>
      <c r="AC24" s="597"/>
      <c r="AD24" s="3674" t="s">
        <v>168</v>
      </c>
      <c r="AE24" s="3674"/>
      <c r="AF24" s="3675"/>
      <c r="AG24" s="3653">
        <f t="shared" si="0"/>
        <v>0</v>
      </c>
      <c r="AP24" s="3684">
        <f t="shared" si="2"/>
        <v>10</v>
      </c>
      <c r="AQ24" s="3665" t="str">
        <f t="shared" si="3"/>
        <v>Aviator Xpro</v>
      </c>
      <c r="AR24" s="3665"/>
      <c r="AS24" s="3665"/>
      <c r="AT24" s="3665"/>
      <c r="AU24" s="3665"/>
      <c r="AV24" s="3685">
        <f t="shared" si="4"/>
        <v>74.599999999999994</v>
      </c>
      <c r="AW24" s="3686" t="str">
        <f t="shared" si="4"/>
        <v>F</v>
      </c>
      <c r="AX24" s="3665"/>
      <c r="AY24" s="3684">
        <f t="shared" si="5"/>
        <v>60</v>
      </c>
      <c r="AZ24" s="3685" t="str">
        <f t="shared" si="6"/>
        <v>Ranman Top</v>
      </c>
      <c r="BA24" s="3665"/>
      <c r="BB24" s="3685">
        <f t="shared" si="7"/>
        <v>82.3</v>
      </c>
      <c r="BC24" s="3686" t="str">
        <f t="shared" si="7"/>
        <v>F</v>
      </c>
      <c r="BD24" s="3665"/>
      <c r="BE24" s="3665"/>
      <c r="BF24" s="3687"/>
    </row>
    <row r="25" spans="1:58" ht="18">
      <c r="B25" s="2136">
        <f t="shared" si="1"/>
        <v>21</v>
      </c>
      <c r="C25" s="3654" t="s">
        <v>646</v>
      </c>
      <c r="D25" s="3655">
        <v>135.1</v>
      </c>
      <c r="E25" s="3656" t="s">
        <v>598</v>
      </c>
      <c r="F25" s="598"/>
      <c r="G25" s="597"/>
      <c r="H25" s="597"/>
      <c r="I25" s="597"/>
      <c r="J25" s="597"/>
      <c r="K25" s="597"/>
      <c r="L25" s="597"/>
      <c r="M25" s="597"/>
      <c r="N25" s="597"/>
      <c r="O25" s="597"/>
      <c r="P25" s="597"/>
      <c r="Q25" s="597"/>
      <c r="R25" s="597"/>
      <c r="S25" s="597" t="s">
        <v>168</v>
      </c>
      <c r="T25" s="597"/>
      <c r="U25" s="597" t="s">
        <v>168</v>
      </c>
      <c r="V25" s="597"/>
      <c r="W25" s="597"/>
      <c r="X25" s="597"/>
      <c r="Y25" s="597"/>
      <c r="Z25" s="597"/>
      <c r="AA25" s="597"/>
      <c r="AB25" s="597"/>
      <c r="AC25" s="597"/>
      <c r="AD25" s="597" t="s">
        <v>168</v>
      </c>
      <c r="AE25" s="597"/>
      <c r="AF25" s="599"/>
      <c r="AG25" s="2121">
        <f t="shared" si="0"/>
        <v>0</v>
      </c>
      <c r="AP25" s="3681">
        <f t="shared" si="2"/>
        <v>11</v>
      </c>
      <c r="AQ25" s="2130" t="str">
        <f t="shared" si="3"/>
        <v>Axial 50</v>
      </c>
      <c r="AR25" s="2130"/>
      <c r="AS25" s="2130"/>
      <c r="AT25" s="2130"/>
      <c r="AU25" s="2130"/>
      <c r="AV25" s="3682">
        <f t="shared" si="4"/>
        <v>52.8</v>
      </c>
      <c r="AW25" s="3683" t="str">
        <f t="shared" si="4"/>
        <v>H</v>
      </c>
      <c r="AX25" s="2130"/>
      <c r="AY25" s="3681">
        <f t="shared" si="5"/>
        <v>61</v>
      </c>
      <c r="AZ25" s="3682" t="str">
        <f t="shared" si="6"/>
        <v>Revus</v>
      </c>
      <c r="BA25" s="2130"/>
      <c r="BB25" s="3682">
        <f t="shared" si="7"/>
        <v>58.4</v>
      </c>
      <c r="BC25" s="3683" t="str">
        <f t="shared" si="7"/>
        <v>F</v>
      </c>
      <c r="BD25" s="2130"/>
      <c r="BE25" s="2130"/>
      <c r="BF25"/>
    </row>
    <row r="26" spans="1:58" ht="18">
      <c r="B26" s="2136">
        <f t="shared" si="1"/>
        <v>22</v>
      </c>
      <c r="C26" s="3654" t="s">
        <v>645</v>
      </c>
      <c r="D26" s="3655">
        <v>42.1</v>
      </c>
      <c r="E26" s="3656" t="s">
        <v>598</v>
      </c>
      <c r="F26" s="598"/>
      <c r="G26" s="597"/>
      <c r="H26" s="597"/>
      <c r="I26" s="597"/>
      <c r="J26" s="597"/>
      <c r="K26" s="597"/>
      <c r="L26" s="597"/>
      <c r="M26" s="597"/>
      <c r="N26" s="597"/>
      <c r="O26" s="597"/>
      <c r="P26" s="597"/>
      <c r="Q26" s="597"/>
      <c r="R26" s="597"/>
      <c r="S26" s="597" t="s">
        <v>168</v>
      </c>
      <c r="T26" s="597" t="s">
        <v>168</v>
      </c>
      <c r="U26" s="597"/>
      <c r="V26" s="597"/>
      <c r="W26" s="597"/>
      <c r="X26" s="597"/>
      <c r="Y26" s="597"/>
      <c r="Z26" s="597"/>
      <c r="AA26" s="597"/>
      <c r="AB26" s="597"/>
      <c r="AC26" s="597"/>
      <c r="AD26" s="597" t="s">
        <v>168</v>
      </c>
      <c r="AE26" s="597"/>
      <c r="AF26" s="599"/>
      <c r="AG26" s="2121">
        <f t="shared" si="0"/>
        <v>0</v>
      </c>
      <c r="AP26" s="3681">
        <f t="shared" si="2"/>
        <v>12</v>
      </c>
      <c r="AQ26" s="2130" t="str">
        <f t="shared" si="3"/>
        <v/>
      </c>
      <c r="AR26" s="2130"/>
      <c r="AS26" s="2130"/>
      <c r="AT26" s="2130"/>
      <c r="AU26" s="2130"/>
      <c r="AV26" s="3682" t="str">
        <f t="shared" si="4"/>
        <v/>
      </c>
      <c r="AW26" s="3683" t="str">
        <f t="shared" si="4"/>
        <v/>
      </c>
      <c r="AX26" s="2130"/>
      <c r="AY26" s="3681">
        <f t="shared" si="5"/>
        <v>62</v>
      </c>
      <c r="AZ26" s="3682" t="str">
        <f t="shared" si="6"/>
        <v>Roundup Power Flex</v>
      </c>
      <c r="BA26" s="2130"/>
      <c r="BB26" s="3682">
        <f t="shared" si="7"/>
        <v>21.1</v>
      </c>
      <c r="BC26" s="3683" t="str">
        <f t="shared" si="7"/>
        <v>H</v>
      </c>
      <c r="BD26" s="2130"/>
      <c r="BE26" s="2130"/>
      <c r="BF26"/>
    </row>
    <row r="27" spans="1:58" ht="18">
      <c r="B27" s="2136">
        <f t="shared" si="1"/>
        <v>23</v>
      </c>
      <c r="C27" s="3654" t="s">
        <v>644</v>
      </c>
      <c r="D27" s="3655">
        <v>6.8</v>
      </c>
      <c r="E27" s="3656" t="s">
        <v>621</v>
      </c>
      <c r="F27" s="598" t="s">
        <v>168</v>
      </c>
      <c r="G27" s="597"/>
      <c r="H27" s="597" t="s">
        <v>168</v>
      </c>
      <c r="I27" s="597" t="s">
        <v>168</v>
      </c>
      <c r="J27" s="597"/>
      <c r="K27" s="597" t="s">
        <v>168</v>
      </c>
      <c r="L27" s="597"/>
      <c r="M27" s="597"/>
      <c r="N27" s="597" t="s">
        <v>168</v>
      </c>
      <c r="O27" s="597"/>
      <c r="P27" s="597"/>
      <c r="Q27" s="597"/>
      <c r="R27" s="597"/>
      <c r="S27" s="597"/>
      <c r="T27" s="597"/>
      <c r="U27" s="597"/>
      <c r="V27" s="597"/>
      <c r="W27" s="597"/>
      <c r="X27" s="597"/>
      <c r="Y27" s="597"/>
      <c r="Z27" s="597"/>
      <c r="AA27" s="597"/>
      <c r="AB27" s="597"/>
      <c r="AC27" s="597"/>
      <c r="AD27" s="597" t="s">
        <v>168</v>
      </c>
      <c r="AE27" s="597"/>
      <c r="AF27" s="599"/>
      <c r="AG27" s="2121">
        <f t="shared" si="0"/>
        <v>0</v>
      </c>
      <c r="AP27" s="3681">
        <f t="shared" si="2"/>
        <v>13</v>
      </c>
      <c r="AQ27" s="2130" t="str">
        <f t="shared" si="3"/>
        <v>Bandur</v>
      </c>
      <c r="AR27" s="2130"/>
      <c r="AS27" s="2130"/>
      <c r="AT27" s="2130"/>
      <c r="AU27" s="2130"/>
      <c r="AV27" s="3682">
        <f t="shared" si="4"/>
        <v>32.799999999999997</v>
      </c>
      <c r="AW27" s="3683" t="str">
        <f t="shared" si="4"/>
        <v>H</v>
      </c>
      <c r="AX27" s="2130"/>
      <c r="AY27" s="3681">
        <f t="shared" si="5"/>
        <v>63</v>
      </c>
      <c r="AZ27" s="3682" t="str">
        <f t="shared" si="6"/>
        <v>Roundup Rekord</v>
      </c>
      <c r="BA27" s="2130"/>
      <c r="BB27" s="3682">
        <f t="shared" si="7"/>
        <v>32.200000000000003</v>
      </c>
      <c r="BC27" s="3683" t="str">
        <f t="shared" si="7"/>
        <v>H</v>
      </c>
      <c r="BD27" s="2130"/>
      <c r="BE27" s="2130"/>
      <c r="BF27"/>
    </row>
    <row r="28" spans="1:58" ht="18">
      <c r="B28" s="2136">
        <f t="shared" si="1"/>
        <v>24</v>
      </c>
      <c r="C28" s="3654" t="s">
        <v>643</v>
      </c>
      <c r="D28" s="3655">
        <v>170.5</v>
      </c>
      <c r="E28" s="3656" t="s">
        <v>596</v>
      </c>
      <c r="F28" s="598"/>
      <c r="G28" s="597"/>
      <c r="H28" s="597"/>
      <c r="I28" s="597"/>
      <c r="J28" s="597"/>
      <c r="K28" s="597"/>
      <c r="L28" s="597"/>
      <c r="M28" s="597"/>
      <c r="N28" s="597"/>
      <c r="O28" s="597"/>
      <c r="P28" s="597"/>
      <c r="Q28" s="597"/>
      <c r="R28" s="597"/>
      <c r="S28" s="597" t="s">
        <v>168</v>
      </c>
      <c r="T28" s="597"/>
      <c r="U28" s="597"/>
      <c r="V28" s="597" t="s">
        <v>168</v>
      </c>
      <c r="W28" s="597"/>
      <c r="X28" s="597" t="s">
        <v>168</v>
      </c>
      <c r="Y28" s="597" t="s">
        <v>168</v>
      </c>
      <c r="Z28" s="597"/>
      <c r="AA28" s="597"/>
      <c r="AB28" s="597" t="s">
        <v>168</v>
      </c>
      <c r="AC28" s="597"/>
      <c r="AD28" s="597" t="s">
        <v>168</v>
      </c>
      <c r="AE28" s="597"/>
      <c r="AF28" s="599"/>
      <c r="AG28" s="2121">
        <f t="shared" si="0"/>
        <v>0</v>
      </c>
      <c r="AP28" s="3681">
        <f t="shared" si="2"/>
        <v>14</v>
      </c>
      <c r="AQ28" s="2130" t="str">
        <f t="shared" si="3"/>
        <v>Betanal Tandem + Mero</v>
      </c>
      <c r="AR28" s="2130"/>
      <c r="AS28" s="2130"/>
      <c r="AT28" s="2130"/>
      <c r="AU28" s="2130"/>
      <c r="AV28" s="3682">
        <f t="shared" si="4"/>
        <v>37</v>
      </c>
      <c r="AW28" s="3683" t="str">
        <f t="shared" si="4"/>
        <v>H</v>
      </c>
      <c r="AX28" s="2130"/>
      <c r="AY28" s="3681">
        <f t="shared" si="5"/>
        <v>64</v>
      </c>
      <c r="AZ28" s="3682" t="str">
        <f t="shared" si="6"/>
        <v>Revytrex</v>
      </c>
      <c r="BA28" s="2130"/>
      <c r="BB28" s="3682">
        <f t="shared" si="7"/>
        <v>55.9</v>
      </c>
      <c r="BC28" s="3683" t="str">
        <f t="shared" si="7"/>
        <v>F</v>
      </c>
      <c r="BD28" s="2130"/>
      <c r="BE28" s="2130"/>
      <c r="BF28"/>
    </row>
    <row r="29" spans="1:58" ht="18">
      <c r="B29" s="2136">
        <f t="shared" si="1"/>
        <v>25</v>
      </c>
      <c r="C29" s="3654" t="s">
        <v>2002</v>
      </c>
      <c r="D29" s="3655">
        <v>47.2</v>
      </c>
      <c r="E29" s="3656" t="s">
        <v>621</v>
      </c>
      <c r="F29" s="598" t="s">
        <v>168</v>
      </c>
      <c r="G29" s="597"/>
      <c r="H29" s="597" t="s">
        <v>168</v>
      </c>
      <c r="I29" s="597" t="s">
        <v>168</v>
      </c>
      <c r="J29" s="597" t="s">
        <v>168</v>
      </c>
      <c r="K29" s="597" t="s">
        <v>168</v>
      </c>
      <c r="L29" s="597" t="s">
        <v>168</v>
      </c>
      <c r="M29" s="597" t="s">
        <v>168</v>
      </c>
      <c r="N29" s="597"/>
      <c r="O29" s="597"/>
      <c r="P29" s="597"/>
      <c r="Q29" s="597"/>
      <c r="R29" s="597"/>
      <c r="S29" s="597"/>
      <c r="T29" s="597"/>
      <c r="U29" s="597"/>
      <c r="V29" s="597"/>
      <c r="W29" s="597"/>
      <c r="X29" s="597"/>
      <c r="Y29" s="597"/>
      <c r="Z29" s="597"/>
      <c r="AA29" s="597"/>
      <c r="AB29" s="597"/>
      <c r="AC29" s="597"/>
      <c r="AD29" s="597" t="s">
        <v>168</v>
      </c>
      <c r="AE29" s="597"/>
      <c r="AF29" s="599"/>
      <c r="AG29" s="2121">
        <f t="shared" si="0"/>
        <v>0</v>
      </c>
      <c r="AP29" s="3681">
        <f t="shared" si="2"/>
        <v>15</v>
      </c>
      <c r="AQ29" s="2130" t="str">
        <f t="shared" si="3"/>
        <v>Biathlon 4D +Dash</v>
      </c>
      <c r="AR29" s="2130"/>
      <c r="AS29" s="2130"/>
      <c r="AT29" s="2130"/>
      <c r="AU29" s="2130"/>
      <c r="AV29" s="3682">
        <f t="shared" si="4"/>
        <v>510.6</v>
      </c>
      <c r="AW29" s="3683" t="str">
        <f t="shared" si="4"/>
        <v>H</v>
      </c>
      <c r="AX29" s="2130"/>
      <c r="AY29" s="3681">
        <f t="shared" si="5"/>
        <v>65</v>
      </c>
      <c r="AZ29" s="3682" t="str">
        <f t="shared" si="6"/>
        <v>Comet</v>
      </c>
      <c r="BA29" s="2130"/>
      <c r="BB29" s="3682">
        <f t="shared" si="7"/>
        <v>33.5</v>
      </c>
      <c r="BC29" s="3683" t="str">
        <f t="shared" si="7"/>
        <v>F</v>
      </c>
      <c r="BD29" s="2130"/>
      <c r="BE29" s="2130"/>
      <c r="BF29"/>
    </row>
    <row r="30" spans="1:58" s="3652" customFormat="1" ht="18">
      <c r="A30" s="3669"/>
      <c r="B30" s="2136">
        <f t="shared" si="1"/>
        <v>26</v>
      </c>
      <c r="C30" s="3654" t="s">
        <v>2127</v>
      </c>
      <c r="D30" s="3655">
        <v>39.299999999999997</v>
      </c>
      <c r="E30" s="3656" t="s">
        <v>596</v>
      </c>
      <c r="F30" s="598"/>
      <c r="G30" s="597"/>
      <c r="H30" s="597"/>
      <c r="I30" s="597"/>
      <c r="J30" s="597"/>
      <c r="K30" s="597"/>
      <c r="L30" s="597"/>
      <c r="M30" s="597"/>
      <c r="N30" s="597"/>
      <c r="O30" s="597"/>
      <c r="P30" s="597"/>
      <c r="Q30" s="597"/>
      <c r="R30" s="597"/>
      <c r="S30" s="597" t="s">
        <v>168</v>
      </c>
      <c r="T30" s="597"/>
      <c r="U30" s="597"/>
      <c r="V30" s="597"/>
      <c r="W30" s="597"/>
      <c r="X30" s="597"/>
      <c r="Y30" s="597"/>
      <c r="Z30" s="597"/>
      <c r="AA30" s="597"/>
      <c r="AB30" s="597"/>
      <c r="AC30" s="597"/>
      <c r="AD30" s="3674"/>
      <c r="AE30" s="3674"/>
      <c r="AF30" s="3675"/>
      <c r="AG30" s="3653">
        <f t="shared" si="0"/>
        <v>0</v>
      </c>
      <c r="AP30" s="3684">
        <f t="shared" si="2"/>
        <v>16</v>
      </c>
      <c r="AQ30" s="3665" t="str">
        <f t="shared" si="3"/>
        <v>Amistar Gold</v>
      </c>
      <c r="AR30" s="3665"/>
      <c r="AS30" s="3665"/>
      <c r="AT30" s="3665"/>
      <c r="AU30" s="3665"/>
      <c r="AV30" s="3685">
        <f t="shared" si="4"/>
        <v>46.4</v>
      </c>
      <c r="AW30" s="3686" t="str">
        <f t="shared" si="4"/>
        <v>F</v>
      </c>
      <c r="AX30" s="3665"/>
      <c r="AY30" s="3684">
        <f t="shared" si="5"/>
        <v>66</v>
      </c>
      <c r="AZ30" s="3685" t="str">
        <f t="shared" si="6"/>
        <v>Select 240 EC</v>
      </c>
      <c r="BA30" s="3665"/>
      <c r="BB30" s="3685">
        <f t="shared" si="7"/>
        <v>85.2</v>
      </c>
      <c r="BC30" s="3686" t="str">
        <f t="shared" si="7"/>
        <v>H</v>
      </c>
      <c r="BD30" s="3665"/>
      <c r="BE30" s="3665"/>
      <c r="BF30" s="3687"/>
    </row>
    <row r="31" spans="1:58" ht="18">
      <c r="B31" s="2136">
        <f t="shared" si="1"/>
        <v>27</v>
      </c>
      <c r="C31" s="3654" t="s">
        <v>640</v>
      </c>
      <c r="D31" s="3655">
        <v>412.6</v>
      </c>
      <c r="E31" s="3656" t="s">
        <v>593</v>
      </c>
      <c r="F31" s="598"/>
      <c r="G31" s="597"/>
      <c r="H31" s="597"/>
      <c r="I31" s="597"/>
      <c r="J31" s="597"/>
      <c r="K31" s="597"/>
      <c r="L31" s="597"/>
      <c r="M31" s="597"/>
      <c r="N31" s="597"/>
      <c r="O31" s="597"/>
      <c r="P31" s="597"/>
      <c r="Q31" s="597"/>
      <c r="R31" s="597" t="s">
        <v>168</v>
      </c>
      <c r="S31" s="597"/>
      <c r="T31" s="597"/>
      <c r="U31" s="597"/>
      <c r="V31" s="597"/>
      <c r="W31" s="597"/>
      <c r="X31" s="597"/>
      <c r="Y31" s="597"/>
      <c r="Z31" s="597"/>
      <c r="AA31" s="597"/>
      <c r="AB31" s="597" t="s">
        <v>168</v>
      </c>
      <c r="AC31" s="597"/>
      <c r="AD31" s="597" t="s">
        <v>168</v>
      </c>
      <c r="AE31" s="597"/>
      <c r="AF31" s="599"/>
      <c r="AG31" s="2121">
        <f t="shared" si="0"/>
        <v>0</v>
      </c>
      <c r="AP31" s="3681">
        <f t="shared" si="2"/>
        <v>17</v>
      </c>
      <c r="AQ31" s="2130" t="str">
        <f t="shared" si="3"/>
        <v>Boxer</v>
      </c>
      <c r="AR31" s="2130"/>
      <c r="AS31" s="2130"/>
      <c r="AT31" s="2130"/>
      <c r="AU31" s="2130"/>
      <c r="AV31" s="3682">
        <f t="shared" si="4"/>
        <v>15.4</v>
      </c>
      <c r="AW31" s="3683" t="str">
        <f t="shared" si="4"/>
        <v>H</v>
      </c>
      <c r="AX31" s="2130"/>
      <c r="AY31" s="3681">
        <f t="shared" si="5"/>
        <v>67</v>
      </c>
      <c r="AZ31" s="3682" t="str">
        <f t="shared" si="6"/>
        <v>Sencor Liquid</v>
      </c>
      <c r="BA31" s="2130"/>
      <c r="BB31" s="3682">
        <f t="shared" si="7"/>
        <v>62.8</v>
      </c>
      <c r="BC31" s="3683" t="str">
        <f t="shared" si="7"/>
        <v>H</v>
      </c>
      <c r="BD31" s="2130"/>
      <c r="BE31" s="2130"/>
      <c r="BF31"/>
    </row>
    <row r="32" spans="1:58" ht="18">
      <c r="B32" s="2136">
        <f t="shared" si="1"/>
        <v>28</v>
      </c>
      <c r="C32" s="3654" t="s">
        <v>639</v>
      </c>
      <c r="D32" s="3655">
        <v>1506.7</v>
      </c>
      <c r="E32" s="3656" t="s">
        <v>596</v>
      </c>
      <c r="F32" s="598"/>
      <c r="G32" s="597"/>
      <c r="H32" s="597"/>
      <c r="I32" s="597"/>
      <c r="J32" s="597"/>
      <c r="K32" s="597"/>
      <c r="L32" s="597"/>
      <c r="M32" s="597"/>
      <c r="N32" s="597"/>
      <c r="O32" s="597"/>
      <c r="P32" s="597"/>
      <c r="Q32" s="597"/>
      <c r="R32" s="597"/>
      <c r="S32" s="597"/>
      <c r="T32" s="597"/>
      <c r="U32" s="597"/>
      <c r="V32" s="597"/>
      <c r="W32" s="597"/>
      <c r="X32" s="597"/>
      <c r="Y32" s="597"/>
      <c r="Z32" s="597"/>
      <c r="AA32" s="597" t="s">
        <v>168</v>
      </c>
      <c r="AB32" s="597"/>
      <c r="AC32" s="597"/>
      <c r="AD32" s="597" t="s">
        <v>168</v>
      </c>
      <c r="AE32" s="597"/>
      <c r="AF32" s="599"/>
      <c r="AG32" s="2121">
        <f t="shared" si="0"/>
        <v>0</v>
      </c>
      <c r="AP32" s="3681">
        <f t="shared" si="2"/>
        <v>18</v>
      </c>
      <c r="AQ32" s="2130" t="str">
        <f t="shared" si="3"/>
        <v>Broadway</v>
      </c>
      <c r="AR32" s="2130"/>
      <c r="AS32" s="2130"/>
      <c r="AT32" s="2130"/>
      <c r="AU32" s="2130"/>
      <c r="AV32" s="3682">
        <f t="shared" si="4"/>
        <v>306</v>
      </c>
      <c r="AW32" s="3683" t="str">
        <f t="shared" si="4"/>
        <v>H</v>
      </c>
      <c r="AX32" s="2130"/>
      <c r="AY32" s="3681">
        <f t="shared" si="5"/>
        <v>68</v>
      </c>
      <c r="AZ32" s="3682" t="str">
        <f t="shared" si="6"/>
        <v>Shirlan</v>
      </c>
      <c r="BA32" s="2130"/>
      <c r="BB32" s="3682">
        <f t="shared" si="7"/>
        <v>44.1</v>
      </c>
      <c r="BC32" s="3683" t="str">
        <f t="shared" si="7"/>
        <v>F</v>
      </c>
      <c r="BD32" s="2130"/>
      <c r="BE32" s="2130"/>
      <c r="BF32"/>
    </row>
    <row r="33" spans="1:58" ht="18">
      <c r="B33" s="2136">
        <f t="shared" si="1"/>
        <v>29</v>
      </c>
      <c r="C33" s="3654" t="s">
        <v>638</v>
      </c>
      <c r="D33" s="3655">
        <v>157.30000000000001</v>
      </c>
      <c r="E33" s="3656" t="s">
        <v>596</v>
      </c>
      <c r="F33" s="598"/>
      <c r="G33" s="597"/>
      <c r="H33" s="597"/>
      <c r="I33" s="597"/>
      <c r="J33" s="597"/>
      <c r="K33" s="597"/>
      <c r="L33" s="597"/>
      <c r="M33" s="597"/>
      <c r="N33" s="597"/>
      <c r="O33" s="597"/>
      <c r="P33" s="597"/>
      <c r="Q33" s="597"/>
      <c r="R33" s="597" t="s">
        <v>168</v>
      </c>
      <c r="S33" s="597" t="s">
        <v>168</v>
      </c>
      <c r="T33" s="597"/>
      <c r="U33" s="597"/>
      <c r="V33" s="597"/>
      <c r="W33" s="597"/>
      <c r="X33" s="597"/>
      <c r="Y33" s="597"/>
      <c r="Z33" s="597"/>
      <c r="AA33" s="597"/>
      <c r="AB33" s="597"/>
      <c r="AC33" s="597"/>
      <c r="AD33" s="597" t="s">
        <v>168</v>
      </c>
      <c r="AE33" s="597"/>
      <c r="AF33" s="599"/>
      <c r="AG33" s="2121">
        <f t="shared" si="0"/>
        <v>0</v>
      </c>
      <c r="AP33" s="3681">
        <f t="shared" si="2"/>
        <v>19</v>
      </c>
      <c r="AQ33" s="2130" t="str">
        <f t="shared" si="3"/>
        <v xml:space="preserve">Butisan </v>
      </c>
      <c r="AR33" s="2130"/>
      <c r="AS33" s="2130"/>
      <c r="AT33" s="2130"/>
      <c r="AU33" s="2130"/>
      <c r="AV33" s="3682">
        <f t="shared" si="4"/>
        <v>54.6</v>
      </c>
      <c r="AW33" s="3683" t="str">
        <f t="shared" si="4"/>
        <v>H</v>
      </c>
      <c r="AX33" s="2130"/>
      <c r="AY33" s="3681">
        <f t="shared" si="5"/>
        <v>69</v>
      </c>
      <c r="AZ33" s="3682" t="str">
        <f t="shared" si="6"/>
        <v>Spectrum Plus</v>
      </c>
      <c r="BA33" s="2130"/>
      <c r="BB33" s="3682">
        <f t="shared" si="7"/>
        <v>23.2</v>
      </c>
      <c r="BC33" s="3683" t="str">
        <f t="shared" si="7"/>
        <v>H</v>
      </c>
      <c r="BD33" s="2130"/>
      <c r="BE33" s="2130"/>
      <c r="BF33"/>
    </row>
    <row r="34" spans="1:58" s="3652" customFormat="1" ht="18">
      <c r="A34" s="3669"/>
      <c r="B34" s="3670">
        <f t="shared" si="1"/>
        <v>30</v>
      </c>
      <c r="C34" s="3654" t="s">
        <v>2008</v>
      </c>
      <c r="D34" s="3671">
        <v>80</v>
      </c>
      <c r="E34" s="3672" t="s">
        <v>598</v>
      </c>
      <c r="F34" s="3673" t="s">
        <v>168</v>
      </c>
      <c r="G34" s="3674" t="s">
        <v>168</v>
      </c>
      <c r="H34" s="3674" t="s">
        <v>168</v>
      </c>
      <c r="I34" s="3674" t="s">
        <v>168</v>
      </c>
      <c r="J34" s="3674" t="s">
        <v>168</v>
      </c>
      <c r="K34" s="3674" t="s">
        <v>168</v>
      </c>
      <c r="L34" s="3674" t="s">
        <v>168</v>
      </c>
      <c r="M34" s="3674" t="s">
        <v>168</v>
      </c>
      <c r="N34" s="3674"/>
      <c r="O34" s="3674"/>
      <c r="P34" s="3674"/>
      <c r="Q34" s="3674"/>
      <c r="R34" s="3674"/>
      <c r="S34" s="3674"/>
      <c r="T34" s="3674"/>
      <c r="U34" s="3674"/>
      <c r="V34" s="3674"/>
      <c r="W34" s="3674"/>
      <c r="X34" s="3674"/>
      <c r="Y34" s="3674"/>
      <c r="Z34" s="3674"/>
      <c r="AA34" s="3674"/>
      <c r="AB34" s="3674"/>
      <c r="AC34" s="3674"/>
      <c r="AD34" s="3674" t="s">
        <v>168</v>
      </c>
      <c r="AE34" s="3674"/>
      <c r="AF34" s="3675"/>
      <c r="AG34" s="3653">
        <f t="shared" si="0"/>
        <v>0</v>
      </c>
      <c r="AP34" s="3684">
        <f t="shared" si="2"/>
        <v>20</v>
      </c>
      <c r="AQ34" s="3665" t="str">
        <f t="shared" si="3"/>
        <v>Callisto</v>
      </c>
      <c r="AR34" s="3665"/>
      <c r="AS34" s="3665"/>
      <c r="AT34" s="3665"/>
      <c r="AU34" s="3665"/>
      <c r="AV34" s="3685">
        <f t="shared" si="4"/>
        <v>25.2</v>
      </c>
      <c r="AW34" s="3686" t="str">
        <f t="shared" si="4"/>
        <v>H</v>
      </c>
      <c r="AX34" s="3665"/>
      <c r="AY34" s="3684">
        <f t="shared" si="5"/>
        <v>70</v>
      </c>
      <c r="AZ34" s="3685" t="str">
        <f t="shared" si="6"/>
        <v>Starane XL</v>
      </c>
      <c r="BA34" s="3665"/>
      <c r="BB34" s="3685">
        <f t="shared" si="7"/>
        <v>21.3</v>
      </c>
      <c r="BC34" s="3686" t="str">
        <f t="shared" si="7"/>
        <v>H</v>
      </c>
      <c r="BD34" s="3665"/>
      <c r="BE34" s="3665"/>
      <c r="BF34" s="3687"/>
    </row>
    <row r="35" spans="1:58" s="3652" customFormat="1" ht="18">
      <c r="A35" s="3669"/>
      <c r="B35" s="3670">
        <f t="shared" si="1"/>
        <v>31</v>
      </c>
      <c r="C35" s="3654" t="s">
        <v>1916</v>
      </c>
      <c r="D35" s="3671">
        <v>29.8</v>
      </c>
      <c r="E35" s="3672" t="s">
        <v>596</v>
      </c>
      <c r="F35" s="3673"/>
      <c r="G35" s="3674"/>
      <c r="H35" s="3674"/>
      <c r="I35" s="3674"/>
      <c r="J35" s="3674"/>
      <c r="K35" s="3674"/>
      <c r="L35" s="3674"/>
      <c r="M35" s="3674"/>
      <c r="N35" s="3674"/>
      <c r="O35" s="3674"/>
      <c r="P35" s="3674"/>
      <c r="Q35" s="3674"/>
      <c r="R35" s="3674" t="s">
        <v>168</v>
      </c>
      <c r="S35" s="3674"/>
      <c r="T35" s="3674"/>
      <c r="U35" s="3674"/>
      <c r="V35" s="3674"/>
      <c r="W35" s="3674"/>
      <c r="X35" s="3674"/>
      <c r="Y35" s="3674"/>
      <c r="Z35" s="3674"/>
      <c r="AA35" s="3674"/>
      <c r="AB35" s="3674"/>
      <c r="AC35" s="3674"/>
      <c r="AD35" s="3674" t="s">
        <v>168</v>
      </c>
      <c r="AE35" s="3674"/>
      <c r="AF35" s="3675"/>
      <c r="AG35" s="3653">
        <f t="shared" si="0"/>
        <v>0</v>
      </c>
      <c r="AP35" s="3684">
        <f t="shared" si="2"/>
        <v>21</v>
      </c>
      <c r="AQ35" s="3665" t="str">
        <f t="shared" si="3"/>
        <v>Cantus Gold</v>
      </c>
      <c r="AR35" s="3665"/>
      <c r="AS35" s="3665"/>
      <c r="AT35" s="3665"/>
      <c r="AU35" s="3665"/>
      <c r="AV35" s="3685">
        <f t="shared" si="4"/>
        <v>135.1</v>
      </c>
      <c r="AW35" s="3686" t="str">
        <f t="shared" si="4"/>
        <v>F</v>
      </c>
      <c r="AX35" s="3665"/>
      <c r="AY35" s="3684">
        <f t="shared" si="5"/>
        <v>71</v>
      </c>
      <c r="AZ35" s="3685" t="str">
        <f t="shared" si="6"/>
        <v/>
      </c>
      <c r="BA35" s="3665"/>
      <c r="BB35" s="3685" t="str">
        <f t="shared" si="7"/>
        <v/>
      </c>
      <c r="BC35" s="3686" t="str">
        <f t="shared" si="7"/>
        <v/>
      </c>
      <c r="BD35" s="3665"/>
      <c r="BE35" s="3665"/>
      <c r="BF35" s="3687"/>
    </row>
    <row r="36" spans="1:58" ht="18">
      <c r="B36" s="3670">
        <f t="shared" si="1"/>
        <v>32</v>
      </c>
      <c r="C36" s="3654" t="s">
        <v>1917</v>
      </c>
      <c r="D36" s="3671">
        <v>30</v>
      </c>
      <c r="E36" s="3672" t="s">
        <v>596</v>
      </c>
      <c r="F36" s="3673"/>
      <c r="G36" s="3674"/>
      <c r="H36" s="3674"/>
      <c r="I36" s="3674"/>
      <c r="J36" s="3674"/>
      <c r="K36" s="3674"/>
      <c r="L36" s="3674"/>
      <c r="M36" s="3674"/>
      <c r="N36" s="3674"/>
      <c r="O36" s="3674"/>
      <c r="P36" s="3674"/>
      <c r="Q36" s="3674"/>
      <c r="R36" s="3674" t="s">
        <v>168</v>
      </c>
      <c r="S36" s="3674"/>
      <c r="T36" s="3674"/>
      <c r="U36" s="3674"/>
      <c r="V36" s="3674"/>
      <c r="W36" s="3674"/>
      <c r="X36" s="3674"/>
      <c r="Y36" s="3674"/>
      <c r="Z36" s="3674"/>
      <c r="AA36" s="3674"/>
      <c r="AB36" s="3674"/>
      <c r="AC36" s="3674"/>
      <c r="AD36" s="597" t="s">
        <v>168</v>
      </c>
      <c r="AE36" s="597"/>
      <c r="AF36" s="599"/>
      <c r="AG36" s="2121">
        <f t="shared" si="0"/>
        <v>0</v>
      </c>
      <c r="AP36" s="3681">
        <f t="shared" si="2"/>
        <v>22</v>
      </c>
      <c r="AQ36" s="2130" t="str">
        <f t="shared" si="3"/>
        <v>Carax</v>
      </c>
      <c r="AR36" s="2130"/>
      <c r="AS36" s="2130"/>
      <c r="AT36" s="2130"/>
      <c r="AU36" s="2130"/>
      <c r="AV36" s="3682">
        <f t="shared" si="4"/>
        <v>42.1</v>
      </c>
      <c r="AW36" s="3683" t="str">
        <f t="shared" si="4"/>
        <v>F</v>
      </c>
      <c r="AX36" s="2130"/>
      <c r="AY36" s="3681">
        <f t="shared" si="5"/>
        <v>72</v>
      </c>
      <c r="AZ36" s="3682" t="str">
        <f t="shared" si="6"/>
        <v>Stomp Aqua</v>
      </c>
      <c r="BA36" s="2130"/>
      <c r="BB36" s="3682">
        <f t="shared" si="7"/>
        <v>22.8</v>
      </c>
      <c r="BC36" s="3683" t="str">
        <f t="shared" si="7"/>
        <v>H</v>
      </c>
      <c r="BD36" s="2130"/>
      <c r="BE36" s="2130"/>
      <c r="BF36"/>
    </row>
    <row r="37" spans="1:58" ht="18">
      <c r="B37" s="3670">
        <f t="shared" si="1"/>
        <v>33</v>
      </c>
      <c r="C37" s="3654" t="s">
        <v>1918</v>
      </c>
      <c r="D37" s="3671">
        <v>880</v>
      </c>
      <c r="E37" s="3672" t="s">
        <v>596</v>
      </c>
      <c r="F37" s="3673"/>
      <c r="G37" s="3674"/>
      <c r="H37" s="3674"/>
      <c r="I37" s="3674"/>
      <c r="J37" s="3674"/>
      <c r="K37" s="3674"/>
      <c r="L37" s="3674"/>
      <c r="M37" s="3674"/>
      <c r="N37" s="3674"/>
      <c r="O37" s="3674"/>
      <c r="P37" s="3674"/>
      <c r="Q37" s="3674"/>
      <c r="R37" s="3674" t="s">
        <v>168</v>
      </c>
      <c r="S37" s="3674"/>
      <c r="T37" s="3674"/>
      <c r="U37" s="3674"/>
      <c r="V37" s="3674"/>
      <c r="W37" s="3674"/>
      <c r="X37" s="3674"/>
      <c r="Y37" s="3674"/>
      <c r="Z37" s="3674"/>
      <c r="AA37" s="3674"/>
      <c r="AB37" s="3674"/>
      <c r="AC37" s="3674"/>
      <c r="AD37" s="597" t="s">
        <v>168</v>
      </c>
      <c r="AE37" s="597"/>
      <c r="AF37" s="599"/>
      <c r="AG37" s="2121">
        <f t="shared" si="0"/>
        <v>0</v>
      </c>
      <c r="AP37" s="3681">
        <f t="shared" si="2"/>
        <v>23</v>
      </c>
      <c r="AQ37" s="2130" t="str">
        <f t="shared" si="3"/>
        <v>CCC 720</v>
      </c>
      <c r="AR37" s="2130"/>
      <c r="AS37" s="2130"/>
      <c r="AT37" s="2130"/>
      <c r="AU37" s="2130"/>
      <c r="AV37" s="3682">
        <f t="shared" si="4"/>
        <v>6.8</v>
      </c>
      <c r="AW37" s="3683" t="str">
        <f t="shared" si="4"/>
        <v>W</v>
      </c>
      <c r="AX37" s="2130"/>
      <c r="AY37" s="3681">
        <f t="shared" si="5"/>
        <v>73</v>
      </c>
      <c r="AZ37" s="3682" t="str">
        <f t="shared" si="6"/>
        <v>Teppeki</v>
      </c>
      <c r="BA37" s="2130"/>
      <c r="BB37" s="3682">
        <f t="shared" si="7"/>
        <v>237.8</v>
      </c>
      <c r="BC37" s="3683" t="str">
        <f t="shared" si="7"/>
        <v>I</v>
      </c>
      <c r="BD37" s="2130"/>
      <c r="BE37" s="2130"/>
      <c r="BF37"/>
    </row>
    <row r="38" spans="1:58" s="3652" customFormat="1" ht="18">
      <c r="A38" s="3669"/>
      <c r="B38" s="2136">
        <f t="shared" si="1"/>
        <v>34</v>
      </c>
      <c r="C38" s="3654" t="s">
        <v>2000</v>
      </c>
      <c r="D38" s="3655">
        <v>64.900000000000006</v>
      </c>
      <c r="E38" s="3656" t="s">
        <v>598</v>
      </c>
      <c r="F38" s="598" t="s">
        <v>168</v>
      </c>
      <c r="G38" s="597" t="s">
        <v>168</v>
      </c>
      <c r="H38" s="597" t="s">
        <v>168</v>
      </c>
      <c r="I38" s="597" t="s">
        <v>168</v>
      </c>
      <c r="J38" s="597" t="s">
        <v>168</v>
      </c>
      <c r="K38" s="597" t="s">
        <v>168</v>
      </c>
      <c r="L38" s="597" t="s">
        <v>168</v>
      </c>
      <c r="M38" s="597" t="s">
        <v>168</v>
      </c>
      <c r="N38" s="597"/>
      <c r="O38" s="597" t="s">
        <v>168</v>
      </c>
      <c r="P38" s="597"/>
      <c r="Q38" s="597"/>
      <c r="R38" s="597"/>
      <c r="S38" s="597"/>
      <c r="T38" s="597"/>
      <c r="U38" s="597"/>
      <c r="V38" s="597"/>
      <c r="W38" s="597"/>
      <c r="X38" s="597"/>
      <c r="Y38" s="597"/>
      <c r="Z38" s="597"/>
      <c r="AA38" s="597"/>
      <c r="AB38" s="597"/>
      <c r="AC38" s="597"/>
      <c r="AD38" s="3674" t="s">
        <v>168</v>
      </c>
      <c r="AE38" s="3674"/>
      <c r="AF38" s="3675"/>
      <c r="AG38" s="3653">
        <f t="shared" si="0"/>
        <v>0</v>
      </c>
      <c r="AP38" s="3684">
        <f t="shared" si="2"/>
        <v>24</v>
      </c>
      <c r="AQ38" s="3665" t="str">
        <f t="shared" si="3"/>
        <v>Centium 36 CS</v>
      </c>
      <c r="AR38" s="3665"/>
      <c r="AS38" s="3665"/>
      <c r="AT38" s="3665"/>
      <c r="AU38" s="3665"/>
      <c r="AV38" s="3685">
        <f t="shared" si="4"/>
        <v>170.5</v>
      </c>
      <c r="AW38" s="3686" t="str">
        <f t="shared" si="4"/>
        <v>H</v>
      </c>
      <c r="AX38" s="3665"/>
      <c r="AY38" s="3684">
        <f t="shared" si="5"/>
        <v>74</v>
      </c>
      <c r="AZ38" s="3685" t="str">
        <f t="shared" si="6"/>
        <v>Tilmor</v>
      </c>
      <c r="BA38" s="3665"/>
      <c r="BB38" s="3685">
        <f t="shared" si="7"/>
        <v>41.5</v>
      </c>
      <c r="BC38" s="3686" t="str">
        <f t="shared" si="7"/>
        <v>F</v>
      </c>
      <c r="BD38" s="3665"/>
      <c r="BE38" s="3665"/>
      <c r="BF38" s="3687"/>
    </row>
    <row r="39" spans="1:58" ht="18">
      <c r="B39" s="2136">
        <f t="shared" si="1"/>
        <v>35</v>
      </c>
      <c r="C39" s="3654" t="s">
        <v>2003</v>
      </c>
      <c r="D39" s="3655">
        <v>40</v>
      </c>
      <c r="E39" s="3656" t="s">
        <v>596</v>
      </c>
      <c r="F39" s="598"/>
      <c r="G39" s="597"/>
      <c r="H39" s="597"/>
      <c r="I39" s="597"/>
      <c r="J39" s="597"/>
      <c r="K39" s="597"/>
      <c r="L39" s="597"/>
      <c r="M39" s="597"/>
      <c r="N39" s="597"/>
      <c r="O39" s="597"/>
      <c r="P39" s="597"/>
      <c r="Q39" s="597"/>
      <c r="R39" s="597"/>
      <c r="S39" s="597" t="s">
        <v>168</v>
      </c>
      <c r="T39" s="597" t="s">
        <v>168</v>
      </c>
      <c r="U39" s="597" t="s">
        <v>168</v>
      </c>
      <c r="V39" s="597" t="s">
        <v>168</v>
      </c>
      <c r="W39" s="597" t="s">
        <v>168</v>
      </c>
      <c r="X39" s="597" t="s">
        <v>168</v>
      </c>
      <c r="Y39" s="597" t="s">
        <v>168</v>
      </c>
      <c r="Z39" s="597"/>
      <c r="AA39" s="597" t="s">
        <v>168</v>
      </c>
      <c r="AB39" s="597" t="s">
        <v>168</v>
      </c>
      <c r="AC39" s="597"/>
      <c r="AD39" s="597" t="s">
        <v>168</v>
      </c>
      <c r="AE39" s="597"/>
      <c r="AF39" s="599"/>
      <c r="AG39" s="2121">
        <f t="shared" si="0"/>
        <v>0</v>
      </c>
      <c r="AP39" s="3681">
        <f t="shared" si="2"/>
        <v>25</v>
      </c>
      <c r="AQ39" s="2130" t="str">
        <f t="shared" si="3"/>
        <v>Cerone 660</v>
      </c>
      <c r="AR39" s="2130"/>
      <c r="AS39" s="2130"/>
      <c r="AT39" s="2130"/>
      <c r="AU39" s="2130"/>
      <c r="AV39" s="3682">
        <f t="shared" si="4"/>
        <v>47.2</v>
      </c>
      <c r="AW39" s="3683" t="str">
        <f t="shared" si="4"/>
        <v>W</v>
      </c>
      <c r="AX39" s="2130"/>
      <c r="AY39" s="3681">
        <f t="shared" si="5"/>
        <v>75</v>
      </c>
      <c r="AZ39" s="3682" t="str">
        <f t="shared" si="6"/>
        <v>Traxos</v>
      </c>
      <c r="BA39" s="2130"/>
      <c r="BB39" s="3682">
        <f t="shared" si="7"/>
        <v>49.6</v>
      </c>
      <c r="BC39" s="3683" t="str">
        <f t="shared" si="7"/>
        <v>H</v>
      </c>
      <c r="BD39" s="2130"/>
      <c r="BE39" s="2130"/>
      <c r="BF39"/>
    </row>
    <row r="40" spans="1:58" s="3652" customFormat="1" ht="18">
      <c r="A40" s="3669"/>
      <c r="B40" s="2136">
        <f t="shared" si="1"/>
        <v>36</v>
      </c>
      <c r="C40" s="3654" t="s">
        <v>636</v>
      </c>
      <c r="D40" s="3655">
        <v>31.6</v>
      </c>
      <c r="E40" s="3656" t="s">
        <v>598</v>
      </c>
      <c r="F40" s="598" t="s">
        <v>168</v>
      </c>
      <c r="G40" s="597" t="s">
        <v>168</v>
      </c>
      <c r="H40" s="597" t="s">
        <v>168</v>
      </c>
      <c r="I40" s="597"/>
      <c r="J40" s="597" t="s">
        <v>168</v>
      </c>
      <c r="K40" s="597" t="s">
        <v>168</v>
      </c>
      <c r="L40" s="597" t="s">
        <v>168</v>
      </c>
      <c r="M40" s="597" t="s">
        <v>168</v>
      </c>
      <c r="N40" s="597"/>
      <c r="O40" s="597"/>
      <c r="P40" s="597"/>
      <c r="Q40" s="597"/>
      <c r="R40" s="597"/>
      <c r="S40" s="597" t="s">
        <v>168</v>
      </c>
      <c r="T40" s="597" t="s">
        <v>168</v>
      </c>
      <c r="U40" s="597"/>
      <c r="V40" s="597"/>
      <c r="W40" s="597"/>
      <c r="X40" s="597"/>
      <c r="Y40" s="597"/>
      <c r="Z40" s="597"/>
      <c r="AA40" s="597"/>
      <c r="AB40" s="597"/>
      <c r="AC40" s="597"/>
      <c r="AD40" s="3674" t="s">
        <v>168</v>
      </c>
      <c r="AE40" s="3674"/>
      <c r="AF40" s="3675"/>
      <c r="AG40" s="3653">
        <f t="shared" si="0"/>
        <v>0</v>
      </c>
      <c r="AP40" s="3684">
        <f t="shared" si="2"/>
        <v>26</v>
      </c>
      <c r="AQ40" s="3665" t="str">
        <f t="shared" si="3"/>
        <v>Fuego Top</v>
      </c>
      <c r="AR40" s="3665"/>
      <c r="AS40" s="3665"/>
      <c r="AT40" s="3665"/>
      <c r="AU40" s="3665"/>
      <c r="AV40" s="3685">
        <f t="shared" si="4"/>
        <v>39.299999999999997</v>
      </c>
      <c r="AW40" s="3686" t="str">
        <f t="shared" si="4"/>
        <v>H</v>
      </c>
      <c r="AX40" s="3665"/>
      <c r="AY40" s="3684">
        <f t="shared" si="5"/>
        <v>76</v>
      </c>
      <c r="AZ40" s="3685" t="str">
        <f t="shared" si="6"/>
        <v>Trebon 30 EC</v>
      </c>
      <c r="BA40" s="3665"/>
      <c r="BB40" s="3685">
        <f t="shared" si="7"/>
        <v>77.8</v>
      </c>
      <c r="BC40" s="3686" t="str">
        <f t="shared" si="7"/>
        <v>I</v>
      </c>
      <c r="BD40" s="3665"/>
      <c r="BE40" s="3665"/>
      <c r="BF40" s="3687"/>
    </row>
    <row r="41" spans="1:58" ht="18">
      <c r="B41" s="2136">
        <f t="shared" si="1"/>
        <v>37</v>
      </c>
      <c r="C41" s="3654" t="s">
        <v>635</v>
      </c>
      <c r="D41" s="3655">
        <v>32.4</v>
      </c>
      <c r="E41" s="3656" t="s">
        <v>596</v>
      </c>
      <c r="F41" s="598"/>
      <c r="G41" s="597"/>
      <c r="H41" s="597"/>
      <c r="I41" s="597"/>
      <c r="J41" s="597"/>
      <c r="K41" s="597"/>
      <c r="L41" s="597"/>
      <c r="M41" s="597"/>
      <c r="N41" s="597"/>
      <c r="O41" s="597"/>
      <c r="P41" s="597"/>
      <c r="Q41" s="597"/>
      <c r="R41" s="597"/>
      <c r="S41" s="597" t="s">
        <v>168</v>
      </c>
      <c r="T41" s="597"/>
      <c r="U41" s="597" t="s">
        <v>168</v>
      </c>
      <c r="V41" s="597" t="s">
        <v>168</v>
      </c>
      <c r="W41" s="597" t="s">
        <v>168</v>
      </c>
      <c r="X41" s="597" t="s">
        <v>168</v>
      </c>
      <c r="Y41" s="597" t="s">
        <v>168</v>
      </c>
      <c r="Z41" s="597" t="s">
        <v>168</v>
      </c>
      <c r="AA41" s="597" t="s">
        <v>168</v>
      </c>
      <c r="AB41" s="597" t="s">
        <v>168</v>
      </c>
      <c r="AC41" s="597"/>
      <c r="AD41" s="597" t="s">
        <v>168</v>
      </c>
      <c r="AE41" s="597"/>
      <c r="AF41" s="599"/>
      <c r="AG41" s="2121">
        <f t="shared" si="0"/>
        <v>0</v>
      </c>
      <c r="AP41" s="3681">
        <f t="shared" si="2"/>
        <v>27</v>
      </c>
      <c r="AQ41" s="2130" t="str">
        <f t="shared" si="3"/>
        <v>Coragen</v>
      </c>
      <c r="AR41" s="2130"/>
      <c r="AS41" s="2130"/>
      <c r="AT41" s="2130"/>
      <c r="AU41" s="2130"/>
      <c r="AV41" s="3682">
        <f t="shared" si="4"/>
        <v>412.6</v>
      </c>
      <c r="AW41" s="3683" t="str">
        <f t="shared" si="4"/>
        <v>I</v>
      </c>
      <c r="AX41" s="2130"/>
      <c r="AY41" s="3681">
        <f t="shared" si="5"/>
        <v>77</v>
      </c>
      <c r="AZ41" s="3682" t="str">
        <f t="shared" si="6"/>
        <v>TRICHOGRAMMA</v>
      </c>
      <c r="BA41" s="2130"/>
      <c r="BB41" s="3682">
        <f t="shared" si="7"/>
        <v>50</v>
      </c>
      <c r="BC41" s="3683" t="str">
        <f t="shared" si="7"/>
        <v>I</v>
      </c>
      <c r="BD41" s="2130"/>
      <c r="BE41" s="2130"/>
      <c r="BF41"/>
    </row>
    <row r="42" spans="1:58" s="3669" customFormat="1" ht="18">
      <c r="B42" s="2136">
        <f t="shared" si="1"/>
        <v>38</v>
      </c>
      <c r="C42" s="3654" t="s">
        <v>634</v>
      </c>
      <c r="D42" s="3655">
        <v>36</v>
      </c>
      <c r="E42" s="3656" t="s">
        <v>596</v>
      </c>
      <c r="F42" s="598"/>
      <c r="G42" s="597"/>
      <c r="H42" s="597"/>
      <c r="I42" s="597"/>
      <c r="J42" s="597"/>
      <c r="K42" s="597"/>
      <c r="L42" s="597"/>
      <c r="M42" s="597"/>
      <c r="N42" s="597"/>
      <c r="O42" s="597"/>
      <c r="P42" s="597"/>
      <c r="Q42" s="597"/>
      <c r="R42" s="597"/>
      <c r="S42" s="597"/>
      <c r="T42" s="597"/>
      <c r="U42" s="597"/>
      <c r="V42" s="597"/>
      <c r="W42" s="597"/>
      <c r="X42" s="597"/>
      <c r="Y42" s="597"/>
      <c r="Z42" s="597"/>
      <c r="AA42" s="597" t="s">
        <v>168</v>
      </c>
      <c r="AB42" s="597"/>
      <c r="AC42" s="597"/>
      <c r="AD42" s="3674" t="s">
        <v>168</v>
      </c>
      <c r="AE42" s="3674"/>
      <c r="AF42" s="3675"/>
      <c r="AG42" s="3676">
        <f t="shared" si="0"/>
        <v>0</v>
      </c>
      <c r="AP42" s="3688">
        <f t="shared" si="2"/>
        <v>28</v>
      </c>
      <c r="AQ42" s="3689" t="str">
        <f t="shared" si="3"/>
        <v xml:space="preserve">Debut </v>
      </c>
      <c r="AR42" s="3689"/>
      <c r="AS42" s="3689"/>
      <c r="AT42" s="3689"/>
      <c r="AU42" s="3689"/>
      <c r="AV42" s="3690">
        <f t="shared" si="4"/>
        <v>1506.7</v>
      </c>
      <c r="AW42" s="3691" t="str">
        <f t="shared" si="4"/>
        <v>H</v>
      </c>
      <c r="AX42" s="3689"/>
      <c r="AY42" s="3688">
        <f t="shared" si="5"/>
        <v>78</v>
      </c>
      <c r="AZ42" s="3690" t="str">
        <f t="shared" si="6"/>
        <v>Zypar</v>
      </c>
      <c r="BA42" s="3689"/>
      <c r="BB42" s="3690">
        <f t="shared" si="7"/>
        <v>34.4</v>
      </c>
      <c r="BC42" s="3691" t="str">
        <f t="shared" si="7"/>
        <v>H</v>
      </c>
      <c r="BD42" s="3689"/>
      <c r="BE42" s="3689"/>
      <c r="BF42" s="3692"/>
    </row>
    <row r="43" spans="1:58" s="3669" customFormat="1" ht="18">
      <c r="B43" s="3670">
        <f t="shared" si="1"/>
        <v>39</v>
      </c>
      <c r="C43" s="3654" t="s">
        <v>2010</v>
      </c>
      <c r="D43" s="3671">
        <v>37.799999999999997</v>
      </c>
      <c r="E43" s="3672" t="s">
        <v>596</v>
      </c>
      <c r="F43" s="3673"/>
      <c r="G43" s="3674"/>
      <c r="H43" s="3674"/>
      <c r="I43" s="3674"/>
      <c r="J43" s="3674"/>
      <c r="K43" s="3674"/>
      <c r="L43" s="3674"/>
      <c r="M43" s="3674"/>
      <c r="N43" s="3674"/>
      <c r="O43" s="3674"/>
      <c r="P43" s="3674" t="s">
        <v>168</v>
      </c>
      <c r="Q43" s="3674"/>
      <c r="R43" s="3674"/>
      <c r="S43" s="3674"/>
      <c r="T43" s="3674"/>
      <c r="U43" s="3674"/>
      <c r="V43" s="3674"/>
      <c r="W43" s="3674"/>
      <c r="X43" s="3674"/>
      <c r="Y43" s="3674"/>
      <c r="Z43" s="3674"/>
      <c r="AA43" s="3674" t="s">
        <v>168</v>
      </c>
      <c r="AB43" s="3674"/>
      <c r="AC43" s="3674"/>
      <c r="AD43" s="3674" t="s">
        <v>168</v>
      </c>
      <c r="AE43" s="3674"/>
      <c r="AF43" s="3675"/>
      <c r="AG43" s="3676">
        <f t="shared" si="0"/>
        <v>0</v>
      </c>
      <c r="AP43" s="3688">
        <f t="shared" si="2"/>
        <v>29</v>
      </c>
      <c r="AQ43" s="3689" t="str">
        <f t="shared" si="3"/>
        <v>Effigo</v>
      </c>
      <c r="AR43" s="3689"/>
      <c r="AS43" s="3689"/>
      <c r="AT43" s="3689"/>
      <c r="AU43" s="3689"/>
      <c r="AV43" s="3690">
        <f t="shared" si="4"/>
        <v>157.30000000000001</v>
      </c>
      <c r="AW43" s="3691" t="str">
        <f t="shared" si="4"/>
        <v>H</v>
      </c>
      <c r="AX43" s="3689"/>
      <c r="AY43" s="3688">
        <f t="shared" si="5"/>
        <v>79</v>
      </c>
      <c r="AZ43" s="3690" t="str">
        <f t="shared" si="6"/>
        <v>Spectrum</v>
      </c>
      <c r="BA43" s="3689"/>
      <c r="BB43" s="3690">
        <f t="shared" si="7"/>
        <v>38.700000000000003</v>
      </c>
      <c r="BC43" s="3691" t="str">
        <f t="shared" si="7"/>
        <v>H</v>
      </c>
      <c r="BD43" s="3689"/>
      <c r="BE43" s="3689"/>
      <c r="BF43" s="3692"/>
    </row>
    <row r="44" spans="1:58" s="3669" customFormat="1" ht="18">
      <c r="B44" s="2136">
        <f t="shared" si="1"/>
        <v>40</v>
      </c>
      <c r="C44" s="3654" t="s">
        <v>633</v>
      </c>
      <c r="D44" s="3655">
        <v>1618.9</v>
      </c>
      <c r="E44" s="3656" t="s">
        <v>596</v>
      </c>
      <c r="F44" s="598"/>
      <c r="G44" s="597"/>
      <c r="H44" s="597"/>
      <c r="I44" s="597"/>
      <c r="J44" s="597"/>
      <c r="K44" s="597"/>
      <c r="L44" s="597"/>
      <c r="M44" s="597"/>
      <c r="N44" s="597"/>
      <c r="O44" s="597"/>
      <c r="P44" s="597"/>
      <c r="Q44" s="597"/>
      <c r="R44" s="597" t="s">
        <v>168</v>
      </c>
      <c r="S44" s="597"/>
      <c r="T44" s="597"/>
      <c r="U44" s="597"/>
      <c r="V44" s="597" t="s">
        <v>168</v>
      </c>
      <c r="W44" s="597"/>
      <c r="X44" s="597"/>
      <c r="Y44" s="597"/>
      <c r="Z44" s="597"/>
      <c r="AA44" s="597"/>
      <c r="AB44" s="597"/>
      <c r="AC44" s="597"/>
      <c r="AD44" s="3674" t="s">
        <v>168</v>
      </c>
      <c r="AE44" s="3674"/>
      <c r="AF44" s="3675"/>
      <c r="AG44" s="3676">
        <f t="shared" si="0"/>
        <v>0</v>
      </c>
      <c r="AP44" s="3688">
        <f t="shared" si="2"/>
        <v>30</v>
      </c>
      <c r="AQ44" s="3689" t="str">
        <f t="shared" si="3"/>
        <v>Elatus Era</v>
      </c>
      <c r="AR44" s="3689"/>
      <c r="AS44" s="3689"/>
      <c r="AT44" s="3689"/>
      <c r="AU44" s="3689"/>
      <c r="AV44" s="3690">
        <f t="shared" si="4"/>
        <v>80</v>
      </c>
      <c r="AW44" s="3691" t="str">
        <f t="shared" si="4"/>
        <v>F</v>
      </c>
      <c r="AX44" s="3689"/>
      <c r="AY44" s="3688">
        <f t="shared" si="5"/>
        <v>80</v>
      </c>
      <c r="AZ44" s="3690" t="str">
        <f t="shared" si="6"/>
        <v/>
      </c>
      <c r="BA44" s="3689"/>
      <c r="BB44" s="3690" t="str">
        <f t="shared" si="7"/>
        <v/>
      </c>
      <c r="BC44" s="3691" t="str">
        <f t="shared" si="7"/>
        <v/>
      </c>
      <c r="BD44" s="3689"/>
      <c r="BE44" s="3689"/>
      <c r="BF44" s="3692"/>
    </row>
    <row r="45" spans="1:58" ht="18">
      <c r="B45" s="2136">
        <f t="shared" si="1"/>
        <v>41</v>
      </c>
      <c r="C45" s="3654" t="s">
        <v>632</v>
      </c>
      <c r="D45" s="3655">
        <v>99.7</v>
      </c>
      <c r="E45" s="3656" t="s">
        <v>596</v>
      </c>
      <c r="F45" s="598" t="s">
        <v>168</v>
      </c>
      <c r="G45" s="597" t="s">
        <v>168</v>
      </c>
      <c r="H45" s="597" t="s">
        <v>168</v>
      </c>
      <c r="I45" s="597" t="s">
        <v>168</v>
      </c>
      <c r="J45" s="597" t="s">
        <v>168</v>
      </c>
      <c r="K45" s="597"/>
      <c r="L45" s="597"/>
      <c r="M45" s="597"/>
      <c r="N45" s="597"/>
      <c r="O45" s="597"/>
      <c r="P45" s="597"/>
      <c r="Q45" s="597"/>
      <c r="R45" s="597"/>
      <c r="S45" s="597"/>
      <c r="T45" s="597"/>
      <c r="U45" s="597"/>
      <c r="V45" s="597"/>
      <c r="W45" s="597"/>
      <c r="X45" s="597"/>
      <c r="Y45" s="597"/>
      <c r="Z45" s="597"/>
      <c r="AA45" s="597"/>
      <c r="AB45" s="597"/>
      <c r="AC45" s="597"/>
      <c r="AD45" s="597" t="s">
        <v>168</v>
      </c>
      <c r="AE45" s="597"/>
      <c r="AF45" s="599"/>
      <c r="AG45" s="2121">
        <f t="shared" si="0"/>
        <v>0</v>
      </c>
      <c r="AP45" s="3681">
        <f t="shared" si="2"/>
        <v>31</v>
      </c>
      <c r="AQ45" s="2130" t="str">
        <f t="shared" si="3"/>
        <v>Elumis P Dual Pack, Dual Gold</v>
      </c>
      <c r="AR45" s="2130"/>
      <c r="AS45" s="2130"/>
      <c r="AT45" s="2130"/>
      <c r="AU45" s="2130"/>
      <c r="AV45" s="3682">
        <f t="shared" si="4"/>
        <v>29.8</v>
      </c>
      <c r="AW45" s="3683" t="str">
        <f t="shared" si="4"/>
        <v>H</v>
      </c>
      <c r="AX45" s="2130"/>
      <c r="AY45" s="3681">
        <f t="shared" si="5"/>
        <v>81</v>
      </c>
      <c r="AZ45" s="3682" t="str">
        <f t="shared" si="6"/>
        <v>Univoq</v>
      </c>
      <c r="BA45" s="2130"/>
      <c r="BB45" s="3682">
        <f t="shared" si="7"/>
        <v>45.3</v>
      </c>
      <c r="BC45" s="3683" t="str">
        <f t="shared" si="7"/>
        <v>F</v>
      </c>
      <c r="BD45" s="2130"/>
      <c r="BE45" s="2130"/>
      <c r="BF45"/>
    </row>
    <row r="46" spans="1:58" ht="18">
      <c r="B46" s="2136">
        <f t="shared" si="1"/>
        <v>42</v>
      </c>
      <c r="C46" s="3654" t="s">
        <v>631</v>
      </c>
      <c r="D46" s="3655">
        <v>127.4</v>
      </c>
      <c r="E46" s="3656" t="s">
        <v>596</v>
      </c>
      <c r="F46" s="598" t="s">
        <v>168</v>
      </c>
      <c r="G46" s="597"/>
      <c r="H46" s="597" t="s">
        <v>168</v>
      </c>
      <c r="I46" s="597" t="s">
        <v>168</v>
      </c>
      <c r="J46" s="597" t="s">
        <v>168</v>
      </c>
      <c r="K46" s="597" t="s">
        <v>168</v>
      </c>
      <c r="L46" s="597" t="s">
        <v>168</v>
      </c>
      <c r="M46" s="597" t="s">
        <v>168</v>
      </c>
      <c r="N46" s="597"/>
      <c r="O46" s="597" t="s">
        <v>168</v>
      </c>
      <c r="P46" s="597" t="s">
        <v>168</v>
      </c>
      <c r="Q46" s="597"/>
      <c r="R46" s="597"/>
      <c r="S46" s="597"/>
      <c r="T46" s="597"/>
      <c r="U46" s="597"/>
      <c r="V46" s="597"/>
      <c r="W46" s="597"/>
      <c r="X46" s="597"/>
      <c r="Y46" s="597"/>
      <c r="Z46" s="597"/>
      <c r="AA46" s="597"/>
      <c r="AB46" s="597"/>
      <c r="AC46" s="597"/>
      <c r="AD46" s="597" t="s">
        <v>168</v>
      </c>
      <c r="AE46" s="597"/>
      <c r="AF46" s="599"/>
      <c r="AG46" s="2121">
        <f t="shared" si="0"/>
        <v>0</v>
      </c>
      <c r="AP46" s="3681">
        <f t="shared" si="2"/>
        <v>32</v>
      </c>
      <c r="AQ46" s="2130" t="str">
        <f t="shared" si="3"/>
        <v>Elumis P Dual Pack, Elumis</v>
      </c>
      <c r="AR46" s="2130"/>
      <c r="AS46" s="2130"/>
      <c r="AT46" s="2130"/>
      <c r="AU46" s="2130"/>
      <c r="AV46" s="3682">
        <f t="shared" si="4"/>
        <v>30</v>
      </c>
      <c r="AW46" s="3683" t="str">
        <f t="shared" si="4"/>
        <v>H</v>
      </c>
      <c r="AX46" s="2130"/>
      <c r="AY46" s="3681">
        <f t="shared" si="5"/>
        <v>82</v>
      </c>
      <c r="AZ46" s="3682" t="str">
        <f t="shared" si="6"/>
        <v/>
      </c>
      <c r="BA46" s="2130"/>
      <c r="BB46" s="3682" t="str">
        <f t="shared" si="7"/>
        <v/>
      </c>
      <c r="BC46" s="3683" t="str">
        <f t="shared" si="7"/>
        <v/>
      </c>
      <c r="BD46" s="2130"/>
      <c r="BE46" s="2130"/>
      <c r="BF46"/>
    </row>
    <row r="47" spans="1:58" ht="18">
      <c r="B47" s="2136">
        <f t="shared" si="1"/>
        <v>43</v>
      </c>
      <c r="C47" s="3654" t="s">
        <v>630</v>
      </c>
      <c r="D47" s="3655">
        <v>30.5</v>
      </c>
      <c r="E47" s="3656" t="s">
        <v>598</v>
      </c>
      <c r="F47" s="598"/>
      <c r="G47" s="597"/>
      <c r="H47" s="597"/>
      <c r="I47" s="597"/>
      <c r="J47" s="597"/>
      <c r="K47" s="597"/>
      <c r="L47" s="597"/>
      <c r="M47" s="597"/>
      <c r="N47" s="597"/>
      <c r="O47" s="597"/>
      <c r="P47" s="597"/>
      <c r="Q47" s="597"/>
      <c r="R47" s="597"/>
      <c r="S47" s="597"/>
      <c r="T47" s="597"/>
      <c r="U47" s="597"/>
      <c r="V47" s="597"/>
      <c r="W47" s="597"/>
      <c r="X47" s="597"/>
      <c r="Y47" s="597"/>
      <c r="Z47" s="597"/>
      <c r="AA47" s="597"/>
      <c r="AB47" s="597" t="s">
        <v>168</v>
      </c>
      <c r="AC47" s="597"/>
      <c r="AD47" s="597" t="s">
        <v>168</v>
      </c>
      <c r="AE47" s="597"/>
      <c r="AF47" s="599"/>
      <c r="AG47" s="2121">
        <f t="shared" si="0"/>
        <v>0</v>
      </c>
      <c r="AP47" s="3681">
        <f t="shared" si="2"/>
        <v>33</v>
      </c>
      <c r="AQ47" s="2130" t="str">
        <f t="shared" si="3"/>
        <v>Elumis P Dual Pack, Peak</v>
      </c>
      <c r="AR47" s="2130"/>
      <c r="AS47" s="2130"/>
      <c r="AT47" s="2130"/>
      <c r="AU47" s="2130"/>
      <c r="AV47" s="3682">
        <f t="shared" ref="AV47:AW64" si="8">IF(D37="","",D37)</f>
        <v>880</v>
      </c>
      <c r="AW47" s="3683" t="str">
        <f t="shared" si="8"/>
        <v>H</v>
      </c>
      <c r="AX47" s="2130"/>
      <c r="AY47" s="3681">
        <f t="shared" si="5"/>
        <v>83</v>
      </c>
      <c r="AZ47" s="3682" t="str">
        <f t="shared" si="6"/>
        <v/>
      </c>
      <c r="BA47" s="2130"/>
      <c r="BB47" s="3682" t="str">
        <f t="shared" ref="BB47:BC64" si="9">IF(D87="","",D87)</f>
        <v/>
      </c>
      <c r="BC47" s="3683" t="str">
        <f t="shared" si="9"/>
        <v/>
      </c>
      <c r="BD47" s="2130"/>
      <c r="BE47" s="2130"/>
      <c r="BF47"/>
    </row>
    <row r="48" spans="1:58" s="3669" customFormat="1" ht="18">
      <c r="B48" s="2136">
        <f t="shared" si="1"/>
        <v>44</v>
      </c>
      <c r="C48" s="3654" t="s">
        <v>629</v>
      </c>
      <c r="D48" s="3655">
        <v>64.8</v>
      </c>
      <c r="E48" s="3656" t="s">
        <v>598</v>
      </c>
      <c r="F48" s="598" t="s">
        <v>168</v>
      </c>
      <c r="G48" s="597" t="s">
        <v>168</v>
      </c>
      <c r="H48" s="597" t="s">
        <v>168</v>
      </c>
      <c r="I48" s="597" t="s">
        <v>168</v>
      </c>
      <c r="J48" s="597" t="s">
        <v>168</v>
      </c>
      <c r="K48" s="597" t="s">
        <v>168</v>
      </c>
      <c r="L48" s="597" t="s">
        <v>168</v>
      </c>
      <c r="M48" s="597" t="s">
        <v>168</v>
      </c>
      <c r="N48" s="597"/>
      <c r="O48" s="597" t="s">
        <v>168</v>
      </c>
      <c r="P48" s="597" t="s">
        <v>168</v>
      </c>
      <c r="Q48" s="597"/>
      <c r="R48" s="597"/>
      <c r="S48" s="597"/>
      <c r="T48" s="597"/>
      <c r="U48" s="597"/>
      <c r="V48" s="597"/>
      <c r="W48" s="597"/>
      <c r="X48" s="597"/>
      <c r="Y48" s="597"/>
      <c r="Z48" s="597"/>
      <c r="AA48" s="597"/>
      <c r="AB48" s="597"/>
      <c r="AC48" s="597"/>
      <c r="AD48" s="3674" t="s">
        <v>168</v>
      </c>
      <c r="AE48" s="3674"/>
      <c r="AF48" s="3675"/>
      <c r="AG48" s="3676">
        <f t="shared" si="0"/>
        <v>0</v>
      </c>
      <c r="AP48" s="3688">
        <f t="shared" si="2"/>
        <v>34</v>
      </c>
      <c r="AQ48" s="3689" t="str">
        <f t="shared" si="3"/>
        <v>Fandango</v>
      </c>
      <c r="AR48" s="3689"/>
      <c r="AS48" s="3689"/>
      <c r="AT48" s="3689"/>
      <c r="AU48" s="3689"/>
      <c r="AV48" s="3690">
        <f t="shared" si="8"/>
        <v>64.900000000000006</v>
      </c>
      <c r="AW48" s="3691" t="str">
        <f t="shared" si="8"/>
        <v>F</v>
      </c>
      <c r="AX48" s="3689"/>
      <c r="AY48" s="3688">
        <f t="shared" si="5"/>
        <v>84</v>
      </c>
      <c r="AZ48" s="3690" t="str">
        <f t="shared" si="6"/>
        <v/>
      </c>
      <c r="BA48" s="3689"/>
      <c r="BB48" s="3690" t="str">
        <f t="shared" si="9"/>
        <v/>
      </c>
      <c r="BC48" s="3691" t="str">
        <f t="shared" si="9"/>
        <v/>
      </c>
      <c r="BD48" s="3689"/>
      <c r="BE48" s="3689"/>
      <c r="BF48" s="3692"/>
    </row>
    <row r="49" spans="1:58" ht="18">
      <c r="B49" s="2136">
        <f t="shared" si="1"/>
        <v>45</v>
      </c>
      <c r="C49" s="3654" t="s">
        <v>628</v>
      </c>
      <c r="D49" s="3655">
        <v>67.7</v>
      </c>
      <c r="E49" s="3656" t="s">
        <v>598</v>
      </c>
      <c r="F49" s="598" t="s">
        <v>168</v>
      </c>
      <c r="G49" s="597" t="s">
        <v>168</v>
      </c>
      <c r="H49" s="597" t="s">
        <v>168</v>
      </c>
      <c r="I49" s="597" t="s">
        <v>168</v>
      </c>
      <c r="J49" s="597" t="s">
        <v>168</v>
      </c>
      <c r="K49" s="597" t="s">
        <v>168</v>
      </c>
      <c r="L49" s="597" t="s">
        <v>168</v>
      </c>
      <c r="M49" s="597" t="s">
        <v>168</v>
      </c>
      <c r="N49" s="597"/>
      <c r="O49" s="597" t="s">
        <v>168</v>
      </c>
      <c r="P49" s="597" t="s">
        <v>168</v>
      </c>
      <c r="Q49" s="597"/>
      <c r="R49" s="597"/>
      <c r="S49" s="597"/>
      <c r="T49" s="597"/>
      <c r="U49" s="597"/>
      <c r="V49" s="597"/>
      <c r="W49" s="597"/>
      <c r="X49" s="597"/>
      <c r="Y49" s="597"/>
      <c r="Z49" s="597"/>
      <c r="AA49" s="597"/>
      <c r="AB49" s="597"/>
      <c r="AC49" s="597"/>
      <c r="AD49" s="597" t="s">
        <v>168</v>
      </c>
      <c r="AE49" s="597"/>
      <c r="AF49" s="599"/>
      <c r="AG49" s="2121">
        <f t="shared" si="0"/>
        <v>0</v>
      </c>
      <c r="AP49" s="3681">
        <f t="shared" si="2"/>
        <v>35</v>
      </c>
      <c r="AQ49" s="2130" t="str">
        <f t="shared" si="3"/>
        <v>Focus Aktiv Pack, Focus Ultra</v>
      </c>
      <c r="AR49" s="2130"/>
      <c r="AS49" s="2130"/>
      <c r="AT49" s="2130"/>
      <c r="AU49" s="2130"/>
      <c r="AV49" s="3682">
        <f t="shared" si="8"/>
        <v>40</v>
      </c>
      <c r="AW49" s="3683" t="str">
        <f t="shared" si="8"/>
        <v>H</v>
      </c>
      <c r="AX49" s="2130"/>
      <c r="AY49" s="3681">
        <f t="shared" si="5"/>
        <v>85</v>
      </c>
      <c r="AZ49" s="3682" t="str">
        <f t="shared" si="6"/>
        <v/>
      </c>
      <c r="BA49" s="2130"/>
      <c r="BB49" s="3682" t="str">
        <f t="shared" si="9"/>
        <v/>
      </c>
      <c r="BC49" s="3683" t="str">
        <f t="shared" si="9"/>
        <v/>
      </c>
      <c r="BD49" s="2130"/>
      <c r="BE49" s="2130"/>
      <c r="BF49"/>
    </row>
    <row r="50" spans="1:58" ht="18">
      <c r="B50" s="2136">
        <f t="shared" si="1"/>
        <v>46</v>
      </c>
      <c r="C50" s="3654" t="s">
        <v>2028</v>
      </c>
      <c r="D50" s="3655">
        <v>31</v>
      </c>
      <c r="E50" s="3656" t="s">
        <v>596</v>
      </c>
      <c r="F50" s="598"/>
      <c r="G50" s="597"/>
      <c r="H50" s="597"/>
      <c r="I50" s="597"/>
      <c r="J50" s="597"/>
      <c r="K50" s="597"/>
      <c r="L50" s="597"/>
      <c r="M50" s="597"/>
      <c r="N50" s="597"/>
      <c r="O50" s="597"/>
      <c r="P50" s="597"/>
      <c r="Q50" s="597"/>
      <c r="R50" s="597"/>
      <c r="S50" s="597"/>
      <c r="T50" s="597"/>
      <c r="U50" s="597"/>
      <c r="V50" s="597"/>
      <c r="W50" s="597"/>
      <c r="X50" s="597"/>
      <c r="Y50" s="597"/>
      <c r="Z50" s="597"/>
      <c r="AA50" s="597" t="s">
        <v>168</v>
      </c>
      <c r="AB50" s="597"/>
      <c r="AC50" s="597"/>
      <c r="AD50" s="597" t="s">
        <v>168</v>
      </c>
      <c r="AE50" s="597"/>
      <c r="AF50" s="599"/>
      <c r="AG50" s="2121">
        <f t="shared" si="0"/>
        <v>0</v>
      </c>
      <c r="AP50" s="3681">
        <f t="shared" si="2"/>
        <v>36</v>
      </c>
      <c r="AQ50" s="2130" t="str">
        <f t="shared" si="3"/>
        <v>Folicur</v>
      </c>
      <c r="AR50" s="2130"/>
      <c r="AS50" s="2130"/>
      <c r="AT50" s="2130"/>
      <c r="AU50" s="2130"/>
      <c r="AV50" s="3682">
        <f t="shared" si="8"/>
        <v>31.6</v>
      </c>
      <c r="AW50" s="3683" t="str">
        <f t="shared" si="8"/>
        <v>F</v>
      </c>
      <c r="AX50" s="2130"/>
      <c r="AY50" s="3681">
        <f t="shared" si="5"/>
        <v>86</v>
      </c>
      <c r="AZ50" s="3682" t="str">
        <f t="shared" si="6"/>
        <v/>
      </c>
      <c r="BA50" s="2130"/>
      <c r="BB50" s="3682" t="str">
        <f t="shared" si="9"/>
        <v/>
      </c>
      <c r="BC50" s="3683" t="str">
        <f t="shared" si="9"/>
        <v/>
      </c>
      <c r="BD50" s="2130"/>
      <c r="BE50" s="2130"/>
      <c r="BF50"/>
    </row>
    <row r="51" spans="1:58" ht="18">
      <c r="B51" s="2136">
        <f t="shared" si="1"/>
        <v>47</v>
      </c>
      <c r="C51" s="3654" t="s">
        <v>626</v>
      </c>
      <c r="D51" s="3655">
        <v>149.5</v>
      </c>
      <c r="E51" s="3656" t="s">
        <v>593</v>
      </c>
      <c r="F51" s="598" t="s">
        <v>168</v>
      </c>
      <c r="G51" s="597" t="s">
        <v>168</v>
      </c>
      <c r="H51" s="597" t="s">
        <v>168</v>
      </c>
      <c r="I51" s="597" t="s">
        <v>168</v>
      </c>
      <c r="J51" s="597" t="s">
        <v>168</v>
      </c>
      <c r="K51" s="597" t="s">
        <v>168</v>
      </c>
      <c r="L51" s="597" t="s">
        <v>168</v>
      </c>
      <c r="M51" s="597" t="s">
        <v>168</v>
      </c>
      <c r="N51" s="597" t="s">
        <v>168</v>
      </c>
      <c r="O51" s="597" t="s">
        <v>168</v>
      </c>
      <c r="P51" s="597" t="s">
        <v>168</v>
      </c>
      <c r="Q51" s="597"/>
      <c r="R51" s="597" t="s">
        <v>168</v>
      </c>
      <c r="S51" s="597" t="s">
        <v>168</v>
      </c>
      <c r="T51" s="597" t="s">
        <v>168</v>
      </c>
      <c r="U51" s="597" t="s">
        <v>168</v>
      </c>
      <c r="V51" s="597"/>
      <c r="W51" s="597"/>
      <c r="X51" s="597" t="s">
        <v>168</v>
      </c>
      <c r="Y51" s="597" t="s">
        <v>168</v>
      </c>
      <c r="Z51" s="597"/>
      <c r="AA51" s="597" t="s">
        <v>168</v>
      </c>
      <c r="AB51" s="597" t="s">
        <v>168</v>
      </c>
      <c r="AC51" s="597"/>
      <c r="AD51" s="597" t="s">
        <v>168</v>
      </c>
      <c r="AE51" s="597"/>
      <c r="AF51" s="599"/>
      <c r="AG51" s="2121">
        <f t="shared" si="0"/>
        <v>1</v>
      </c>
      <c r="AP51" s="3681">
        <f t="shared" si="2"/>
        <v>37</v>
      </c>
      <c r="AQ51" s="2130" t="str">
        <f t="shared" si="3"/>
        <v>Fusilade MAX</v>
      </c>
      <c r="AR51" s="2130"/>
      <c r="AS51" s="2130"/>
      <c r="AT51" s="2130"/>
      <c r="AU51" s="2130"/>
      <c r="AV51" s="3682">
        <f t="shared" si="8"/>
        <v>32.4</v>
      </c>
      <c r="AW51" s="3683" t="str">
        <f t="shared" si="8"/>
        <v>H</v>
      </c>
      <c r="AX51" s="2130"/>
      <c r="AY51" s="3681">
        <f t="shared" si="5"/>
        <v>87</v>
      </c>
      <c r="AZ51" s="3682" t="str">
        <f t="shared" si="6"/>
        <v/>
      </c>
      <c r="BA51" s="2130"/>
      <c r="BB51" s="3682" t="str">
        <f t="shared" si="9"/>
        <v/>
      </c>
      <c r="BC51" s="3683" t="str">
        <f t="shared" si="9"/>
        <v/>
      </c>
      <c r="BD51" s="2130"/>
      <c r="BE51" s="2130"/>
      <c r="BF51"/>
    </row>
    <row r="52" spans="1:58" ht="18">
      <c r="B52" s="2136">
        <f t="shared" si="1"/>
        <v>48</v>
      </c>
      <c r="C52" s="3654" t="s">
        <v>625</v>
      </c>
      <c r="D52" s="3655">
        <v>74.099999999999994</v>
      </c>
      <c r="E52" s="3656" t="s">
        <v>596</v>
      </c>
      <c r="F52" s="598"/>
      <c r="G52" s="597"/>
      <c r="H52" s="597"/>
      <c r="I52" s="597"/>
      <c r="J52" s="597"/>
      <c r="K52" s="597"/>
      <c r="L52" s="597"/>
      <c r="M52" s="597"/>
      <c r="N52" s="597"/>
      <c r="O52" s="597"/>
      <c r="P52" s="597"/>
      <c r="Q52" s="597" t="s">
        <v>168</v>
      </c>
      <c r="R52" s="597" t="s">
        <v>168</v>
      </c>
      <c r="S52" s="597"/>
      <c r="T52" s="597"/>
      <c r="U52" s="597"/>
      <c r="V52" s="597"/>
      <c r="W52" s="597"/>
      <c r="X52" s="597"/>
      <c r="Y52" s="597"/>
      <c r="Z52" s="597"/>
      <c r="AA52" s="597"/>
      <c r="AB52" s="597"/>
      <c r="AC52" s="597"/>
      <c r="AD52" s="597" t="s">
        <v>168</v>
      </c>
      <c r="AE52" s="597"/>
      <c r="AF52" s="599"/>
      <c r="AG52" s="2121">
        <f t="shared" si="0"/>
        <v>0</v>
      </c>
      <c r="AP52" s="3681">
        <f t="shared" si="2"/>
        <v>38</v>
      </c>
      <c r="AQ52" s="2130" t="str">
        <f t="shared" si="3"/>
        <v>Goltix Gold</v>
      </c>
      <c r="AR52" s="2130"/>
      <c r="AS52" s="2130"/>
      <c r="AT52" s="2130"/>
      <c r="AU52" s="2130"/>
      <c r="AV52" s="3682">
        <f t="shared" si="8"/>
        <v>36</v>
      </c>
      <c r="AW52" s="3683" t="str">
        <f t="shared" si="8"/>
        <v>H</v>
      </c>
      <c r="AX52" s="2130"/>
      <c r="AY52" s="3681">
        <f t="shared" si="5"/>
        <v>88</v>
      </c>
      <c r="AZ52" s="3682" t="str">
        <f t="shared" si="6"/>
        <v/>
      </c>
      <c r="BA52" s="2130"/>
      <c r="BB52" s="3682" t="str">
        <f t="shared" si="9"/>
        <v/>
      </c>
      <c r="BC52" s="3683" t="str">
        <f t="shared" si="9"/>
        <v/>
      </c>
      <c r="BD52" s="2130"/>
      <c r="BE52" s="2130"/>
      <c r="BF52"/>
    </row>
    <row r="53" spans="1:58" ht="18">
      <c r="B53" s="2136">
        <f t="shared" si="1"/>
        <v>49</v>
      </c>
      <c r="C53" s="3654" t="s">
        <v>624</v>
      </c>
      <c r="D53" s="3655">
        <v>55.5</v>
      </c>
      <c r="E53" s="3656" t="s">
        <v>596</v>
      </c>
      <c r="F53" s="598"/>
      <c r="G53" s="597"/>
      <c r="H53" s="597"/>
      <c r="I53" s="597"/>
      <c r="J53" s="597"/>
      <c r="K53" s="597"/>
      <c r="L53" s="597"/>
      <c r="M53" s="597"/>
      <c r="N53" s="597"/>
      <c r="O53" s="597"/>
      <c r="P53" s="597"/>
      <c r="Q53" s="597"/>
      <c r="R53" s="597" t="s">
        <v>168</v>
      </c>
      <c r="S53" s="597"/>
      <c r="T53" s="597"/>
      <c r="U53" s="597"/>
      <c r="V53" s="597"/>
      <c r="W53" s="597"/>
      <c r="X53" s="597"/>
      <c r="Y53" s="597"/>
      <c r="Z53" s="597"/>
      <c r="AA53" s="597"/>
      <c r="AB53" s="597"/>
      <c r="AC53" s="597"/>
      <c r="AD53" s="597" t="s">
        <v>168</v>
      </c>
      <c r="AE53" s="597"/>
      <c r="AF53" s="599"/>
      <c r="AG53" s="2121">
        <f t="shared" si="0"/>
        <v>0</v>
      </c>
      <c r="AP53" s="3681">
        <f t="shared" si="2"/>
        <v>39</v>
      </c>
      <c r="AQ53" s="2130" t="str">
        <f t="shared" si="3"/>
        <v>Goltix Titan</v>
      </c>
      <c r="AR53" s="2130"/>
      <c r="AS53" s="2130"/>
      <c r="AT53" s="2130"/>
      <c r="AU53" s="2130"/>
      <c r="AV53" s="3682">
        <f t="shared" si="8"/>
        <v>37.799999999999997</v>
      </c>
      <c r="AW53" s="3683" t="str">
        <f t="shared" si="8"/>
        <v>H</v>
      </c>
      <c r="AX53" s="2130"/>
      <c r="AY53" s="3681">
        <f t="shared" si="5"/>
        <v>89</v>
      </c>
      <c r="AZ53" s="2130" t="str">
        <f t="shared" si="6"/>
        <v/>
      </c>
      <c r="BA53" s="2130"/>
      <c r="BB53" s="2130" t="str">
        <f t="shared" si="9"/>
        <v/>
      </c>
      <c r="BC53" s="3683" t="str">
        <f t="shared" si="9"/>
        <v/>
      </c>
      <c r="BD53" s="2130"/>
      <c r="BE53" s="2130"/>
      <c r="BF53"/>
    </row>
    <row r="54" spans="1:58" ht="18">
      <c r="B54" s="2136">
        <f t="shared" si="1"/>
        <v>50</v>
      </c>
      <c r="C54" s="3654" t="s">
        <v>623</v>
      </c>
      <c r="D54" s="3655">
        <v>17.7</v>
      </c>
      <c r="E54" s="3656" t="s">
        <v>596</v>
      </c>
      <c r="F54" s="598" t="s">
        <v>168</v>
      </c>
      <c r="G54" s="597"/>
      <c r="H54" s="597" t="s">
        <v>168</v>
      </c>
      <c r="I54" s="597" t="s">
        <v>168</v>
      </c>
      <c r="J54" s="597" t="s">
        <v>168</v>
      </c>
      <c r="K54" s="597"/>
      <c r="L54" s="597"/>
      <c r="M54" s="597"/>
      <c r="N54" s="597"/>
      <c r="O54" s="597"/>
      <c r="P54" s="597"/>
      <c r="Q54" s="597"/>
      <c r="R54" s="597"/>
      <c r="S54" s="597"/>
      <c r="T54" s="597"/>
      <c r="U54" s="597"/>
      <c r="V54" s="597"/>
      <c r="W54" s="597"/>
      <c r="X54" s="597"/>
      <c r="Y54" s="597"/>
      <c r="Z54" s="597"/>
      <c r="AA54" s="597"/>
      <c r="AB54" s="597"/>
      <c r="AC54" s="597"/>
      <c r="AD54" s="597" t="s">
        <v>168</v>
      </c>
      <c r="AE54" s="597"/>
      <c r="AF54" s="599"/>
      <c r="AG54" s="2121">
        <f t="shared" si="0"/>
        <v>0</v>
      </c>
      <c r="AP54" s="3681">
        <f t="shared" si="2"/>
        <v>40</v>
      </c>
      <c r="AQ54" s="2130" t="str">
        <f t="shared" si="3"/>
        <v xml:space="preserve">Harmony SX </v>
      </c>
      <c r="AR54" s="2130"/>
      <c r="AS54" s="2130"/>
      <c r="AT54" s="2130"/>
      <c r="AU54" s="2130"/>
      <c r="AV54" s="3682">
        <f t="shared" si="8"/>
        <v>1618.9</v>
      </c>
      <c r="AW54" s="3683" t="str">
        <f t="shared" si="8"/>
        <v>H</v>
      </c>
      <c r="AX54" s="2130"/>
      <c r="AY54" s="3681">
        <f t="shared" si="5"/>
        <v>90</v>
      </c>
      <c r="AZ54" s="2130" t="str">
        <f t="shared" si="6"/>
        <v/>
      </c>
      <c r="BA54" s="2130"/>
      <c r="BB54" s="2130" t="str">
        <f t="shared" si="9"/>
        <v/>
      </c>
      <c r="BC54" s="3683" t="str">
        <f t="shared" si="9"/>
        <v/>
      </c>
      <c r="BD54" s="2130"/>
      <c r="BE54" s="2130"/>
      <c r="BF54"/>
    </row>
    <row r="55" spans="1:58" ht="18">
      <c r="B55" s="2136">
        <f t="shared" si="1"/>
        <v>51</v>
      </c>
      <c r="C55" s="3654" t="s">
        <v>622</v>
      </c>
      <c r="D55" s="3655">
        <v>68.7</v>
      </c>
      <c r="E55" s="3656" t="s">
        <v>621</v>
      </c>
      <c r="F55" s="598" t="s">
        <v>168</v>
      </c>
      <c r="G55" s="597" t="s">
        <v>168</v>
      </c>
      <c r="H55" s="597" t="s">
        <v>168</v>
      </c>
      <c r="I55" s="597" t="s">
        <v>168</v>
      </c>
      <c r="J55" s="597" t="s">
        <v>168</v>
      </c>
      <c r="K55" s="597"/>
      <c r="L55" s="597" t="s">
        <v>168</v>
      </c>
      <c r="M55" s="597" t="s">
        <v>168</v>
      </c>
      <c r="N55" s="597" t="s">
        <v>168</v>
      </c>
      <c r="O55" s="597"/>
      <c r="P55" s="597"/>
      <c r="Q55" s="597"/>
      <c r="R55" s="597"/>
      <c r="S55" s="597"/>
      <c r="T55" s="597"/>
      <c r="U55" s="597"/>
      <c r="V55" s="597"/>
      <c r="W55" s="597"/>
      <c r="X55" s="597"/>
      <c r="Y55" s="597"/>
      <c r="Z55" s="597"/>
      <c r="AA55" s="597"/>
      <c r="AB55" s="597"/>
      <c r="AC55" s="597"/>
      <c r="AD55" s="597" t="s">
        <v>168</v>
      </c>
      <c r="AE55" s="597"/>
      <c r="AF55" s="599"/>
      <c r="AG55" s="2121">
        <f t="shared" si="0"/>
        <v>0</v>
      </c>
      <c r="AP55" s="3681">
        <f t="shared" si="2"/>
        <v>41</v>
      </c>
      <c r="AQ55" s="2130" t="str">
        <f t="shared" si="3"/>
        <v>Herold SC</v>
      </c>
      <c r="AR55" s="2130"/>
      <c r="AS55" s="2130"/>
      <c r="AT55" s="2130"/>
      <c r="AU55" s="2130"/>
      <c r="AV55" s="3682">
        <f t="shared" si="8"/>
        <v>99.7</v>
      </c>
      <c r="AW55" s="3683" t="str">
        <f t="shared" si="8"/>
        <v>H</v>
      </c>
      <c r="AX55" s="2130"/>
      <c r="AY55" s="3681">
        <f t="shared" si="5"/>
        <v>91</v>
      </c>
      <c r="AZ55" s="2130" t="str">
        <f t="shared" si="6"/>
        <v/>
      </c>
      <c r="BA55" s="2130"/>
      <c r="BB55" s="2130" t="str">
        <f t="shared" si="9"/>
        <v/>
      </c>
      <c r="BC55" s="3683" t="str">
        <f t="shared" si="9"/>
        <v/>
      </c>
      <c r="BD55" s="2130"/>
      <c r="BE55" s="2130"/>
      <c r="BF55"/>
    </row>
    <row r="56" spans="1:58" ht="18">
      <c r="B56" s="2136">
        <f t="shared" si="1"/>
        <v>52</v>
      </c>
      <c r="C56" s="3654" t="s">
        <v>620</v>
      </c>
      <c r="D56" s="3655">
        <v>41.3</v>
      </c>
      <c r="E56" s="3656" t="s">
        <v>598</v>
      </c>
      <c r="F56" s="604"/>
      <c r="G56" s="596"/>
      <c r="H56" s="596"/>
      <c r="I56" s="596"/>
      <c r="J56" s="596"/>
      <c r="K56" s="596"/>
      <c r="L56" s="596"/>
      <c r="M56" s="596"/>
      <c r="N56" s="596"/>
      <c r="O56" s="596"/>
      <c r="P56" s="596"/>
      <c r="Q56" s="596"/>
      <c r="R56" s="596"/>
      <c r="S56" s="596" t="s">
        <v>168</v>
      </c>
      <c r="T56" s="596" t="s">
        <v>168</v>
      </c>
      <c r="U56" s="596"/>
      <c r="V56" s="596"/>
      <c r="W56" s="596"/>
      <c r="X56" s="596"/>
      <c r="Y56" s="596"/>
      <c r="Z56" s="596"/>
      <c r="AA56" s="596" t="s">
        <v>168</v>
      </c>
      <c r="AB56" s="596" t="s">
        <v>168</v>
      </c>
      <c r="AC56" s="596"/>
      <c r="AD56" s="596" t="s">
        <v>168</v>
      </c>
      <c r="AE56" s="596"/>
      <c r="AF56" s="595"/>
      <c r="AG56" s="2121">
        <f t="shared" si="0"/>
        <v>0</v>
      </c>
      <c r="AP56" s="3681">
        <f t="shared" si="2"/>
        <v>42</v>
      </c>
      <c r="AQ56" s="2130" t="str">
        <f t="shared" si="3"/>
        <v>Hoestar Super</v>
      </c>
      <c r="AR56" s="2130"/>
      <c r="AS56" s="2130"/>
      <c r="AT56" s="2130"/>
      <c r="AU56" s="2130"/>
      <c r="AV56" s="3682">
        <f t="shared" si="8"/>
        <v>127.4</v>
      </c>
      <c r="AW56" s="3683" t="str">
        <f t="shared" si="8"/>
        <v>H</v>
      </c>
      <c r="AX56" s="2130"/>
      <c r="AY56" s="3681">
        <f t="shared" si="5"/>
        <v>92</v>
      </c>
      <c r="AZ56" s="2130" t="str">
        <f t="shared" si="6"/>
        <v/>
      </c>
      <c r="BA56" s="2130"/>
      <c r="BB56" s="2130" t="str">
        <f t="shared" si="9"/>
        <v/>
      </c>
      <c r="BC56" s="3683" t="str">
        <f t="shared" si="9"/>
        <v/>
      </c>
      <c r="BD56" s="2130"/>
      <c r="BE56" s="2130"/>
      <c r="BF56"/>
    </row>
    <row r="57" spans="1:58" s="3652" customFormat="1" ht="18">
      <c r="A57" s="3669"/>
      <c r="B57" s="2136">
        <f t="shared" si="1"/>
        <v>53</v>
      </c>
      <c r="C57" s="3654" t="s">
        <v>2027</v>
      </c>
      <c r="D57" s="3655">
        <v>103.9</v>
      </c>
      <c r="E57" s="3656" t="s">
        <v>593</v>
      </c>
      <c r="F57" s="604"/>
      <c r="G57" s="596"/>
      <c r="H57" s="596"/>
      <c r="I57" s="596"/>
      <c r="J57" s="596"/>
      <c r="K57" s="596"/>
      <c r="L57" s="596"/>
      <c r="M57" s="596"/>
      <c r="N57" s="596"/>
      <c r="O57" s="596"/>
      <c r="P57" s="596" t="s">
        <v>168</v>
      </c>
      <c r="Q57" s="596"/>
      <c r="R57" s="596"/>
      <c r="S57" s="596" t="s">
        <v>168</v>
      </c>
      <c r="T57" s="596" t="s">
        <v>168</v>
      </c>
      <c r="U57" s="596"/>
      <c r="V57" s="596"/>
      <c r="W57" s="596"/>
      <c r="X57" s="596"/>
      <c r="Y57" s="596"/>
      <c r="Z57" s="596"/>
      <c r="AA57" s="596"/>
      <c r="AB57" s="596"/>
      <c r="AC57" s="596"/>
      <c r="AD57" s="3741" t="s">
        <v>168</v>
      </c>
      <c r="AE57" s="3741"/>
      <c r="AF57" s="3742"/>
      <c r="AG57" s="3653">
        <f t="shared" si="0"/>
        <v>0</v>
      </c>
      <c r="AP57" s="3684">
        <f t="shared" si="2"/>
        <v>43</v>
      </c>
      <c r="AQ57" s="3665" t="str">
        <f t="shared" si="3"/>
        <v>Infinito</v>
      </c>
      <c r="AR57" s="3665"/>
      <c r="AS57" s="3665"/>
      <c r="AT57" s="3665"/>
      <c r="AU57" s="3665"/>
      <c r="AV57" s="3685">
        <f t="shared" si="8"/>
        <v>30.5</v>
      </c>
      <c r="AW57" s="3686" t="str">
        <f t="shared" si="8"/>
        <v>F</v>
      </c>
      <c r="AY57" s="3684">
        <f t="shared" si="5"/>
        <v>93</v>
      </c>
      <c r="AZ57" s="3665" t="str">
        <f t="shared" si="6"/>
        <v/>
      </c>
      <c r="BA57" s="3665"/>
      <c r="BB57" s="3665" t="str">
        <f t="shared" si="9"/>
        <v/>
      </c>
      <c r="BC57" s="3686" t="str">
        <f t="shared" si="9"/>
        <v/>
      </c>
      <c r="BD57" s="3687"/>
      <c r="BE57" s="3687"/>
      <c r="BF57" s="3687"/>
    </row>
    <row r="58" spans="1:58" ht="18">
      <c r="B58" s="2136">
        <f t="shared" si="1"/>
        <v>54</v>
      </c>
      <c r="C58" s="3654" t="s">
        <v>618</v>
      </c>
      <c r="D58" s="3655">
        <v>637.70000000000005</v>
      </c>
      <c r="E58" s="3656" t="s">
        <v>596</v>
      </c>
      <c r="F58" s="604" t="s">
        <v>168</v>
      </c>
      <c r="G58" s="596"/>
      <c r="H58" s="596" t="s">
        <v>168</v>
      </c>
      <c r="I58" s="596" t="s">
        <v>168</v>
      </c>
      <c r="J58" s="596" t="s">
        <v>168</v>
      </c>
      <c r="K58" s="596" t="s">
        <v>168</v>
      </c>
      <c r="L58" s="596" t="s">
        <v>168</v>
      </c>
      <c r="M58" s="596" t="s">
        <v>168</v>
      </c>
      <c r="N58" s="596" t="s">
        <v>168</v>
      </c>
      <c r="O58" s="596"/>
      <c r="P58" s="596"/>
      <c r="Q58" s="596"/>
      <c r="R58" s="596"/>
      <c r="S58" s="596"/>
      <c r="T58" s="596"/>
      <c r="U58" s="596"/>
      <c r="V58" s="596"/>
      <c r="W58" s="596"/>
      <c r="X58" s="596"/>
      <c r="Y58" s="596"/>
      <c r="Z58" s="596"/>
      <c r="AA58" s="596"/>
      <c r="AB58" s="596"/>
      <c r="AC58" s="596"/>
      <c r="AD58" s="596" t="s">
        <v>168</v>
      </c>
      <c r="AE58" s="596" t="s">
        <v>168</v>
      </c>
      <c r="AF58" s="595"/>
      <c r="AG58" s="2121">
        <f t="shared" si="0"/>
        <v>0</v>
      </c>
      <c r="AP58" s="3681">
        <f t="shared" si="2"/>
        <v>44</v>
      </c>
      <c r="AQ58" s="2130" t="str">
        <f t="shared" si="3"/>
        <v>Input Classic</v>
      </c>
      <c r="AR58" s="2130"/>
      <c r="AS58" s="2130"/>
      <c r="AT58" s="2130"/>
      <c r="AU58" s="2130"/>
      <c r="AV58" s="3682">
        <f t="shared" si="8"/>
        <v>64.8</v>
      </c>
      <c r="AW58" s="3683" t="str">
        <f t="shared" si="8"/>
        <v>F</v>
      </c>
      <c r="AY58" s="3681">
        <f t="shared" si="5"/>
        <v>94</v>
      </c>
      <c r="AZ58" s="2130" t="str">
        <f t="shared" si="6"/>
        <v/>
      </c>
      <c r="BA58" s="2130"/>
      <c r="BB58" s="2130" t="str">
        <f t="shared" si="9"/>
        <v/>
      </c>
      <c r="BC58" s="3683" t="str">
        <f t="shared" si="9"/>
        <v/>
      </c>
    </row>
    <row r="59" spans="1:58" s="3652" customFormat="1" ht="18">
      <c r="A59" s="3669"/>
      <c r="B59" s="2136">
        <f t="shared" si="1"/>
        <v>55</v>
      </c>
      <c r="C59" s="3654" t="s">
        <v>617</v>
      </c>
      <c r="D59" s="3655">
        <v>15.3</v>
      </c>
      <c r="E59" s="3656" t="s">
        <v>598</v>
      </c>
      <c r="F59" s="604"/>
      <c r="G59" s="596"/>
      <c r="H59" s="596"/>
      <c r="I59" s="596"/>
      <c r="J59" s="596"/>
      <c r="K59" s="596"/>
      <c r="L59" s="596"/>
      <c r="M59" s="596"/>
      <c r="N59" s="596"/>
      <c r="O59" s="596"/>
      <c r="P59" s="596"/>
      <c r="Q59" s="596"/>
      <c r="R59" s="596"/>
      <c r="S59" s="596"/>
      <c r="T59" s="596"/>
      <c r="U59" s="596"/>
      <c r="V59" s="596"/>
      <c r="W59" s="596"/>
      <c r="X59" s="596"/>
      <c r="Y59" s="596"/>
      <c r="Z59" s="596"/>
      <c r="AA59" s="596"/>
      <c r="AB59" s="596" t="s">
        <v>168</v>
      </c>
      <c r="AC59" s="596"/>
      <c r="AD59" s="3741" t="s">
        <v>168</v>
      </c>
      <c r="AE59" s="3741"/>
      <c r="AF59" s="3742"/>
      <c r="AG59" s="3653">
        <f t="shared" si="0"/>
        <v>0</v>
      </c>
      <c r="AP59" s="3684">
        <f t="shared" si="2"/>
        <v>45</v>
      </c>
      <c r="AQ59" s="3665" t="str">
        <f t="shared" si="3"/>
        <v>Input Xpro</v>
      </c>
      <c r="AR59" s="3665"/>
      <c r="AS59" s="3665"/>
      <c r="AT59" s="3665"/>
      <c r="AU59" s="3665"/>
      <c r="AV59" s="3685">
        <f t="shared" si="8"/>
        <v>67.7</v>
      </c>
      <c r="AW59" s="3686" t="str">
        <f t="shared" si="8"/>
        <v>F</v>
      </c>
      <c r="AY59" s="3684">
        <f t="shared" si="5"/>
        <v>95</v>
      </c>
      <c r="AZ59" s="3665" t="str">
        <f t="shared" si="6"/>
        <v/>
      </c>
      <c r="BA59" s="3665"/>
      <c r="BB59" s="3665" t="str">
        <f t="shared" si="9"/>
        <v/>
      </c>
      <c r="BC59" s="3686" t="str">
        <f t="shared" si="9"/>
        <v/>
      </c>
    </row>
    <row r="60" spans="1:58" ht="18">
      <c r="B60" s="2136">
        <f t="shared" si="1"/>
        <v>56</v>
      </c>
      <c r="C60" s="3654" t="s">
        <v>616</v>
      </c>
      <c r="D60" s="3655">
        <v>150.19999999999999</v>
      </c>
      <c r="E60" s="3656" t="s">
        <v>596</v>
      </c>
      <c r="F60" s="604" t="s">
        <v>168</v>
      </c>
      <c r="G60" s="596" t="s">
        <v>168</v>
      </c>
      <c r="H60" s="596" t="s">
        <v>168</v>
      </c>
      <c r="I60" s="596" t="s">
        <v>168</v>
      </c>
      <c r="J60" s="596" t="s">
        <v>168</v>
      </c>
      <c r="K60" s="596" t="s">
        <v>168</v>
      </c>
      <c r="L60" s="596" t="s">
        <v>168</v>
      </c>
      <c r="M60" s="596" t="s">
        <v>168</v>
      </c>
      <c r="N60" s="596" t="s">
        <v>168</v>
      </c>
      <c r="O60" s="596" t="s">
        <v>168</v>
      </c>
      <c r="P60" s="596"/>
      <c r="Q60" s="596"/>
      <c r="R60" s="596"/>
      <c r="S60" s="596"/>
      <c r="T60" s="596"/>
      <c r="U60" s="596"/>
      <c r="V60" s="596"/>
      <c r="W60" s="596"/>
      <c r="X60" s="596"/>
      <c r="Y60" s="596"/>
      <c r="Z60" s="596"/>
      <c r="AA60" s="596"/>
      <c r="AB60" s="596"/>
      <c r="AC60" s="596"/>
      <c r="AD60" s="596" t="s">
        <v>168</v>
      </c>
      <c r="AE60" s="596"/>
      <c r="AF60" s="595"/>
      <c r="AG60" s="2121">
        <f t="shared" si="0"/>
        <v>0</v>
      </c>
      <c r="AP60" s="3681">
        <f t="shared" si="2"/>
        <v>46</v>
      </c>
      <c r="AQ60" s="2130" t="str">
        <f t="shared" si="3"/>
        <v>Metafol SC</v>
      </c>
      <c r="AR60" s="2130"/>
      <c r="AS60" s="2130"/>
      <c r="AT60" s="2130"/>
      <c r="AU60" s="2130"/>
      <c r="AV60" s="3693">
        <f t="shared" si="8"/>
        <v>31</v>
      </c>
      <c r="AW60" s="3683" t="str">
        <f t="shared" si="8"/>
        <v>H</v>
      </c>
      <c r="AX60"/>
      <c r="AY60" s="3681">
        <f t="shared" si="5"/>
        <v>96</v>
      </c>
      <c r="AZ60" s="2130" t="str">
        <f t="shared" si="6"/>
        <v/>
      </c>
      <c r="BA60" s="2130"/>
      <c r="BB60" s="2130" t="str">
        <f t="shared" si="9"/>
        <v/>
      </c>
      <c r="BC60" s="3683" t="str">
        <f t="shared" si="9"/>
        <v/>
      </c>
    </row>
    <row r="61" spans="1:58" ht="18">
      <c r="B61" s="2136">
        <f t="shared" si="1"/>
        <v>57</v>
      </c>
      <c r="C61" s="3654" t="s">
        <v>615</v>
      </c>
      <c r="D61" s="3655">
        <v>68.2</v>
      </c>
      <c r="E61" s="3656" t="s">
        <v>598</v>
      </c>
      <c r="F61" s="604"/>
      <c r="G61" s="596"/>
      <c r="H61" s="596"/>
      <c r="I61" s="596"/>
      <c r="J61" s="596"/>
      <c r="K61" s="596"/>
      <c r="L61" s="596"/>
      <c r="M61" s="596"/>
      <c r="N61" s="596"/>
      <c r="O61" s="596"/>
      <c r="P61" s="596"/>
      <c r="Q61" s="596"/>
      <c r="R61" s="596"/>
      <c r="S61" s="596" t="s">
        <v>168</v>
      </c>
      <c r="T61" s="596" t="s">
        <v>168</v>
      </c>
      <c r="U61" s="596"/>
      <c r="V61" s="596"/>
      <c r="W61" s="596"/>
      <c r="X61" s="596"/>
      <c r="Y61" s="596"/>
      <c r="Z61" s="596"/>
      <c r="AA61" s="596"/>
      <c r="AB61" s="596"/>
      <c r="AC61" s="596"/>
      <c r="AD61" s="596" t="s">
        <v>168</v>
      </c>
      <c r="AE61" s="596"/>
      <c r="AF61" s="595"/>
      <c r="AG61" s="2121">
        <f t="shared" si="0"/>
        <v>0</v>
      </c>
      <c r="AP61" s="3681">
        <f t="shared" si="2"/>
        <v>47</v>
      </c>
      <c r="AQ61" s="3682" t="str">
        <f t="shared" si="3"/>
        <v>Karate Zeon</v>
      </c>
      <c r="AR61" s="2130"/>
      <c r="AS61" s="2130"/>
      <c r="AT61" s="2130"/>
      <c r="AU61" s="2130"/>
      <c r="AV61" s="3682">
        <f t="shared" si="8"/>
        <v>149.5</v>
      </c>
      <c r="AW61" s="3683" t="str">
        <f t="shared" si="8"/>
        <v>I</v>
      </c>
      <c r="AY61" s="3681">
        <f t="shared" si="5"/>
        <v>97</v>
      </c>
      <c r="AZ61" s="2130" t="str">
        <f t="shared" si="6"/>
        <v/>
      </c>
      <c r="BA61" s="2130"/>
      <c r="BB61" s="2130" t="str">
        <f t="shared" si="9"/>
        <v/>
      </c>
      <c r="BC61" s="3683" t="str">
        <f t="shared" si="9"/>
        <v/>
      </c>
    </row>
    <row r="62" spans="1:58" ht="18">
      <c r="B62" s="2136">
        <f t="shared" si="1"/>
        <v>58</v>
      </c>
      <c r="C62" s="3654" t="s">
        <v>614</v>
      </c>
      <c r="D62" s="3655">
        <v>66.7</v>
      </c>
      <c r="E62" s="3656" t="s">
        <v>598</v>
      </c>
      <c r="F62" s="604"/>
      <c r="G62" s="596"/>
      <c r="H62" s="596"/>
      <c r="I62" s="596"/>
      <c r="J62" s="596"/>
      <c r="K62" s="596"/>
      <c r="L62" s="596"/>
      <c r="M62" s="596"/>
      <c r="N62" s="596"/>
      <c r="O62" s="596"/>
      <c r="P62" s="596"/>
      <c r="Q62" s="596"/>
      <c r="R62" s="596"/>
      <c r="S62" s="596" t="s">
        <v>168</v>
      </c>
      <c r="T62" s="596" t="s">
        <v>168</v>
      </c>
      <c r="U62" s="596"/>
      <c r="V62" s="596"/>
      <c r="W62" s="596"/>
      <c r="X62" s="596"/>
      <c r="Y62" s="596"/>
      <c r="Z62" s="596"/>
      <c r="AA62" s="596"/>
      <c r="AB62" s="596"/>
      <c r="AC62" s="596"/>
      <c r="AD62" s="596" t="s">
        <v>168</v>
      </c>
      <c r="AE62" s="596"/>
      <c r="AF62" s="595"/>
      <c r="AG62" s="2121">
        <f t="shared" si="0"/>
        <v>0</v>
      </c>
      <c r="AP62" s="3681">
        <f t="shared" si="2"/>
        <v>48</v>
      </c>
      <c r="AQ62" s="3682" t="str">
        <f t="shared" si="3"/>
        <v>Mais Banvel WG</v>
      </c>
      <c r="AR62" s="2130"/>
      <c r="AS62" s="2130"/>
      <c r="AT62" s="2130"/>
      <c r="AU62" s="2130"/>
      <c r="AV62" s="3682">
        <f t="shared" si="8"/>
        <v>74.099999999999994</v>
      </c>
      <c r="AW62" s="3683" t="str">
        <f t="shared" si="8"/>
        <v>H</v>
      </c>
      <c r="AY62" s="3681">
        <f t="shared" si="5"/>
        <v>98</v>
      </c>
      <c r="AZ62" s="2130" t="str">
        <f t="shared" si="6"/>
        <v/>
      </c>
      <c r="BA62" s="2130"/>
      <c r="BB62" s="2130" t="str">
        <f t="shared" si="9"/>
        <v/>
      </c>
      <c r="BC62" s="3683" t="str">
        <f t="shared" si="9"/>
        <v/>
      </c>
    </row>
    <row r="63" spans="1:58" ht="18">
      <c r="B63" s="2136">
        <f t="shared" si="1"/>
        <v>59</v>
      </c>
      <c r="C63" s="3654" t="s">
        <v>613</v>
      </c>
      <c r="D63" s="3655">
        <v>61.3</v>
      </c>
      <c r="E63" s="3656" t="s">
        <v>598</v>
      </c>
      <c r="F63" s="604" t="s">
        <v>168</v>
      </c>
      <c r="G63" s="596" t="s">
        <v>168</v>
      </c>
      <c r="H63" s="596" t="s">
        <v>168</v>
      </c>
      <c r="I63" s="596" t="s">
        <v>168</v>
      </c>
      <c r="J63" s="596" t="s">
        <v>168</v>
      </c>
      <c r="K63" s="596" t="s">
        <v>168</v>
      </c>
      <c r="L63" s="596" t="s">
        <v>168</v>
      </c>
      <c r="M63" s="596" t="s">
        <v>168</v>
      </c>
      <c r="N63" s="596"/>
      <c r="O63" s="596" t="s">
        <v>168</v>
      </c>
      <c r="P63" s="596" t="s">
        <v>168</v>
      </c>
      <c r="Q63" s="596"/>
      <c r="R63" s="596"/>
      <c r="S63" s="596" t="s">
        <v>168</v>
      </c>
      <c r="T63" s="596" t="s">
        <v>168</v>
      </c>
      <c r="U63" s="596"/>
      <c r="V63" s="596"/>
      <c r="W63" s="596"/>
      <c r="X63" s="596"/>
      <c r="Y63" s="596"/>
      <c r="Z63" s="596"/>
      <c r="AA63" s="596"/>
      <c r="AB63" s="596"/>
      <c r="AC63" s="596"/>
      <c r="AD63" s="596" t="s">
        <v>168</v>
      </c>
      <c r="AE63" s="596"/>
      <c r="AF63" s="595"/>
      <c r="AG63" s="2121">
        <f t="shared" si="0"/>
        <v>0</v>
      </c>
      <c r="AP63" s="3681">
        <f t="shared" si="2"/>
        <v>49</v>
      </c>
      <c r="AQ63" s="3682" t="str">
        <f t="shared" si="3"/>
        <v>MaisTer Power</v>
      </c>
      <c r="AR63" s="2130"/>
      <c r="AS63" s="2130"/>
      <c r="AT63" s="2130"/>
      <c r="AU63" s="2130"/>
      <c r="AV63" s="3682">
        <f t="shared" si="8"/>
        <v>55.5</v>
      </c>
      <c r="AW63" s="3683" t="str">
        <f t="shared" si="8"/>
        <v>H</v>
      </c>
      <c r="AY63" s="3681">
        <f t="shared" si="5"/>
        <v>99</v>
      </c>
      <c r="AZ63" s="2130" t="str">
        <f t="shared" si="6"/>
        <v/>
      </c>
      <c r="BA63" s="2130"/>
      <c r="BB63" s="2130" t="str">
        <f t="shared" si="9"/>
        <v/>
      </c>
      <c r="BC63" s="3683" t="str">
        <f t="shared" si="9"/>
        <v/>
      </c>
    </row>
    <row r="64" spans="1:58" ht="18">
      <c r="B64" s="2136">
        <f t="shared" si="1"/>
        <v>60</v>
      </c>
      <c r="C64" s="3654" t="s">
        <v>612</v>
      </c>
      <c r="D64" s="3655">
        <v>82.3</v>
      </c>
      <c r="E64" s="3656" t="s">
        <v>598</v>
      </c>
      <c r="F64" s="604"/>
      <c r="G64" s="596"/>
      <c r="H64" s="596"/>
      <c r="I64" s="596"/>
      <c r="J64" s="596"/>
      <c r="K64" s="596"/>
      <c r="L64" s="596"/>
      <c r="M64" s="596"/>
      <c r="N64" s="596"/>
      <c r="O64" s="596"/>
      <c r="P64" s="596"/>
      <c r="Q64" s="596"/>
      <c r="R64" s="596"/>
      <c r="S64" s="596"/>
      <c r="T64" s="596"/>
      <c r="U64" s="596"/>
      <c r="V64" s="596"/>
      <c r="W64" s="596"/>
      <c r="X64" s="596"/>
      <c r="Y64" s="596"/>
      <c r="Z64" s="596"/>
      <c r="AA64" s="596"/>
      <c r="AB64" s="596" t="s">
        <v>168</v>
      </c>
      <c r="AC64" s="596"/>
      <c r="AD64" s="596" t="s">
        <v>168</v>
      </c>
      <c r="AE64" s="596"/>
      <c r="AF64" s="595"/>
      <c r="AG64" s="2121">
        <f t="shared" si="0"/>
        <v>0</v>
      </c>
      <c r="AP64" s="3694">
        <f t="shared" si="2"/>
        <v>50</v>
      </c>
      <c r="AQ64" s="3695" t="str">
        <f t="shared" si="3"/>
        <v>Malibu</v>
      </c>
      <c r="AR64" s="2124"/>
      <c r="AS64" s="2124"/>
      <c r="AT64" s="2124"/>
      <c r="AU64" s="2124"/>
      <c r="AV64" s="3695">
        <f t="shared" si="8"/>
        <v>17.7</v>
      </c>
      <c r="AW64" s="3696" t="str">
        <f t="shared" si="8"/>
        <v>H</v>
      </c>
      <c r="AY64" s="3694"/>
      <c r="AZ64" s="2124" t="str">
        <f t="shared" si="6"/>
        <v/>
      </c>
      <c r="BA64" s="2124"/>
      <c r="BB64" s="2124" t="str">
        <f t="shared" si="9"/>
        <v/>
      </c>
      <c r="BC64" s="3696" t="str">
        <f t="shared" si="9"/>
        <v/>
      </c>
    </row>
    <row r="65" spans="1:33" ht="18">
      <c r="B65" s="2136">
        <f t="shared" si="1"/>
        <v>61</v>
      </c>
      <c r="C65" s="3654" t="s">
        <v>611</v>
      </c>
      <c r="D65" s="3655">
        <v>58.4</v>
      </c>
      <c r="E65" s="3656" t="s">
        <v>598</v>
      </c>
      <c r="F65" s="604"/>
      <c r="G65" s="596"/>
      <c r="H65" s="596"/>
      <c r="I65" s="596"/>
      <c r="J65" s="596"/>
      <c r="K65" s="596"/>
      <c r="L65" s="596"/>
      <c r="M65" s="596"/>
      <c r="N65" s="596"/>
      <c r="O65" s="596"/>
      <c r="P65" s="596"/>
      <c r="Q65" s="596"/>
      <c r="R65" s="596"/>
      <c r="S65" s="596"/>
      <c r="T65" s="596"/>
      <c r="U65" s="596"/>
      <c r="V65" s="596"/>
      <c r="W65" s="596"/>
      <c r="X65" s="596"/>
      <c r="Y65" s="596" t="s">
        <v>168</v>
      </c>
      <c r="Z65" s="596"/>
      <c r="AA65" s="596"/>
      <c r="AB65" s="596" t="s">
        <v>168</v>
      </c>
      <c r="AC65" s="596"/>
      <c r="AD65" s="596" t="s">
        <v>168</v>
      </c>
      <c r="AE65" s="596"/>
      <c r="AF65" s="595"/>
      <c r="AG65" s="2121">
        <f t="shared" si="0"/>
        <v>0</v>
      </c>
    </row>
    <row r="66" spans="1:33" s="3652" customFormat="1" ht="18">
      <c r="A66" s="3669"/>
      <c r="B66" s="2136">
        <f t="shared" si="1"/>
        <v>62</v>
      </c>
      <c r="C66" s="3654" t="s">
        <v>610</v>
      </c>
      <c r="D66" s="3655">
        <v>21.1</v>
      </c>
      <c r="E66" s="3656" t="s">
        <v>596</v>
      </c>
      <c r="F66" s="604"/>
      <c r="G66" s="596"/>
      <c r="H66" s="596"/>
      <c r="I66" s="596"/>
      <c r="J66" s="596"/>
      <c r="K66" s="596"/>
      <c r="L66" s="596"/>
      <c r="M66" s="596"/>
      <c r="N66" s="596"/>
      <c r="O66" s="596"/>
      <c r="P66" s="596"/>
      <c r="Q66" s="596"/>
      <c r="R66" s="596"/>
      <c r="S66" s="596"/>
      <c r="T66" s="596"/>
      <c r="U66" s="596"/>
      <c r="V66" s="596" t="s">
        <v>168</v>
      </c>
      <c r="W66" s="596"/>
      <c r="X66" s="596"/>
      <c r="Y66" s="596" t="s">
        <v>168</v>
      </c>
      <c r="Z66" s="596"/>
      <c r="AA66" s="596"/>
      <c r="AB66" s="596"/>
      <c r="AC66" s="596"/>
      <c r="AD66" s="3741" t="s">
        <v>168</v>
      </c>
      <c r="AE66" s="3741"/>
      <c r="AF66" s="3742"/>
      <c r="AG66" s="3653">
        <f t="shared" si="0"/>
        <v>0</v>
      </c>
    </row>
    <row r="67" spans="1:33" ht="18">
      <c r="B67" s="2136">
        <f t="shared" si="1"/>
        <v>63</v>
      </c>
      <c r="C67" s="3654" t="s">
        <v>609</v>
      </c>
      <c r="D67" s="3655">
        <v>32.200000000000003</v>
      </c>
      <c r="E67" s="3656" t="s">
        <v>596</v>
      </c>
      <c r="F67" s="604"/>
      <c r="G67" s="596"/>
      <c r="H67" s="596"/>
      <c r="I67" s="596"/>
      <c r="J67" s="596"/>
      <c r="K67" s="596"/>
      <c r="L67" s="596"/>
      <c r="M67" s="596"/>
      <c r="N67" s="596"/>
      <c r="O67" s="596"/>
      <c r="P67" s="596"/>
      <c r="Q67" s="596"/>
      <c r="R67" s="596"/>
      <c r="S67" s="596"/>
      <c r="T67" s="596"/>
      <c r="U67" s="596"/>
      <c r="V67" s="596"/>
      <c r="W67" s="596"/>
      <c r="X67" s="596"/>
      <c r="Y67" s="596"/>
      <c r="Z67" s="596"/>
      <c r="AA67" s="596"/>
      <c r="AB67" s="596"/>
      <c r="AC67" s="596"/>
      <c r="AD67" s="596" t="s">
        <v>168</v>
      </c>
      <c r="AE67" s="596"/>
      <c r="AF67" s="595"/>
      <c r="AG67" s="2121">
        <f t="shared" si="0"/>
        <v>0</v>
      </c>
    </row>
    <row r="68" spans="1:33" ht="18">
      <c r="B68" s="2136">
        <f t="shared" si="1"/>
        <v>64</v>
      </c>
      <c r="C68" s="3654" t="s">
        <v>2024</v>
      </c>
      <c r="D68" s="3655">
        <v>55.9</v>
      </c>
      <c r="E68" s="3656" t="s">
        <v>598</v>
      </c>
      <c r="F68" s="604" t="s">
        <v>168</v>
      </c>
      <c r="G68" s="596" t="s">
        <v>168</v>
      </c>
      <c r="H68" s="596" t="s">
        <v>168</v>
      </c>
      <c r="I68" s="596" t="s">
        <v>168</v>
      </c>
      <c r="J68" s="596" t="s">
        <v>168</v>
      </c>
      <c r="K68" s="596" t="s">
        <v>168</v>
      </c>
      <c r="L68" s="596" t="s">
        <v>168</v>
      </c>
      <c r="M68" s="596" t="s">
        <v>168</v>
      </c>
      <c r="N68" s="596" t="s">
        <v>168</v>
      </c>
      <c r="O68" s="596" t="s">
        <v>168</v>
      </c>
      <c r="P68" s="596"/>
      <c r="Q68" s="596"/>
      <c r="R68" s="596"/>
      <c r="S68" s="596"/>
      <c r="T68" s="596"/>
      <c r="U68" s="596"/>
      <c r="V68" s="596"/>
      <c r="W68" s="596"/>
      <c r="X68" s="596"/>
      <c r="Y68" s="596"/>
      <c r="Z68" s="596"/>
      <c r="AA68" s="596"/>
      <c r="AB68" s="596"/>
      <c r="AC68" s="596"/>
      <c r="AD68" s="596" t="s">
        <v>168</v>
      </c>
      <c r="AE68" s="596"/>
      <c r="AF68" s="595"/>
      <c r="AG68" s="2121">
        <f t="shared" si="0"/>
        <v>0</v>
      </c>
    </row>
    <row r="69" spans="1:33" s="3652" customFormat="1" ht="18">
      <c r="A69" s="3669"/>
      <c r="B69" s="2136">
        <f t="shared" si="1"/>
        <v>65</v>
      </c>
      <c r="C69" s="3654" t="s">
        <v>2025</v>
      </c>
      <c r="D69" s="3655">
        <v>33.5</v>
      </c>
      <c r="E69" s="3656" t="s">
        <v>598</v>
      </c>
      <c r="F69" s="604" t="s">
        <v>168</v>
      </c>
      <c r="G69" s="596" t="s">
        <v>168</v>
      </c>
      <c r="H69" s="596" t="s">
        <v>168</v>
      </c>
      <c r="I69" s="596" t="s">
        <v>168</v>
      </c>
      <c r="J69" s="596" t="s">
        <v>168</v>
      </c>
      <c r="K69" s="596" t="s">
        <v>168</v>
      </c>
      <c r="L69" s="596" t="s">
        <v>168</v>
      </c>
      <c r="M69" s="596" t="s">
        <v>168</v>
      </c>
      <c r="N69" s="596"/>
      <c r="O69" s="596" t="s">
        <v>168</v>
      </c>
      <c r="P69" s="596"/>
      <c r="Q69" s="596"/>
      <c r="R69" s="596"/>
      <c r="S69" s="596"/>
      <c r="T69" s="596"/>
      <c r="U69" s="596"/>
      <c r="V69" s="596"/>
      <c r="W69" s="596"/>
      <c r="X69" s="596"/>
      <c r="Y69" s="596"/>
      <c r="Z69" s="596"/>
      <c r="AA69" s="596"/>
      <c r="AB69" s="596"/>
      <c r="AC69" s="596"/>
      <c r="AD69" s="3741" t="s">
        <v>168</v>
      </c>
      <c r="AE69" s="3741"/>
      <c r="AF69" s="3742"/>
      <c r="AG69" s="3653">
        <f t="shared" ref="AG69:AG103" si="10">IF(AND(I69="x",X69="x"),1,0)</f>
        <v>0</v>
      </c>
    </row>
    <row r="70" spans="1:33" ht="18">
      <c r="B70" s="2136">
        <f t="shared" ref="B70:B103" si="11">B69+1</f>
        <v>66</v>
      </c>
      <c r="C70" s="3654" t="s">
        <v>606</v>
      </c>
      <c r="D70" s="3655">
        <v>85.2</v>
      </c>
      <c r="E70" s="3656" t="s">
        <v>596</v>
      </c>
      <c r="F70" s="604"/>
      <c r="G70" s="596"/>
      <c r="H70" s="596"/>
      <c r="I70" s="596"/>
      <c r="J70" s="596"/>
      <c r="K70" s="596"/>
      <c r="L70" s="596"/>
      <c r="M70" s="596"/>
      <c r="N70" s="596"/>
      <c r="O70" s="596"/>
      <c r="P70" s="596"/>
      <c r="Q70" s="596"/>
      <c r="R70" s="596"/>
      <c r="S70" s="596" t="s">
        <v>168</v>
      </c>
      <c r="T70" s="596"/>
      <c r="U70" s="596"/>
      <c r="V70" s="596"/>
      <c r="W70" s="596"/>
      <c r="X70" s="596" t="s">
        <v>168</v>
      </c>
      <c r="Y70" s="596"/>
      <c r="Z70" s="596"/>
      <c r="AA70" s="596"/>
      <c r="AB70" s="596"/>
      <c r="AC70" s="596"/>
      <c r="AD70" s="596" t="s">
        <v>168</v>
      </c>
      <c r="AE70" s="596"/>
      <c r="AF70" s="595"/>
      <c r="AG70" s="2121">
        <f t="shared" si="10"/>
        <v>0</v>
      </c>
    </row>
    <row r="71" spans="1:33" ht="18">
      <c r="B71" s="2136">
        <f t="shared" si="11"/>
        <v>67</v>
      </c>
      <c r="C71" s="3654" t="s">
        <v>605</v>
      </c>
      <c r="D71" s="3655">
        <v>62.8</v>
      </c>
      <c r="E71" s="3656" t="s">
        <v>596</v>
      </c>
      <c r="F71" s="604"/>
      <c r="G71" s="596"/>
      <c r="H71" s="596"/>
      <c r="I71" s="596"/>
      <c r="J71" s="596"/>
      <c r="K71" s="596"/>
      <c r="L71" s="596"/>
      <c r="M71" s="596"/>
      <c r="N71" s="596"/>
      <c r="O71" s="596"/>
      <c r="P71" s="596"/>
      <c r="Q71" s="596"/>
      <c r="R71" s="596"/>
      <c r="S71" s="596"/>
      <c r="T71" s="596"/>
      <c r="U71" s="596"/>
      <c r="V71" s="596" t="s">
        <v>168</v>
      </c>
      <c r="W71" s="596"/>
      <c r="X71" s="596"/>
      <c r="Y71" s="596"/>
      <c r="Z71" s="596"/>
      <c r="AA71" s="596"/>
      <c r="AB71" s="596" t="s">
        <v>168</v>
      </c>
      <c r="AC71" s="596"/>
      <c r="AD71" s="596" t="s">
        <v>168</v>
      </c>
      <c r="AE71" s="596"/>
      <c r="AF71" s="595"/>
      <c r="AG71" s="2121">
        <f t="shared" si="10"/>
        <v>0</v>
      </c>
    </row>
    <row r="72" spans="1:33" ht="18">
      <c r="B72" s="2136">
        <f t="shared" si="11"/>
        <v>68</v>
      </c>
      <c r="C72" s="3654" t="s">
        <v>604</v>
      </c>
      <c r="D72" s="3655">
        <v>44.1</v>
      </c>
      <c r="E72" s="3656" t="s">
        <v>598</v>
      </c>
      <c r="F72" s="604"/>
      <c r="G72" s="596"/>
      <c r="H72" s="596"/>
      <c r="I72" s="596"/>
      <c r="J72" s="596"/>
      <c r="K72" s="596"/>
      <c r="L72" s="596"/>
      <c r="M72" s="596"/>
      <c r="N72" s="596"/>
      <c r="O72" s="596"/>
      <c r="P72" s="596"/>
      <c r="Q72" s="596"/>
      <c r="R72" s="596"/>
      <c r="S72" s="596"/>
      <c r="T72" s="596"/>
      <c r="U72" s="596"/>
      <c r="V72" s="596"/>
      <c r="W72" s="596"/>
      <c r="X72" s="596"/>
      <c r="Y72" s="596"/>
      <c r="Z72" s="596"/>
      <c r="AA72" s="596"/>
      <c r="AB72" s="596" t="s">
        <v>168</v>
      </c>
      <c r="AC72" s="596"/>
      <c r="AD72" s="596" t="s">
        <v>168</v>
      </c>
      <c r="AE72" s="596"/>
      <c r="AF72" s="595"/>
      <c r="AG72" s="2121">
        <f t="shared" si="10"/>
        <v>0</v>
      </c>
    </row>
    <row r="73" spans="1:33" ht="18">
      <c r="B73" s="2136">
        <f t="shared" si="11"/>
        <v>69</v>
      </c>
      <c r="C73" s="3654" t="s">
        <v>2006</v>
      </c>
      <c r="D73" s="3655">
        <v>23.2</v>
      </c>
      <c r="E73" s="3656" t="s">
        <v>596</v>
      </c>
      <c r="F73" s="604"/>
      <c r="G73" s="596"/>
      <c r="H73" s="596"/>
      <c r="I73" s="596"/>
      <c r="J73" s="596"/>
      <c r="K73" s="596"/>
      <c r="L73" s="596"/>
      <c r="M73" s="596"/>
      <c r="N73" s="596"/>
      <c r="O73" s="596"/>
      <c r="P73" s="596"/>
      <c r="Q73" s="596"/>
      <c r="R73" s="596" t="s">
        <v>168</v>
      </c>
      <c r="S73" s="596"/>
      <c r="T73" s="596"/>
      <c r="U73" s="596" t="s">
        <v>168</v>
      </c>
      <c r="V73" s="596" t="s">
        <v>168</v>
      </c>
      <c r="W73" s="596"/>
      <c r="X73" s="596" t="s">
        <v>168</v>
      </c>
      <c r="Y73" s="596" t="s">
        <v>168</v>
      </c>
      <c r="Z73" s="596" t="s">
        <v>168</v>
      </c>
      <c r="AA73" s="596"/>
      <c r="AB73" s="596"/>
      <c r="AC73" s="596"/>
      <c r="AD73" s="596" t="s">
        <v>168</v>
      </c>
      <c r="AE73" s="596"/>
      <c r="AF73" s="595"/>
      <c r="AG73" s="2121">
        <f t="shared" si="10"/>
        <v>0</v>
      </c>
    </row>
    <row r="74" spans="1:33" ht="18">
      <c r="B74" s="2136">
        <f t="shared" si="11"/>
        <v>70</v>
      </c>
      <c r="C74" s="3654" t="s">
        <v>603</v>
      </c>
      <c r="D74" s="3655">
        <v>21.3</v>
      </c>
      <c r="E74" s="3656" t="s">
        <v>596</v>
      </c>
      <c r="F74" s="604" t="s">
        <v>168</v>
      </c>
      <c r="G74" s="596"/>
      <c r="H74" s="596" t="s">
        <v>168</v>
      </c>
      <c r="I74" s="596" t="s">
        <v>168</v>
      </c>
      <c r="J74" s="596" t="s">
        <v>168</v>
      </c>
      <c r="K74" s="596" t="s">
        <v>168</v>
      </c>
      <c r="L74" s="596" t="s">
        <v>168</v>
      </c>
      <c r="M74" s="596" t="s">
        <v>168</v>
      </c>
      <c r="N74" s="596" t="s">
        <v>168</v>
      </c>
      <c r="O74" s="596" t="s">
        <v>168</v>
      </c>
      <c r="P74" s="596" t="s">
        <v>168</v>
      </c>
      <c r="Q74" s="596"/>
      <c r="R74" s="596"/>
      <c r="S74" s="596"/>
      <c r="T74" s="596"/>
      <c r="U74" s="596"/>
      <c r="V74" s="596"/>
      <c r="W74" s="596"/>
      <c r="X74" s="596"/>
      <c r="Y74" s="596"/>
      <c r="Z74" s="596"/>
      <c r="AA74" s="596"/>
      <c r="AB74" s="596"/>
      <c r="AC74" s="596"/>
      <c r="AD74" s="596" t="s">
        <v>168</v>
      </c>
      <c r="AE74" s="596"/>
      <c r="AF74" s="595"/>
      <c r="AG74" s="2121">
        <f t="shared" si="10"/>
        <v>0</v>
      </c>
    </row>
    <row r="75" spans="1:33" s="3652" customFormat="1" ht="18">
      <c r="A75" s="3669"/>
      <c r="B75" s="2136">
        <f t="shared" si="11"/>
        <v>71</v>
      </c>
      <c r="C75" s="3654"/>
      <c r="D75" s="3655"/>
      <c r="E75" s="3656"/>
      <c r="F75" s="604"/>
      <c r="G75" s="596"/>
      <c r="H75" s="596"/>
      <c r="I75" s="596"/>
      <c r="J75" s="596"/>
      <c r="K75" s="596"/>
      <c r="L75" s="596"/>
      <c r="M75" s="596"/>
      <c r="N75" s="596"/>
      <c r="O75" s="596"/>
      <c r="P75" s="596"/>
      <c r="Q75" s="596"/>
      <c r="R75" s="596"/>
      <c r="S75" s="596"/>
      <c r="T75" s="596"/>
      <c r="U75" s="596"/>
      <c r="V75" s="596"/>
      <c r="W75" s="596"/>
      <c r="X75" s="596"/>
      <c r="Y75" s="596"/>
      <c r="Z75" s="596"/>
      <c r="AA75" s="596"/>
      <c r="AB75" s="596"/>
      <c r="AC75" s="596"/>
      <c r="AD75" s="3741"/>
      <c r="AE75" s="3741"/>
      <c r="AF75" s="3742"/>
      <c r="AG75" s="3653">
        <f t="shared" si="10"/>
        <v>0</v>
      </c>
    </row>
    <row r="76" spans="1:33" ht="18">
      <c r="B76" s="2136">
        <f t="shared" si="11"/>
        <v>72</v>
      </c>
      <c r="C76" s="3654" t="s">
        <v>601</v>
      </c>
      <c r="D76" s="3655">
        <v>22.8</v>
      </c>
      <c r="E76" s="3656" t="s">
        <v>596</v>
      </c>
      <c r="F76" s="604" t="s">
        <v>168</v>
      </c>
      <c r="G76" s="596" t="s">
        <v>168</v>
      </c>
      <c r="H76" s="596" t="s">
        <v>168</v>
      </c>
      <c r="I76" s="596" t="s">
        <v>168</v>
      </c>
      <c r="J76" s="596" t="s">
        <v>168</v>
      </c>
      <c r="K76" s="596"/>
      <c r="L76" s="596"/>
      <c r="M76" s="596"/>
      <c r="N76" s="596"/>
      <c r="O76" s="596"/>
      <c r="P76" s="596"/>
      <c r="Q76" s="596" t="s">
        <v>168</v>
      </c>
      <c r="R76" s="596" t="s">
        <v>168</v>
      </c>
      <c r="S76" s="596" t="s">
        <v>168</v>
      </c>
      <c r="T76" s="596" t="s">
        <v>168</v>
      </c>
      <c r="U76" s="596" t="s">
        <v>168</v>
      </c>
      <c r="V76" s="596" t="s">
        <v>168</v>
      </c>
      <c r="W76" s="596"/>
      <c r="X76" s="596" t="s">
        <v>168</v>
      </c>
      <c r="Y76" s="596" t="s">
        <v>168</v>
      </c>
      <c r="Z76" s="596" t="s">
        <v>168</v>
      </c>
      <c r="AA76" s="596"/>
      <c r="AB76" s="596"/>
      <c r="AC76" s="596"/>
      <c r="AD76" s="596" t="s">
        <v>168</v>
      </c>
      <c r="AE76" s="596"/>
      <c r="AF76" s="595"/>
      <c r="AG76" s="2121">
        <f t="shared" si="10"/>
        <v>1</v>
      </c>
    </row>
    <row r="77" spans="1:33" ht="18">
      <c r="B77" s="2136">
        <f t="shared" si="11"/>
        <v>73</v>
      </c>
      <c r="C77" s="3654" t="s">
        <v>600</v>
      </c>
      <c r="D77" s="3655">
        <v>237.8</v>
      </c>
      <c r="E77" s="3656" t="s">
        <v>593</v>
      </c>
      <c r="F77" s="604" t="s">
        <v>168</v>
      </c>
      <c r="G77" s="596"/>
      <c r="H77" s="596"/>
      <c r="I77" s="596"/>
      <c r="J77" s="596"/>
      <c r="K77" s="596"/>
      <c r="L77" s="596"/>
      <c r="M77" s="596"/>
      <c r="N77" s="596"/>
      <c r="O77" s="596"/>
      <c r="P77" s="596"/>
      <c r="Q77" s="596"/>
      <c r="R77" s="596"/>
      <c r="S77" s="596"/>
      <c r="T77" s="596"/>
      <c r="U77" s="596"/>
      <c r="V77" s="596"/>
      <c r="W77" s="596"/>
      <c r="X77" s="596"/>
      <c r="Y77" s="596"/>
      <c r="Z77" s="596"/>
      <c r="AA77" s="596"/>
      <c r="AB77" s="596" t="s">
        <v>168</v>
      </c>
      <c r="AC77" s="596"/>
      <c r="AD77" s="596" t="s">
        <v>168</v>
      </c>
      <c r="AE77" s="596"/>
      <c r="AF77" s="595"/>
      <c r="AG77" s="2121">
        <f t="shared" si="10"/>
        <v>0</v>
      </c>
    </row>
    <row r="78" spans="1:33" ht="18">
      <c r="B78" s="2136">
        <f t="shared" si="11"/>
        <v>74</v>
      </c>
      <c r="C78" s="3654" t="s">
        <v>599</v>
      </c>
      <c r="D78" s="3655">
        <v>41.5</v>
      </c>
      <c r="E78" s="3656" t="s">
        <v>598</v>
      </c>
      <c r="F78" s="604"/>
      <c r="G78" s="596"/>
      <c r="H78" s="596"/>
      <c r="I78" s="596"/>
      <c r="J78" s="596"/>
      <c r="K78" s="596"/>
      <c r="L78" s="596"/>
      <c r="M78" s="596"/>
      <c r="N78" s="596"/>
      <c r="O78" s="596"/>
      <c r="P78" s="596"/>
      <c r="Q78" s="596"/>
      <c r="R78" s="596"/>
      <c r="S78" s="596" t="s">
        <v>168</v>
      </c>
      <c r="T78" s="596"/>
      <c r="U78" s="596"/>
      <c r="V78" s="596"/>
      <c r="W78" s="596"/>
      <c r="X78" s="596"/>
      <c r="Y78" s="596"/>
      <c r="Z78" s="596"/>
      <c r="AA78" s="596"/>
      <c r="AB78" s="596"/>
      <c r="AC78" s="596"/>
      <c r="AD78" s="596" t="s">
        <v>168</v>
      </c>
      <c r="AE78" s="596"/>
      <c r="AF78" s="595"/>
      <c r="AG78" s="2121">
        <f t="shared" si="10"/>
        <v>0</v>
      </c>
    </row>
    <row r="79" spans="1:33" ht="18">
      <c r="B79" s="2136">
        <f t="shared" si="11"/>
        <v>75</v>
      </c>
      <c r="C79" s="3654" t="s">
        <v>597</v>
      </c>
      <c r="D79" s="3655">
        <v>49.6</v>
      </c>
      <c r="E79" s="3656" t="s">
        <v>596</v>
      </c>
      <c r="F79" s="604" t="s">
        <v>168</v>
      </c>
      <c r="G79" s="596"/>
      <c r="H79" s="596" t="s">
        <v>168</v>
      </c>
      <c r="I79" s="596" t="s">
        <v>168</v>
      </c>
      <c r="J79" s="596"/>
      <c r="K79" s="596"/>
      <c r="L79" s="596"/>
      <c r="M79" s="596"/>
      <c r="N79" s="596"/>
      <c r="O79" s="596"/>
      <c r="P79" s="596"/>
      <c r="Q79" s="596"/>
      <c r="R79" s="596"/>
      <c r="S79" s="596"/>
      <c r="T79" s="596"/>
      <c r="U79" s="596"/>
      <c r="V79" s="596"/>
      <c r="W79" s="596"/>
      <c r="X79" s="596"/>
      <c r="Y79" s="596"/>
      <c r="Z79" s="596"/>
      <c r="AA79" s="596"/>
      <c r="AB79" s="596"/>
      <c r="AC79" s="596"/>
      <c r="AD79" s="596" t="s">
        <v>168</v>
      </c>
      <c r="AE79" s="596"/>
      <c r="AF79" s="595"/>
      <c r="AG79" s="2121">
        <f t="shared" si="10"/>
        <v>0</v>
      </c>
    </row>
    <row r="80" spans="1:33" ht="18">
      <c r="B80" s="2136">
        <f t="shared" si="11"/>
        <v>76</v>
      </c>
      <c r="C80" s="3654" t="s">
        <v>595</v>
      </c>
      <c r="D80" s="3655">
        <v>77.8</v>
      </c>
      <c r="E80" s="3656" t="s">
        <v>593</v>
      </c>
      <c r="F80" s="604"/>
      <c r="G80" s="596"/>
      <c r="H80" s="596"/>
      <c r="I80" s="596"/>
      <c r="J80" s="596"/>
      <c r="K80" s="596"/>
      <c r="L80" s="596"/>
      <c r="M80" s="596"/>
      <c r="N80" s="596"/>
      <c r="O80" s="596"/>
      <c r="P80" s="596"/>
      <c r="Q80" s="596"/>
      <c r="R80" s="596"/>
      <c r="S80" s="596" t="s">
        <v>168</v>
      </c>
      <c r="T80" s="596" t="s">
        <v>168</v>
      </c>
      <c r="U80" s="596"/>
      <c r="V80" s="596"/>
      <c r="W80" s="596"/>
      <c r="X80" s="596"/>
      <c r="Y80" s="596"/>
      <c r="Z80" s="596"/>
      <c r="AA80" s="596"/>
      <c r="AB80" s="596"/>
      <c r="AC80" s="596"/>
      <c r="AD80" s="596" t="s">
        <v>168</v>
      </c>
      <c r="AE80" s="596"/>
      <c r="AF80" s="595"/>
      <c r="AG80" s="2121">
        <f t="shared" si="10"/>
        <v>0</v>
      </c>
    </row>
    <row r="81" spans="1:33" ht="18">
      <c r="B81" s="2136">
        <f t="shared" si="11"/>
        <v>77</v>
      </c>
      <c r="C81" s="3654" t="s">
        <v>594</v>
      </c>
      <c r="D81" s="3655">
        <v>50</v>
      </c>
      <c r="E81" s="3656" t="s">
        <v>593</v>
      </c>
      <c r="F81" s="604"/>
      <c r="G81" s="596"/>
      <c r="H81" s="596"/>
      <c r="I81" s="596"/>
      <c r="J81" s="596"/>
      <c r="K81" s="596"/>
      <c r="L81" s="596"/>
      <c r="M81" s="596"/>
      <c r="N81" s="596"/>
      <c r="O81" s="596"/>
      <c r="P81" s="596"/>
      <c r="Q81" s="596"/>
      <c r="R81" s="596" t="s">
        <v>168</v>
      </c>
      <c r="S81" s="596"/>
      <c r="T81" s="596"/>
      <c r="U81" s="596"/>
      <c r="V81" s="596"/>
      <c r="W81" s="596"/>
      <c r="X81" s="596"/>
      <c r="Y81" s="596"/>
      <c r="Z81" s="596"/>
      <c r="AA81" s="596"/>
      <c r="AB81" s="596"/>
      <c r="AC81" s="596"/>
      <c r="AD81" s="596" t="s">
        <v>168</v>
      </c>
      <c r="AE81" s="596"/>
      <c r="AF81" s="595"/>
      <c r="AG81" s="2121">
        <f t="shared" si="10"/>
        <v>0</v>
      </c>
    </row>
    <row r="82" spans="1:33" ht="18">
      <c r="B82" s="2136">
        <f t="shared" si="11"/>
        <v>78</v>
      </c>
      <c r="C82" s="3735" t="s">
        <v>2009</v>
      </c>
      <c r="D82" s="3655">
        <v>34.4</v>
      </c>
      <c r="E82" s="3736" t="s">
        <v>596</v>
      </c>
      <c r="F82" s="604" t="s">
        <v>168</v>
      </c>
      <c r="G82" s="596" t="s">
        <v>168</v>
      </c>
      <c r="H82" s="596" t="s">
        <v>168</v>
      </c>
      <c r="I82" s="596" t="s">
        <v>168</v>
      </c>
      <c r="J82" s="596" t="s">
        <v>168</v>
      </c>
      <c r="K82" s="596" t="s">
        <v>168</v>
      </c>
      <c r="L82" s="596" t="s">
        <v>168</v>
      </c>
      <c r="M82" s="596" t="s">
        <v>168</v>
      </c>
      <c r="N82" s="596"/>
      <c r="O82" s="596" t="s">
        <v>168</v>
      </c>
      <c r="P82" s="596"/>
      <c r="Q82" s="596"/>
      <c r="R82" s="596"/>
      <c r="S82" s="596"/>
      <c r="T82" s="596"/>
      <c r="U82" s="596"/>
      <c r="V82" s="596"/>
      <c r="W82" s="596"/>
      <c r="X82" s="596"/>
      <c r="Y82" s="596"/>
      <c r="Z82" s="596"/>
      <c r="AA82" s="596"/>
      <c r="AB82" s="596"/>
      <c r="AC82" s="596"/>
      <c r="AD82" s="596" t="s">
        <v>168</v>
      </c>
      <c r="AE82" s="596"/>
      <c r="AF82" s="595"/>
      <c r="AG82" s="2121">
        <f t="shared" si="10"/>
        <v>0</v>
      </c>
    </row>
    <row r="83" spans="1:33" s="3744" customFormat="1" ht="18">
      <c r="A83" s="3669"/>
      <c r="B83" s="3670">
        <f t="shared" si="11"/>
        <v>79</v>
      </c>
      <c r="C83" s="3654" t="s">
        <v>1925</v>
      </c>
      <c r="D83" s="3671">
        <v>38.700000000000003</v>
      </c>
      <c r="E83" s="3672" t="s">
        <v>596</v>
      </c>
      <c r="F83" s="3740"/>
      <c r="G83" s="3741"/>
      <c r="H83" s="3741"/>
      <c r="I83" s="3741"/>
      <c r="J83" s="3741"/>
      <c r="K83" s="3741"/>
      <c r="L83" s="3741"/>
      <c r="M83" s="3741"/>
      <c r="N83" s="3741"/>
      <c r="O83" s="3741"/>
      <c r="P83" s="3741" t="s">
        <v>168</v>
      </c>
      <c r="Q83" s="3741" t="s">
        <v>168</v>
      </c>
      <c r="R83" s="3741" t="s">
        <v>168</v>
      </c>
      <c r="S83" s="3741"/>
      <c r="T83" s="3741"/>
      <c r="U83" s="3741"/>
      <c r="V83" s="3741" t="s">
        <v>168</v>
      </c>
      <c r="W83" s="3741"/>
      <c r="X83" s="3741"/>
      <c r="Y83" s="3741"/>
      <c r="Z83" s="3741"/>
      <c r="AA83" s="3741" t="s">
        <v>168</v>
      </c>
      <c r="AB83" s="3741" t="s">
        <v>168</v>
      </c>
      <c r="AC83" s="3741"/>
      <c r="AD83" s="3741" t="s">
        <v>168</v>
      </c>
      <c r="AE83" s="3741"/>
      <c r="AF83" s="3742"/>
      <c r="AG83" s="3743">
        <f t="shared" si="10"/>
        <v>0</v>
      </c>
    </row>
    <row r="84" spans="1:33" s="3744" customFormat="1" ht="18">
      <c r="A84" s="3669"/>
      <c r="B84" s="3737">
        <f t="shared" si="11"/>
        <v>80</v>
      </c>
      <c r="C84" s="4021"/>
      <c r="D84" s="4022"/>
      <c r="E84" s="3739"/>
      <c r="F84" s="3740"/>
      <c r="G84" s="3741"/>
      <c r="H84" s="3741"/>
      <c r="I84" s="3741"/>
      <c r="J84" s="3741"/>
      <c r="K84" s="3741"/>
      <c r="L84" s="3741"/>
      <c r="M84" s="3741"/>
      <c r="N84" s="3741"/>
      <c r="O84" s="3741"/>
      <c r="P84" s="3741" t="s">
        <v>168</v>
      </c>
      <c r="Q84" s="3741"/>
      <c r="R84" s="3741"/>
      <c r="S84" s="3741"/>
      <c r="T84" s="3741"/>
      <c r="U84" s="3741"/>
      <c r="V84" s="3741"/>
      <c r="W84" s="3741"/>
      <c r="X84" s="3741"/>
      <c r="Y84" s="3741"/>
      <c r="Z84" s="3741"/>
      <c r="AA84" s="3741"/>
      <c r="AB84" s="3741"/>
      <c r="AC84" s="3741"/>
      <c r="AD84" s="3741"/>
      <c r="AE84" s="3741"/>
      <c r="AF84" s="3742"/>
      <c r="AG84" s="3743">
        <f t="shared" si="10"/>
        <v>0</v>
      </c>
    </row>
    <row r="85" spans="1:33" s="3744" customFormat="1" ht="18">
      <c r="A85" s="3669"/>
      <c r="B85" s="3737">
        <f t="shared" si="11"/>
        <v>81</v>
      </c>
      <c r="C85" s="3738" t="s">
        <v>2031</v>
      </c>
      <c r="D85" s="3671">
        <v>45.3</v>
      </c>
      <c r="E85" s="3739" t="s">
        <v>598</v>
      </c>
      <c r="F85" s="3740" t="s">
        <v>168</v>
      </c>
      <c r="G85" s="3741" t="s">
        <v>168</v>
      </c>
      <c r="H85" s="3741" t="s">
        <v>168</v>
      </c>
      <c r="I85" s="3741" t="s">
        <v>168</v>
      </c>
      <c r="J85" s="3741"/>
      <c r="K85" s="3741" t="s">
        <v>168</v>
      </c>
      <c r="L85" s="3741"/>
      <c r="M85" s="3741"/>
      <c r="N85" s="3741"/>
      <c r="O85" s="3741"/>
      <c r="P85" s="3741" t="s">
        <v>168</v>
      </c>
      <c r="Q85" s="3741"/>
      <c r="R85" s="3741"/>
      <c r="S85" s="3741"/>
      <c r="T85" s="3741"/>
      <c r="U85" s="3741"/>
      <c r="V85" s="3741"/>
      <c r="W85" s="3741"/>
      <c r="X85" s="3741"/>
      <c r="Y85" s="3741"/>
      <c r="Z85" s="3741"/>
      <c r="AA85" s="3741"/>
      <c r="AB85" s="3741"/>
      <c r="AC85" s="3741"/>
      <c r="AD85" s="3741" t="s">
        <v>168</v>
      </c>
      <c r="AE85" s="3741"/>
      <c r="AF85" s="3742"/>
      <c r="AG85" s="3743">
        <f t="shared" si="10"/>
        <v>0</v>
      </c>
    </row>
    <row r="86" spans="1:33" s="3744" customFormat="1" ht="18">
      <c r="A86" s="3669"/>
      <c r="B86" s="3737">
        <f t="shared" si="11"/>
        <v>82</v>
      </c>
      <c r="C86" s="3738"/>
      <c r="D86" s="3671"/>
      <c r="E86" s="3739"/>
      <c r="F86" s="3740"/>
      <c r="G86" s="3741"/>
      <c r="H86" s="3741"/>
      <c r="I86" s="3741"/>
      <c r="J86" s="3741"/>
      <c r="K86" s="3741"/>
      <c r="L86" s="3741"/>
      <c r="M86" s="3741"/>
      <c r="N86" s="3741"/>
      <c r="O86" s="3741"/>
      <c r="P86" s="3741"/>
      <c r="Q86" s="3741"/>
      <c r="R86" s="3741"/>
      <c r="S86" s="3741"/>
      <c r="T86" s="3741"/>
      <c r="U86" s="3741"/>
      <c r="V86" s="3741"/>
      <c r="W86" s="3741"/>
      <c r="X86" s="3741"/>
      <c r="Y86" s="3741"/>
      <c r="Z86" s="3741"/>
      <c r="AA86" s="3741"/>
      <c r="AB86" s="3741"/>
      <c r="AC86" s="3741"/>
      <c r="AD86" s="3741" t="s">
        <v>168</v>
      </c>
      <c r="AE86" s="3741"/>
      <c r="AF86" s="3742"/>
      <c r="AG86" s="3743">
        <f t="shared" si="10"/>
        <v>0</v>
      </c>
    </row>
    <row r="87" spans="1:33" s="3744" customFormat="1" ht="18">
      <c r="A87" s="3669"/>
      <c r="B87" s="3737">
        <f t="shared" si="11"/>
        <v>83</v>
      </c>
      <c r="C87" s="3738"/>
      <c r="D87" s="3671"/>
      <c r="E87" s="3739"/>
      <c r="F87" s="3740"/>
      <c r="G87" s="3741"/>
      <c r="H87" s="3741"/>
      <c r="I87" s="3741"/>
      <c r="J87" s="3741"/>
      <c r="K87" s="3741"/>
      <c r="L87" s="3741"/>
      <c r="M87" s="3741"/>
      <c r="N87" s="3741"/>
      <c r="O87" s="3741"/>
      <c r="P87" s="3741"/>
      <c r="Q87" s="3741"/>
      <c r="R87" s="3741"/>
      <c r="S87" s="3741"/>
      <c r="T87" s="3741"/>
      <c r="U87" s="3741"/>
      <c r="V87" s="3741"/>
      <c r="W87" s="3741"/>
      <c r="X87" s="3741"/>
      <c r="Y87" s="3741"/>
      <c r="Z87" s="3741"/>
      <c r="AA87" s="3741"/>
      <c r="AB87" s="3741"/>
      <c r="AC87" s="3741"/>
      <c r="AD87" s="3741" t="s">
        <v>168</v>
      </c>
      <c r="AE87" s="3741"/>
      <c r="AF87" s="3742"/>
      <c r="AG87" s="3743">
        <f t="shared" si="10"/>
        <v>0</v>
      </c>
    </row>
    <row r="88" spans="1:33" s="3744" customFormat="1" ht="18">
      <c r="A88" s="3669"/>
      <c r="B88" s="3737">
        <f t="shared" si="11"/>
        <v>84</v>
      </c>
      <c r="C88" s="3738"/>
      <c r="D88" s="3671"/>
      <c r="E88" s="3739"/>
      <c r="F88" s="3740"/>
      <c r="G88" s="3741"/>
      <c r="H88" s="3741"/>
      <c r="I88" s="3741"/>
      <c r="J88" s="3741"/>
      <c r="K88" s="3741"/>
      <c r="L88" s="3741"/>
      <c r="M88" s="3741"/>
      <c r="N88" s="3741"/>
      <c r="O88" s="3741"/>
      <c r="P88" s="3741"/>
      <c r="Q88" s="3741"/>
      <c r="R88" s="3741"/>
      <c r="S88" s="3741"/>
      <c r="T88" s="3741"/>
      <c r="U88" s="3741"/>
      <c r="V88" s="3741"/>
      <c r="W88" s="3741"/>
      <c r="X88" s="3741"/>
      <c r="Y88" s="3741"/>
      <c r="Z88" s="3741"/>
      <c r="AA88" s="3741"/>
      <c r="AB88" s="3741"/>
      <c r="AC88" s="3741"/>
      <c r="AD88" s="3741" t="s">
        <v>168</v>
      </c>
      <c r="AE88" s="3741" t="s">
        <v>168</v>
      </c>
      <c r="AF88" s="3742"/>
      <c r="AG88" s="3743">
        <f t="shared" si="10"/>
        <v>0</v>
      </c>
    </row>
    <row r="89" spans="1:33" s="3744" customFormat="1" ht="18">
      <c r="A89" s="3669"/>
      <c r="B89" s="3737">
        <f t="shared" si="11"/>
        <v>85</v>
      </c>
      <c r="C89" s="3745"/>
      <c r="D89" s="3671"/>
      <c r="E89" s="3739"/>
      <c r="F89" s="3740"/>
      <c r="G89" s="3741"/>
      <c r="H89" s="3741"/>
      <c r="I89" s="3741"/>
      <c r="J89" s="3741"/>
      <c r="K89" s="3741"/>
      <c r="L89" s="3741"/>
      <c r="M89" s="3741"/>
      <c r="N89" s="3741"/>
      <c r="O89" s="3741"/>
      <c r="P89" s="3741" t="s">
        <v>168</v>
      </c>
      <c r="Q89" s="3741"/>
      <c r="R89" s="3741"/>
      <c r="S89" s="3741"/>
      <c r="T89" s="3741"/>
      <c r="U89" s="3741"/>
      <c r="V89" s="3741"/>
      <c r="W89" s="3741"/>
      <c r="X89" s="3741"/>
      <c r="Y89" s="3741"/>
      <c r="Z89" s="3741"/>
      <c r="AA89" s="3741"/>
      <c r="AB89" s="3741"/>
      <c r="AC89" s="3741"/>
      <c r="AD89" s="3741" t="s">
        <v>168</v>
      </c>
      <c r="AE89" s="3741"/>
      <c r="AF89" s="3742"/>
      <c r="AG89" s="3743">
        <f t="shared" si="10"/>
        <v>0</v>
      </c>
    </row>
    <row r="90" spans="1:33" s="3744" customFormat="1" ht="18">
      <c r="A90" s="3669"/>
      <c r="B90" s="3737">
        <f t="shared" si="11"/>
        <v>86</v>
      </c>
      <c r="C90" s="3745"/>
      <c r="D90" s="3671"/>
      <c r="E90" s="3739"/>
      <c r="F90" s="3740"/>
      <c r="G90" s="3741"/>
      <c r="H90" s="3741"/>
      <c r="I90" s="3741"/>
      <c r="J90" s="3741"/>
      <c r="K90" s="3741"/>
      <c r="L90" s="3741"/>
      <c r="M90" s="3741"/>
      <c r="N90" s="3741"/>
      <c r="O90" s="3741"/>
      <c r="P90" s="3741"/>
      <c r="Q90" s="3741"/>
      <c r="R90" s="3741"/>
      <c r="S90" s="3741"/>
      <c r="T90" s="3741"/>
      <c r="U90" s="3741"/>
      <c r="V90" s="3741"/>
      <c r="W90" s="3741"/>
      <c r="X90" s="3741"/>
      <c r="Y90" s="3741"/>
      <c r="Z90" s="3741"/>
      <c r="AA90" s="3741"/>
      <c r="AB90" s="3741"/>
      <c r="AC90" s="3741"/>
      <c r="AD90" s="3741" t="s">
        <v>168</v>
      </c>
      <c r="AE90" s="3741"/>
      <c r="AF90" s="3742"/>
      <c r="AG90" s="3743">
        <f t="shared" si="10"/>
        <v>0</v>
      </c>
    </row>
    <row r="91" spans="1:33" s="3744" customFormat="1" ht="18">
      <c r="A91" s="3669"/>
      <c r="B91" s="3737">
        <f t="shared" si="11"/>
        <v>87</v>
      </c>
      <c r="C91" s="3745"/>
      <c r="D91" s="3671"/>
      <c r="E91" s="3739"/>
      <c r="F91" s="3740"/>
      <c r="G91" s="3741"/>
      <c r="H91" s="3741"/>
      <c r="I91" s="3741"/>
      <c r="J91" s="3741"/>
      <c r="K91" s="3741"/>
      <c r="L91" s="3741"/>
      <c r="M91" s="3741"/>
      <c r="N91" s="3741"/>
      <c r="O91" s="3741"/>
      <c r="P91" s="3741"/>
      <c r="Q91" s="3741"/>
      <c r="R91" s="3741"/>
      <c r="S91" s="3741"/>
      <c r="T91" s="3741"/>
      <c r="U91" s="3741"/>
      <c r="V91" s="3741"/>
      <c r="W91" s="3741"/>
      <c r="X91" s="3741"/>
      <c r="Y91" s="3741"/>
      <c r="Z91" s="3741"/>
      <c r="AA91" s="3741"/>
      <c r="AB91" s="3741"/>
      <c r="AC91" s="3741"/>
      <c r="AD91" s="3741" t="s">
        <v>168</v>
      </c>
      <c r="AE91" s="3741"/>
      <c r="AF91" s="3742"/>
      <c r="AG91" s="3743">
        <f t="shared" si="10"/>
        <v>0</v>
      </c>
    </row>
    <row r="92" spans="1:33" s="3744" customFormat="1" ht="18">
      <c r="A92" s="3669"/>
      <c r="B92" s="3737">
        <f t="shared" si="11"/>
        <v>88</v>
      </c>
      <c r="C92" s="3745"/>
      <c r="D92" s="3671"/>
      <c r="E92" s="3739"/>
      <c r="F92" s="3740"/>
      <c r="G92" s="3741"/>
      <c r="H92" s="3741"/>
      <c r="I92" s="3741"/>
      <c r="J92" s="3741"/>
      <c r="K92" s="3741"/>
      <c r="L92" s="3741"/>
      <c r="M92" s="3741"/>
      <c r="N92" s="3741"/>
      <c r="O92" s="3741"/>
      <c r="P92" s="3741"/>
      <c r="Q92" s="3741"/>
      <c r="R92" s="3741"/>
      <c r="S92" s="3741"/>
      <c r="T92" s="3741"/>
      <c r="U92" s="3741"/>
      <c r="V92" s="3741"/>
      <c r="W92" s="3741"/>
      <c r="X92" s="3741"/>
      <c r="Y92" s="3741"/>
      <c r="Z92" s="3741"/>
      <c r="AA92" s="3741"/>
      <c r="AB92" s="3741"/>
      <c r="AC92" s="3741"/>
      <c r="AD92" s="3741" t="s">
        <v>168</v>
      </c>
      <c r="AE92" s="3741"/>
      <c r="AF92" s="3742"/>
      <c r="AG92" s="3743">
        <f t="shared" si="10"/>
        <v>0</v>
      </c>
    </row>
    <row r="93" spans="1:33" s="3744" customFormat="1" ht="18">
      <c r="A93" s="3669"/>
      <c r="B93" s="3737">
        <f t="shared" si="11"/>
        <v>89</v>
      </c>
      <c r="C93" s="3746"/>
      <c r="D93" s="3671"/>
      <c r="E93" s="3747"/>
      <c r="F93" s="3748"/>
      <c r="G93" s="3749"/>
      <c r="H93" s="3749"/>
      <c r="I93" s="3749"/>
      <c r="J93" s="3749"/>
      <c r="K93" s="3749"/>
      <c r="L93" s="3749"/>
      <c r="M93" s="3749"/>
      <c r="N93" s="3749"/>
      <c r="O93" s="3749"/>
      <c r="P93" s="3749"/>
      <c r="Q93" s="3749"/>
      <c r="R93" s="3749"/>
      <c r="S93" s="3749"/>
      <c r="T93" s="3749"/>
      <c r="U93" s="3749"/>
      <c r="V93" s="3749"/>
      <c r="W93" s="3749"/>
      <c r="X93" s="3749"/>
      <c r="Y93" s="3749"/>
      <c r="Z93" s="3749"/>
      <c r="AA93" s="3749"/>
      <c r="AB93" s="3749"/>
      <c r="AC93" s="3749"/>
      <c r="AD93" s="3749" t="s">
        <v>168</v>
      </c>
      <c r="AE93" s="3749"/>
      <c r="AF93" s="3750"/>
      <c r="AG93" s="3743">
        <f t="shared" si="10"/>
        <v>0</v>
      </c>
    </row>
    <row r="94" spans="1:33" s="3744" customFormat="1" ht="18">
      <c r="A94" s="3669"/>
      <c r="B94" s="3737">
        <f t="shared" si="11"/>
        <v>90</v>
      </c>
      <c r="C94" s="3751"/>
      <c r="D94" s="3671"/>
      <c r="E94" s="3752"/>
      <c r="F94" s="3753"/>
      <c r="G94" s="3749"/>
      <c r="H94" s="3749"/>
      <c r="I94" s="3749"/>
      <c r="J94" s="3749"/>
      <c r="K94" s="3749"/>
      <c r="L94" s="3749"/>
      <c r="M94" s="3749"/>
      <c r="N94" s="3749"/>
      <c r="O94" s="3749"/>
      <c r="P94" s="3749"/>
      <c r="Q94" s="3749"/>
      <c r="R94" s="3749"/>
      <c r="S94" s="3749"/>
      <c r="T94" s="3749"/>
      <c r="U94" s="3749"/>
      <c r="V94" s="3749"/>
      <c r="W94" s="3749"/>
      <c r="X94" s="3749"/>
      <c r="Y94" s="3749"/>
      <c r="Z94" s="3749"/>
      <c r="AA94" s="3749"/>
      <c r="AB94" s="3749"/>
      <c r="AC94" s="3749"/>
      <c r="AD94" s="3749" t="s">
        <v>168</v>
      </c>
      <c r="AE94" s="3749"/>
      <c r="AF94" s="3750"/>
      <c r="AG94" s="3743">
        <f t="shared" si="10"/>
        <v>0</v>
      </c>
    </row>
    <row r="95" spans="1:33" ht="18">
      <c r="B95" s="2136">
        <f t="shared" si="11"/>
        <v>91</v>
      </c>
      <c r="C95" s="3655"/>
      <c r="D95" s="3655"/>
      <c r="E95" s="3655"/>
      <c r="F95" s="3727"/>
      <c r="G95" s="603"/>
      <c r="H95" s="603"/>
      <c r="I95" s="603"/>
      <c r="J95" s="603"/>
      <c r="K95" s="603"/>
      <c r="L95" s="603"/>
      <c r="M95" s="603"/>
      <c r="N95" s="603"/>
      <c r="O95" s="603"/>
      <c r="P95" s="603"/>
      <c r="Q95" s="603"/>
      <c r="R95" s="603"/>
      <c r="S95" s="603"/>
      <c r="T95" s="603"/>
      <c r="U95" s="603"/>
      <c r="V95" s="603"/>
      <c r="W95" s="603"/>
      <c r="X95" s="603"/>
      <c r="Y95" s="603"/>
      <c r="Z95" s="603"/>
      <c r="AA95" s="603"/>
      <c r="AB95" s="603"/>
      <c r="AC95" s="603"/>
      <c r="AD95" s="603" t="s">
        <v>168</v>
      </c>
      <c r="AE95" s="603"/>
      <c r="AF95" s="602"/>
      <c r="AG95" s="2121">
        <f t="shared" si="10"/>
        <v>0</v>
      </c>
    </row>
    <row r="96" spans="1:33" ht="18">
      <c r="B96" s="2136">
        <f t="shared" si="11"/>
        <v>92</v>
      </c>
      <c r="C96" s="3655"/>
      <c r="D96" s="3655"/>
      <c r="E96" s="3655"/>
      <c r="F96" s="3727"/>
      <c r="G96" s="603"/>
      <c r="H96" s="603"/>
      <c r="I96" s="603"/>
      <c r="J96" s="603"/>
      <c r="K96" s="603"/>
      <c r="L96" s="603"/>
      <c r="M96" s="603"/>
      <c r="N96" s="603"/>
      <c r="O96" s="603"/>
      <c r="P96" s="603"/>
      <c r="Q96" s="603"/>
      <c r="R96" s="603"/>
      <c r="S96" s="603"/>
      <c r="T96" s="603"/>
      <c r="U96" s="603"/>
      <c r="V96" s="603"/>
      <c r="W96" s="603"/>
      <c r="X96" s="603"/>
      <c r="Y96" s="603"/>
      <c r="Z96" s="603"/>
      <c r="AA96" s="603"/>
      <c r="AB96" s="603"/>
      <c r="AC96" s="603"/>
      <c r="AD96" s="603" t="s">
        <v>168</v>
      </c>
      <c r="AE96" s="603"/>
      <c r="AF96" s="602"/>
      <c r="AG96" s="2121">
        <f t="shared" si="10"/>
        <v>0</v>
      </c>
    </row>
    <row r="97" spans="2:33" ht="18">
      <c r="B97" s="2136">
        <f t="shared" si="11"/>
        <v>93</v>
      </c>
      <c r="C97" s="3655"/>
      <c r="D97" s="3655"/>
      <c r="E97" s="3655"/>
      <c r="F97" s="3727"/>
      <c r="G97" s="603"/>
      <c r="H97" s="603"/>
      <c r="I97" s="603"/>
      <c r="J97" s="603"/>
      <c r="K97" s="603"/>
      <c r="L97" s="603"/>
      <c r="M97" s="603"/>
      <c r="N97" s="603"/>
      <c r="O97" s="603"/>
      <c r="P97" s="603"/>
      <c r="Q97" s="603"/>
      <c r="R97" s="603"/>
      <c r="S97" s="603"/>
      <c r="T97" s="603"/>
      <c r="U97" s="603"/>
      <c r="V97" s="603"/>
      <c r="W97" s="603"/>
      <c r="X97" s="603"/>
      <c r="Y97" s="603"/>
      <c r="Z97" s="603"/>
      <c r="AA97" s="603"/>
      <c r="AB97" s="603"/>
      <c r="AC97" s="603"/>
      <c r="AD97" s="603" t="s">
        <v>168</v>
      </c>
      <c r="AE97" s="603"/>
      <c r="AF97" s="602"/>
      <c r="AG97" s="2121">
        <f t="shared" si="10"/>
        <v>0</v>
      </c>
    </row>
    <row r="98" spans="2:33" ht="18">
      <c r="B98" s="2136">
        <f t="shared" si="11"/>
        <v>94</v>
      </c>
      <c r="C98" s="3655"/>
      <c r="D98" s="3655"/>
      <c r="E98" s="3655"/>
      <c r="F98" s="3727"/>
      <c r="G98" s="603"/>
      <c r="H98" s="603"/>
      <c r="I98" s="603"/>
      <c r="J98" s="603"/>
      <c r="K98" s="603"/>
      <c r="L98" s="603"/>
      <c r="M98" s="603"/>
      <c r="N98" s="603"/>
      <c r="O98" s="603"/>
      <c r="P98" s="603"/>
      <c r="Q98" s="603"/>
      <c r="R98" s="603"/>
      <c r="S98" s="603"/>
      <c r="T98" s="603"/>
      <c r="U98" s="603"/>
      <c r="V98" s="603"/>
      <c r="W98" s="603"/>
      <c r="X98" s="603"/>
      <c r="Y98" s="603"/>
      <c r="Z98" s="603"/>
      <c r="AA98" s="603"/>
      <c r="AB98" s="603"/>
      <c r="AC98" s="603"/>
      <c r="AD98" s="603" t="s">
        <v>168</v>
      </c>
      <c r="AE98" s="603"/>
      <c r="AF98" s="602"/>
      <c r="AG98" s="2121">
        <f t="shared" si="10"/>
        <v>0</v>
      </c>
    </row>
    <row r="99" spans="2:33" ht="18">
      <c r="B99" s="2136">
        <f t="shared" si="11"/>
        <v>95</v>
      </c>
      <c r="C99" s="3655"/>
      <c r="D99" s="3655"/>
      <c r="E99" s="3655"/>
      <c r="F99" s="3727"/>
      <c r="G99" s="603"/>
      <c r="H99" s="603"/>
      <c r="I99" s="603"/>
      <c r="J99" s="603"/>
      <c r="K99" s="603"/>
      <c r="L99" s="603"/>
      <c r="M99" s="603"/>
      <c r="N99" s="603"/>
      <c r="O99" s="603"/>
      <c r="P99" s="603"/>
      <c r="Q99" s="603"/>
      <c r="R99" s="603"/>
      <c r="S99" s="603"/>
      <c r="T99" s="603"/>
      <c r="U99" s="603"/>
      <c r="V99" s="603"/>
      <c r="W99" s="603"/>
      <c r="X99" s="603"/>
      <c r="Y99" s="603"/>
      <c r="Z99" s="603"/>
      <c r="AA99" s="603"/>
      <c r="AB99" s="603"/>
      <c r="AC99" s="603"/>
      <c r="AD99" s="603" t="s">
        <v>168</v>
      </c>
      <c r="AE99" s="603"/>
      <c r="AF99" s="602"/>
      <c r="AG99" s="2121">
        <f t="shared" si="10"/>
        <v>0</v>
      </c>
    </row>
    <row r="100" spans="2:33" ht="18">
      <c r="B100" s="2136">
        <f t="shared" si="11"/>
        <v>96</v>
      </c>
      <c r="C100" s="3655"/>
      <c r="D100" s="3655"/>
      <c r="E100" s="3655"/>
      <c r="F100" s="3727"/>
      <c r="G100" s="603"/>
      <c r="H100" s="603"/>
      <c r="I100" s="603"/>
      <c r="J100" s="603"/>
      <c r="K100" s="603"/>
      <c r="L100" s="603"/>
      <c r="M100" s="603"/>
      <c r="N100" s="603"/>
      <c r="O100" s="603"/>
      <c r="P100" s="603"/>
      <c r="Q100" s="603"/>
      <c r="R100" s="603"/>
      <c r="S100" s="603"/>
      <c r="T100" s="603"/>
      <c r="U100" s="603"/>
      <c r="V100" s="603"/>
      <c r="W100" s="603"/>
      <c r="X100" s="603"/>
      <c r="Y100" s="603"/>
      <c r="Z100" s="603"/>
      <c r="AA100" s="603"/>
      <c r="AB100" s="603"/>
      <c r="AC100" s="603"/>
      <c r="AD100" s="603" t="s">
        <v>168</v>
      </c>
      <c r="AE100" s="603"/>
      <c r="AF100" s="602"/>
      <c r="AG100" s="2121">
        <f t="shared" si="10"/>
        <v>0</v>
      </c>
    </row>
    <row r="101" spans="2:33" ht="18">
      <c r="B101" s="2136">
        <f t="shared" si="11"/>
        <v>97</v>
      </c>
      <c r="C101" s="3655"/>
      <c r="D101" s="3655"/>
      <c r="E101" s="3655"/>
      <c r="F101" s="3727"/>
      <c r="G101" s="603"/>
      <c r="H101" s="603"/>
      <c r="I101" s="603"/>
      <c r="J101" s="603"/>
      <c r="K101" s="603"/>
      <c r="L101" s="603"/>
      <c r="M101" s="603"/>
      <c r="N101" s="603"/>
      <c r="O101" s="603"/>
      <c r="P101" s="603"/>
      <c r="Q101" s="603"/>
      <c r="R101" s="603"/>
      <c r="S101" s="603"/>
      <c r="T101" s="603"/>
      <c r="U101" s="603"/>
      <c r="V101" s="603"/>
      <c r="W101" s="603"/>
      <c r="X101" s="603"/>
      <c r="Y101" s="603"/>
      <c r="Z101" s="603"/>
      <c r="AA101" s="603"/>
      <c r="AB101" s="603"/>
      <c r="AC101" s="603"/>
      <c r="AD101" s="603" t="s">
        <v>168</v>
      </c>
      <c r="AE101" s="603"/>
      <c r="AF101" s="602"/>
      <c r="AG101" s="2121">
        <f t="shared" si="10"/>
        <v>0</v>
      </c>
    </row>
    <row r="102" spans="2:33" ht="18">
      <c r="B102" s="2136">
        <f t="shared" si="11"/>
        <v>98</v>
      </c>
      <c r="C102" s="3655"/>
      <c r="D102" s="3655"/>
      <c r="E102" s="3655"/>
      <c r="F102" s="3727"/>
      <c r="G102" s="603"/>
      <c r="H102" s="603"/>
      <c r="I102" s="603"/>
      <c r="J102" s="603"/>
      <c r="K102" s="603"/>
      <c r="L102" s="603"/>
      <c r="M102" s="603"/>
      <c r="N102" s="603"/>
      <c r="O102" s="603"/>
      <c r="P102" s="603"/>
      <c r="Q102" s="603"/>
      <c r="R102" s="603"/>
      <c r="S102" s="603"/>
      <c r="T102" s="603"/>
      <c r="U102" s="603"/>
      <c r="V102" s="603"/>
      <c r="W102" s="603"/>
      <c r="X102" s="603"/>
      <c r="Y102" s="603"/>
      <c r="Z102" s="603"/>
      <c r="AA102" s="603"/>
      <c r="AB102" s="603"/>
      <c r="AC102" s="603"/>
      <c r="AD102" s="603" t="s">
        <v>168</v>
      </c>
      <c r="AE102" s="603"/>
      <c r="AF102" s="602"/>
      <c r="AG102" s="2121">
        <f t="shared" si="10"/>
        <v>0</v>
      </c>
    </row>
    <row r="103" spans="2:33" ht="18.75" thickBot="1">
      <c r="B103" s="3697">
        <f t="shared" si="11"/>
        <v>99</v>
      </c>
      <c r="C103" s="3698"/>
      <c r="D103" s="3699"/>
      <c r="E103" s="3726"/>
      <c r="F103" s="3728"/>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t="s">
        <v>168</v>
      </c>
      <c r="AE103" s="594"/>
      <c r="AF103" s="593"/>
      <c r="AG103" s="2121">
        <f t="shared" si="10"/>
        <v>0</v>
      </c>
    </row>
    <row r="104" spans="2:33">
      <c r="B104" s="3701" t="s">
        <v>2129</v>
      </c>
    </row>
    <row r="105" spans="2:33">
      <c r="B105" s="3702"/>
      <c r="C105" s="2130"/>
      <c r="D105" s="2120"/>
    </row>
    <row r="106" spans="2:33">
      <c r="C106" s="601" t="s">
        <v>592</v>
      </c>
      <c r="D106" s="2120"/>
    </row>
    <row r="107" spans="2:33">
      <c r="B107" s="600"/>
      <c r="C107" s="600"/>
      <c r="D107" s="600"/>
      <c r="E107" s="600"/>
      <c r="F107" s="600">
        <f>COLUMNS(F$107:$AG107)</f>
        <v>28</v>
      </c>
      <c r="G107" s="600">
        <f>COLUMNS(G$107:$AG107)</f>
        <v>27</v>
      </c>
      <c r="H107" s="600">
        <f>COLUMNS(H$107:$AG107)</f>
        <v>26</v>
      </c>
      <c r="I107" s="600">
        <f>COLUMNS(I$107:$AG107)</f>
        <v>25</v>
      </c>
      <c r="J107" s="600">
        <f>COLUMNS(J$107:$AG107)</f>
        <v>24</v>
      </c>
      <c r="K107" s="600">
        <f>COLUMNS(K$107:$AG107)</f>
        <v>23</v>
      </c>
      <c r="L107" s="600">
        <f>COLUMNS(L$107:$AG107)</f>
        <v>22</v>
      </c>
      <c r="M107" s="600">
        <f>COLUMNS(M$107:$AG107)</f>
        <v>21</v>
      </c>
      <c r="N107" s="600">
        <f>COLUMNS(N$107:$AG107)</f>
        <v>20</v>
      </c>
      <c r="O107" s="600">
        <f>COLUMNS(O$107:$AG107)</f>
        <v>19</v>
      </c>
      <c r="P107" s="600">
        <f>COLUMNS(P$107:$AG107)</f>
        <v>18</v>
      </c>
      <c r="Q107" s="600">
        <f>COLUMNS(Q$107:$AG107)</f>
        <v>17</v>
      </c>
      <c r="R107" s="600">
        <f>COLUMNS(R$107:$AG107)</f>
        <v>16</v>
      </c>
      <c r="S107" s="600">
        <f>COLUMNS(S$107:$AG107)</f>
        <v>15</v>
      </c>
      <c r="T107" s="600">
        <f>COLUMNS(T$107:$AG107)</f>
        <v>14</v>
      </c>
      <c r="U107" s="600">
        <f>COLUMNS(U$107:$AG107)</f>
        <v>13</v>
      </c>
      <c r="V107" s="600">
        <f>COLUMNS(V$107:$AG107)</f>
        <v>12</v>
      </c>
      <c r="W107" s="600">
        <f>COLUMNS(W$107:$AG107)</f>
        <v>11</v>
      </c>
      <c r="X107" s="600">
        <f>COLUMNS(X$107:$AG107)</f>
        <v>10</v>
      </c>
      <c r="Y107" s="600">
        <f>COLUMNS(Y$107:$AG107)</f>
        <v>9</v>
      </c>
      <c r="Z107" s="600">
        <f>COLUMNS(Z$107:$AG107)</f>
        <v>8</v>
      </c>
      <c r="AA107" s="600">
        <f>COLUMNS(AA$107:$AG107)</f>
        <v>7</v>
      </c>
      <c r="AB107" s="600">
        <f>COLUMNS(AB$107:$AG107)</f>
        <v>6</v>
      </c>
      <c r="AC107" s="600">
        <f>COLUMNS(AC$107:$AG107)</f>
        <v>5</v>
      </c>
      <c r="AD107" s="600">
        <f>COLUMNS(AD$107:$AG107)</f>
        <v>4</v>
      </c>
      <c r="AE107" s="600">
        <f>COLUMNS(AE$107:$AG107)</f>
        <v>3</v>
      </c>
      <c r="AF107" s="600">
        <f>COLUMNS(AF$107:$AG107)</f>
        <v>2</v>
      </c>
      <c r="AG107" s="600">
        <f>COLUMNS($AG$107:AG107)</f>
        <v>1</v>
      </c>
    </row>
    <row r="108" spans="2:33" ht="15.75" thickBot="1">
      <c r="C108" s="3703"/>
      <c r="D108" s="2120"/>
    </row>
    <row r="109" spans="2:33" ht="16.5" thickBot="1">
      <c r="B109" s="3646" t="s">
        <v>591</v>
      </c>
      <c r="C109" s="3647" t="s">
        <v>589</v>
      </c>
      <c r="D109" s="3648" t="s">
        <v>590</v>
      </c>
      <c r="E109" s="3649" t="s">
        <v>337</v>
      </c>
      <c r="F109" s="3649" t="str">
        <f t="shared" ref="F109:AF109" si="12">F4</f>
        <v>Wiweiz</v>
      </c>
      <c r="G109" s="3650" t="str">
        <f t="shared" si="12"/>
        <v>Dinkel</v>
      </c>
      <c r="H109" s="3650" t="str">
        <f t="shared" si="12"/>
        <v>Wirogg</v>
      </c>
      <c r="I109" s="3650" t="str">
        <f t="shared" si="12"/>
        <v>Tritic</v>
      </c>
      <c r="J109" s="3650" t="str">
        <f t="shared" si="12"/>
        <v>WiGerst</v>
      </c>
      <c r="K109" s="3650" t="str">
        <f t="shared" si="12"/>
        <v>Soweizen</v>
      </c>
      <c r="L109" s="3650" t="str">
        <f t="shared" si="12"/>
        <v>SoGerst</v>
      </c>
      <c r="M109" s="3650" t="str">
        <f t="shared" si="12"/>
        <v>BraugerstG</v>
      </c>
      <c r="N109" s="3650" t="str">
        <f t="shared" si="12"/>
        <v>Hafer</v>
      </c>
      <c r="O109" s="3650" t="str">
        <f t="shared" si="12"/>
        <v>Durum</v>
      </c>
      <c r="P109" s="3650" t="str">
        <f t="shared" si="12"/>
        <v>Einkorn</v>
      </c>
      <c r="Q109" s="3650" t="str">
        <f t="shared" si="12"/>
        <v>KöHirse</v>
      </c>
      <c r="R109" s="3650" t="str">
        <f t="shared" si="12"/>
        <v>KöMais</v>
      </c>
      <c r="S109" s="3650" t="str">
        <f t="shared" si="12"/>
        <v>WiRaps</v>
      </c>
      <c r="T109" s="3650" t="str">
        <f t="shared" si="12"/>
        <v>SoRaps</v>
      </c>
      <c r="U109" s="3650" t="str">
        <f t="shared" si="12"/>
        <v>SonnBlum</v>
      </c>
      <c r="V109" s="3650" t="str">
        <f t="shared" si="12"/>
        <v>Soja</v>
      </c>
      <c r="W109" s="3650" t="str">
        <f t="shared" si="12"/>
        <v>Öllein</v>
      </c>
      <c r="X109" s="3650" t="str">
        <f t="shared" si="12"/>
        <v>FuErbs</v>
      </c>
      <c r="Y109" s="3650" t="str">
        <f t="shared" si="12"/>
        <v>AckBohn</v>
      </c>
      <c r="Z109" s="3650" t="str">
        <f t="shared" si="12"/>
        <v>Lupinen</v>
      </c>
      <c r="AA109" s="3650" t="str">
        <f t="shared" si="12"/>
        <v>ZuRüb</v>
      </c>
      <c r="AB109" s="3650" t="str">
        <f t="shared" si="12"/>
        <v>Kart.</v>
      </c>
      <c r="AC109" s="3650" t="str">
        <f t="shared" si="12"/>
        <v>Hanf</v>
      </c>
      <c r="AD109" s="3650" t="str">
        <f t="shared" si="12"/>
        <v>KulturA</v>
      </c>
      <c r="AE109" s="3650" t="str">
        <f t="shared" si="12"/>
        <v>Legu-Gemenge</v>
      </c>
      <c r="AF109" s="3651" t="str">
        <f t="shared" si="12"/>
        <v>Mulchen</v>
      </c>
      <c r="AG109" s="3647" t="s">
        <v>589</v>
      </c>
    </row>
    <row r="110" spans="2:33" ht="18">
      <c r="B110" s="2136">
        <v>1</v>
      </c>
      <c r="C110" s="3704">
        <f t="shared" ref="C110:C173" si="13">C5</f>
        <v>0</v>
      </c>
      <c r="D110" s="3655"/>
      <c r="E110" s="3705"/>
      <c r="F110" s="3706" t="str">
        <f t="shared" ref="F110:AF110" si="14">IF(F5="x",1,"")</f>
        <v/>
      </c>
      <c r="G110" s="3707" t="str">
        <f t="shared" si="14"/>
        <v/>
      </c>
      <c r="H110" s="3707" t="str">
        <f t="shared" si="14"/>
        <v/>
      </c>
      <c r="I110" s="3707" t="str">
        <f t="shared" si="14"/>
        <v/>
      </c>
      <c r="J110" s="3707" t="str">
        <f t="shared" si="14"/>
        <v/>
      </c>
      <c r="K110" s="3707" t="str">
        <f t="shared" si="14"/>
        <v/>
      </c>
      <c r="L110" s="3707" t="str">
        <f t="shared" si="14"/>
        <v/>
      </c>
      <c r="M110" s="3707" t="str">
        <f t="shared" si="14"/>
        <v/>
      </c>
      <c r="N110" s="3707" t="str">
        <f t="shared" si="14"/>
        <v/>
      </c>
      <c r="O110" s="3707" t="str">
        <f t="shared" si="14"/>
        <v/>
      </c>
      <c r="P110" s="3707" t="str">
        <f t="shared" si="14"/>
        <v/>
      </c>
      <c r="Q110" s="3707" t="str">
        <f t="shared" si="14"/>
        <v/>
      </c>
      <c r="R110" s="3707" t="str">
        <f t="shared" si="14"/>
        <v/>
      </c>
      <c r="S110" s="3707" t="str">
        <f t="shared" si="14"/>
        <v/>
      </c>
      <c r="T110" s="3707" t="str">
        <f t="shared" si="14"/>
        <v/>
      </c>
      <c r="U110" s="3707" t="str">
        <f t="shared" si="14"/>
        <v/>
      </c>
      <c r="V110" s="3707" t="str">
        <f t="shared" si="14"/>
        <v/>
      </c>
      <c r="W110" s="3707" t="str">
        <f t="shared" si="14"/>
        <v/>
      </c>
      <c r="X110" s="3707" t="str">
        <f t="shared" si="14"/>
        <v/>
      </c>
      <c r="Y110" s="3707" t="str">
        <f t="shared" si="14"/>
        <v/>
      </c>
      <c r="Z110" s="3707" t="str">
        <f t="shared" si="14"/>
        <v/>
      </c>
      <c r="AA110" s="3707" t="str">
        <f t="shared" si="14"/>
        <v/>
      </c>
      <c r="AB110" s="3707" t="str">
        <f t="shared" si="14"/>
        <v/>
      </c>
      <c r="AC110" s="3707" t="str">
        <f t="shared" si="14"/>
        <v/>
      </c>
      <c r="AD110" s="3707" t="str">
        <f t="shared" si="14"/>
        <v/>
      </c>
      <c r="AE110" s="3707" t="str">
        <f t="shared" si="14"/>
        <v/>
      </c>
      <c r="AF110" s="3708" t="str">
        <f t="shared" si="14"/>
        <v/>
      </c>
      <c r="AG110" s="2120">
        <f t="shared" ref="AG110:AG173" si="15">C110</f>
        <v>0</v>
      </c>
    </row>
    <row r="111" spans="2:33" ht="18">
      <c r="B111" s="2136">
        <f t="shared" ref="B111:B174" si="16">B110+1</f>
        <v>2</v>
      </c>
      <c r="C111" s="3654" t="str">
        <f t="shared" si="13"/>
        <v>Arrat + Dash</v>
      </c>
      <c r="D111" s="3655"/>
      <c r="E111" s="3709"/>
      <c r="F111" s="3706" t="str">
        <f>IF(((COUNTIF($F$5:$F6,"x"))-(COUNTIF($F5:$F$5,"x")))=0,"",COUNTIF($F$5:$F6,"x"))</f>
        <v/>
      </c>
      <c r="G111" s="3707" t="str">
        <f>IF(((COUNTIF($G$5:$G6,"x"))-(COUNTIF($G5:$G$5,"x")))=0,"",COUNTIF($G$5:$G6,"x"))</f>
        <v/>
      </c>
      <c r="H111" s="3707" t="str">
        <f>IF(((COUNTIF($H$5:$H6,"x"))-(COUNTIF($H$5:$H5,"x")))=0,"",COUNTIF($H$5:$H6,"x"))</f>
        <v/>
      </c>
      <c r="I111" s="3707" t="str">
        <f>IF(((COUNTIF($I$5:I6,"x"))-(COUNTIF($I$5:I5,"x")))=0,"",COUNTIF($I$5:I6,"x"))</f>
        <v/>
      </c>
      <c r="J111" s="3707" t="str">
        <f>IF(((COUNTIF($J$5:J6,"x"))-(COUNTIF($J$5:J5,"x")))=0,"",COUNTIF($J$5:J6,"x"))</f>
        <v/>
      </c>
      <c r="K111" s="3707" t="str">
        <f>IF(((COUNTIF($K$5:K6,"x"))-(COUNTIF($K$5:K5,"x")))=0,"",COUNTIF($K$5:K6,"x"))</f>
        <v/>
      </c>
      <c r="L111" s="3707" t="str">
        <f>IF(((COUNTIF($L$5:L6,"x"))-(COUNTIF($L$5:L5,"x")))=0,"",COUNTIF($L$5:L6,"x"))</f>
        <v/>
      </c>
      <c r="M111" s="3707" t="str">
        <f>IF(((COUNTIF($M$5:M6,"x"))-(COUNTIF($M$5:M5,"x")))=0,"",COUNTIF($M$5:M6,"x"))</f>
        <v/>
      </c>
      <c r="N111" s="3707" t="str">
        <f>IF(((COUNTIF($N$5:N6,"x"))-(COUNTIF($N$5:N5,"x")))=0,"",COUNTIF($N$5:N6,"x"))</f>
        <v/>
      </c>
      <c r="O111" s="3707" t="str">
        <f>IF(((COUNTIF($O$5:O6,"x"))-(COUNTIF($O$5:O5,"x")))=0,"",COUNTIF($O$5:O6,"x"))</f>
        <v/>
      </c>
      <c r="P111" s="3707">
        <f>IF(((COUNTIF($P$5:P6,"x"))-(COUNTIF($P$5:P5,"x")))=0,"",COUNTIF($P$5:P6,"x"))</f>
        <v>1</v>
      </c>
      <c r="Q111" s="3707">
        <f>IF(((COUNTIF($Q$5:Q6,"x"))-(COUNTIF($Q$5:Q5,"x")))=0,"",COUNTIF($Q$5:Q6,"x"))</f>
        <v>1</v>
      </c>
      <c r="R111" s="3707">
        <f>IF(((COUNTIF($R$5:R6,"x"))-(COUNTIF($R$5:R5,"x")))=0,"",COUNTIF($R$5:R6,"x"))</f>
        <v>1</v>
      </c>
      <c r="S111" s="3707" t="str">
        <f>IF(((COUNTIF($S$5:S6,"x"))-(COUNTIF($S$5:S5,"x")))=0,"",COUNTIF($S$5:S6,"x"))</f>
        <v/>
      </c>
      <c r="T111" s="3707" t="str">
        <f>IF(((COUNTIF($T$5:T6,"x"))-(COUNTIF($T$5:T5,"x")))=0,"",COUNTIF($T$5:T6,"x"))</f>
        <v/>
      </c>
      <c r="U111" s="3707" t="str">
        <f>IF(((COUNTIF($U$5:U6,"x"))-(COUNTIF($U$5:U5,"x")))=0,"",COUNTIF($U$5:U6,"x"))</f>
        <v/>
      </c>
      <c r="V111" s="3707" t="str">
        <f>IF(((COUNTIF($V$5:V6,"x"))-(COUNTIF($V$5:V5,"x")))=0,"",COUNTIF($V$5:V6,"x"))</f>
        <v/>
      </c>
      <c r="W111" s="3707" t="str">
        <f>IF(((COUNTIF($W$5:W6,"x"))-(COUNTIF($W$5:W5,"x")))=0,"",COUNTIF($W$5:W6,"x"))</f>
        <v/>
      </c>
      <c r="X111" s="3707" t="str">
        <f>IF(((COUNTIF($X$5:X6,"x"))-(COUNTIF($X$5:X5,"x")))=0,"",COUNTIF($X$5:X6,"x"))</f>
        <v/>
      </c>
      <c r="Y111" s="3707" t="str">
        <f>IF(((COUNTIF($Y$5:Y6,"x"))-(COUNTIF($Y$5:Y5,"x")))=0,"",COUNTIF($Y$5:Y6,"x"))</f>
        <v/>
      </c>
      <c r="Z111" s="3707" t="str">
        <f>IF(((COUNTIF($Z$5:Z6,"x"))-(COUNTIF($Z$5:Z5,"x")))=0,"",COUNTIF($Z$5:Z6,"x"))</f>
        <v/>
      </c>
      <c r="AA111" s="3707" t="str">
        <f>IF(((COUNTIF($AA$5:AA6,"x"))-(COUNTIF($AA$5:AA5,"x")))=0,"",COUNTIF($AA$5:AA6,"x"))</f>
        <v/>
      </c>
      <c r="AB111" s="3707" t="str">
        <f>IF(((COUNTIF($AB$5:AB6,"x"))-(COUNTIF($AB$5:AB5,"x")))=0,"",COUNTIF($AB$5:AB6,"x"))</f>
        <v/>
      </c>
      <c r="AC111" s="3707" t="str">
        <f>IF(((COUNTIF($AC$5:AC6,"x"))-(COUNTIF($AC$5:AC5,"x")))=0,"",COUNTIF($AC$5:AC6,"x"))</f>
        <v/>
      </c>
      <c r="AD111" s="3707">
        <f>IF(((COUNTIF($AD$5:AD6,"x"))-(COUNTIF($AD$5:AD5,"x")))=0,"",COUNTIF($AD$5:AD6,"x"))</f>
        <v>1</v>
      </c>
      <c r="AE111" s="3707" t="str">
        <f>IF(((COUNTIF($AE$5:AE6,"x"))-(COUNTIF($AE$5:AE5,"x")))=0,"",COUNTIF($AE$5:AE6,"x"))</f>
        <v/>
      </c>
      <c r="AF111" s="3707" t="str">
        <f>IF(((COUNTIF($AF$5:AF6,"x"))-(COUNTIF($AF$5:AF5,"x")))=0,"",COUNTIF($AF$5:AF6,"x"))</f>
        <v/>
      </c>
      <c r="AG111" s="2120" t="str">
        <f t="shared" si="15"/>
        <v>Arrat + Dash</v>
      </c>
    </row>
    <row r="112" spans="2:33" ht="18">
      <c r="B112" s="2136">
        <f t="shared" si="16"/>
        <v>3</v>
      </c>
      <c r="C112" s="3704" t="str">
        <f t="shared" si="13"/>
        <v>Agil-S</v>
      </c>
      <c r="D112" s="3655"/>
      <c r="E112" s="3705"/>
      <c r="F112" s="3706" t="str">
        <f>IF(((COUNTIF($F$5:$F7,"x"))-(COUNTIF($F$5:$F6,"x")))=0,"",COUNTIF($F$5:$F7,"x"))</f>
        <v/>
      </c>
      <c r="G112" s="3707" t="str">
        <f>IF(((COUNTIF($G$5:$G7,"x"))-(COUNTIF($G$5:$G6,"x")))=0,"",COUNTIF($G$5:$G7,"x"))</f>
        <v/>
      </c>
      <c r="H112" s="3707" t="str">
        <f>IF(((COUNTIF($H$5:$H7,"x"))-(COUNTIF($H$5:$H6,"x")))=0,"",COUNTIF($H$5:$H7,"x"))</f>
        <v/>
      </c>
      <c r="I112" s="3707" t="str">
        <f>IF(((COUNTIF($I$5:I7,"x"))-(COUNTIF($I$5:I6,"x")))=0,"",COUNTIF($I$5:I7,"x"))</f>
        <v/>
      </c>
      <c r="J112" s="3707" t="str">
        <f>IF(((COUNTIF($J$5:J7,"x"))-(COUNTIF($J$5:J6,"x")))=0,"",COUNTIF($J$5:J7,"x"))</f>
        <v/>
      </c>
      <c r="K112" s="3707" t="str">
        <f>IF(((COUNTIF($K$5:K7,"x"))-(COUNTIF($K$5:K6,"x")))=0,"",COUNTIF($K$5:K7,"x"))</f>
        <v/>
      </c>
      <c r="L112" s="3707" t="str">
        <f>IF(((COUNTIF($L$5:L7,"x"))-(COUNTIF($L$5:L6,"x")))=0,"",COUNTIF($L$5:L7,"x"))</f>
        <v/>
      </c>
      <c r="M112" s="3707" t="str">
        <f>IF(((COUNTIF($M$5:M7,"x"))-(COUNTIF($M$5:M6,"x")))=0,"",COUNTIF($M$5:M7,"x"))</f>
        <v/>
      </c>
      <c r="N112" s="3707" t="str">
        <f>IF(((COUNTIF($N$5:N7,"x"))-(COUNTIF($N$5:N6,"x")))=0,"",COUNTIF($N$5:N7,"x"))</f>
        <v/>
      </c>
      <c r="O112" s="3707" t="str">
        <f>IF(((COUNTIF($O$5:O7,"x"))-(COUNTIF($O$5:O6,"x")))=0,"",COUNTIF($O$5:O7,"x"))</f>
        <v/>
      </c>
      <c r="P112" s="3707" t="str">
        <f>IF(((COUNTIF($P$5:P7,"x"))-(COUNTIF($P$5:P6,"x")))=0,"",COUNTIF($P$5:P7,"x"))</f>
        <v/>
      </c>
      <c r="Q112" s="3707" t="str">
        <f>IF(((COUNTIF($Q$5:Q7,"x"))-(COUNTIF($Q$5:Q6,"x")))=0,"",COUNTIF($Q$5:Q7,"x"))</f>
        <v/>
      </c>
      <c r="R112" s="3707" t="str">
        <f>IF(((COUNTIF($R$5:R7,"x"))-(COUNTIF($R$5:R6,"x")))=0,"",COUNTIF($R$5:R7,"x"))</f>
        <v/>
      </c>
      <c r="S112" s="3707">
        <f>IF(((COUNTIF($S$5:S7,"x"))-(COUNTIF($S$5:S6,"x")))=0,"",COUNTIF($S$5:S7,"x"))</f>
        <v>1</v>
      </c>
      <c r="T112" s="3707" t="str">
        <f>IF(((COUNTIF($T$5:T7,"x"))-(COUNTIF($T$5:T6,"x")))=0,"",COUNTIF($T$5:T7,"x"))</f>
        <v/>
      </c>
      <c r="U112" s="3707">
        <f>IF(((COUNTIF($U$5:U7,"x"))-(COUNTIF($U$5:U6,"x")))=0,"",COUNTIF($U$5:U7,"x"))</f>
        <v>1</v>
      </c>
      <c r="V112" s="3707" t="str">
        <f>IF(((COUNTIF($V$5:V7,"x"))-(COUNTIF($V$5:V6,"x")))=0,"",COUNTIF($V$5:V7,"x"))</f>
        <v/>
      </c>
      <c r="W112" s="3707" t="str">
        <f>IF(((COUNTIF($W$5:W7,"x"))-(COUNTIF($W$5:W6,"x")))=0,"",COUNTIF($W$5:W7,"x"))</f>
        <v/>
      </c>
      <c r="X112" s="3707">
        <f>IF(((COUNTIF($X$5:X7,"x"))-(COUNTIF($X$5:X6,"x")))=0,"",COUNTIF($X$5:X7,"x"))</f>
        <v>1</v>
      </c>
      <c r="Y112" s="3707">
        <f>IF(((COUNTIF($Y$5:Y7,"x"))-(COUNTIF($Y$5:Y6,"x")))=0,"",COUNTIF($Y$5:Y7,"x"))</f>
        <v>1</v>
      </c>
      <c r="Z112" s="3707" t="str">
        <f>IF(((COUNTIF($Z$5:Z7,"x"))-(COUNTIF($Z$5:Z6,"x")))=0,"",COUNTIF($Z$5:Z7,"x"))</f>
        <v/>
      </c>
      <c r="AA112" s="3707">
        <f>IF(((COUNTIF($AA$5:AA7,"x"))-(COUNTIF($AA$5:AA6,"x")))=0,"",COUNTIF($AA$5:AA7,"x"))</f>
        <v>1</v>
      </c>
      <c r="AB112" s="3707">
        <f>IF(((COUNTIF($AB$5:AB7,"x"))-(COUNTIF($AB$5:AB6,"x")))=0,"",COUNTIF($AB$5:AB7,"x"))</f>
        <v>1</v>
      </c>
      <c r="AC112" s="3707" t="str">
        <f>IF(((COUNTIF($AC$5:AC7,"x"))-(COUNTIF($AC$5:AC6,"x")))=0,"",COUNTIF($AC$5:AC7,"x"))</f>
        <v/>
      </c>
      <c r="AD112" s="3707">
        <f>IF(((COUNTIF($AD$5:AD7,"x"))-(COUNTIF($AD$5:AD6,"x")))=0,"",COUNTIF($AD$5:AD7,"x"))</f>
        <v>2</v>
      </c>
      <c r="AE112" s="3707" t="str">
        <f>IF(((COUNTIF($AE$5:AE7,"x"))-(COUNTIF($AE$5:AE6,"x")))=0,"",COUNTIF($AE$5:AE7,"x"))</f>
        <v/>
      </c>
      <c r="AF112" s="3708" t="str">
        <f>IF(((COUNTIF($AF$5:AF7,"x"))-(COUNTIF($AF$5:AF6,"x")))=0,"",COUNTIF($AF$5:AF7,"x"))</f>
        <v/>
      </c>
      <c r="AG112" s="2120" t="str">
        <f t="shared" si="15"/>
        <v>Agil-S</v>
      </c>
    </row>
    <row r="113" spans="2:33" ht="18">
      <c r="B113" s="2136">
        <f t="shared" si="16"/>
        <v>4</v>
      </c>
      <c r="C113" s="3704" t="str">
        <f t="shared" si="13"/>
        <v>Ariane C</v>
      </c>
      <c r="D113" s="3655"/>
      <c r="E113" s="3705"/>
      <c r="F113" s="3706">
        <f>IF(((COUNTIF($F$5:$F8,"x"))-(COUNTIF($F$5:$F7,"x")))=0,"",COUNTIF($F$5:$F8,"x"))</f>
        <v>1</v>
      </c>
      <c r="G113" s="3707">
        <f>IF(((COUNTIF($G$5:$G8,"x"))-(COUNTIF($G$5:$G7,"x")))=0,"",COUNTIF($G$5:$G8,"x"))</f>
        <v>1</v>
      </c>
      <c r="H113" s="3707">
        <f>IF(((COUNTIF($H$5:$H8,"x"))-(COUNTIF($H$5:$H7,"x")))=0,"",COUNTIF($H$5:$H8,"x"))</f>
        <v>1</v>
      </c>
      <c r="I113" s="3707">
        <f>IF(((COUNTIF($I$5:I8,"x"))-(COUNTIF($I$5:I7,"x")))=0,"",COUNTIF($I$5:I8,"x"))</f>
        <v>1</v>
      </c>
      <c r="J113" s="3707">
        <f>IF(((COUNTIF($J$5:J8,"x"))-(COUNTIF($J$5:J7,"x")))=0,"",COUNTIF($J$5:J8,"x"))</f>
        <v>1</v>
      </c>
      <c r="K113" s="3707">
        <f>IF(((COUNTIF($K$5:K8,"x"))-(COUNTIF($K$5:K7,"x")))=0,"",COUNTIF($K$5:K8,"x"))</f>
        <v>1</v>
      </c>
      <c r="L113" s="3707">
        <f>IF(((COUNTIF($L$5:L8,"x"))-(COUNTIF($L$5:L7,"x")))=0,"",COUNTIF($L$5:L8,"x"))</f>
        <v>1</v>
      </c>
      <c r="M113" s="3707">
        <f>IF(((COUNTIF($M$5:M8,"x"))-(COUNTIF($M$5:M7,"x")))=0,"",COUNTIF($M$5:M8,"x"))</f>
        <v>1</v>
      </c>
      <c r="N113" s="3707">
        <f>IF(((COUNTIF($N$5:N8,"x"))-(COUNTIF($N$5:N7,"x")))=0,"",COUNTIF($N$5:N8,"x"))</f>
        <v>1</v>
      </c>
      <c r="O113" s="3707" t="str">
        <f>IF(((COUNTIF($O$5:O8,"x"))-(COUNTIF($O$5:O7,"x")))=0,"",COUNTIF($O$5:O8,"x"))</f>
        <v/>
      </c>
      <c r="P113" s="3707" t="str">
        <f>IF(((COUNTIF($P$5:P8,"x"))-(COUNTIF($P$5:P7,"x")))=0,"",COUNTIF($P$5:P8,"x"))</f>
        <v/>
      </c>
      <c r="Q113" s="3707" t="str">
        <f>IF(((COUNTIF($Q$5:Q8,"x"))-(COUNTIF($Q$5:Q7,"x")))=0,"",COUNTIF($Q$5:Q8,"x"))</f>
        <v/>
      </c>
      <c r="R113" s="3707" t="str">
        <f>IF(((COUNTIF($R$5:R8,"x"))-(COUNTIF($R$5:R7,"x")))=0,"",COUNTIF($R$5:R8,"x"))</f>
        <v/>
      </c>
      <c r="S113" s="3707" t="str">
        <f>IF(((COUNTIF($S$5:S8,"x"))-(COUNTIF($S$5:S7,"x")))=0,"",COUNTIF($S$5:S8,"x"))</f>
        <v/>
      </c>
      <c r="T113" s="3707" t="str">
        <f>IF(((COUNTIF($T$5:T8,"x"))-(COUNTIF($T$5:T7,"x")))=0,"",COUNTIF($T$5:T8,"x"))</f>
        <v/>
      </c>
      <c r="U113" s="3707" t="str">
        <f>IF(((COUNTIF($U$5:U8,"x"))-(COUNTIF($U$5:U7,"x")))=0,"",COUNTIF($U$5:U8,"x"))</f>
        <v/>
      </c>
      <c r="V113" s="3707" t="str">
        <f>IF(((COUNTIF($V$5:V8,"x"))-(COUNTIF($V$5:V7,"x")))=0,"",COUNTIF($V$5:V8,"x"))</f>
        <v/>
      </c>
      <c r="W113" s="3707" t="str">
        <f>IF(((COUNTIF($W$5:W8,"x"))-(COUNTIF($W$5:W7,"x")))=0,"",COUNTIF($W$5:W8,"x"))</f>
        <v/>
      </c>
      <c r="X113" s="3707" t="str">
        <f>IF(((COUNTIF($X$5:X8,"x"))-(COUNTIF($X$5:X7,"x")))=0,"",COUNTIF($X$5:X8,"x"))</f>
        <v/>
      </c>
      <c r="Y113" s="3707" t="str">
        <f>IF(((COUNTIF($Y$5:Y8,"x"))-(COUNTIF($Y$5:Y7,"x")))=0,"",COUNTIF($Y$5:Y8,"x"))</f>
        <v/>
      </c>
      <c r="Z113" s="3707" t="str">
        <f>IF(((COUNTIF($Z$5:Z8,"x"))-(COUNTIF($Z$5:Z7,"x")))=0,"",COUNTIF($Z$5:Z8,"x"))</f>
        <v/>
      </c>
      <c r="AA113" s="3707" t="str">
        <f>IF(((COUNTIF($AA$5:AA8,"x"))-(COUNTIF($AA$5:AA7,"x")))=0,"",COUNTIF($AA$5:AA8,"x"))</f>
        <v/>
      </c>
      <c r="AB113" s="3707" t="str">
        <f>IF(((COUNTIF($AB$5:AB8,"x"))-(COUNTIF($AB$5:AB7,"x")))=0,"",COUNTIF($AB$5:AB8,"x"))</f>
        <v/>
      </c>
      <c r="AC113" s="3707" t="str">
        <f>IF(((COUNTIF($AC$5:AC8,"x"))-(COUNTIF($AC$5:AC7,"x")))=0,"",COUNTIF($AC$5:AC8,"x"))</f>
        <v/>
      </c>
      <c r="AD113" s="3707">
        <f>IF(((COUNTIF($AD$5:AD8,"x"))-(COUNTIF($AD$5:AD7,"x")))=0,"",COUNTIF($AD$5:AD8,"x"))</f>
        <v>3</v>
      </c>
      <c r="AE113" s="3707" t="str">
        <f>IF(((COUNTIF($AE$5:AE8,"x"))-(COUNTIF($AE$5:AE7,"x")))=0,"",COUNTIF($AE$5:AE8,"x"))</f>
        <v/>
      </c>
      <c r="AF113" s="3708" t="str">
        <f>IF(((COUNTIF($AF$5:AF8,"x"))-(COUNTIF($AF$5:AF7,"x")))=0,"",COUNTIF($AF$5:AF8,"x"))</f>
        <v/>
      </c>
      <c r="AG113" s="2120" t="str">
        <f t="shared" si="15"/>
        <v>Ariane C</v>
      </c>
    </row>
    <row r="114" spans="2:33" ht="18">
      <c r="B114" s="2136">
        <f t="shared" si="16"/>
        <v>5</v>
      </c>
      <c r="C114" s="3704" t="str">
        <f t="shared" si="13"/>
        <v>Artist</v>
      </c>
      <c r="D114" s="3655"/>
      <c r="E114" s="3705"/>
      <c r="F114" s="3706" t="str">
        <f>IF(((COUNTIF($F$5:$F9,"x"))-(COUNTIF($F$5:$F8,"x")))=0,"",COUNTIF($F$5:$F9,"x"))</f>
        <v/>
      </c>
      <c r="G114" s="3707" t="str">
        <f>IF(((COUNTIF($G$5:$G9,"x"))-(COUNTIF($G$5:$G8,"x")))=0,"",COUNTIF($G$5:$G9,"x"))</f>
        <v/>
      </c>
      <c r="H114" s="3707" t="str">
        <f>IF(((COUNTIF($H$5:$H9,"x"))-(COUNTIF($H$5:$H8,"x")))=0,"",COUNTIF($H$5:$H9,"x"))</f>
        <v/>
      </c>
      <c r="I114" s="3707" t="str">
        <f>IF(((COUNTIF($I$5:I9,"x"))-(COUNTIF($I$5:I8,"x")))=0,"",COUNTIF($I$5:I9,"x"))</f>
        <v/>
      </c>
      <c r="J114" s="3707" t="str">
        <f>IF(((COUNTIF($J$5:J9,"x"))-(COUNTIF($J$5:J8,"x")))=0,"",COUNTIF($J$5:J9,"x"))</f>
        <v/>
      </c>
      <c r="K114" s="3707" t="str">
        <f>IF(((COUNTIF($K$5:K9,"x"))-(COUNTIF($K$5:K8,"x")))=0,"",COUNTIF($K$5:K9,"x"))</f>
        <v/>
      </c>
      <c r="L114" s="3707" t="str">
        <f>IF(((COUNTIF($L$5:L9,"x"))-(COUNTIF($L$5:L8,"x")))=0,"",COUNTIF($L$5:L9,"x"))</f>
        <v/>
      </c>
      <c r="M114" s="3707" t="str">
        <f>IF(((COUNTIF($M$5:M9,"x"))-(COUNTIF($M$5:M8,"x")))=0,"",COUNTIF($M$5:M9,"x"))</f>
        <v/>
      </c>
      <c r="N114" s="3707" t="str">
        <f>IF(((COUNTIF($N$5:N9,"x"))-(COUNTIF($N$5:N8,"x")))=0,"",COUNTIF($N$5:N9,"x"))</f>
        <v/>
      </c>
      <c r="O114" s="3707" t="str">
        <f>IF(((COUNTIF($O$5:O9,"x"))-(COUNTIF($O$5:O8,"x")))=0,"",COUNTIF($O$5:O9,"x"))</f>
        <v/>
      </c>
      <c r="P114" s="3707" t="str">
        <f>IF(((COUNTIF($P$5:P9,"x"))-(COUNTIF($P$5:P8,"x")))=0,"",COUNTIF($P$5:P9,"x"))</f>
        <v/>
      </c>
      <c r="Q114" s="3707" t="str">
        <f>IF(((COUNTIF($Q$5:Q9,"x"))-(COUNTIF($Q$5:Q8,"x")))=0,"",COUNTIF($Q$5:Q9,"x"))</f>
        <v/>
      </c>
      <c r="R114" s="3707" t="str">
        <f>IF(((COUNTIF($R$5:R9,"x"))-(COUNTIF($R$5:R8,"x")))=0,"",COUNTIF($R$5:R9,"x"))</f>
        <v/>
      </c>
      <c r="S114" s="3707" t="str">
        <f>IF(((COUNTIF($S$5:S9,"x"))-(COUNTIF($S$5:S8,"x")))=0,"",COUNTIF($S$5:S9,"x"))</f>
        <v/>
      </c>
      <c r="T114" s="3707" t="str">
        <f>IF(((COUNTIF($T$5:T9,"x"))-(COUNTIF($T$5:T8,"x")))=0,"",COUNTIF($T$5:T9,"x"))</f>
        <v/>
      </c>
      <c r="U114" s="3707" t="str">
        <f>IF(((COUNTIF($U$5:U9,"x"))-(COUNTIF($U$5:U8,"x")))=0,"",COUNTIF($U$5:U9,"x"))</f>
        <v/>
      </c>
      <c r="V114" s="3707">
        <f>IF(((COUNTIF($V$5:V9,"x"))-(COUNTIF($V$5:V8,"x")))=0,"",COUNTIF($V$5:V9,"x"))</f>
        <v>1</v>
      </c>
      <c r="W114" s="3707" t="str">
        <f>IF(((COUNTIF($W$5:W9,"x"))-(COUNTIF($W$5:W8,"x")))=0,"",COUNTIF($W$5:W9,"x"))</f>
        <v/>
      </c>
      <c r="X114" s="3707" t="str">
        <f>IF(((COUNTIF($X$5:X9,"x"))-(COUNTIF($X$5:X8,"x")))=0,"",COUNTIF($X$5:X9,"x"))</f>
        <v/>
      </c>
      <c r="Y114" s="3707" t="str">
        <f>IF(((COUNTIF($Y$5:Y9,"x"))-(COUNTIF($Y$5:Y8,"x")))=0,"",COUNTIF($Y$5:Y9,"x"))</f>
        <v/>
      </c>
      <c r="Z114" s="3707" t="str">
        <f>IF(((COUNTIF($Z$5:Z9,"x"))-(COUNTIF($Z$5:Z8,"x")))=0,"",COUNTIF($Z$5:Z9,"x"))</f>
        <v/>
      </c>
      <c r="AA114" s="3707" t="str">
        <f>IF(((COUNTIF($AA$5:AA9,"x"))-(COUNTIF($AA$5:AA8,"x")))=0,"",COUNTIF($AA$5:AA9,"x"))</f>
        <v/>
      </c>
      <c r="AB114" s="3707">
        <f>IF(((COUNTIF($AB$5:AB9,"x"))-(COUNTIF($AB$5:AB8,"x")))=0,"",COUNTIF($AB$5:AB9,"x"))</f>
        <v>2</v>
      </c>
      <c r="AC114" s="3707" t="str">
        <f>IF(((COUNTIF($AC$5:AC9,"x"))-(COUNTIF($AC$5:AC8,"x")))=0,"",COUNTIF($AC$5:AC9,"x"))</f>
        <v/>
      </c>
      <c r="AD114" s="3707">
        <f>IF(((COUNTIF($AD$5:AD9,"x"))-(COUNTIF($AD$5:AD8,"x")))=0,"",COUNTIF($AD$5:AD9,"x"))</f>
        <v>4</v>
      </c>
      <c r="AE114" s="3707" t="str">
        <f>IF(((COUNTIF($AE$5:AE9,"x"))-(COUNTIF($AE$5:AE8,"x")))=0,"",COUNTIF($AE$5:AE9,"x"))</f>
        <v/>
      </c>
      <c r="AF114" s="3708" t="str">
        <f>IF(((COUNTIF($AF$5:AF9,"x"))-(COUNTIF($AF$5:AF8,"x")))=0,"",COUNTIF($AF$5:AF9,"x"))</f>
        <v/>
      </c>
      <c r="AG114" s="2120" t="str">
        <f t="shared" si="15"/>
        <v>Artist</v>
      </c>
    </row>
    <row r="115" spans="2:33" ht="18">
      <c r="B115" s="2136">
        <f t="shared" si="16"/>
        <v>6</v>
      </c>
      <c r="C115" s="3704" t="str">
        <f t="shared" si="13"/>
        <v>Artus</v>
      </c>
      <c r="D115" s="3655"/>
      <c r="E115" s="3710"/>
      <c r="F115" s="3706">
        <f>IF(((COUNTIF($F$5:$F10,"x"))-(COUNTIF($F$5:$F9,"x")))=0,"",COUNTIF($F$5:$F10,"x"))</f>
        <v>2</v>
      </c>
      <c r="G115" s="3707" t="str">
        <f>IF(((COUNTIF($G$5:$G10,"x"))-(COUNTIF($G$5:$G9,"x")))=0,"",COUNTIF($G$5:$G10,"x"))</f>
        <v/>
      </c>
      <c r="H115" s="3707">
        <f>IF(((COUNTIF($H$5:$H10,"x"))-(COUNTIF($H$5:$H9,"x")))=0,"",COUNTIF($H$5:$H10,"x"))</f>
        <v>2</v>
      </c>
      <c r="I115" s="3707">
        <f>IF(((COUNTIF($I$5:I10,"x"))-(COUNTIF($I$5:I9,"x")))=0,"",COUNTIF($I$5:I10,"x"))</f>
        <v>2</v>
      </c>
      <c r="J115" s="3707">
        <f>IF(((COUNTIF($J$5:J10,"x"))-(COUNTIF($J$5:J9,"x")))=0,"",COUNTIF($J$5:J10,"x"))</f>
        <v>2</v>
      </c>
      <c r="K115" s="3707">
        <f>IF(((COUNTIF($K$5:K10,"x"))-(COUNTIF($K$5:K9,"x")))=0,"",COUNTIF($K$5:K10,"x"))</f>
        <v>2</v>
      </c>
      <c r="L115" s="3707">
        <f>IF(((COUNTIF($L$5:L10,"x"))-(COUNTIF($L$5:L9,"x")))=0,"",COUNTIF($L$5:L10,"x"))</f>
        <v>2</v>
      </c>
      <c r="M115" s="3707">
        <f>IF(((COUNTIF($M$5:M10,"x"))-(COUNTIF($M$5:M9,"x")))=0,"",COUNTIF($M$5:M10,"x"))</f>
        <v>2</v>
      </c>
      <c r="N115" s="3707">
        <f>IF(((COUNTIF($N$5:N10,"x"))-(COUNTIF($N$5:N9,"x")))=0,"",COUNTIF($N$5:N10,"x"))</f>
        <v>2</v>
      </c>
      <c r="O115" s="3707" t="str">
        <f>IF(((COUNTIF($O$5:O10,"x"))-(COUNTIF($O$5:O9,"x")))=0,"",COUNTIF($O$5:O10,"x"))</f>
        <v/>
      </c>
      <c r="P115" s="3707" t="str">
        <f>IF(((COUNTIF($P$5:P10,"x"))-(COUNTIF($P$5:P9,"x")))=0,"",COUNTIF($P$5:P10,"x"))</f>
        <v/>
      </c>
      <c r="Q115" s="3707" t="str">
        <f>IF(((COUNTIF($Q$5:Q10,"x"))-(COUNTIF($Q$5:Q9,"x")))=0,"",COUNTIF($Q$5:Q10,"x"))</f>
        <v/>
      </c>
      <c r="R115" s="3707" t="str">
        <f>IF(((COUNTIF($R$5:R10,"x"))-(COUNTIF($R$5:R9,"x")))=0,"",COUNTIF($R$5:R10,"x"))</f>
        <v/>
      </c>
      <c r="S115" s="3707" t="str">
        <f>IF(((COUNTIF($S$5:S10,"x"))-(COUNTIF($S$5:S9,"x")))=0,"",COUNTIF($S$5:S10,"x"))</f>
        <v/>
      </c>
      <c r="T115" s="3707" t="str">
        <f>IF(((COUNTIF($T$5:T10,"x"))-(COUNTIF($T$5:T9,"x")))=0,"",COUNTIF($T$5:T10,"x"))</f>
        <v/>
      </c>
      <c r="U115" s="3707" t="str">
        <f>IF(((COUNTIF($U$5:U10,"x"))-(COUNTIF($U$5:U9,"x")))=0,"",COUNTIF($U$5:U10,"x"))</f>
        <v/>
      </c>
      <c r="V115" s="3707" t="str">
        <f>IF(((COUNTIF($V$5:V10,"x"))-(COUNTIF($V$5:V9,"x")))=0,"",COUNTIF($V$5:V10,"x"))</f>
        <v/>
      </c>
      <c r="W115" s="3707" t="str">
        <f>IF(((COUNTIF($W$5:W10,"x"))-(COUNTIF($W$5:W9,"x")))=0,"",COUNTIF($W$5:W10,"x"))</f>
        <v/>
      </c>
      <c r="X115" s="3707" t="str">
        <f>IF(((COUNTIF($X$5:X10,"x"))-(COUNTIF($X$5:X9,"x")))=0,"",COUNTIF($X$5:X10,"x"))</f>
        <v/>
      </c>
      <c r="Y115" s="3707" t="str">
        <f>IF(((COUNTIF($Y$5:Y10,"x"))-(COUNTIF($Y$5:Y9,"x")))=0,"",COUNTIF($Y$5:Y10,"x"))</f>
        <v/>
      </c>
      <c r="Z115" s="3707" t="str">
        <f>IF(((COUNTIF($Z$5:Z10,"x"))-(COUNTIF($Z$5:Z9,"x")))=0,"",COUNTIF($Z$5:Z10,"x"))</f>
        <v/>
      </c>
      <c r="AA115" s="3707" t="str">
        <f>IF(((COUNTIF($AA$5:AA10,"x"))-(COUNTIF($AA$5:AA9,"x")))=0,"",COUNTIF($AA$5:AA10,"x"))</f>
        <v/>
      </c>
      <c r="AB115" s="3707" t="str">
        <f>IF(((COUNTIF($AB$5:AB10,"x"))-(COUNTIF($AB$5:AB9,"x")))=0,"",COUNTIF($AB$5:AB10,"x"))</f>
        <v/>
      </c>
      <c r="AC115" s="3707" t="str">
        <f>IF(((COUNTIF($AC$5:AC10,"x"))-(COUNTIF($AC$5:AC9,"x")))=0,"",COUNTIF($AC$5:AC10,"x"))</f>
        <v/>
      </c>
      <c r="AD115" s="3707">
        <f>IF(((COUNTIF($AD$5:AD10,"x"))-(COUNTIF($AD$5:AD9,"x")))=0,"",COUNTIF($AD$5:AD10,"x"))</f>
        <v>5</v>
      </c>
      <c r="AE115" s="3707" t="str">
        <f>IF(((COUNTIF($AE$5:AE10,"x"))-(COUNTIF($AE$5:AE9,"x")))=0,"",COUNTIF($AE$5:AE10,"x"))</f>
        <v/>
      </c>
      <c r="AF115" s="3708" t="str">
        <f>IF(((COUNTIF($AF$5:AF10,"x"))-(COUNTIF($AF$5:AF9,"x")))=0,"",COUNTIF($AF$5:AF10,"x"))</f>
        <v/>
      </c>
      <c r="AG115" s="2120" t="str">
        <f t="shared" si="15"/>
        <v>Artus</v>
      </c>
    </row>
    <row r="116" spans="2:33" ht="18">
      <c r="B116" s="2136">
        <f t="shared" si="16"/>
        <v>7</v>
      </c>
      <c r="C116" s="3704" t="str">
        <f t="shared" si="13"/>
        <v>Ascra Xpro</v>
      </c>
      <c r="D116" s="3655"/>
      <c r="E116" s="3710"/>
      <c r="F116" s="3706">
        <f>IF(((COUNTIF($F$5:$F11,"x"))-(COUNTIF($F$5:$F10,"x")))=0,"",COUNTIF($F$5:$F11,"x"))</f>
        <v>3</v>
      </c>
      <c r="G116" s="3707">
        <f>IF(((COUNTIF($G$5:$G11,"x"))-(COUNTIF($G$5:$G10,"x")))=0,"",COUNTIF($G$5:$G11,"x"))</f>
        <v>2</v>
      </c>
      <c r="H116" s="3707">
        <f>IF(((COUNTIF($H$5:$H11,"x"))-(COUNTIF($H$5:$H10,"x")))=0,"",COUNTIF($H$5:$H11,"x"))</f>
        <v>3</v>
      </c>
      <c r="I116" s="3707">
        <f>IF(((COUNTIF($I$5:I11,"x"))-(COUNTIF($I$5:I10,"x")))=0,"",COUNTIF($I$5:I11,"x"))</f>
        <v>3</v>
      </c>
      <c r="J116" s="3707">
        <f>IF(((COUNTIF($J$5:J11,"x"))-(COUNTIF($J$5:J10,"x")))=0,"",COUNTIF($J$5:J11,"x"))</f>
        <v>3</v>
      </c>
      <c r="K116" s="3707">
        <f>IF(((COUNTIF($K$5:K11,"x"))-(COUNTIF($K$5:K10,"x")))=0,"",COUNTIF($K$5:K11,"x"))</f>
        <v>3</v>
      </c>
      <c r="L116" s="3707">
        <f>IF(((COUNTIF($L$5:L11,"x"))-(COUNTIF($L$5:L10,"x")))=0,"",COUNTIF($L$5:L11,"x"))</f>
        <v>3</v>
      </c>
      <c r="M116" s="3707">
        <f>IF(((COUNTIF($M$5:M11,"x"))-(COUNTIF($M$5:M10,"x")))=0,"",COUNTIF($M$5:M11,"x"))</f>
        <v>3</v>
      </c>
      <c r="N116" s="3707">
        <f>IF(((COUNTIF($N$5:N11,"x"))-(COUNTIF($N$5:N10,"x")))=0,"",COUNTIF($N$5:N11,"x"))</f>
        <v>3</v>
      </c>
      <c r="O116" s="3707">
        <f>IF(((COUNTIF($O$5:O11,"x"))-(COUNTIF($O$5:O10,"x")))=0,"",COUNTIF($O$5:O11,"x"))</f>
        <v>1</v>
      </c>
      <c r="P116" s="3707" t="str">
        <f>IF(((COUNTIF($P$5:P11,"x"))-(COUNTIF($P$5:P10,"x")))=0,"",COUNTIF($P$5:P11,"x"))</f>
        <v/>
      </c>
      <c r="Q116" s="3707" t="str">
        <f>IF(((COUNTIF($Q$5:Q11,"x"))-(COUNTIF($Q$5:Q10,"x")))=0,"",COUNTIF($Q$5:Q11,"x"))</f>
        <v/>
      </c>
      <c r="R116" s="3707" t="str">
        <f>IF(((COUNTIF($R$5:R11,"x"))-(COUNTIF($R$5:R10,"x")))=0,"",COUNTIF($R$5:R11,"x"))</f>
        <v/>
      </c>
      <c r="S116" s="3707" t="str">
        <f>IF(((COUNTIF($S$5:S11,"x"))-(COUNTIF($S$5:S10,"x")))=0,"",COUNTIF($S$5:S11,"x"))</f>
        <v/>
      </c>
      <c r="T116" s="3707" t="str">
        <f>IF(((COUNTIF($T$5:T11,"x"))-(COUNTIF($T$5:T10,"x")))=0,"",COUNTIF($T$5:T11,"x"))</f>
        <v/>
      </c>
      <c r="U116" s="3707" t="str">
        <f>IF(((COUNTIF($U$5:U11,"x"))-(COUNTIF($U$5:U10,"x")))=0,"",COUNTIF($U$5:U11,"x"))</f>
        <v/>
      </c>
      <c r="V116" s="3707" t="str">
        <f>IF(((COUNTIF($V$5:V11,"x"))-(COUNTIF($V$5:V10,"x")))=0,"",COUNTIF($V$5:V11,"x"))</f>
        <v/>
      </c>
      <c r="W116" s="3707" t="str">
        <f>IF(((COUNTIF($W$5:W11,"x"))-(COUNTIF($W$5:W10,"x")))=0,"",COUNTIF($W$5:W11,"x"))</f>
        <v/>
      </c>
      <c r="X116" s="3707" t="str">
        <f>IF(((COUNTIF($X$5:X11,"x"))-(COUNTIF($X$5:X10,"x")))=0,"",COUNTIF($X$5:X11,"x"))</f>
        <v/>
      </c>
      <c r="Y116" s="3707" t="str">
        <f>IF(((COUNTIF($Y$5:Y11,"x"))-(COUNTIF($Y$5:Y10,"x")))=0,"",COUNTIF($Y$5:Y11,"x"))</f>
        <v/>
      </c>
      <c r="Z116" s="3707" t="str">
        <f>IF(((COUNTIF($Z$5:Z11,"x"))-(COUNTIF($Z$5:Z10,"x")))=0,"",COUNTIF($Z$5:Z11,"x"))</f>
        <v/>
      </c>
      <c r="AA116" s="3707" t="str">
        <f>IF(((COUNTIF($AA$5:AA11,"x"))-(COUNTIF($AA$5:AA10,"x")))=0,"",COUNTIF($AA$5:AA11,"x"))</f>
        <v/>
      </c>
      <c r="AB116" s="3707" t="str">
        <f>IF(((COUNTIF($AB$5:AB11,"x"))-(COUNTIF($AB$5:AB10,"x")))=0,"",COUNTIF($AB$5:AB11,"x"))</f>
        <v/>
      </c>
      <c r="AC116" s="3707" t="str">
        <f>IF(((COUNTIF($AC$5:AC11,"x"))-(COUNTIF($AC$5:AC10,"x")))=0,"",COUNTIF($AC$5:AC11,"x"))</f>
        <v/>
      </c>
      <c r="AD116" s="3707">
        <f>IF(((COUNTIF($AD$5:AD11,"x"))-(COUNTIF($AD$5:AD10,"x")))=0,"",COUNTIF($AD$5:AD11,"x"))</f>
        <v>6</v>
      </c>
      <c r="AE116" s="3707" t="str">
        <f>IF(((COUNTIF($AE$5:AE11,"x"))-(COUNTIF($AE$5:AE10,"x")))=0,"",COUNTIF($AE$5:AE11,"x"))</f>
        <v/>
      </c>
      <c r="AF116" s="3708" t="str">
        <f>IF(((COUNTIF($AF$5:AF11,"x"))-(COUNTIF($AF$5:AF10,"x")))=0,"",COUNTIF($AF$5:AF11,"x"))</f>
        <v/>
      </c>
      <c r="AG116" s="2120" t="str">
        <f t="shared" si="15"/>
        <v>Ascra Xpro</v>
      </c>
    </row>
    <row r="117" spans="2:33" ht="18">
      <c r="B117" s="2136">
        <f t="shared" si="16"/>
        <v>8</v>
      </c>
      <c r="C117" s="3654" t="str">
        <f t="shared" si="13"/>
        <v>Atlantis Flex + Biopower</v>
      </c>
      <c r="D117" s="3655"/>
      <c r="E117" s="3709"/>
      <c r="F117" s="3706">
        <f>IF(((COUNTIF($F$5:$F12,"x"))-(COUNTIF($F$5:$F11,"x")))=0,"",COUNTIF($F$5:$F12,"x"))</f>
        <v>4</v>
      </c>
      <c r="G117" s="3707">
        <f>IF(((COUNTIF($G$5:$G12,"x"))-(COUNTIF($G$5:$G11,"x")))=0,"",COUNTIF($G$5:$G12,"x"))</f>
        <v>3</v>
      </c>
      <c r="H117" s="3707">
        <f>IF(((COUNTIF($H$5:$H12,"x"))-(COUNTIF($H$5:$H11,"x")))=0,"",COUNTIF($H$5:$H12,"x"))</f>
        <v>4</v>
      </c>
      <c r="I117" s="3707">
        <f>IF(((COUNTIF($I$5:I12,"x"))-(COUNTIF($I$5:I11,"x")))=0,"",COUNTIF($I$5:I12,"x"))</f>
        <v>4</v>
      </c>
      <c r="J117" s="3707" t="str">
        <f>IF(((COUNTIF($J$5:J12,"x"))-(COUNTIF($J$5:J11,"x")))=0,"",COUNTIF($J$5:J12,"x"))</f>
        <v/>
      </c>
      <c r="K117" s="3707" t="str">
        <f>IF(((COUNTIF($K$5:K12,"x"))-(COUNTIF($K$5:K11,"x")))=0,"",COUNTIF($K$5:K12,"x"))</f>
        <v/>
      </c>
      <c r="L117" s="3707" t="str">
        <f>IF(((COUNTIF($L$5:L12,"x"))-(COUNTIF($L$5:L11,"x")))=0,"",COUNTIF($L$5:L12,"x"))</f>
        <v/>
      </c>
      <c r="M117" s="3707" t="str">
        <f>IF(((COUNTIF($M$5:M12,"x"))-(COUNTIF($M$5:M11,"x")))=0,"",COUNTIF($M$5:M12,"x"))</f>
        <v/>
      </c>
      <c r="N117" s="3707" t="str">
        <f>IF(((COUNTIF($N$5:N12,"x"))-(COUNTIF($N$5:N11,"x")))=0,"",COUNTIF($N$5:N12,"x"))</f>
        <v/>
      </c>
      <c r="O117" s="3707">
        <f>IF(((COUNTIF($O$5:O12,"x"))-(COUNTIF($O$5:O11,"x")))=0,"",COUNTIF($O$5:O12,"x"))</f>
        <v>2</v>
      </c>
      <c r="P117" s="3707" t="str">
        <f>IF(((COUNTIF($P$5:P12,"x"))-(COUNTIF($P$5:P11,"x")))=0,"",COUNTIF($P$5:P12,"x"))</f>
        <v/>
      </c>
      <c r="Q117" s="3707" t="str">
        <f>IF(((COUNTIF($Q$5:Q12,"x"))-(COUNTIF($Q$5:Q11,"x")))=0,"",COUNTIF($Q$5:Q12,"x"))</f>
        <v/>
      </c>
      <c r="R117" s="3707" t="str">
        <f>IF(((COUNTIF($R$5:R12,"x"))-(COUNTIF($R$5:R11,"x")))=0,"",COUNTIF($R$5:R12,"x"))</f>
        <v/>
      </c>
      <c r="S117" s="3707" t="str">
        <f>IF(((COUNTIF($S$5:S12,"x"))-(COUNTIF($S$5:S11,"x")))=0,"",COUNTIF($S$5:S12,"x"))</f>
        <v/>
      </c>
      <c r="T117" s="3707" t="str">
        <f>IF(((COUNTIF($T$5:T12,"x"))-(COUNTIF($T$5:T11,"x")))=0,"",COUNTIF($T$5:T12,"x"))</f>
        <v/>
      </c>
      <c r="U117" s="3707" t="str">
        <f>IF(((COUNTIF($U$5:U12,"x"))-(COUNTIF($U$5:U11,"x")))=0,"",COUNTIF($U$5:U12,"x"))</f>
        <v/>
      </c>
      <c r="V117" s="3707" t="str">
        <f>IF(((COUNTIF($V$5:V12,"x"))-(COUNTIF($V$5:V11,"x")))=0,"",COUNTIF($V$5:V12,"x"))</f>
        <v/>
      </c>
      <c r="W117" s="3707" t="str">
        <f>IF(((COUNTIF($W$5:W12,"x"))-(COUNTIF($W$5:W11,"x")))=0,"",COUNTIF($W$5:W12,"x"))</f>
        <v/>
      </c>
      <c r="X117" s="3707" t="str">
        <f>IF(((COUNTIF($X$5:X12,"x"))-(COUNTIF($X$5:X11,"x")))=0,"",COUNTIF($X$5:X12,"x"))</f>
        <v/>
      </c>
      <c r="Y117" s="3707" t="str">
        <f>IF(((COUNTIF($Y$5:Y12,"x"))-(COUNTIF($Y$5:Y11,"x")))=0,"",COUNTIF($Y$5:Y12,"x"))</f>
        <v/>
      </c>
      <c r="Z117" s="3707" t="str">
        <f>IF(((COUNTIF($Z$5:Z12,"x"))-(COUNTIF($Z$5:Z11,"x")))=0,"",COUNTIF($Z$5:Z12,"x"))</f>
        <v/>
      </c>
      <c r="AA117" s="3707" t="str">
        <f>IF(((COUNTIF($AA$5:AA12,"x"))-(COUNTIF($AA$5:AA11,"x")))=0,"",COUNTIF($AA$5:AA12,"x"))</f>
        <v/>
      </c>
      <c r="AB117" s="3707" t="str">
        <f>IF(((COUNTIF($AB$5:AB12,"x"))-(COUNTIF($AB$5:AB11,"x")))=0,"",COUNTIF($AB$5:AB12,"x"))</f>
        <v/>
      </c>
      <c r="AC117" s="3707" t="str">
        <f>IF(((COUNTIF($AC$5:AC12,"x"))-(COUNTIF($AC$5:AC11,"x")))=0,"",COUNTIF($AC$5:AC12,"x"))</f>
        <v/>
      </c>
      <c r="AD117" s="3707">
        <f>IF(((COUNTIF($AD$5:AD12,"x"))-(COUNTIF($AD$5:AD11,"x")))=0,"",COUNTIF($AD$5:AD12,"x"))</f>
        <v>7</v>
      </c>
      <c r="AE117" s="3707" t="str">
        <f>IF(((COUNTIF($AE$5:AE12,"x"))-(COUNTIF($AE$5:AE11,"x")))=0,"",COUNTIF($AE$5:AE12,"x"))</f>
        <v/>
      </c>
      <c r="AF117" s="3708" t="str">
        <f>IF(((COUNTIF($AF$5:AF12,"x"))-(COUNTIF($AF$5:AF11,"x")))=0,"",COUNTIF($AF$5:AF12,"x"))</f>
        <v/>
      </c>
      <c r="AG117" s="2120" t="str">
        <f t="shared" si="15"/>
        <v>Atlantis Flex + Biopower</v>
      </c>
    </row>
    <row r="118" spans="2:33" ht="18">
      <c r="B118" s="2136">
        <f t="shared" si="16"/>
        <v>9</v>
      </c>
      <c r="C118" s="3704">
        <f t="shared" si="13"/>
        <v>0</v>
      </c>
      <c r="D118" s="3655"/>
      <c r="E118" s="3710"/>
      <c r="F118" s="3706" t="str">
        <f>IF(((COUNTIF($F$5:$F13,"x"))-(COUNTIF($F$5:$F12,"x")))=0,"",COUNTIF($F$5:$F13,"x"))</f>
        <v/>
      </c>
      <c r="G118" s="3707" t="str">
        <f>IF(((COUNTIF($G$5:$G13,"x"))-(COUNTIF($G$5:$G12,"x")))=0,"",COUNTIF($G$5:$G13,"x"))</f>
        <v/>
      </c>
      <c r="H118" s="3707" t="str">
        <f>IF(((COUNTIF($H$5:$H13,"x"))-(COUNTIF($H$5:$H12,"x")))=0,"",COUNTIF($H$5:$H13,"x"))</f>
        <v/>
      </c>
      <c r="I118" s="3707" t="str">
        <f>IF(((COUNTIF($I$5:I13,"x"))-(COUNTIF($I$5:I12,"x")))=0,"",COUNTIF($I$5:I13,"x"))</f>
        <v/>
      </c>
      <c r="J118" s="3707" t="str">
        <f>IF(((COUNTIF($J$5:J13,"x"))-(COUNTIF($J$5:J12,"x")))=0,"",COUNTIF($J$5:J13,"x"))</f>
        <v/>
      </c>
      <c r="K118" s="3707" t="str">
        <f>IF(((COUNTIF($K$5:K13,"x"))-(COUNTIF($K$5:K12,"x")))=0,"",COUNTIF($K$5:K13,"x"))</f>
        <v/>
      </c>
      <c r="L118" s="3707" t="str">
        <f>IF(((COUNTIF($L$5:L13,"x"))-(COUNTIF($L$5:L12,"x")))=0,"",COUNTIF($L$5:L13,"x"))</f>
        <v/>
      </c>
      <c r="M118" s="3707" t="str">
        <f>IF(((COUNTIF($M$5:M13,"x"))-(COUNTIF($M$5:M12,"x")))=0,"",COUNTIF($M$5:M13,"x"))</f>
        <v/>
      </c>
      <c r="N118" s="3707" t="str">
        <f>IF(((COUNTIF($N$5:N13,"x"))-(COUNTIF($N$5:N12,"x")))=0,"",COUNTIF($N$5:N13,"x"))</f>
        <v/>
      </c>
      <c r="O118" s="3707" t="str">
        <f>IF(((COUNTIF($O$5:O13,"x"))-(COUNTIF($O$5:O12,"x")))=0,"",COUNTIF($O$5:O13,"x"))</f>
        <v/>
      </c>
      <c r="P118" s="3707" t="str">
        <f>IF(((COUNTIF($P$5:P13,"x"))-(COUNTIF($P$5:P12,"x")))=0,"",COUNTIF($P$5:P13,"x"))</f>
        <v/>
      </c>
      <c r="Q118" s="3707" t="str">
        <f>IF(((COUNTIF($Q$5:Q13,"x"))-(COUNTIF($Q$5:Q12,"x")))=0,"",COUNTIF($Q$5:Q13,"x"))</f>
        <v/>
      </c>
      <c r="R118" s="3707" t="str">
        <f>IF(((COUNTIF($R$5:R13,"x"))-(COUNTIF($R$5:R12,"x")))=0,"",COUNTIF($R$5:R13,"x"))</f>
        <v/>
      </c>
      <c r="S118" s="3707" t="str">
        <f>IF(((COUNTIF($S$5:S13,"x"))-(COUNTIF($S$5:S12,"x")))=0,"",COUNTIF($S$5:S13,"x"))</f>
        <v/>
      </c>
      <c r="T118" s="3707" t="str">
        <f>IF(((COUNTIF($T$5:T13,"x"))-(COUNTIF($T$5:T12,"x")))=0,"",COUNTIF($T$5:T13,"x"))</f>
        <v/>
      </c>
      <c r="U118" s="3707" t="str">
        <f>IF(((COUNTIF($U$5:U13,"x"))-(COUNTIF($U$5:U12,"x")))=0,"",COUNTIF($U$5:U13,"x"))</f>
        <v/>
      </c>
      <c r="V118" s="3707" t="str">
        <f>IF(((COUNTIF($V$5:V13,"x"))-(COUNTIF($V$5:V12,"x")))=0,"",COUNTIF($V$5:V13,"x"))</f>
        <v/>
      </c>
      <c r="W118" s="3707" t="str">
        <f>IF(((COUNTIF($W$5:W13,"x"))-(COUNTIF($W$5:W12,"x")))=0,"",COUNTIF($W$5:W13,"x"))</f>
        <v/>
      </c>
      <c r="X118" s="3707" t="str">
        <f>IF(((COUNTIF($X$5:X13,"x"))-(COUNTIF($X$5:X12,"x")))=0,"",COUNTIF($X$5:X13,"x"))</f>
        <v/>
      </c>
      <c r="Y118" s="3707" t="str">
        <f>IF(((COUNTIF($Y$5:Y13,"x"))-(COUNTIF($Y$5:Y12,"x")))=0,"",COUNTIF($Y$5:Y13,"x"))</f>
        <v/>
      </c>
      <c r="Z118" s="3707" t="str">
        <f>IF(((COUNTIF($Z$5:Z13,"x"))-(COUNTIF($Z$5:Z12,"x")))=0,"",COUNTIF($Z$5:Z13,"x"))</f>
        <v/>
      </c>
      <c r="AA118" s="3707" t="str">
        <f>IF(((COUNTIF($AA$5:AA13,"x"))-(COUNTIF($AA$5:AA12,"x")))=0,"",COUNTIF($AA$5:AA13,"x"))</f>
        <v/>
      </c>
      <c r="AB118" s="3707" t="str">
        <f>IF(((COUNTIF($AB$5:AB13,"x"))-(COUNTIF($AB$5:AB12,"x")))=0,"",COUNTIF($AB$5:AB13,"x"))</f>
        <v/>
      </c>
      <c r="AC118" s="3707" t="str">
        <f>IF(((COUNTIF($AC$5:AC13,"x"))-(COUNTIF($AC$5:AC12,"x")))=0,"",COUNTIF($AC$5:AC13,"x"))</f>
        <v/>
      </c>
      <c r="AD118" s="3707" t="str">
        <f>IF(((COUNTIF($AD$5:AD13,"x"))-(COUNTIF($AD$5:AD12,"x")))=0,"",COUNTIF($AD$5:AD13,"x"))</f>
        <v/>
      </c>
      <c r="AE118" s="3707" t="str">
        <f>IF(((COUNTIF($AE$5:AE13,"x"))-(COUNTIF($AE$5:AE12,"x")))=0,"",COUNTIF($AE$5:AE13,"x"))</f>
        <v/>
      </c>
      <c r="AF118" s="3708" t="str">
        <f>IF(((COUNTIF($AF$5:AF13,"x"))-(COUNTIF($AF$5:AF12,"x")))=0,"",COUNTIF($AF$5:AF13,"x"))</f>
        <v/>
      </c>
      <c r="AG118" s="2120">
        <f t="shared" si="15"/>
        <v>0</v>
      </c>
    </row>
    <row r="119" spans="2:33" ht="18">
      <c r="B119" s="2136">
        <f t="shared" si="16"/>
        <v>10</v>
      </c>
      <c r="C119" s="3704" t="str">
        <f t="shared" si="13"/>
        <v>Aviator Xpro</v>
      </c>
      <c r="D119" s="3655"/>
      <c r="E119" s="3710"/>
      <c r="F119" s="3706">
        <f>IF(((COUNTIF($F$5:$F14,"x"))-(COUNTIF($F$5:$F13,"x")))=0,"",COUNTIF($F$5:$F14,"x"))</f>
        <v>5</v>
      </c>
      <c r="G119" s="3707">
        <f>IF(((COUNTIF($G$5:$G14,"x"))-(COUNTIF($G$5:$G13,"x")))=0,"",COUNTIF($G$5:$G14,"x"))</f>
        <v>4</v>
      </c>
      <c r="H119" s="3707">
        <f>IF(((COUNTIF($H$5:$H14,"x"))-(COUNTIF($H$5:$H13,"x")))=0,"",COUNTIF($H$5:$H14,"x"))</f>
        <v>5</v>
      </c>
      <c r="I119" s="3707">
        <f>IF(((COUNTIF($I$5:I14,"x"))-(COUNTIF($I$5:I13,"x")))=0,"",COUNTIF($I$5:I14,"x"))</f>
        <v>5</v>
      </c>
      <c r="J119" s="3707">
        <f>IF(((COUNTIF($J$5:J14,"x"))-(COUNTIF($J$5:J13,"x")))=0,"",COUNTIF($J$5:J14,"x"))</f>
        <v>4</v>
      </c>
      <c r="K119" s="3707">
        <f>IF(((COUNTIF($K$5:K14,"x"))-(COUNTIF($K$5:K13,"x")))=0,"",COUNTIF($K$5:K14,"x"))</f>
        <v>4</v>
      </c>
      <c r="L119" s="3707">
        <f>IF(((COUNTIF($L$5:L14,"x"))-(COUNTIF($L$5:L13,"x")))=0,"",COUNTIF($L$5:L14,"x"))</f>
        <v>4</v>
      </c>
      <c r="M119" s="3707">
        <f>IF(((COUNTIF($M$5:M14,"x"))-(COUNTIF($M$5:M13,"x")))=0,"",COUNTIF($M$5:M14,"x"))</f>
        <v>4</v>
      </c>
      <c r="N119" s="3707" t="str">
        <f>IF(((COUNTIF($N$5:N14,"x"))-(COUNTIF($N$5:N13,"x")))=0,"",COUNTIF($N$5:N14,"x"))</f>
        <v/>
      </c>
      <c r="O119" s="3707">
        <f>IF(((COUNTIF($O$5:O14,"x"))-(COUNTIF($O$5:O13,"x")))=0,"",COUNTIF($O$5:O14,"x"))</f>
        <v>3</v>
      </c>
      <c r="P119" s="3707" t="str">
        <f>IF(((COUNTIF($P$5:P14,"x"))-(COUNTIF($P$5:P13,"x")))=0,"",COUNTIF($P$5:P14,"x"))</f>
        <v/>
      </c>
      <c r="Q119" s="3707" t="str">
        <f>IF(((COUNTIF($Q$5:Q14,"x"))-(COUNTIF($Q$5:Q13,"x")))=0,"",COUNTIF($Q$5:Q14,"x"))</f>
        <v/>
      </c>
      <c r="R119" s="3707" t="str">
        <f>IF(((COUNTIF($R$5:R14,"x"))-(COUNTIF($R$5:R13,"x")))=0,"",COUNTIF($R$5:R14,"x"))</f>
        <v/>
      </c>
      <c r="S119" s="3707" t="str">
        <f>IF(((COUNTIF($S$5:S14,"x"))-(COUNTIF($S$5:S13,"x")))=0,"",COUNTIF($S$5:S14,"x"))</f>
        <v/>
      </c>
      <c r="T119" s="3707" t="str">
        <f>IF(((COUNTIF($T$5:T14,"x"))-(COUNTIF($T$5:T13,"x")))=0,"",COUNTIF($T$5:T14,"x"))</f>
        <v/>
      </c>
      <c r="U119" s="3707" t="str">
        <f>IF(((COUNTIF($U$5:U14,"x"))-(COUNTIF($U$5:U13,"x")))=0,"",COUNTIF($U$5:U14,"x"))</f>
        <v/>
      </c>
      <c r="V119" s="3707" t="str">
        <f>IF(((COUNTIF($V$5:V14,"x"))-(COUNTIF($V$5:V13,"x")))=0,"",COUNTIF($V$5:V14,"x"))</f>
        <v/>
      </c>
      <c r="W119" s="3707" t="str">
        <f>IF(((COUNTIF($W$5:W14,"x"))-(COUNTIF($W$5:W13,"x")))=0,"",COUNTIF($W$5:W14,"x"))</f>
        <v/>
      </c>
      <c r="X119" s="3707" t="str">
        <f>IF(((COUNTIF($X$5:X14,"x"))-(COUNTIF($X$5:X13,"x")))=0,"",COUNTIF($X$5:X14,"x"))</f>
        <v/>
      </c>
      <c r="Y119" s="3707" t="str">
        <f>IF(((COUNTIF($Y$5:Y14,"x"))-(COUNTIF($Y$5:Y13,"x")))=0,"",COUNTIF($Y$5:Y14,"x"))</f>
        <v/>
      </c>
      <c r="Z119" s="3707" t="str">
        <f>IF(((COUNTIF($Z$5:Z14,"x"))-(COUNTIF($Z$5:Z13,"x")))=0,"",COUNTIF($Z$5:Z14,"x"))</f>
        <v/>
      </c>
      <c r="AA119" s="3707" t="str">
        <f>IF(((COUNTIF($AA$5:AA14,"x"))-(COUNTIF($AA$5:AA13,"x")))=0,"",COUNTIF($AA$5:AA14,"x"))</f>
        <v/>
      </c>
      <c r="AB119" s="3707" t="str">
        <f>IF(((COUNTIF($AB$5:AB14,"x"))-(COUNTIF($AB$5:AB13,"x")))=0,"",COUNTIF($AB$5:AB14,"x"))</f>
        <v/>
      </c>
      <c r="AC119" s="3707" t="str">
        <f>IF(((COUNTIF($AC$5:AC14,"x"))-(COUNTIF($AC$5:AC13,"x")))=0,"",COUNTIF($AC$5:AC14,"x"))</f>
        <v/>
      </c>
      <c r="AD119" s="3707">
        <f>IF(((COUNTIF($AD$5:AD14,"x"))-(COUNTIF($AD$5:AD13,"x")))=0,"",COUNTIF($AD$5:AD14,"x"))</f>
        <v>8</v>
      </c>
      <c r="AE119" s="3707" t="str">
        <f>IF(((COUNTIF($AE$5:AE14,"x"))-(COUNTIF($AE$5:AE13,"x")))=0,"",COUNTIF($AE$5:AE14,"x"))</f>
        <v/>
      </c>
      <c r="AF119" s="3708" t="str">
        <f>IF(((COUNTIF($AF$5:AF14,"x"))-(COUNTIF($AF$5:AF13,"x")))=0,"",COUNTIF($AF$5:AF14,"x"))</f>
        <v/>
      </c>
      <c r="AG119" s="2120" t="str">
        <f t="shared" si="15"/>
        <v>Aviator Xpro</v>
      </c>
    </row>
    <row r="120" spans="2:33" ht="18">
      <c r="B120" s="2136">
        <f t="shared" si="16"/>
        <v>11</v>
      </c>
      <c r="C120" s="3704" t="str">
        <f t="shared" si="13"/>
        <v>Axial 50</v>
      </c>
      <c r="D120" s="3655"/>
      <c r="E120" s="3710"/>
      <c r="F120" s="3706">
        <f>IF(((COUNTIF($F$5:$F15,"x"))-(COUNTIF($F$5:$F14,"x")))=0,"",COUNTIF($F$5:$F15,"x"))</f>
        <v>6</v>
      </c>
      <c r="G120" s="3707">
        <f>IF(((COUNTIF($G$5:$G15,"x"))-(COUNTIF($G$5:$G14,"x")))=0,"",COUNTIF($G$5:$G15,"x"))</f>
        <v>5</v>
      </c>
      <c r="H120" s="3707">
        <f>IF(((COUNTIF($H$5:$H15,"x"))-(COUNTIF($H$5:$H14,"x")))=0,"",COUNTIF($H$5:$H15,"x"))</f>
        <v>6</v>
      </c>
      <c r="I120" s="3707">
        <f>IF(((COUNTIF($I$5:I15,"x"))-(COUNTIF($I$5:I14,"x")))=0,"",COUNTIF($I$5:I15,"x"))</f>
        <v>6</v>
      </c>
      <c r="J120" s="3707">
        <f>IF(((COUNTIF($J$5:J15,"x"))-(COUNTIF($J$5:J14,"x")))=0,"",COUNTIF($J$5:J15,"x"))</f>
        <v>5</v>
      </c>
      <c r="K120" s="3707">
        <f>IF(((COUNTIF($K$5:K15,"x"))-(COUNTIF($K$5:K14,"x")))=0,"",COUNTIF($K$5:K15,"x"))</f>
        <v>5</v>
      </c>
      <c r="L120" s="3707">
        <f>IF(((COUNTIF($L$5:L15,"x"))-(COUNTIF($L$5:L14,"x")))=0,"",COUNTIF($L$5:L15,"x"))</f>
        <v>5</v>
      </c>
      <c r="M120" s="3707">
        <f>IF(((COUNTIF($M$5:M15,"x"))-(COUNTIF($M$5:M14,"x")))=0,"",COUNTIF($M$5:M15,"x"))</f>
        <v>5</v>
      </c>
      <c r="N120" s="3707" t="str">
        <f>IF(((COUNTIF($N$5:N15,"x"))-(COUNTIF($N$5:N14,"x")))=0,"",COUNTIF($N$5:N15,"x"))</f>
        <v/>
      </c>
      <c r="O120" s="3707">
        <f>IF(((COUNTIF($O$5:O15,"x"))-(COUNTIF($O$5:O14,"x")))=0,"",COUNTIF($O$5:O15,"x"))</f>
        <v>4</v>
      </c>
      <c r="P120" s="3707" t="str">
        <f>IF(((COUNTIF($P$5:P15,"x"))-(COUNTIF($P$5:P14,"x")))=0,"",COUNTIF($P$5:P15,"x"))</f>
        <v/>
      </c>
      <c r="Q120" s="3707" t="str">
        <f>IF(((COUNTIF($Q$5:Q15,"x"))-(COUNTIF($Q$5:Q14,"x")))=0,"",COUNTIF($Q$5:Q15,"x"))</f>
        <v/>
      </c>
      <c r="R120" s="3707" t="str">
        <f>IF(((COUNTIF($R$5:R15,"x"))-(COUNTIF($R$5:R14,"x")))=0,"",COUNTIF($R$5:R15,"x"))</f>
        <v/>
      </c>
      <c r="S120" s="3707" t="str">
        <f>IF(((COUNTIF($S$5:S15,"x"))-(COUNTIF($S$5:S14,"x")))=0,"",COUNTIF($S$5:S15,"x"))</f>
        <v/>
      </c>
      <c r="T120" s="3707" t="str">
        <f>IF(((COUNTIF($T$5:T15,"x"))-(COUNTIF($T$5:T14,"x")))=0,"",COUNTIF($T$5:T15,"x"))</f>
        <v/>
      </c>
      <c r="U120" s="3707" t="str">
        <f>IF(((COUNTIF($U$5:U15,"x"))-(COUNTIF($U$5:U14,"x")))=0,"",COUNTIF($U$5:U15,"x"))</f>
        <v/>
      </c>
      <c r="V120" s="3707" t="str">
        <f>IF(((COUNTIF($V$5:V15,"x"))-(COUNTIF($V$5:V14,"x")))=0,"",COUNTIF($V$5:V15,"x"))</f>
        <v/>
      </c>
      <c r="W120" s="3707" t="str">
        <f>IF(((COUNTIF($W$5:W15,"x"))-(COUNTIF($W$5:W14,"x")))=0,"",COUNTIF($W$5:W15,"x"))</f>
        <v/>
      </c>
      <c r="X120" s="3707" t="str">
        <f>IF(((COUNTIF($X$5:X15,"x"))-(COUNTIF($X$5:X14,"x")))=0,"",COUNTIF($X$5:X15,"x"))</f>
        <v/>
      </c>
      <c r="Y120" s="3707" t="str">
        <f>IF(((COUNTIF($Y$5:Y15,"x"))-(COUNTIF($Y$5:Y14,"x")))=0,"",COUNTIF($Y$5:Y15,"x"))</f>
        <v/>
      </c>
      <c r="Z120" s="3707" t="str">
        <f>IF(((COUNTIF($Z$5:Z15,"x"))-(COUNTIF($Z$5:Z14,"x")))=0,"",COUNTIF($Z$5:Z15,"x"))</f>
        <v/>
      </c>
      <c r="AA120" s="3707" t="str">
        <f>IF(((COUNTIF($AA$5:AA15,"x"))-(COUNTIF($AA$5:AA14,"x")))=0,"",COUNTIF($AA$5:AA15,"x"))</f>
        <v/>
      </c>
      <c r="AB120" s="3707" t="str">
        <f>IF(((COUNTIF($AB$5:AB15,"x"))-(COUNTIF($AB$5:AB14,"x")))=0,"",COUNTIF($AB$5:AB15,"x"))</f>
        <v/>
      </c>
      <c r="AC120" s="3707" t="str">
        <f>IF(((COUNTIF($AC$5:AC15,"x"))-(COUNTIF($AC$5:AC14,"x")))=0,"",COUNTIF($AC$5:AC15,"x"))</f>
        <v/>
      </c>
      <c r="AD120" s="3707">
        <f>IF(((COUNTIF($AD$5:AD15,"x"))-(COUNTIF($AD$5:AD14,"x")))=0,"",COUNTIF($AD$5:AD15,"x"))</f>
        <v>9</v>
      </c>
      <c r="AE120" s="3707" t="str">
        <f>IF(((COUNTIF($AE$5:AE15,"x"))-(COUNTIF($AE$5:AE14,"x")))=0,"",COUNTIF($AE$5:AE15,"x"))</f>
        <v/>
      </c>
      <c r="AF120" s="3708" t="str">
        <f>IF(((COUNTIF($AF$5:AF15,"x"))-(COUNTIF($AF$5:AF14,"x")))=0,"",COUNTIF($AF$5:AF15,"x"))</f>
        <v/>
      </c>
      <c r="AG120" s="2120" t="str">
        <f t="shared" si="15"/>
        <v>Axial 50</v>
      </c>
    </row>
    <row r="121" spans="2:33" ht="18">
      <c r="B121" s="2136">
        <f t="shared" si="16"/>
        <v>12</v>
      </c>
      <c r="C121" s="3704">
        <f t="shared" si="13"/>
        <v>0</v>
      </c>
      <c r="D121" s="3655"/>
      <c r="E121" s="3710"/>
      <c r="F121" s="3706" t="str">
        <f>IF(((COUNTIF($F$5:$F16,"x"))-(COUNTIF($F$5:$F15,"x")))=0,"",COUNTIF($F$5:$F16,"x"))</f>
        <v/>
      </c>
      <c r="G121" s="3707" t="str">
        <f>IF(((COUNTIF($G$5:$G16,"x"))-(COUNTIF($G$5:$G15,"x")))=0,"",COUNTIF($G$5:$G16,"x"))</f>
        <v/>
      </c>
      <c r="H121" s="3707" t="str">
        <f>IF(((COUNTIF($H$5:$H16,"x"))-(COUNTIF($H$5:$H15,"x")))=0,"",COUNTIF($H$5:$H16,"x"))</f>
        <v/>
      </c>
      <c r="I121" s="3707" t="str">
        <f>IF(((COUNTIF($I$5:I16,"x"))-(COUNTIF($I$5:I15,"x")))=0,"",COUNTIF($I$5:I16,"x"))</f>
        <v/>
      </c>
      <c r="J121" s="3707" t="str">
        <f>IF(((COUNTIF($J$5:J16,"x"))-(COUNTIF($J$5:J15,"x")))=0,"",COUNTIF($J$5:J16,"x"))</f>
        <v/>
      </c>
      <c r="K121" s="3707" t="str">
        <f>IF(((COUNTIF($K$5:K16,"x"))-(COUNTIF($K$5:K15,"x")))=0,"",COUNTIF($K$5:K16,"x"))</f>
        <v/>
      </c>
      <c r="L121" s="3707" t="str">
        <f>IF(((COUNTIF($L$5:L16,"x"))-(COUNTIF($L$5:L15,"x")))=0,"",COUNTIF($L$5:L16,"x"))</f>
        <v/>
      </c>
      <c r="M121" s="3707" t="str">
        <f>IF(((COUNTIF($M$5:M16,"x"))-(COUNTIF($M$5:M15,"x")))=0,"",COUNTIF($M$5:M16,"x"))</f>
        <v/>
      </c>
      <c r="N121" s="3707" t="str">
        <f>IF(((COUNTIF($N$5:N16,"x"))-(COUNTIF($N$5:N15,"x")))=0,"",COUNTIF($N$5:N16,"x"))</f>
        <v/>
      </c>
      <c r="O121" s="3707" t="str">
        <f>IF(((COUNTIF($O$5:O16,"x"))-(COUNTIF($O$5:O15,"x")))=0,"",COUNTIF($O$5:O16,"x"))</f>
        <v/>
      </c>
      <c r="P121" s="3707" t="str">
        <f>IF(((COUNTIF($P$5:P16,"x"))-(COUNTIF($P$5:P15,"x")))=0,"",COUNTIF($P$5:P16,"x"))</f>
        <v/>
      </c>
      <c r="Q121" s="3707" t="str">
        <f>IF(((COUNTIF($Q$5:Q16,"x"))-(COUNTIF($Q$5:Q15,"x")))=0,"",COUNTIF($Q$5:Q16,"x"))</f>
        <v/>
      </c>
      <c r="R121" s="3707" t="str">
        <f>IF(((COUNTIF($R$5:R16,"x"))-(COUNTIF($R$5:R15,"x")))=0,"",COUNTIF($R$5:R16,"x"))</f>
        <v/>
      </c>
      <c r="S121" s="3707" t="str">
        <f>IF(((COUNTIF($S$5:S16,"x"))-(COUNTIF($S$5:S15,"x")))=0,"",COUNTIF($S$5:S16,"x"))</f>
        <v/>
      </c>
      <c r="T121" s="3707" t="str">
        <f>IF(((COUNTIF($T$5:T16,"x"))-(COUNTIF($T$5:T15,"x")))=0,"",COUNTIF($T$5:T16,"x"))</f>
        <v/>
      </c>
      <c r="U121" s="3707" t="str">
        <f>IF(((COUNTIF($U$5:U16,"x"))-(COUNTIF($U$5:U15,"x")))=0,"",COUNTIF($U$5:U16,"x"))</f>
        <v/>
      </c>
      <c r="V121" s="3707" t="str">
        <f>IF(((COUNTIF($V$5:V16,"x"))-(COUNTIF($V$5:V15,"x")))=0,"",COUNTIF($V$5:V16,"x"))</f>
        <v/>
      </c>
      <c r="W121" s="3707" t="str">
        <f>IF(((COUNTIF($W$5:W16,"x"))-(COUNTIF($W$5:W15,"x")))=0,"",COUNTIF($W$5:W16,"x"))</f>
        <v/>
      </c>
      <c r="X121" s="3707" t="str">
        <f>IF(((COUNTIF($X$5:X16,"x"))-(COUNTIF($X$5:X15,"x")))=0,"",COUNTIF($X$5:X16,"x"))</f>
        <v/>
      </c>
      <c r="Y121" s="3707" t="str">
        <f>IF(((COUNTIF($Y$5:Y16,"x"))-(COUNTIF($Y$5:Y15,"x")))=0,"",COUNTIF($Y$5:Y16,"x"))</f>
        <v/>
      </c>
      <c r="Z121" s="3707" t="str">
        <f>IF(((COUNTIF($Z$5:Z16,"x"))-(COUNTIF($Z$5:Z15,"x")))=0,"",COUNTIF($Z$5:Z16,"x"))</f>
        <v/>
      </c>
      <c r="AA121" s="3707" t="str">
        <f>IF(((COUNTIF($AA$5:AA16,"x"))-(COUNTIF($AA$5:AA15,"x")))=0,"",COUNTIF($AA$5:AA16,"x"))</f>
        <v/>
      </c>
      <c r="AB121" s="3707" t="str">
        <f>IF(((COUNTIF($AB$5:AB16,"x"))-(COUNTIF($AB$5:AB15,"x")))=0,"",COUNTIF($AB$5:AB16,"x"))</f>
        <v/>
      </c>
      <c r="AC121" s="3707" t="str">
        <f>IF(((COUNTIF($AC$5:AC16,"x"))-(COUNTIF($AC$5:AC15,"x")))=0,"",COUNTIF($AC$5:AC16,"x"))</f>
        <v/>
      </c>
      <c r="AD121" s="3707" t="str">
        <f>IF(((COUNTIF($AD$5:AD16,"x"))-(COUNTIF($AD$5:AD15,"x")))=0,"",COUNTIF($AD$5:AD16,"x"))</f>
        <v/>
      </c>
      <c r="AE121" s="3707" t="str">
        <f>IF(((COUNTIF($AE$5:AE16,"x"))-(COUNTIF($AE$5:AE15,"x")))=0,"",COUNTIF($AE$5:AE16,"x"))</f>
        <v/>
      </c>
      <c r="AF121" s="3708" t="str">
        <f>IF(((COUNTIF($AF$5:AF16,"x"))-(COUNTIF($AF$5:AF15,"x")))=0,"",COUNTIF($AF$5:AF16,"x"))</f>
        <v/>
      </c>
      <c r="AG121" s="2120">
        <f t="shared" si="15"/>
        <v>0</v>
      </c>
    </row>
    <row r="122" spans="2:33" ht="18">
      <c r="B122" s="2136">
        <f t="shared" si="16"/>
        <v>13</v>
      </c>
      <c r="C122" s="3711" t="str">
        <f t="shared" si="13"/>
        <v>Bandur</v>
      </c>
      <c r="D122" s="3655"/>
      <c r="E122" s="3710"/>
      <c r="F122" s="3706" t="str">
        <f>IF(((COUNTIF($F$5:$F17,"x"))-(COUNTIF($F$5:$F16,"x")))=0,"",COUNTIF($F$5:$F17,"x"))</f>
        <v/>
      </c>
      <c r="G122" s="3707" t="str">
        <f>IF(((COUNTIF($G$5:$G17,"x"))-(COUNTIF($G$5:$G16,"x")))=0,"",COUNTIF($G$5:$G17,"x"))</f>
        <v/>
      </c>
      <c r="H122" s="3707" t="str">
        <f>IF(((COUNTIF($H$5:$H17,"x"))-(COUNTIF($H$5:$H16,"x")))=0,"",COUNTIF($H$5:$H17,"x"))</f>
        <v/>
      </c>
      <c r="I122" s="3707" t="str">
        <f>IF(((COUNTIF($I$5:I17,"x"))-(COUNTIF($I$5:I16,"x")))=0,"",COUNTIF($I$5:I17,"x"))</f>
        <v/>
      </c>
      <c r="J122" s="3707" t="str">
        <f>IF(((COUNTIF($J$5:J17,"x"))-(COUNTIF($J$5:J16,"x")))=0,"",COUNTIF($J$5:J17,"x"))</f>
        <v/>
      </c>
      <c r="K122" s="3707" t="str">
        <f>IF(((COUNTIF($K$5:K17,"x"))-(COUNTIF($K$5:K16,"x")))=0,"",COUNTIF($K$5:K17,"x"))</f>
        <v/>
      </c>
      <c r="L122" s="3707" t="str">
        <f>IF(((COUNTIF($L$5:L17,"x"))-(COUNTIF($L$5:L16,"x")))=0,"",COUNTIF($L$5:L17,"x"))</f>
        <v/>
      </c>
      <c r="M122" s="3707" t="str">
        <f>IF(((COUNTIF($M$5:M17,"x"))-(COUNTIF($M$5:M16,"x")))=0,"",COUNTIF($M$5:M17,"x"))</f>
        <v/>
      </c>
      <c r="N122" s="3707" t="str">
        <f>IF(((COUNTIF($N$5:N17,"x"))-(COUNTIF($N$5:N16,"x")))=0,"",COUNTIF($N$5:N17,"x"))</f>
        <v/>
      </c>
      <c r="O122" s="3707" t="str">
        <f>IF(((COUNTIF($O$5:O17,"x"))-(COUNTIF($O$5:O16,"x")))=0,"",COUNTIF($O$5:O17,"x"))</f>
        <v/>
      </c>
      <c r="P122" s="3707" t="str">
        <f>IF(((COUNTIF($P$5:P17,"x"))-(COUNTIF($P$5:P16,"x")))=0,"",COUNTIF($P$5:P17,"x"))</f>
        <v/>
      </c>
      <c r="Q122" s="3707" t="str">
        <f>IF(((COUNTIF($Q$5:Q17,"x"))-(COUNTIF($Q$5:Q16,"x")))=0,"",COUNTIF($Q$5:Q17,"x"))</f>
        <v/>
      </c>
      <c r="R122" s="3707" t="str">
        <f>IF(((COUNTIF($R$5:R17,"x"))-(COUNTIF($R$5:R16,"x")))=0,"",COUNTIF($R$5:R17,"x"))</f>
        <v/>
      </c>
      <c r="S122" s="3707" t="str">
        <f>IF(((COUNTIF($S$5:S17,"x"))-(COUNTIF($S$5:S16,"x")))=0,"",COUNTIF($S$5:S17,"x"))</f>
        <v/>
      </c>
      <c r="T122" s="3707" t="str">
        <f>IF(((COUNTIF($T$5:T17,"x"))-(COUNTIF($T$5:T16,"x")))=0,"",COUNTIF($T$5:T17,"x"))</f>
        <v/>
      </c>
      <c r="U122" s="3707">
        <f>IF(((COUNTIF($U$5:U17,"x"))-(COUNTIF($U$5:U16,"x")))=0,"",COUNTIF($U$5:U17,"x"))</f>
        <v>2</v>
      </c>
      <c r="V122" s="3707" t="str">
        <f>IF(((COUNTIF($V$5:V17,"x"))-(COUNTIF($V$5:V16,"x")))=0,"",COUNTIF($V$5:V17,"x"))</f>
        <v/>
      </c>
      <c r="W122" s="3707" t="str">
        <f>IF(((COUNTIF($W$5:W17,"x"))-(COUNTIF($W$5:W16,"x")))=0,"",COUNTIF($W$5:W17,"x"))</f>
        <v/>
      </c>
      <c r="X122" s="3707">
        <f>IF(((COUNTIF($X$5:X17,"x"))-(COUNTIF($X$5:X16,"x")))=0,"",COUNTIF($X$5:X17,"x"))</f>
        <v>2</v>
      </c>
      <c r="Y122" s="3707">
        <f>IF(((COUNTIF($Y$5:Y17,"x"))-(COUNTIF($Y$5:Y16,"x")))=0,"",COUNTIF($Y$5:Y17,"x"))</f>
        <v>2</v>
      </c>
      <c r="Z122" s="3707" t="str">
        <f>IF(((COUNTIF($Z$5:Z17,"x"))-(COUNTIF($Z$5:Z16,"x")))=0,"",COUNTIF($Z$5:Z17,"x"))</f>
        <v/>
      </c>
      <c r="AA122" s="3707" t="str">
        <f>IF(((COUNTIF($AA$5:AA17,"x"))-(COUNTIF($AA$5:AA16,"x")))=0,"",COUNTIF($AA$5:AA17,"x"))</f>
        <v/>
      </c>
      <c r="AB122" s="3707">
        <f>IF(((COUNTIF($AB$5:AB17,"x"))-(COUNTIF($AB$5:AB16,"x")))=0,"",COUNTIF($AB$5:AB17,"x"))</f>
        <v>3</v>
      </c>
      <c r="AC122" s="3707" t="str">
        <f>IF(((COUNTIF($AC$5:AC17,"x"))-(COUNTIF($AC$5:AC16,"x")))=0,"",COUNTIF($AC$5:AC17,"x"))</f>
        <v/>
      </c>
      <c r="AD122" s="3707">
        <f>IF(((COUNTIF($AD$5:AD17,"x"))-(COUNTIF($AD$5:AD16,"x")))=0,"",COUNTIF($AD$5:AD17,"x"))</f>
        <v>10</v>
      </c>
      <c r="AE122" s="3707" t="str">
        <f>IF(((COUNTIF($AE$5:AE17,"x"))-(COUNTIF($AE$5:AE16,"x")))=0,"",COUNTIF($AE$5:AE17,"x"))</f>
        <v/>
      </c>
      <c r="AF122" s="3708" t="str">
        <f>IF(((COUNTIF($AF$5:AF17,"x"))-(COUNTIF($AF$5:AF16,"x")))=0,"",COUNTIF($AF$5:AF17,"x"))</f>
        <v/>
      </c>
      <c r="AG122" s="2120" t="str">
        <f t="shared" si="15"/>
        <v>Bandur</v>
      </c>
    </row>
    <row r="123" spans="2:33" ht="18">
      <c r="B123" s="2136">
        <f t="shared" si="16"/>
        <v>14</v>
      </c>
      <c r="C123" s="3711" t="str">
        <f t="shared" si="13"/>
        <v>Betanal Tandem + Mero</v>
      </c>
      <c r="D123" s="3655"/>
      <c r="E123" s="3710"/>
      <c r="F123" s="3706" t="str">
        <f>IF(((COUNTIF($F$5:$F18,"x"))-(COUNTIF($F$5:$F17,"x")))=0,"",COUNTIF($F$5:$F18,"x"))</f>
        <v/>
      </c>
      <c r="G123" s="3707" t="str">
        <f>IF(((COUNTIF($G$5:$G18,"x"))-(COUNTIF($G$5:$G17,"x")))=0,"",COUNTIF($G$5:$G18,"x"))</f>
        <v/>
      </c>
      <c r="H123" s="3707" t="str">
        <f>IF(((COUNTIF($H$5:$H18,"x"))-(COUNTIF($H$5:$H17,"x")))=0,"",COUNTIF($H$5:$H18,"x"))</f>
        <v/>
      </c>
      <c r="I123" s="3707" t="str">
        <f>IF(((COUNTIF($I$5:I18,"x"))-(COUNTIF($I$5:I17,"x")))=0,"",COUNTIF($I$5:I18,"x"))</f>
        <v/>
      </c>
      <c r="J123" s="3707" t="str">
        <f>IF(((COUNTIF($J$5:J18,"x"))-(COUNTIF($J$5:J17,"x")))=0,"",COUNTIF($J$5:J18,"x"))</f>
        <v/>
      </c>
      <c r="K123" s="3707" t="str">
        <f>IF(((COUNTIF($K$5:K18,"x"))-(COUNTIF($K$5:K17,"x")))=0,"",COUNTIF($K$5:K18,"x"))</f>
        <v/>
      </c>
      <c r="L123" s="3707" t="str">
        <f>IF(((COUNTIF($L$5:L18,"x"))-(COUNTIF($L$5:L17,"x")))=0,"",COUNTIF($L$5:L18,"x"))</f>
        <v/>
      </c>
      <c r="M123" s="3707" t="str">
        <f>IF(((COUNTIF($M$5:M18,"x"))-(COUNTIF($M$5:M17,"x")))=0,"",COUNTIF($M$5:M18,"x"))</f>
        <v/>
      </c>
      <c r="N123" s="3707" t="str">
        <f>IF(((COUNTIF($N$5:N18,"x"))-(COUNTIF($N$5:N17,"x")))=0,"",COUNTIF($N$5:N18,"x"))</f>
        <v/>
      </c>
      <c r="O123" s="3707" t="str">
        <f>IF(((COUNTIF($O$5:O18,"x"))-(COUNTIF($O$5:O17,"x")))=0,"",COUNTIF($O$5:O18,"x"))</f>
        <v/>
      </c>
      <c r="P123" s="3707" t="str">
        <f>IF(((COUNTIF($P$5:P18,"x"))-(COUNTIF($P$5:P17,"x")))=0,"",COUNTIF($P$5:P18,"x"))</f>
        <v/>
      </c>
      <c r="Q123" s="3707" t="str">
        <f>IF(((COUNTIF($Q$5:Q18,"x"))-(COUNTIF($Q$5:Q17,"x")))=0,"",COUNTIF($Q$5:Q18,"x"))</f>
        <v/>
      </c>
      <c r="R123" s="3707" t="str">
        <f>IF(((COUNTIF($R$5:R18,"x"))-(COUNTIF($R$5:R17,"x")))=0,"",COUNTIF($R$5:R18,"x"))</f>
        <v/>
      </c>
      <c r="S123" s="3707" t="str">
        <f>IF(((COUNTIF($S$5:S18,"x"))-(COUNTIF($S$5:S17,"x")))=0,"",COUNTIF($S$5:S18,"x"))</f>
        <v/>
      </c>
      <c r="T123" s="3707" t="str">
        <f>IF(((COUNTIF($T$5:T18,"x"))-(COUNTIF($T$5:T17,"x")))=0,"",COUNTIF($T$5:T18,"x"))</f>
        <v/>
      </c>
      <c r="U123" s="3707" t="str">
        <f>IF(((COUNTIF($U$5:U18,"x"))-(COUNTIF($U$5:U17,"x")))=0,"",COUNTIF($U$5:U18,"x"))</f>
        <v/>
      </c>
      <c r="V123" s="3707" t="str">
        <f>IF(((COUNTIF($V$5:V18,"x"))-(COUNTIF($V$5:V17,"x")))=0,"",COUNTIF($V$5:V18,"x"))</f>
        <v/>
      </c>
      <c r="W123" s="3707" t="str">
        <f>IF(((COUNTIF($W$5:W18,"x"))-(COUNTIF($W$5:W17,"x")))=0,"",COUNTIF($W$5:W18,"x"))</f>
        <v/>
      </c>
      <c r="X123" s="3707" t="str">
        <f>IF(((COUNTIF($X$5:X18,"x"))-(COUNTIF($X$5:X17,"x")))=0,"",COUNTIF($X$5:X18,"x"))</f>
        <v/>
      </c>
      <c r="Y123" s="3707" t="str">
        <f>IF(((COUNTIF($Y$5:Y18,"x"))-(COUNTIF($Y$5:Y17,"x")))=0,"",COUNTIF($Y$5:Y18,"x"))</f>
        <v/>
      </c>
      <c r="Z123" s="3707" t="str">
        <f>IF(((COUNTIF($Z$5:Z18,"x"))-(COUNTIF($Z$5:Z17,"x")))=0,"",COUNTIF($Z$5:Z18,"x"))</f>
        <v/>
      </c>
      <c r="AA123" s="3707">
        <f>IF(((COUNTIF($AA$5:AA18,"x"))-(COUNTIF($AA$5:AA17,"x")))=0,"",COUNTIF($AA$5:AA18,"x"))</f>
        <v>2</v>
      </c>
      <c r="AB123" s="3707" t="str">
        <f>IF(((COUNTIF($AB$5:AB18,"x"))-(COUNTIF($AB$5:AB17,"x")))=0,"",COUNTIF($AB$5:AB18,"x"))</f>
        <v/>
      </c>
      <c r="AC123" s="3707" t="str">
        <f>IF(((COUNTIF($AC$5:AC18,"x"))-(COUNTIF($AC$5:AC17,"x")))=0,"",COUNTIF($AC$5:AC18,"x"))</f>
        <v/>
      </c>
      <c r="AD123" s="3707">
        <f>IF(((COUNTIF($AD$5:AD18,"x"))-(COUNTIF($AD$5:AD17,"x")))=0,"",COUNTIF($AD$5:AD18,"x"))</f>
        <v>11</v>
      </c>
      <c r="AE123" s="3707" t="str">
        <f>IF(((COUNTIF($AE$5:AE18,"x"))-(COUNTIF($AE$5:AE17,"x")))=0,"",COUNTIF($AE$5:AE18,"x"))</f>
        <v/>
      </c>
      <c r="AF123" s="3708" t="str">
        <f>IF(((COUNTIF($AF$5:AF18,"x"))-(COUNTIF($AF$5:AF17,"x")))=0,"",COUNTIF($AF$5:AF18,"x"))</f>
        <v/>
      </c>
      <c r="AG123" s="2120" t="str">
        <f t="shared" si="15"/>
        <v>Betanal Tandem + Mero</v>
      </c>
    </row>
    <row r="124" spans="2:33" ht="18">
      <c r="B124" s="2136">
        <f t="shared" si="16"/>
        <v>15</v>
      </c>
      <c r="C124" s="3711" t="str">
        <f t="shared" si="13"/>
        <v>Biathlon 4D +Dash</v>
      </c>
      <c r="D124" s="3655"/>
      <c r="E124" s="3710"/>
      <c r="F124" s="3706">
        <f>IF(((COUNTIF($F$5:$F19,"x"))-(COUNTIF($F$5:$F18,"x")))=0,"",COUNTIF($F$5:$F19,"x"))</f>
        <v>7</v>
      </c>
      <c r="G124" s="3707">
        <f>IF(((COUNTIF($G$5:$G19,"x"))-(COUNTIF($G$5:$G18,"x")))=0,"",COUNTIF($G$5:$G19,"x"))</f>
        <v>6</v>
      </c>
      <c r="H124" s="3707">
        <f>IF(((COUNTIF($H$5:$H19,"x"))-(COUNTIF($H$5:$H18,"x")))=0,"",COUNTIF($H$5:$H19,"x"))</f>
        <v>7</v>
      </c>
      <c r="I124" s="3707">
        <f>IF(((COUNTIF($I$5:I19,"x"))-(COUNTIF($I$5:I18,"x")))=0,"",COUNTIF($I$5:I19,"x"))</f>
        <v>7</v>
      </c>
      <c r="J124" s="3707">
        <f>IF(((COUNTIF($J$5:J19,"x"))-(COUNTIF($J$5:J18,"x")))=0,"",COUNTIF($J$5:J19,"x"))</f>
        <v>6</v>
      </c>
      <c r="K124" s="3707">
        <f>IF(((COUNTIF($K$5:K19,"x"))-(COUNTIF($K$5:K18,"x")))=0,"",COUNTIF($K$5:K19,"x"))</f>
        <v>6</v>
      </c>
      <c r="L124" s="3707">
        <f>IF(((COUNTIF($L$5:L19,"x"))-(COUNTIF($L$5:L18,"x")))=0,"",COUNTIF($L$5:L19,"x"))</f>
        <v>6</v>
      </c>
      <c r="M124" s="3707">
        <f>IF(((COUNTIF($M$5:M19,"x"))-(COUNTIF($M$5:M18,"x")))=0,"",COUNTIF($M$5:M19,"x"))</f>
        <v>6</v>
      </c>
      <c r="N124" s="3707">
        <f>IF(((COUNTIF($N$5:N19,"x"))-(COUNTIF($N$5:N18,"x")))=0,"",COUNTIF($N$5:N19,"x"))</f>
        <v>4</v>
      </c>
      <c r="O124" s="3707">
        <f>IF(((COUNTIF($O$5:O19,"x"))-(COUNTIF($O$5:O18,"x")))=0,"",COUNTIF($O$5:O19,"x"))</f>
        <v>5</v>
      </c>
      <c r="P124" s="3707">
        <f>IF(((COUNTIF($P$5:P19,"x"))-(COUNTIF($P$5:P18,"x")))=0,"",COUNTIF($P$5:P19,"x"))</f>
        <v>2</v>
      </c>
      <c r="Q124" s="3707" t="str">
        <f>IF(((COUNTIF($Q$5:Q19,"x"))-(COUNTIF($Q$5:Q18,"x")))=0,"",COUNTIF($Q$5:Q19,"x"))</f>
        <v/>
      </c>
      <c r="R124" s="3707" t="str">
        <f>IF(((COUNTIF($R$5:R19,"x"))-(COUNTIF($R$5:R18,"x")))=0,"",COUNTIF($R$5:R19,"x"))</f>
        <v/>
      </c>
      <c r="S124" s="3707" t="str">
        <f>IF(((COUNTIF($S$5:S19,"x"))-(COUNTIF($S$5:S18,"x")))=0,"",COUNTIF($S$5:S19,"x"))</f>
        <v/>
      </c>
      <c r="T124" s="3707" t="str">
        <f>IF(((COUNTIF($T$5:T19,"x"))-(COUNTIF($T$5:T18,"x")))=0,"",COUNTIF($T$5:T19,"x"))</f>
        <v/>
      </c>
      <c r="U124" s="3707" t="str">
        <f>IF(((COUNTIF($U$5:U19,"x"))-(COUNTIF($U$5:U18,"x")))=0,"",COUNTIF($U$5:U19,"x"))</f>
        <v/>
      </c>
      <c r="V124" s="3707" t="str">
        <f>IF(((COUNTIF($V$5:V19,"x"))-(COUNTIF($V$5:V18,"x")))=0,"",COUNTIF($V$5:V19,"x"))</f>
        <v/>
      </c>
      <c r="W124" s="3707" t="str">
        <f>IF(((COUNTIF($W$5:W19,"x"))-(COUNTIF($W$5:W18,"x")))=0,"",COUNTIF($W$5:W19,"x"))</f>
        <v/>
      </c>
      <c r="X124" s="3707" t="str">
        <f>IF(((COUNTIF($X$5:X19,"x"))-(COUNTIF($X$5:X18,"x")))=0,"",COUNTIF($X$5:X19,"x"))</f>
        <v/>
      </c>
      <c r="Y124" s="3707" t="str">
        <f>IF(((COUNTIF($Y$5:Y19,"x"))-(COUNTIF($Y$5:Y18,"x")))=0,"",COUNTIF($Y$5:Y19,"x"))</f>
        <v/>
      </c>
      <c r="Z124" s="3707" t="str">
        <f>IF(((COUNTIF($Z$5:Z19,"x"))-(COUNTIF($Z$5:Z18,"x")))=0,"",COUNTIF($Z$5:Z19,"x"))</f>
        <v/>
      </c>
      <c r="AA124" s="3707" t="str">
        <f>IF(((COUNTIF($AA$5:AA19,"x"))-(COUNTIF($AA$5:AA18,"x")))=0,"",COUNTIF($AA$5:AA19,"x"))</f>
        <v/>
      </c>
      <c r="AB124" s="3707" t="str">
        <f>IF(((COUNTIF($AB$5:AB19,"x"))-(COUNTIF($AB$5:AB18,"x")))=0,"",COUNTIF($AB$5:AB19,"x"))</f>
        <v/>
      </c>
      <c r="AC124" s="3707" t="str">
        <f>IF(((COUNTIF($AC$5:AC19,"x"))-(COUNTIF($AC$5:AC18,"x")))=0,"",COUNTIF($AC$5:AC19,"x"))</f>
        <v/>
      </c>
      <c r="AD124" s="3707">
        <f>IF(((COUNTIF($AD$5:AD19,"x"))-(COUNTIF($AD$5:AD18,"x")))=0,"",COUNTIF($AD$5:AD19,"x"))</f>
        <v>12</v>
      </c>
      <c r="AE124" s="3707" t="str">
        <f>IF(((COUNTIF($AE$5:AE19,"x"))-(COUNTIF($AE$5:AE18,"x")))=0,"",COUNTIF($AE$5:AE19,"x"))</f>
        <v/>
      </c>
      <c r="AF124" s="3708" t="str">
        <f>IF(((COUNTIF($AF$5:AF19,"x"))-(COUNTIF($AF$5:AF18,"x")))=0,"",COUNTIF($AF$5:AF19,"x"))</f>
        <v/>
      </c>
      <c r="AG124" s="2120" t="str">
        <f t="shared" si="15"/>
        <v>Biathlon 4D +Dash</v>
      </c>
    </row>
    <row r="125" spans="2:33" ht="18">
      <c r="B125" s="2136">
        <f t="shared" si="16"/>
        <v>16</v>
      </c>
      <c r="C125" s="3711" t="str">
        <f t="shared" si="13"/>
        <v>Amistar Gold</v>
      </c>
      <c r="D125" s="3655"/>
      <c r="E125" s="3710"/>
      <c r="F125" s="3706" t="str">
        <f>IF(((COUNTIF($F$5:$F20,"x"))-(COUNTIF($F$5:$F19,"x")))=0,"",COUNTIF($F$5:$F20,"x"))</f>
        <v/>
      </c>
      <c r="G125" s="3707" t="str">
        <f>IF(((COUNTIF($G$5:$G20,"x"))-(COUNTIF($G$5:$G19,"x")))=0,"",COUNTIF($G$5:$G20,"x"))</f>
        <v/>
      </c>
      <c r="H125" s="3707" t="str">
        <f>IF(((COUNTIF($H$5:$H20,"x"))-(COUNTIF($H$5:$H19,"x")))=0,"",COUNTIF($H$5:$H20,"x"))</f>
        <v/>
      </c>
      <c r="I125" s="3707" t="str">
        <f>IF(((COUNTIF($I$5:I20,"x"))-(COUNTIF($I$5:I19,"x")))=0,"",COUNTIF($I$5:I20,"x"))</f>
        <v/>
      </c>
      <c r="J125" s="3707" t="str">
        <f>IF(((COUNTIF($J$5:J20,"x"))-(COUNTIF($J$5:J19,"x")))=0,"",COUNTIF($J$5:J20,"x"))</f>
        <v/>
      </c>
      <c r="K125" s="3707" t="str">
        <f>IF(((COUNTIF($K$5:K20,"x"))-(COUNTIF($K$5:K19,"x")))=0,"",COUNTIF($K$5:K20,"x"))</f>
        <v/>
      </c>
      <c r="L125" s="3707" t="str">
        <f>IF(((COUNTIF($L$5:L20,"x"))-(COUNTIF($L$5:L19,"x")))=0,"",COUNTIF($L$5:L20,"x"))</f>
        <v/>
      </c>
      <c r="M125" s="3707" t="str">
        <f>IF(((COUNTIF($M$5:M20,"x"))-(COUNTIF($M$5:M19,"x")))=0,"",COUNTIF($M$5:M20,"x"))</f>
        <v/>
      </c>
      <c r="N125" s="3707" t="str">
        <f>IF(((COUNTIF($N$5:N20,"x"))-(COUNTIF($N$5:N19,"x")))=0,"",COUNTIF($N$5:N20,"x"))</f>
        <v/>
      </c>
      <c r="O125" s="3707" t="str">
        <f>IF(((COUNTIF($O$5:O20,"x"))-(COUNTIF($O$5:O19,"x")))=0,"",COUNTIF($O$5:O20,"x"))</f>
        <v/>
      </c>
      <c r="P125" s="3707">
        <f>IF(((COUNTIF($P$5:P20,"x"))-(COUNTIF($P$5:P19,"x")))=0,"",COUNTIF($P$5:P20,"x"))</f>
        <v>3</v>
      </c>
      <c r="Q125" s="3707" t="str">
        <f>IF(((COUNTIF($Q$5:Q20,"x"))-(COUNTIF($Q$5:Q19,"x")))=0,"",COUNTIF($Q$5:Q20,"x"))</f>
        <v/>
      </c>
      <c r="R125" s="3707" t="str">
        <f>IF(((COUNTIF($R$5:R20,"x"))-(COUNTIF($R$5:R19,"x")))=0,"",COUNTIF($R$5:R20,"x"))</f>
        <v/>
      </c>
      <c r="S125" s="3707">
        <f>IF(((COUNTIF($S$5:S20,"x"))-(COUNTIF($S$5:S19,"x")))=0,"",COUNTIF($S$5:S20,"x"))</f>
        <v>2</v>
      </c>
      <c r="T125" s="3707" t="str">
        <f>IF(((COUNTIF($T$5:T20,"x"))-(COUNTIF($T$5:T19,"x")))=0,"",COUNTIF($T$5:T20,"x"))</f>
        <v/>
      </c>
      <c r="U125" s="3707" t="str">
        <f>IF(((COUNTIF($U$5:U20,"x"))-(COUNTIF($U$5:U19,"x")))=0,"",COUNTIF($U$5:U20,"x"))</f>
        <v/>
      </c>
      <c r="V125" s="3707" t="str">
        <f>IF(((COUNTIF($V$5:V20,"x"))-(COUNTIF($V$5:V19,"x")))=0,"",COUNTIF($V$5:V20,"x"))</f>
        <v/>
      </c>
      <c r="W125" s="3707" t="str">
        <f>IF(((COUNTIF($W$5:W20,"x"))-(COUNTIF($W$5:W19,"x")))=0,"",COUNTIF($W$5:W20,"x"))</f>
        <v/>
      </c>
      <c r="X125" s="3707" t="str">
        <f>IF(((COUNTIF($X$5:X20,"x"))-(COUNTIF($X$5:X19,"x")))=0,"",COUNTIF($X$5:X20,"x"))</f>
        <v/>
      </c>
      <c r="Y125" s="3707" t="str">
        <f>IF(((COUNTIF($Y$5:Y20,"x"))-(COUNTIF($Y$5:Y19,"x")))=0,"",COUNTIF($Y$5:Y20,"x"))</f>
        <v/>
      </c>
      <c r="Z125" s="3707" t="str">
        <f>IF(((COUNTIF($Z$5:Z20,"x"))-(COUNTIF($Z$5:Z19,"x")))=0,"",COUNTIF($Z$5:Z20,"x"))</f>
        <v/>
      </c>
      <c r="AA125" s="3707">
        <f>IF(((COUNTIF($AA$5:AA20,"x"))-(COUNTIF($AA$5:AA19,"x")))=0,"",COUNTIF($AA$5:AA20,"x"))</f>
        <v>3</v>
      </c>
      <c r="AB125" s="3707" t="str">
        <f>IF(((COUNTIF($AB$5:AB20,"x"))-(COUNTIF($AB$5:AB19,"x")))=0,"",COUNTIF($AB$5:AB20,"x"))</f>
        <v/>
      </c>
      <c r="AC125" s="3707" t="str">
        <f>IF(((COUNTIF($AC$5:AC20,"x"))-(COUNTIF($AC$5:AC19,"x")))=0,"",COUNTIF($AC$5:AC20,"x"))</f>
        <v/>
      </c>
      <c r="AD125" s="3707">
        <f>IF(((COUNTIF($AD$5:AD20,"x"))-(COUNTIF($AD$5:AD19,"x")))=0,"",COUNTIF($AD$5:AD20,"x"))</f>
        <v>13</v>
      </c>
      <c r="AE125" s="3707" t="str">
        <f>IF(((COUNTIF($AE$5:AE20,"x"))-(COUNTIF($AE$5:AE19,"x")))=0,"",COUNTIF($AE$5:AE20,"x"))</f>
        <v/>
      </c>
      <c r="AF125" s="3708" t="str">
        <f>IF(((COUNTIF($AF$5:AF20,"x"))-(COUNTIF($AF$5:AF19,"x")))=0,"",COUNTIF($AF$5:AF20,"x"))</f>
        <v/>
      </c>
      <c r="AG125" s="2120" t="str">
        <f t="shared" si="15"/>
        <v>Amistar Gold</v>
      </c>
    </row>
    <row r="126" spans="2:33" ht="18">
      <c r="B126" s="2136">
        <f t="shared" si="16"/>
        <v>17</v>
      </c>
      <c r="C126" s="3711" t="str">
        <f t="shared" si="13"/>
        <v>Boxer</v>
      </c>
      <c r="D126" s="3655"/>
      <c r="E126" s="3710"/>
      <c r="F126" s="3706">
        <f>IF(((COUNTIF($F$5:$F21,"x"))-(COUNTIF($F$5:$F20,"x")))=0,"",COUNTIF($F$5:$F21,"x"))</f>
        <v>8</v>
      </c>
      <c r="G126" s="3707">
        <f>IF(((COUNTIF($G$5:$G21,"x"))-(COUNTIF($G$5:$G20,"x")))=0,"",COUNTIF($G$5:$G21,"x"))</f>
        <v>7</v>
      </c>
      <c r="H126" s="3707">
        <f>IF(((COUNTIF($H$5:$H21,"x"))-(COUNTIF($H$5:$H20,"x")))=0,"",COUNTIF($H$5:$H21,"x"))</f>
        <v>8</v>
      </c>
      <c r="I126" s="3707" t="str">
        <f>IF(((COUNTIF($I$5:I21,"x"))-(COUNTIF($I$5:I20,"x")))=0,"",COUNTIF($I$5:I21,"x"))</f>
        <v/>
      </c>
      <c r="J126" s="3707">
        <f>IF(((COUNTIF($J$5:J21,"x"))-(COUNTIF($J$5:J20,"x")))=0,"",COUNTIF($J$5:J21,"x"))</f>
        <v>7</v>
      </c>
      <c r="K126" s="3707" t="str">
        <f>IF(((COUNTIF($K$5:K21,"x"))-(COUNTIF($K$5:K20,"x")))=0,"",COUNTIF($K$5:K21,"x"))</f>
        <v/>
      </c>
      <c r="L126" s="3707">
        <f>IF(((COUNTIF($L$5:L21,"x"))-(COUNTIF($L$5:L20,"x")))=0,"",COUNTIF($L$5:L21,"x"))</f>
        <v>7</v>
      </c>
      <c r="M126" s="3707">
        <f>IF(((COUNTIF($M$5:M21,"x"))-(COUNTIF($M$5:M20,"x")))=0,"",COUNTIF($M$5:M21,"x"))</f>
        <v>7</v>
      </c>
      <c r="N126" s="3707" t="str">
        <f>IF(((COUNTIF($N$5:N21,"x"))-(COUNTIF($N$5:N20,"x")))=0,"",COUNTIF($N$5:N21,"x"))</f>
        <v/>
      </c>
      <c r="O126" s="3707" t="str">
        <f>IF(((COUNTIF($O$5:O21,"x"))-(COUNTIF($O$5:O20,"x")))=0,"",COUNTIF($O$5:O21,"x"))</f>
        <v/>
      </c>
      <c r="P126" s="3707" t="str">
        <f>IF(((COUNTIF($P$5:P21,"x"))-(COUNTIF($P$5:P20,"x")))=0,"",COUNTIF($P$5:P21,"x"))</f>
        <v/>
      </c>
      <c r="Q126" s="3707" t="str">
        <f>IF(((COUNTIF($Q$5:Q21,"x"))-(COUNTIF($Q$5:Q20,"x")))=0,"",COUNTIF($Q$5:Q21,"x"))</f>
        <v/>
      </c>
      <c r="R126" s="3707" t="str">
        <f>IF(((COUNTIF($R$5:R21,"x"))-(COUNTIF($R$5:R20,"x")))=0,"",COUNTIF($R$5:R21,"x"))</f>
        <v/>
      </c>
      <c r="S126" s="3707" t="str">
        <f>IF(((COUNTIF($S$5:S21,"x"))-(COUNTIF($S$5:S20,"x")))=0,"",COUNTIF($S$5:S21,"x"))</f>
        <v/>
      </c>
      <c r="T126" s="3707" t="str">
        <f>IF(((COUNTIF($T$5:T21,"x"))-(COUNTIF($T$5:T20,"x")))=0,"",COUNTIF($T$5:T21,"x"))</f>
        <v/>
      </c>
      <c r="U126" s="3707">
        <f>IF(((COUNTIF($U$5:U21,"x"))-(COUNTIF($U$5:U20,"x")))=0,"",COUNTIF($U$5:U21,"x"))</f>
        <v>3</v>
      </c>
      <c r="V126" s="3707" t="str">
        <f>IF(((COUNTIF($V$5:V21,"x"))-(COUNTIF($V$5:V20,"x")))=0,"",COUNTIF($V$5:V21,"x"))</f>
        <v/>
      </c>
      <c r="W126" s="3707" t="str">
        <f>IF(((COUNTIF($W$5:W21,"x"))-(COUNTIF($W$5:W20,"x")))=0,"",COUNTIF($W$5:W21,"x"))</f>
        <v/>
      </c>
      <c r="X126" s="3707">
        <f>IF(((COUNTIF($X$5:X21,"x"))-(COUNTIF($X$5:X20,"x")))=0,"",COUNTIF($X$5:X21,"x"))</f>
        <v>3</v>
      </c>
      <c r="Y126" s="3707">
        <f>IF(((COUNTIF($Y$5:Y21,"x"))-(COUNTIF($Y$5:Y20,"x")))=0,"",COUNTIF($Y$5:Y21,"x"))</f>
        <v>3</v>
      </c>
      <c r="Z126" s="3707">
        <f>IF(((COUNTIF($Z$5:Z21,"x"))-(COUNTIF($Z$5:Z20,"x")))=0,"",COUNTIF($Z$5:Z21,"x"))</f>
        <v>1</v>
      </c>
      <c r="AA126" s="3707" t="str">
        <f>IF(((COUNTIF($AA$5:AA21,"x"))-(COUNTIF($AA$5:AA20,"x")))=0,"",COUNTIF($AA$5:AA21,"x"))</f>
        <v/>
      </c>
      <c r="AB126" s="3707">
        <f>IF(((COUNTIF($AB$5:AB21,"x"))-(COUNTIF($AB$5:AB20,"x")))=0,"",COUNTIF($AB$5:AB21,"x"))</f>
        <v>4</v>
      </c>
      <c r="AC126" s="3707" t="str">
        <f>IF(((COUNTIF($AC$5:AC21,"x"))-(COUNTIF($AC$5:AC20,"x")))=0,"",COUNTIF($AC$5:AC21,"x"))</f>
        <v/>
      </c>
      <c r="AD126" s="3707">
        <f>IF(((COUNTIF($AD$5:AD21,"x"))-(COUNTIF($AD$5:AD20,"x")))=0,"",COUNTIF($AD$5:AD21,"x"))</f>
        <v>14</v>
      </c>
      <c r="AE126" s="3707" t="str">
        <f>IF(((COUNTIF($AE$5:AE21,"x"))-(COUNTIF($AE$5:AE20,"x")))=0,"",COUNTIF($AE$5:AE21,"x"))</f>
        <v/>
      </c>
      <c r="AF126" s="3708" t="str">
        <f>IF(((COUNTIF($AF$5:AF21,"x"))-(COUNTIF($AF$5:AF20,"x")))=0,"",COUNTIF($AF$5:AF21,"x"))</f>
        <v/>
      </c>
      <c r="AG126" s="2120" t="str">
        <f t="shared" si="15"/>
        <v>Boxer</v>
      </c>
    </row>
    <row r="127" spans="2:33" ht="18">
      <c r="B127" s="2136">
        <f t="shared" si="16"/>
        <v>18</v>
      </c>
      <c r="C127" s="3711" t="str">
        <f t="shared" si="13"/>
        <v>Broadway</v>
      </c>
      <c r="D127" s="3655"/>
      <c r="E127" s="3710"/>
      <c r="F127" s="3706">
        <f>IF(((COUNTIF($F$5:$F22,"x"))-(COUNTIF($F$5:$F21,"x")))=0,"",COUNTIF($F$5:$F22,"x"))</f>
        <v>9</v>
      </c>
      <c r="G127" s="3707">
        <f>IF(((COUNTIF($G$5:$G22,"x"))-(COUNTIF($G$5:$G21,"x")))=0,"",COUNTIF($G$5:$G22,"x"))</f>
        <v>8</v>
      </c>
      <c r="H127" s="3707">
        <f>IF(((COUNTIF($H$5:$H22,"x"))-(COUNTIF($H$5:$H21,"x")))=0,"",COUNTIF($H$5:$H22,"x"))</f>
        <v>9</v>
      </c>
      <c r="I127" s="3707">
        <f>IF(((COUNTIF($I$5:I22,"x"))-(COUNTIF($I$5:I21,"x")))=0,"",COUNTIF($I$5:I22,"x"))</f>
        <v>8</v>
      </c>
      <c r="J127" s="3707" t="str">
        <f>IF(((COUNTIF($J$5:J22,"x"))-(COUNTIF($J$5:J21,"x")))=0,"",COUNTIF($J$5:J22,"x"))</f>
        <v/>
      </c>
      <c r="K127" s="3707" t="str">
        <f>IF(((COUNTIF($K$5:K22,"x"))-(COUNTIF($K$5:K21,"x")))=0,"",COUNTIF($K$5:K22,"x"))</f>
        <v/>
      </c>
      <c r="L127" s="3707" t="str">
        <f>IF(((COUNTIF($L$5:L22,"x"))-(COUNTIF($L$5:L21,"x")))=0,"",COUNTIF($L$5:L22,"x"))</f>
        <v/>
      </c>
      <c r="M127" s="3707" t="str">
        <f>IF(((COUNTIF($M$5:M22,"x"))-(COUNTIF($M$5:M21,"x")))=0,"",COUNTIF($M$5:M22,"x"))</f>
        <v/>
      </c>
      <c r="N127" s="3707" t="str">
        <f>IF(((COUNTIF($N$5:N22,"x"))-(COUNTIF($N$5:N21,"x")))=0,"",COUNTIF($N$5:N22,"x"))</f>
        <v/>
      </c>
      <c r="O127" s="3707">
        <f>IF(((COUNTIF($O$5:O22,"x"))-(COUNTIF($O$5:O21,"x")))=0,"",COUNTIF($O$5:O22,"x"))</f>
        <v>6</v>
      </c>
      <c r="P127" s="3707">
        <f>IF(((COUNTIF($P$5:P22,"x"))-(COUNTIF($P$5:P21,"x")))=0,"",COUNTIF($P$5:P22,"x"))</f>
        <v>4</v>
      </c>
      <c r="Q127" s="3707" t="str">
        <f>IF(((COUNTIF($Q$5:Q22,"x"))-(COUNTIF($Q$5:Q21,"x")))=0,"",COUNTIF($Q$5:Q22,"x"))</f>
        <v/>
      </c>
      <c r="R127" s="3707" t="str">
        <f>IF(((COUNTIF($R$5:R22,"x"))-(COUNTIF($R$5:R21,"x")))=0,"",COUNTIF($R$5:R22,"x"))</f>
        <v/>
      </c>
      <c r="S127" s="3707" t="str">
        <f>IF(((COUNTIF($S$5:S22,"x"))-(COUNTIF($S$5:S21,"x")))=0,"",COUNTIF($S$5:S22,"x"))</f>
        <v/>
      </c>
      <c r="T127" s="3707" t="str">
        <f>IF(((COUNTIF($T$5:T22,"x"))-(COUNTIF($T$5:T21,"x")))=0,"",COUNTIF($T$5:T22,"x"))</f>
        <v/>
      </c>
      <c r="U127" s="3707" t="str">
        <f>IF(((COUNTIF($U$5:U22,"x"))-(COUNTIF($U$5:U21,"x")))=0,"",COUNTIF($U$5:U22,"x"))</f>
        <v/>
      </c>
      <c r="V127" s="3707" t="str">
        <f>IF(((COUNTIF($V$5:V22,"x"))-(COUNTIF($V$5:V21,"x")))=0,"",COUNTIF($V$5:V22,"x"))</f>
        <v/>
      </c>
      <c r="W127" s="3707" t="str">
        <f>IF(((COUNTIF($W$5:W22,"x"))-(COUNTIF($W$5:W21,"x")))=0,"",COUNTIF($W$5:W22,"x"))</f>
        <v/>
      </c>
      <c r="X127" s="3707" t="str">
        <f>IF(((COUNTIF($X$5:X22,"x"))-(COUNTIF($X$5:X21,"x")))=0,"",COUNTIF($X$5:X22,"x"))</f>
        <v/>
      </c>
      <c r="Y127" s="3707" t="str">
        <f>IF(((COUNTIF($Y$5:Y22,"x"))-(COUNTIF($Y$5:Y21,"x")))=0,"",COUNTIF($Y$5:Y22,"x"))</f>
        <v/>
      </c>
      <c r="Z127" s="3707" t="str">
        <f>IF(((COUNTIF($Z$5:Z22,"x"))-(COUNTIF($Z$5:Z21,"x")))=0,"",COUNTIF($Z$5:Z22,"x"))</f>
        <v/>
      </c>
      <c r="AA127" s="3707" t="str">
        <f>IF(((COUNTIF($AA$5:AA22,"x"))-(COUNTIF($AA$5:AA21,"x")))=0,"",COUNTIF($AA$5:AA22,"x"))</f>
        <v/>
      </c>
      <c r="AB127" s="3707" t="str">
        <f>IF(((COUNTIF($AB$5:AB22,"x"))-(COUNTIF($AB$5:AB21,"x")))=0,"",COUNTIF($AB$5:AB22,"x"))</f>
        <v/>
      </c>
      <c r="AC127" s="3707" t="str">
        <f>IF(((COUNTIF($AC$5:AC22,"x"))-(COUNTIF($AC$5:AC21,"x")))=0,"",COUNTIF($AC$5:AC22,"x"))</f>
        <v/>
      </c>
      <c r="AD127" s="3707">
        <f>IF(((COUNTIF($AD$5:AD22,"x"))-(COUNTIF($AD$5:AD21,"x")))=0,"",COUNTIF($AD$5:AD22,"x"))</f>
        <v>15</v>
      </c>
      <c r="AE127" s="3707" t="str">
        <f>IF(((COUNTIF($AE$5:AE22,"x"))-(COUNTIF($AE$5:AE21,"x")))=0,"",COUNTIF($AE$5:AE22,"x"))</f>
        <v/>
      </c>
      <c r="AF127" s="3708" t="str">
        <f>IF(((COUNTIF($AF$5:AF22,"x"))-(COUNTIF($AF$5:AF21,"x")))=0,"",COUNTIF($AF$5:AF22,"x"))</f>
        <v/>
      </c>
      <c r="AG127" s="2120" t="str">
        <f t="shared" si="15"/>
        <v>Broadway</v>
      </c>
    </row>
    <row r="128" spans="2:33" ht="18">
      <c r="B128" s="2136">
        <f t="shared" si="16"/>
        <v>19</v>
      </c>
      <c r="C128" s="3711" t="str">
        <f t="shared" si="13"/>
        <v xml:space="preserve">Butisan </v>
      </c>
      <c r="D128" s="3655"/>
      <c r="E128" s="3710"/>
      <c r="F128" s="3706" t="str">
        <f>IF(((COUNTIF($F$5:$F23,"x"))-(COUNTIF($F$5:$F22,"x")))=0,"",COUNTIF($F$5:$F23,"x"))</f>
        <v/>
      </c>
      <c r="G128" s="3707" t="str">
        <f>IF(((COUNTIF($G$5:$G23,"x"))-(COUNTIF($G$5:$G22,"x")))=0,"",COUNTIF($G$5:$G23,"x"))</f>
        <v/>
      </c>
      <c r="H128" s="3707" t="str">
        <f>IF(((COUNTIF($H$5:$H23,"x"))-(COUNTIF($H$5:$H22,"x")))=0,"",COUNTIF($H$5:$H23,"x"))</f>
        <v/>
      </c>
      <c r="I128" s="3707" t="str">
        <f>IF(((COUNTIF($I$5:I23,"x"))-(COUNTIF($I$5:I22,"x")))=0,"",COUNTIF($I$5:I23,"x"))</f>
        <v/>
      </c>
      <c r="J128" s="3707" t="str">
        <f>IF(((COUNTIF($J$5:J23,"x"))-(COUNTIF($J$5:J22,"x")))=0,"",COUNTIF($J$5:J23,"x"))</f>
        <v/>
      </c>
      <c r="K128" s="3707" t="str">
        <f>IF(((COUNTIF($K$5:K23,"x"))-(COUNTIF($K$5:K22,"x")))=0,"",COUNTIF($K$5:K23,"x"))</f>
        <v/>
      </c>
      <c r="L128" s="3707" t="str">
        <f>IF(((COUNTIF($L$5:L23,"x"))-(COUNTIF($L$5:L22,"x")))=0,"",COUNTIF($L$5:L23,"x"))</f>
        <v/>
      </c>
      <c r="M128" s="3707" t="str">
        <f>IF(((COUNTIF($M$5:M23,"x"))-(COUNTIF($M$5:M22,"x")))=0,"",COUNTIF($M$5:M23,"x"))</f>
        <v/>
      </c>
      <c r="N128" s="3707" t="str">
        <f>IF(((COUNTIF($N$5:N23,"x"))-(COUNTIF($N$5:N22,"x")))=0,"",COUNTIF($N$5:N23,"x"))</f>
        <v/>
      </c>
      <c r="O128" s="3707" t="str">
        <f>IF(((COUNTIF($O$5:O23,"x"))-(COUNTIF($O$5:O22,"x")))=0,"",COUNTIF($O$5:O23,"x"))</f>
        <v/>
      </c>
      <c r="P128" s="3707" t="str">
        <f>IF(((COUNTIF($P$5:P23,"x"))-(COUNTIF($P$5:P22,"x")))=0,"",COUNTIF($P$5:P23,"x"))</f>
        <v/>
      </c>
      <c r="Q128" s="3707" t="str">
        <f>IF(((COUNTIF($Q$5:Q23,"x"))-(COUNTIF($Q$5:Q22,"x")))=0,"",COUNTIF($Q$5:Q23,"x"))</f>
        <v/>
      </c>
      <c r="R128" s="3707" t="str">
        <f>IF(((COUNTIF($R$5:R23,"x"))-(COUNTIF($R$5:R22,"x")))=0,"",COUNTIF($R$5:R23,"x"))</f>
        <v/>
      </c>
      <c r="S128" s="3707">
        <f>IF(((COUNTIF($S$5:S23,"x"))-(COUNTIF($S$5:S22,"x")))=0,"",COUNTIF($S$5:S23,"x"))</f>
        <v>3</v>
      </c>
      <c r="T128" s="3707">
        <f>IF(((COUNTIF($T$5:T23,"x"))-(COUNTIF($T$5:T22,"x")))=0,"",COUNTIF($T$5:T23,"x"))</f>
        <v>1</v>
      </c>
      <c r="U128" s="3707" t="str">
        <f>IF(((COUNTIF($U$5:U23,"x"))-(COUNTIF($U$5:U22,"x")))=0,"",COUNTIF($U$5:U23,"x"))</f>
        <v/>
      </c>
      <c r="V128" s="3707" t="str">
        <f>IF(((COUNTIF($V$5:V23,"x"))-(COUNTIF($V$5:V22,"x")))=0,"",COUNTIF($V$5:V23,"x"))</f>
        <v/>
      </c>
      <c r="W128" s="3707" t="str">
        <f>IF(((COUNTIF($W$5:W23,"x"))-(COUNTIF($W$5:W22,"x")))=0,"",COUNTIF($W$5:W23,"x"))</f>
        <v/>
      </c>
      <c r="X128" s="3707" t="str">
        <f>IF(((COUNTIF($X$5:X23,"x"))-(COUNTIF($X$5:X22,"x")))=0,"",COUNTIF($X$5:X23,"x"))</f>
        <v/>
      </c>
      <c r="Y128" s="3707" t="str">
        <f>IF(((COUNTIF($Y$5:Y23,"x"))-(COUNTIF($Y$5:Y22,"x")))=0,"",COUNTIF($Y$5:Y23,"x"))</f>
        <v/>
      </c>
      <c r="Z128" s="3707" t="str">
        <f>IF(((COUNTIF($Z$5:Z23,"x"))-(COUNTIF($Z$5:Z22,"x")))=0,"",COUNTIF($Z$5:Z23,"x"))</f>
        <v/>
      </c>
      <c r="AA128" s="3707" t="str">
        <f>IF(((COUNTIF($AA$5:AA23,"x"))-(COUNTIF($AA$5:AA22,"x")))=0,"",COUNTIF($AA$5:AA23,"x"))</f>
        <v/>
      </c>
      <c r="AB128" s="3707" t="str">
        <f>IF(((COUNTIF($AB$5:AB23,"x"))-(COUNTIF($AB$5:AB22,"x")))=0,"",COUNTIF($AB$5:AB23,"x"))</f>
        <v/>
      </c>
      <c r="AC128" s="3707" t="str">
        <f>IF(((COUNTIF($AC$5:AC23,"x"))-(COUNTIF($AC$5:AC22,"x")))=0,"",COUNTIF($AC$5:AC23,"x"))</f>
        <v/>
      </c>
      <c r="AD128" s="3707">
        <f>IF(((COUNTIF($AD$5:AD23,"x"))-(COUNTIF($AD$5:AD22,"x")))=0,"",COUNTIF($AD$5:AD23,"x"))</f>
        <v>16</v>
      </c>
      <c r="AE128" s="3707" t="str">
        <f>IF(((COUNTIF($AE$5:AE23,"x"))-(COUNTIF($AE$5:AE22,"x")))=0,"",COUNTIF($AE$5:AE23,"x"))</f>
        <v/>
      </c>
      <c r="AF128" s="3708" t="str">
        <f>IF(((COUNTIF($AF$5:AF23,"x"))-(COUNTIF($AF$5:AF22,"x")))=0,"",COUNTIF($AF$5:AF23,"x"))</f>
        <v/>
      </c>
      <c r="AG128" s="2120" t="str">
        <f t="shared" si="15"/>
        <v xml:space="preserve">Butisan </v>
      </c>
    </row>
    <row r="129" spans="2:33" ht="18">
      <c r="B129" s="2136">
        <f t="shared" si="16"/>
        <v>20</v>
      </c>
      <c r="C129" s="3711" t="str">
        <f t="shared" si="13"/>
        <v>Callisto</v>
      </c>
      <c r="D129" s="3655"/>
      <c r="E129" s="3710"/>
      <c r="F129" s="3706" t="str">
        <f>IF(((COUNTIF($F$5:$F24,"x"))-(COUNTIF($F$5:$F23,"x")))=0,"",COUNTIF($F$5:$F24,"x"))</f>
        <v/>
      </c>
      <c r="G129" s="3707" t="str">
        <f>IF(((COUNTIF($G$5:$G24,"x"))-(COUNTIF($G$5:$G23,"x")))=0,"",COUNTIF($G$5:$G24,"x"))</f>
        <v/>
      </c>
      <c r="H129" s="3707" t="str">
        <f>IF(((COUNTIF($H$5:$H24,"x"))-(COUNTIF($H$5:$H23,"x")))=0,"",COUNTIF($H$5:$H24,"x"))</f>
        <v/>
      </c>
      <c r="I129" s="3707" t="str">
        <f>IF(((COUNTIF($I$5:I24,"x"))-(COUNTIF($I$5:I23,"x")))=0,"",COUNTIF($I$5:I24,"x"))</f>
        <v/>
      </c>
      <c r="J129" s="3707" t="str">
        <f>IF(((COUNTIF($J$5:J24,"x"))-(COUNTIF($J$5:J23,"x")))=0,"",COUNTIF($J$5:J24,"x"))</f>
        <v/>
      </c>
      <c r="K129" s="3707" t="str">
        <f>IF(((COUNTIF($K$5:K24,"x"))-(COUNTIF($K$5:K23,"x")))=0,"",COUNTIF($K$5:K24,"x"))</f>
        <v/>
      </c>
      <c r="L129" s="3707" t="str">
        <f>IF(((COUNTIF($L$5:L24,"x"))-(COUNTIF($L$5:L23,"x")))=0,"",COUNTIF($L$5:L24,"x"))</f>
        <v/>
      </c>
      <c r="M129" s="3707" t="str">
        <f>IF(((COUNTIF($M$5:M24,"x"))-(COUNTIF($M$5:M23,"x")))=0,"",COUNTIF($M$5:M24,"x"))</f>
        <v/>
      </c>
      <c r="N129" s="3707" t="str">
        <f>IF(((COUNTIF($N$5:N24,"x"))-(COUNTIF($N$5:N23,"x")))=0,"",COUNTIF($N$5:N24,"x"))</f>
        <v/>
      </c>
      <c r="O129" s="3707" t="str">
        <f>IF(((COUNTIF($O$5:O24,"x"))-(COUNTIF($O$5:O23,"x")))=0,"",COUNTIF($O$5:O24,"x"))</f>
        <v/>
      </c>
      <c r="P129" s="3707" t="str">
        <f>IF(((COUNTIF($P$5:P24,"x"))-(COUNTIF($P$5:P23,"x")))=0,"",COUNTIF($P$5:P24,"x"))</f>
        <v/>
      </c>
      <c r="Q129" s="3707" t="str">
        <f>IF(((COUNTIF($Q$5:Q24,"x"))-(COUNTIF($Q$5:Q23,"x")))=0,"",COUNTIF($Q$5:Q24,"x"))</f>
        <v/>
      </c>
      <c r="R129" s="3707">
        <f>IF(((COUNTIF($R$5:R24,"x"))-(COUNTIF($R$5:R23,"x")))=0,"",COUNTIF($R$5:R24,"x"))</f>
        <v>2</v>
      </c>
      <c r="S129" s="3707" t="str">
        <f>IF(((COUNTIF($S$5:S24,"x"))-(COUNTIF($S$5:S23,"x")))=0,"",COUNTIF($S$5:S24,"x"))</f>
        <v/>
      </c>
      <c r="T129" s="3707" t="str">
        <f>IF(((COUNTIF($T$5:T24,"x"))-(COUNTIF($T$5:T23,"x")))=0,"",COUNTIF($T$5:T24,"x"))</f>
        <v/>
      </c>
      <c r="U129" s="3707" t="str">
        <f>IF(((COUNTIF($U$5:U24,"x"))-(COUNTIF($U$5:U23,"x")))=0,"",COUNTIF($U$5:U24,"x"))</f>
        <v/>
      </c>
      <c r="V129" s="3707" t="str">
        <f>IF(((COUNTIF($V$5:V24,"x"))-(COUNTIF($V$5:V23,"x")))=0,"",COUNTIF($V$5:V24,"x"))</f>
        <v/>
      </c>
      <c r="W129" s="3707">
        <f>IF(((COUNTIF($W$5:W24,"x"))-(COUNTIF($W$5:W23,"x")))=0,"",COUNTIF($W$5:W24,"x"))</f>
        <v>1</v>
      </c>
      <c r="X129" s="3707" t="str">
        <f>IF(((COUNTIF($X$5:X24,"x"))-(COUNTIF($X$5:X23,"x")))=0,"",COUNTIF($X$5:X24,"x"))</f>
        <v/>
      </c>
      <c r="Y129" s="3707" t="str">
        <f>IF(((COUNTIF($Y$5:Y24,"x"))-(COUNTIF($Y$5:Y23,"x")))=0,"",COUNTIF($Y$5:Y24,"x"))</f>
        <v/>
      </c>
      <c r="Z129" s="3707" t="str">
        <f>IF(((COUNTIF($Z$5:Z24,"x"))-(COUNTIF($Z$5:Z23,"x")))=0,"",COUNTIF($Z$5:Z24,"x"))</f>
        <v/>
      </c>
      <c r="AA129" s="3707" t="str">
        <f>IF(((COUNTIF($AA$5:AA24,"x"))-(COUNTIF($AA$5:AA23,"x")))=0,"",COUNTIF($AA$5:AA24,"x"))</f>
        <v/>
      </c>
      <c r="AB129" s="3707" t="str">
        <f>IF(((COUNTIF($AB$5:AB24,"x"))-(COUNTIF($AB$5:AB23,"x")))=0,"",COUNTIF($AB$5:AB24,"x"))</f>
        <v/>
      </c>
      <c r="AC129" s="3707" t="str">
        <f>IF(((COUNTIF($AC$5:AC24,"x"))-(COUNTIF($AC$5:AC23,"x")))=0,"",COUNTIF($AC$5:AC24,"x"))</f>
        <v/>
      </c>
      <c r="AD129" s="3707">
        <f>IF(((COUNTIF($AD$5:AD24,"x"))-(COUNTIF($AD$5:AD23,"x")))=0,"",COUNTIF($AD$5:AD24,"x"))</f>
        <v>17</v>
      </c>
      <c r="AE129" s="3707" t="str">
        <f>IF(((COUNTIF($AE$5:AE24,"x"))-(COUNTIF($AE$5:AE23,"x")))=0,"",COUNTIF($AE$5:AE24,"x"))</f>
        <v/>
      </c>
      <c r="AF129" s="3708" t="str">
        <f>IF(((COUNTIF($AF$5:AF24,"x"))-(COUNTIF($AF$5:AF23,"x")))=0,"",COUNTIF($AF$5:AF24,"x"))</f>
        <v/>
      </c>
      <c r="AG129" s="2120" t="str">
        <f t="shared" si="15"/>
        <v>Callisto</v>
      </c>
    </row>
    <row r="130" spans="2:33" ht="18">
      <c r="B130" s="2136">
        <f t="shared" si="16"/>
        <v>21</v>
      </c>
      <c r="C130" s="3711" t="str">
        <f t="shared" si="13"/>
        <v>Cantus Gold</v>
      </c>
      <c r="D130" s="3655"/>
      <c r="E130" s="3710"/>
      <c r="F130" s="3706" t="str">
        <f>IF(((COUNTIF($F$5:$F25,"x"))-(COUNTIF($F$5:$F24,"x")))=0,"",COUNTIF($F$5:$F25,"x"))</f>
        <v/>
      </c>
      <c r="G130" s="3707" t="str">
        <f>IF(((COUNTIF($G$5:$G25,"x"))-(COUNTIF($G$5:$G24,"x")))=0,"",COUNTIF($G$5:$G25,"x"))</f>
        <v/>
      </c>
      <c r="H130" s="3707" t="str">
        <f>IF(((COUNTIF($H$5:$H25,"x"))-(COUNTIF($H$5:$H24,"x")))=0,"",COUNTIF($H$5:$H25,"x"))</f>
        <v/>
      </c>
      <c r="I130" s="3707" t="str">
        <f>IF(((COUNTIF($I$5:I25,"x"))-(COUNTIF($I$5:I24,"x")))=0,"",COUNTIF($I$5:I25,"x"))</f>
        <v/>
      </c>
      <c r="J130" s="3707" t="str">
        <f>IF(((COUNTIF($J$5:J25,"x"))-(COUNTIF($J$5:J24,"x")))=0,"",COUNTIF($J$5:J25,"x"))</f>
        <v/>
      </c>
      <c r="K130" s="3707" t="str">
        <f>IF(((COUNTIF($K$5:K25,"x"))-(COUNTIF($K$5:K24,"x")))=0,"",COUNTIF($K$5:K25,"x"))</f>
        <v/>
      </c>
      <c r="L130" s="3707" t="str">
        <f>IF(((COUNTIF($L$5:L25,"x"))-(COUNTIF($L$5:L24,"x")))=0,"",COUNTIF($L$5:L25,"x"))</f>
        <v/>
      </c>
      <c r="M130" s="3707" t="str">
        <f>IF(((COUNTIF($M$5:M25,"x"))-(COUNTIF($M$5:M24,"x")))=0,"",COUNTIF($M$5:M25,"x"))</f>
        <v/>
      </c>
      <c r="N130" s="3707" t="str">
        <f>IF(((COUNTIF($N$5:N25,"x"))-(COUNTIF($N$5:N24,"x")))=0,"",COUNTIF($N$5:N25,"x"))</f>
        <v/>
      </c>
      <c r="O130" s="3707" t="str">
        <f>IF(((COUNTIF($O$5:O25,"x"))-(COUNTIF($O$5:O24,"x")))=0,"",COUNTIF($O$5:O25,"x"))</f>
        <v/>
      </c>
      <c r="P130" s="3707" t="str">
        <f>IF(((COUNTIF($P$5:P25,"x"))-(COUNTIF($P$5:P24,"x")))=0,"",COUNTIF($P$5:P25,"x"))</f>
        <v/>
      </c>
      <c r="Q130" s="3707" t="str">
        <f>IF(((COUNTIF($Q$5:Q25,"x"))-(COUNTIF($Q$5:Q24,"x")))=0,"",COUNTIF($Q$5:Q25,"x"))</f>
        <v/>
      </c>
      <c r="R130" s="3707" t="str">
        <f>IF(((COUNTIF($R$5:R25,"x"))-(COUNTIF($R$5:R24,"x")))=0,"",COUNTIF($R$5:R25,"x"))</f>
        <v/>
      </c>
      <c r="S130" s="3707">
        <f>IF(((COUNTIF($S$5:S25,"x"))-(COUNTIF($S$5:S24,"x")))=0,"",COUNTIF($S$5:S25,"x"))</f>
        <v>4</v>
      </c>
      <c r="T130" s="3707" t="str">
        <f>IF(((COUNTIF($T$5:T25,"x"))-(COUNTIF($T$5:T24,"x")))=0,"",COUNTIF($T$5:T25,"x"))</f>
        <v/>
      </c>
      <c r="U130" s="3707">
        <f>IF(((COUNTIF($U$5:U25,"x"))-(COUNTIF($U$5:U24,"x")))=0,"",COUNTIF($U$5:U25,"x"))</f>
        <v>4</v>
      </c>
      <c r="V130" s="3707" t="str">
        <f>IF(((COUNTIF($V$5:V25,"x"))-(COUNTIF($V$5:V24,"x")))=0,"",COUNTIF($V$5:V25,"x"))</f>
        <v/>
      </c>
      <c r="W130" s="3707" t="str">
        <f>IF(((COUNTIF($W$5:W25,"x"))-(COUNTIF($W$5:W24,"x")))=0,"",COUNTIF($W$5:W25,"x"))</f>
        <v/>
      </c>
      <c r="X130" s="3707" t="str">
        <f>IF(((COUNTIF($X$5:X25,"x"))-(COUNTIF($X$5:X24,"x")))=0,"",COUNTIF($X$5:X25,"x"))</f>
        <v/>
      </c>
      <c r="Y130" s="3707" t="str">
        <f>IF(((COUNTIF($Y$5:Y25,"x"))-(COUNTIF($Y$5:Y24,"x")))=0,"",COUNTIF($Y$5:Y25,"x"))</f>
        <v/>
      </c>
      <c r="Z130" s="3707" t="str">
        <f>IF(((COUNTIF($Z$5:Z25,"x"))-(COUNTIF($Z$5:Z24,"x")))=0,"",COUNTIF($Z$5:Z25,"x"))</f>
        <v/>
      </c>
      <c r="AA130" s="3707" t="str">
        <f>IF(((COUNTIF($AA$5:AA25,"x"))-(COUNTIF($AA$5:AA24,"x")))=0,"",COUNTIF($AA$5:AA25,"x"))</f>
        <v/>
      </c>
      <c r="AB130" s="3707" t="str">
        <f>IF(((COUNTIF($AB$5:AB25,"x"))-(COUNTIF($AB$5:AB24,"x")))=0,"",COUNTIF($AB$5:AB25,"x"))</f>
        <v/>
      </c>
      <c r="AC130" s="3707" t="str">
        <f>IF(((COUNTIF($AC$5:AC25,"x"))-(COUNTIF($AC$5:AC24,"x")))=0,"",COUNTIF($AC$5:AC25,"x"))</f>
        <v/>
      </c>
      <c r="AD130" s="3707">
        <f>IF(((COUNTIF($AD$5:AD25,"x"))-(COUNTIF($AD$5:AD24,"x")))=0,"",COUNTIF($AD$5:AD25,"x"))</f>
        <v>18</v>
      </c>
      <c r="AE130" s="3707" t="str">
        <f>IF(((COUNTIF($AE$5:AE25,"x"))-(COUNTIF($AE$5:AE24,"x")))=0,"",COUNTIF($AE$5:AE25,"x"))</f>
        <v/>
      </c>
      <c r="AF130" s="3708" t="str">
        <f>IF(((COUNTIF($AF$5:AF25,"x"))-(COUNTIF($AF$5:AF24,"x")))=0,"",COUNTIF($AF$5:AF25,"x"))</f>
        <v/>
      </c>
      <c r="AG130" s="2120" t="str">
        <f t="shared" si="15"/>
        <v>Cantus Gold</v>
      </c>
    </row>
    <row r="131" spans="2:33" ht="18">
      <c r="B131" s="2136">
        <f t="shared" si="16"/>
        <v>22</v>
      </c>
      <c r="C131" s="3654" t="str">
        <f t="shared" si="13"/>
        <v>Carax</v>
      </c>
      <c r="D131" s="3655"/>
      <c r="E131" s="3709"/>
      <c r="F131" s="3706" t="str">
        <f>IF(((COUNTIF($F$5:$F26,"x"))-(COUNTIF($F$5:$F25,"x")))=0,"",COUNTIF($F$5:$F26,"x"))</f>
        <v/>
      </c>
      <c r="G131" s="3707" t="str">
        <f>IF(((COUNTIF($G$5:$G26,"x"))-(COUNTIF($G$5:$G25,"x")))=0,"",COUNTIF($G$5:$G26,"x"))</f>
        <v/>
      </c>
      <c r="H131" s="3707" t="str">
        <f>IF(((COUNTIF($H$5:$H26,"x"))-(COUNTIF($H$5:$H25,"x")))=0,"",COUNTIF($H$5:$H26,"x"))</f>
        <v/>
      </c>
      <c r="I131" s="3707" t="str">
        <f>IF(((COUNTIF($I$5:I26,"x"))-(COUNTIF($I$5:I25,"x")))=0,"",COUNTIF($I$5:I26,"x"))</f>
        <v/>
      </c>
      <c r="J131" s="3707" t="str">
        <f>IF(((COUNTIF($J$5:J26,"x"))-(COUNTIF($J$5:J25,"x")))=0,"",COUNTIF($J$5:J26,"x"))</f>
        <v/>
      </c>
      <c r="K131" s="3707" t="str">
        <f>IF(((COUNTIF($K$5:K26,"x"))-(COUNTIF($K$5:K25,"x")))=0,"",COUNTIF($K$5:K26,"x"))</f>
        <v/>
      </c>
      <c r="L131" s="3707" t="str">
        <f>IF(((COUNTIF($L$5:L26,"x"))-(COUNTIF($L$5:L25,"x")))=0,"",COUNTIF($L$5:L26,"x"))</f>
        <v/>
      </c>
      <c r="M131" s="3707" t="str">
        <f>IF(((COUNTIF($M$5:M26,"x"))-(COUNTIF($M$5:M25,"x")))=0,"",COUNTIF($M$5:M26,"x"))</f>
        <v/>
      </c>
      <c r="N131" s="3707" t="str">
        <f>IF(((COUNTIF($N$5:N26,"x"))-(COUNTIF($N$5:N25,"x")))=0,"",COUNTIF($N$5:N26,"x"))</f>
        <v/>
      </c>
      <c r="O131" s="3707" t="str">
        <f>IF(((COUNTIF($O$5:O26,"x"))-(COUNTIF($O$5:O25,"x")))=0,"",COUNTIF($O$5:O26,"x"))</f>
        <v/>
      </c>
      <c r="P131" s="3707" t="str">
        <f>IF(((COUNTIF($P$5:P26,"x"))-(COUNTIF($P$5:P25,"x")))=0,"",COUNTIF($P$5:P26,"x"))</f>
        <v/>
      </c>
      <c r="Q131" s="3707" t="str">
        <f>IF(((COUNTIF($Q$5:Q26,"x"))-(COUNTIF($Q$5:Q25,"x")))=0,"",COUNTIF($Q$5:Q26,"x"))</f>
        <v/>
      </c>
      <c r="R131" s="3707" t="str">
        <f>IF(((COUNTIF($R$5:R26,"x"))-(COUNTIF($R$5:R25,"x")))=0,"",COUNTIF($R$5:R26,"x"))</f>
        <v/>
      </c>
      <c r="S131" s="3707">
        <f>IF(((COUNTIF($S$5:S26,"x"))-(COUNTIF($S$5:S25,"x")))=0,"",COUNTIF($S$5:S26,"x"))</f>
        <v>5</v>
      </c>
      <c r="T131" s="3707">
        <f>IF(((COUNTIF($T$5:T26,"x"))-(COUNTIF($T$5:T25,"x")))=0,"",COUNTIF($T$5:T26,"x"))</f>
        <v>2</v>
      </c>
      <c r="U131" s="3707" t="str">
        <f>IF(((COUNTIF($U$5:U26,"x"))-(COUNTIF($U$5:U25,"x")))=0,"",COUNTIF($U$5:U26,"x"))</f>
        <v/>
      </c>
      <c r="V131" s="3707" t="str">
        <f>IF(((COUNTIF($V$5:V26,"x"))-(COUNTIF($V$5:V25,"x")))=0,"",COUNTIF($V$5:V26,"x"))</f>
        <v/>
      </c>
      <c r="W131" s="3707" t="str">
        <f>IF(((COUNTIF($W$5:W26,"x"))-(COUNTIF($W$5:W25,"x")))=0,"",COUNTIF($W$5:W26,"x"))</f>
        <v/>
      </c>
      <c r="X131" s="3707" t="str">
        <f>IF(((COUNTIF($X$5:X26,"x"))-(COUNTIF($X$5:X25,"x")))=0,"",COUNTIF($X$5:X26,"x"))</f>
        <v/>
      </c>
      <c r="Y131" s="3707" t="str">
        <f>IF(((COUNTIF($Y$5:Y26,"x"))-(COUNTIF($Y$5:Y25,"x")))=0,"",COUNTIF($Y$5:Y26,"x"))</f>
        <v/>
      </c>
      <c r="Z131" s="3707" t="str">
        <f>IF(((COUNTIF($Z$5:Z26,"x"))-(COUNTIF($Z$5:Z25,"x")))=0,"",COUNTIF($Z$5:Z26,"x"))</f>
        <v/>
      </c>
      <c r="AA131" s="3707" t="str">
        <f>IF(((COUNTIF($AA$5:AA26,"x"))-(COUNTIF($AA$5:AA25,"x")))=0,"",COUNTIF($AA$5:AA26,"x"))</f>
        <v/>
      </c>
      <c r="AB131" s="3707" t="str">
        <f>IF(((COUNTIF($AB$5:AB26,"x"))-(COUNTIF($AB$5:AB25,"x")))=0,"",COUNTIF($AB$5:AB26,"x"))</f>
        <v/>
      </c>
      <c r="AC131" s="3707" t="str">
        <f>IF(((COUNTIF($AC$5:AC26,"x"))-(COUNTIF($AC$5:AC25,"x")))=0,"",COUNTIF($AC$5:AC26,"x"))</f>
        <v/>
      </c>
      <c r="AD131" s="3707">
        <f>IF(((COUNTIF($AD$5:AD26,"x"))-(COUNTIF($AD$5:AD25,"x")))=0,"",COUNTIF($AD$5:AD26,"x"))</f>
        <v>19</v>
      </c>
      <c r="AE131" s="3707" t="str">
        <f>IF(((COUNTIF($AE$5:AE26,"x"))-(COUNTIF($AE$5:AE25,"x")))=0,"",COUNTIF($AE$5:AE26,"x"))</f>
        <v/>
      </c>
      <c r="AF131" s="3708" t="str">
        <f>IF(((COUNTIF($AF$5:AF26,"x"))-(COUNTIF($AF$5:AF25,"x")))=0,"",COUNTIF($AF$5:AF26,"x"))</f>
        <v/>
      </c>
      <c r="AG131" s="2120" t="str">
        <f t="shared" si="15"/>
        <v>Carax</v>
      </c>
    </row>
    <row r="132" spans="2:33" ht="18">
      <c r="B132" s="2136">
        <f t="shared" si="16"/>
        <v>23</v>
      </c>
      <c r="C132" s="3654" t="str">
        <f t="shared" si="13"/>
        <v>CCC 720</v>
      </c>
      <c r="D132" s="3655"/>
      <c r="E132" s="3710"/>
      <c r="F132" s="3706">
        <f>IF(((COUNTIF($F$5:$F27,"x"))-(COUNTIF($F$5:$F26,"x")))=0,"",COUNTIF($F$5:$F27,"x"))</f>
        <v>10</v>
      </c>
      <c r="G132" s="3707" t="str">
        <f>IF(((COUNTIF($G$5:$G27,"x"))-(COUNTIF($G$5:$G26,"x")))=0,"",COUNTIF($G$5:$G27,"x"))</f>
        <v/>
      </c>
      <c r="H132" s="3707">
        <f>IF(((COUNTIF($H$5:$H27,"x"))-(COUNTIF($H$5:$H26,"x")))=0,"",COUNTIF($H$5:$H27,"x"))</f>
        <v>10</v>
      </c>
      <c r="I132" s="3707">
        <f>IF(((COUNTIF($I$5:I27,"x"))-(COUNTIF($I$5:I26,"x")))=0,"",COUNTIF($I$5:I27,"x"))</f>
        <v>9</v>
      </c>
      <c r="J132" s="3707" t="str">
        <f>IF(((COUNTIF($J$5:J27,"x"))-(COUNTIF($J$5:J26,"x")))=0,"",COUNTIF($J$5:J27,"x"))</f>
        <v/>
      </c>
      <c r="K132" s="3707">
        <f>IF(((COUNTIF($K$5:K27,"x"))-(COUNTIF($K$5:K26,"x")))=0,"",COUNTIF($K$5:K27,"x"))</f>
        <v>7</v>
      </c>
      <c r="L132" s="3707" t="str">
        <f>IF(((COUNTIF($L$5:L27,"x"))-(COUNTIF($L$5:L26,"x")))=0,"",COUNTIF($L$5:L27,"x"))</f>
        <v/>
      </c>
      <c r="M132" s="3707" t="str">
        <f>IF(((COUNTIF($M$5:M27,"x"))-(COUNTIF($M$5:M26,"x")))=0,"",COUNTIF($M$5:M27,"x"))</f>
        <v/>
      </c>
      <c r="N132" s="3707">
        <f>IF(((COUNTIF($N$5:N27,"x"))-(COUNTIF($N$5:N26,"x")))=0,"",COUNTIF($N$5:N27,"x"))</f>
        <v>5</v>
      </c>
      <c r="O132" s="3707" t="str">
        <f>IF(((COUNTIF($O$5:O27,"x"))-(COUNTIF($O$5:O26,"x")))=0,"",COUNTIF($O$5:O27,"x"))</f>
        <v/>
      </c>
      <c r="P132" s="3707" t="str">
        <f>IF(((COUNTIF($P$5:P27,"x"))-(COUNTIF($P$5:P26,"x")))=0,"",COUNTIF($P$5:P27,"x"))</f>
        <v/>
      </c>
      <c r="Q132" s="3707" t="str">
        <f>IF(((COUNTIF($Q$5:Q27,"x"))-(COUNTIF($Q$5:Q26,"x")))=0,"",COUNTIF($Q$5:Q27,"x"))</f>
        <v/>
      </c>
      <c r="R132" s="3707" t="str">
        <f>IF(((COUNTIF($R$5:R27,"x"))-(COUNTIF($R$5:R26,"x")))=0,"",COUNTIF($R$5:R27,"x"))</f>
        <v/>
      </c>
      <c r="S132" s="3707" t="str">
        <f>IF(((COUNTIF($S$5:S27,"x"))-(COUNTIF($S$5:S26,"x")))=0,"",COUNTIF($S$5:S27,"x"))</f>
        <v/>
      </c>
      <c r="T132" s="3707" t="str">
        <f>IF(((COUNTIF($T$5:T27,"x"))-(COUNTIF($T$5:T26,"x")))=0,"",COUNTIF($T$5:T27,"x"))</f>
        <v/>
      </c>
      <c r="U132" s="3707" t="str">
        <f>IF(((COUNTIF($U$5:U27,"x"))-(COUNTIF($U$5:U26,"x")))=0,"",COUNTIF($U$5:U27,"x"))</f>
        <v/>
      </c>
      <c r="V132" s="3707" t="str">
        <f>IF(((COUNTIF($V$5:V27,"x"))-(COUNTIF($V$5:V26,"x")))=0,"",COUNTIF($V$5:V27,"x"))</f>
        <v/>
      </c>
      <c r="W132" s="3707" t="str">
        <f>IF(((COUNTIF($W$5:W27,"x"))-(COUNTIF($W$5:W26,"x")))=0,"",COUNTIF($W$5:W27,"x"))</f>
        <v/>
      </c>
      <c r="X132" s="3707" t="str">
        <f>IF(((COUNTIF($X$5:X27,"x"))-(COUNTIF($X$5:X26,"x")))=0,"",COUNTIF($X$5:X27,"x"))</f>
        <v/>
      </c>
      <c r="Y132" s="3707" t="str">
        <f>IF(((COUNTIF($Y$5:Y27,"x"))-(COUNTIF($Y$5:Y26,"x")))=0,"",COUNTIF($Y$5:Y27,"x"))</f>
        <v/>
      </c>
      <c r="Z132" s="3707" t="str">
        <f>IF(((COUNTIF($Z$5:Z27,"x"))-(COUNTIF($Z$5:Z26,"x")))=0,"",COUNTIF($Z$5:Z27,"x"))</f>
        <v/>
      </c>
      <c r="AA132" s="3707" t="str">
        <f>IF(((COUNTIF($AA$5:AA27,"x"))-(COUNTIF($AA$5:AA26,"x")))=0,"",COUNTIF($AA$5:AA27,"x"))</f>
        <v/>
      </c>
      <c r="AB132" s="3707" t="str">
        <f>IF(((COUNTIF($AB$5:AB27,"x"))-(COUNTIF($AB$5:AB26,"x")))=0,"",COUNTIF($AB$5:AB27,"x"))</f>
        <v/>
      </c>
      <c r="AC132" s="3707" t="str">
        <f>IF(((COUNTIF($AC$5:AC27,"x"))-(COUNTIF($AC$5:AC26,"x")))=0,"",COUNTIF($AC$5:AC27,"x"))</f>
        <v/>
      </c>
      <c r="AD132" s="3707">
        <f>IF(((COUNTIF($AD$5:AD27,"x"))-(COUNTIF($AD$5:AD26,"x")))=0,"",COUNTIF($AD$5:AD27,"x"))</f>
        <v>20</v>
      </c>
      <c r="AE132" s="3707" t="str">
        <f>IF(((COUNTIF($AE$5:AE27,"x"))-(COUNTIF($AE$5:AE26,"x")))=0,"",COUNTIF($AE$5:AE27,"x"))</f>
        <v/>
      </c>
      <c r="AF132" s="3708" t="str">
        <f>IF(((COUNTIF($AF$5:AF27,"x"))-(COUNTIF($AF$5:AF26,"x")))=0,"",COUNTIF($AF$5:AF27,"x"))</f>
        <v/>
      </c>
      <c r="AG132" s="2120" t="str">
        <f t="shared" si="15"/>
        <v>CCC 720</v>
      </c>
    </row>
    <row r="133" spans="2:33" ht="18">
      <c r="B133" s="2136">
        <f t="shared" si="16"/>
        <v>24</v>
      </c>
      <c r="C133" s="3654" t="str">
        <f t="shared" si="13"/>
        <v>Centium 36 CS</v>
      </c>
      <c r="D133" s="3655"/>
      <c r="E133" s="3709"/>
      <c r="F133" s="3706" t="str">
        <f>IF(((COUNTIF($F$5:$F28,"x"))-(COUNTIF($F$5:$F27,"x")))=0,"",COUNTIF($F$5:$F28,"x"))</f>
        <v/>
      </c>
      <c r="G133" s="3707" t="str">
        <f>IF(((COUNTIF($G$5:$G28,"x"))-(COUNTIF($G$5:$G27,"x")))=0,"",COUNTIF($G$5:$G28,"x"))</f>
        <v/>
      </c>
      <c r="H133" s="3707" t="str">
        <f>IF(((COUNTIF($H$5:$H28,"x"))-(COUNTIF($H$5:$H27,"x")))=0,"",COUNTIF($H$5:$H28,"x"))</f>
        <v/>
      </c>
      <c r="I133" s="3707" t="str">
        <f>IF(((COUNTIF($I$5:I28,"x"))-(COUNTIF($I$5:I27,"x")))=0,"",COUNTIF($I$5:I28,"x"))</f>
        <v/>
      </c>
      <c r="J133" s="3707" t="str">
        <f>IF(((COUNTIF($J$5:J28,"x"))-(COUNTIF($J$5:J27,"x")))=0,"",COUNTIF($J$5:J28,"x"))</f>
        <v/>
      </c>
      <c r="K133" s="3707" t="str">
        <f>IF(((COUNTIF($K$5:K28,"x"))-(COUNTIF($K$5:K27,"x")))=0,"",COUNTIF($K$5:K28,"x"))</f>
        <v/>
      </c>
      <c r="L133" s="3707" t="str">
        <f>IF(((COUNTIF($L$5:L28,"x"))-(COUNTIF($L$5:L27,"x")))=0,"",COUNTIF($L$5:L28,"x"))</f>
        <v/>
      </c>
      <c r="M133" s="3707" t="str">
        <f>IF(((COUNTIF($M$5:M28,"x"))-(COUNTIF($M$5:M27,"x")))=0,"",COUNTIF($M$5:M28,"x"))</f>
        <v/>
      </c>
      <c r="N133" s="3707" t="str">
        <f>IF(((COUNTIF($N$5:N28,"x"))-(COUNTIF($N$5:N27,"x")))=0,"",COUNTIF($N$5:N28,"x"))</f>
        <v/>
      </c>
      <c r="O133" s="3707" t="str">
        <f>IF(((COUNTIF($O$5:O28,"x"))-(COUNTIF($O$5:O27,"x")))=0,"",COUNTIF($O$5:O28,"x"))</f>
        <v/>
      </c>
      <c r="P133" s="3707" t="str">
        <f>IF(((COUNTIF($P$5:P28,"x"))-(COUNTIF($P$5:P27,"x")))=0,"",COUNTIF($P$5:P28,"x"))</f>
        <v/>
      </c>
      <c r="Q133" s="3707" t="str">
        <f>IF(((COUNTIF($Q$5:Q28,"x"))-(COUNTIF($Q$5:Q27,"x")))=0,"",COUNTIF($Q$5:Q28,"x"))</f>
        <v/>
      </c>
      <c r="R133" s="3707" t="str">
        <f>IF(((COUNTIF($R$5:R28,"x"))-(COUNTIF($R$5:R27,"x")))=0,"",COUNTIF($R$5:R28,"x"))</f>
        <v/>
      </c>
      <c r="S133" s="3707">
        <f>IF(((COUNTIF($S$5:S28,"x"))-(COUNTIF($S$5:S27,"x")))=0,"",COUNTIF($S$5:S28,"x"))</f>
        <v>6</v>
      </c>
      <c r="T133" s="3707" t="str">
        <f>IF(((COUNTIF($T$5:T28,"x"))-(COUNTIF($T$5:T27,"x")))=0,"",COUNTIF($T$5:T28,"x"))</f>
        <v/>
      </c>
      <c r="U133" s="3707" t="str">
        <f>IF(((COUNTIF($U$5:U28,"x"))-(COUNTIF($U$5:U27,"x")))=0,"",COUNTIF($U$5:U28,"x"))</f>
        <v/>
      </c>
      <c r="V133" s="3707">
        <f>IF(((COUNTIF($V$5:V28,"x"))-(COUNTIF($V$5:V27,"x")))=0,"",COUNTIF($V$5:V28,"x"))</f>
        <v>2</v>
      </c>
      <c r="W133" s="3707" t="str">
        <f>IF(((COUNTIF($W$5:W28,"x"))-(COUNTIF($W$5:W27,"x")))=0,"",COUNTIF($W$5:W28,"x"))</f>
        <v/>
      </c>
      <c r="X133" s="3707">
        <f>IF(((COUNTIF($X$5:X28,"x"))-(COUNTIF($X$5:X27,"x")))=0,"",COUNTIF($X$5:X28,"x"))</f>
        <v>4</v>
      </c>
      <c r="Y133" s="3707">
        <f>IF(((COUNTIF($Y$5:Y28,"x"))-(COUNTIF($Y$5:Y27,"x")))=0,"",COUNTIF($Y$5:Y28,"x"))</f>
        <v>4</v>
      </c>
      <c r="Z133" s="3707" t="str">
        <f>IF(((COUNTIF($Z$5:Z28,"x"))-(COUNTIF($Z$5:Z27,"x")))=0,"",COUNTIF($Z$5:Z28,"x"))</f>
        <v/>
      </c>
      <c r="AA133" s="3707" t="str">
        <f>IF(((COUNTIF($AA$5:AA28,"x"))-(COUNTIF($AA$5:AA27,"x")))=0,"",COUNTIF($AA$5:AA28,"x"))</f>
        <v/>
      </c>
      <c r="AB133" s="3707">
        <f>IF(((COUNTIF($AB$5:AB28,"x"))-(COUNTIF($AB$5:AB27,"x")))=0,"",COUNTIF($AB$5:AB28,"x"))</f>
        <v>5</v>
      </c>
      <c r="AC133" s="3707" t="str">
        <f>IF(((COUNTIF($AC$5:AC28,"x"))-(COUNTIF($AC$5:AC27,"x")))=0,"",COUNTIF($AC$5:AC28,"x"))</f>
        <v/>
      </c>
      <c r="AD133" s="3707">
        <f>IF(((COUNTIF($AD$5:AD28,"x"))-(COUNTIF($AD$5:AD27,"x")))=0,"",COUNTIF($AD$5:AD28,"x"))</f>
        <v>21</v>
      </c>
      <c r="AE133" s="3707" t="str">
        <f>IF(((COUNTIF($AE$5:AE28,"x"))-(COUNTIF($AE$5:AE27,"x")))=0,"",COUNTIF($AE$5:AE28,"x"))</f>
        <v/>
      </c>
      <c r="AF133" s="3708" t="str">
        <f>IF(((COUNTIF($AF$5:AF28,"x"))-(COUNTIF($AF$5:AF27,"x")))=0,"",COUNTIF($AF$5:AF28,"x"))</f>
        <v/>
      </c>
      <c r="AG133" s="2120" t="str">
        <f t="shared" si="15"/>
        <v>Centium 36 CS</v>
      </c>
    </row>
    <row r="134" spans="2:33" ht="18">
      <c r="B134" s="2136">
        <f t="shared" si="16"/>
        <v>25</v>
      </c>
      <c r="C134" s="3711" t="str">
        <f t="shared" si="13"/>
        <v>Cerone 660</v>
      </c>
      <c r="D134" s="3655"/>
      <c r="E134" s="3710"/>
      <c r="F134" s="3706">
        <f>IF(((COUNTIF($F$5:$F29,"x"))-(COUNTIF($F$5:$F28,"x")))=0,"",COUNTIF($F$5:$F29,"x"))</f>
        <v>11</v>
      </c>
      <c r="G134" s="3707" t="str">
        <f>IF(((COUNTIF($G$5:$G29,"x"))-(COUNTIF($G$5:$G28,"x")))=0,"",COUNTIF($G$5:$G29,"x"))</f>
        <v/>
      </c>
      <c r="H134" s="3707">
        <f>IF(((COUNTIF($H$5:$H29,"x"))-(COUNTIF($H$5:$H28,"x")))=0,"",COUNTIF($H$5:$H29,"x"))</f>
        <v>11</v>
      </c>
      <c r="I134" s="3707">
        <f>IF(((COUNTIF($I$5:I29,"x"))-(COUNTIF($I$5:I28,"x")))=0,"",COUNTIF($I$5:I29,"x"))</f>
        <v>10</v>
      </c>
      <c r="J134" s="3707">
        <f>IF(((COUNTIF($J$5:J29,"x"))-(COUNTIF($J$5:J28,"x")))=0,"",COUNTIF($J$5:J29,"x"))</f>
        <v>8</v>
      </c>
      <c r="K134" s="3707">
        <f>IF(((COUNTIF($K$5:K29,"x"))-(COUNTIF($K$5:K28,"x")))=0,"",COUNTIF($K$5:K29,"x"))</f>
        <v>8</v>
      </c>
      <c r="L134" s="3707">
        <f>IF(((COUNTIF($L$5:L29,"x"))-(COUNTIF($L$5:L28,"x")))=0,"",COUNTIF($L$5:L29,"x"))</f>
        <v>8</v>
      </c>
      <c r="M134" s="3707">
        <f>IF(((COUNTIF($M$5:M29,"x"))-(COUNTIF($M$5:M28,"x")))=0,"",COUNTIF($M$5:M29,"x"))</f>
        <v>8</v>
      </c>
      <c r="N134" s="3707" t="str">
        <f>IF(((COUNTIF($N$5:N29,"x"))-(COUNTIF($N$5:N28,"x")))=0,"",COUNTIF($N$5:N29,"x"))</f>
        <v/>
      </c>
      <c r="O134" s="3707" t="str">
        <f>IF(((COUNTIF($O$5:O29,"x"))-(COUNTIF($O$5:O28,"x")))=0,"",COUNTIF($O$5:O29,"x"))</f>
        <v/>
      </c>
      <c r="P134" s="3707" t="str">
        <f>IF(((COUNTIF($P$5:P29,"x"))-(COUNTIF($P$5:P28,"x")))=0,"",COUNTIF($P$5:P29,"x"))</f>
        <v/>
      </c>
      <c r="Q134" s="3707" t="str">
        <f>IF(((COUNTIF($Q$5:Q29,"x"))-(COUNTIF($Q$5:Q28,"x")))=0,"",COUNTIF($Q$5:Q29,"x"))</f>
        <v/>
      </c>
      <c r="R134" s="3707" t="str">
        <f>IF(((COUNTIF($R$5:R29,"x"))-(COUNTIF($R$5:R28,"x")))=0,"",COUNTIF($R$5:R29,"x"))</f>
        <v/>
      </c>
      <c r="S134" s="3707" t="str">
        <f>IF(((COUNTIF($S$5:S29,"x"))-(COUNTIF($S$5:S28,"x")))=0,"",COUNTIF($S$5:S29,"x"))</f>
        <v/>
      </c>
      <c r="T134" s="3707" t="str">
        <f>IF(((COUNTIF($T$5:T29,"x"))-(COUNTIF($T$5:T28,"x")))=0,"",COUNTIF($T$5:T29,"x"))</f>
        <v/>
      </c>
      <c r="U134" s="3707" t="str">
        <f>IF(((COUNTIF($U$5:U29,"x"))-(COUNTIF($U$5:U28,"x")))=0,"",COUNTIF($U$5:U29,"x"))</f>
        <v/>
      </c>
      <c r="V134" s="3707" t="str">
        <f>IF(((COUNTIF($V$5:V29,"x"))-(COUNTIF($V$5:V28,"x")))=0,"",COUNTIF($V$5:V29,"x"))</f>
        <v/>
      </c>
      <c r="W134" s="3707" t="str">
        <f>IF(((COUNTIF($W$5:W29,"x"))-(COUNTIF($W$5:W28,"x")))=0,"",COUNTIF($W$5:W29,"x"))</f>
        <v/>
      </c>
      <c r="X134" s="3707" t="str">
        <f>IF(((COUNTIF($X$5:X29,"x"))-(COUNTIF($X$5:X28,"x")))=0,"",COUNTIF($X$5:X29,"x"))</f>
        <v/>
      </c>
      <c r="Y134" s="3707" t="str">
        <f>IF(((COUNTIF($Y$5:Y29,"x"))-(COUNTIF($Y$5:Y28,"x")))=0,"",COUNTIF($Y$5:Y29,"x"))</f>
        <v/>
      </c>
      <c r="Z134" s="3707" t="str">
        <f>IF(((COUNTIF($Z$5:Z29,"x"))-(COUNTIF($Z$5:Z28,"x")))=0,"",COUNTIF($Z$5:Z29,"x"))</f>
        <v/>
      </c>
      <c r="AA134" s="3707" t="str">
        <f>IF(((COUNTIF($AA$5:AA29,"x"))-(COUNTIF($AA$5:AA28,"x")))=0,"",COUNTIF($AA$5:AA29,"x"))</f>
        <v/>
      </c>
      <c r="AB134" s="3707" t="str">
        <f>IF(((COUNTIF($AB$5:AB29,"x"))-(COUNTIF($AB$5:AB28,"x")))=0,"",COUNTIF($AB$5:AB29,"x"))</f>
        <v/>
      </c>
      <c r="AC134" s="3707" t="str">
        <f>IF(((COUNTIF($AC$5:AC29,"x"))-(COUNTIF($AC$5:AC28,"x")))=0,"",COUNTIF($AC$5:AC29,"x"))</f>
        <v/>
      </c>
      <c r="AD134" s="3707">
        <f>IF(((COUNTIF($AD$5:AD29,"x"))-(COUNTIF($AD$5:AD28,"x")))=0,"",COUNTIF($AD$5:AD29,"x"))</f>
        <v>22</v>
      </c>
      <c r="AE134" s="3707" t="str">
        <f>IF(((COUNTIF($AE$5:AE29,"x"))-(COUNTIF($AE$5:AE28,"x")))=0,"",COUNTIF($AE$5:AE29,"x"))</f>
        <v/>
      </c>
      <c r="AF134" s="3708" t="str">
        <f>IF(((COUNTIF($AF$5:AF29,"x"))-(COUNTIF($AF$5:AF28,"x")))=0,"",COUNTIF($AF$5:AF29,"x"))</f>
        <v/>
      </c>
      <c r="AG134" s="2120" t="str">
        <f t="shared" si="15"/>
        <v>Cerone 660</v>
      </c>
    </row>
    <row r="135" spans="2:33" ht="18">
      <c r="B135" s="2136">
        <f t="shared" si="16"/>
        <v>26</v>
      </c>
      <c r="C135" s="3711" t="str">
        <f t="shared" si="13"/>
        <v>Fuego Top</v>
      </c>
      <c r="D135" s="3655"/>
      <c r="E135" s="3710"/>
      <c r="F135" s="3706" t="str">
        <f>IF(((COUNTIF($F$5:$F30,"x"))-(COUNTIF($F$5:$F29,"x")))=0,"",COUNTIF($F$5:$F30,"x"))</f>
        <v/>
      </c>
      <c r="G135" s="3707" t="str">
        <f>IF(((COUNTIF($G$5:$G30,"x"))-(COUNTIF($G$5:$G29,"x")))=0,"",COUNTIF($G$5:$G30,"x"))</f>
        <v/>
      </c>
      <c r="H135" s="3707" t="str">
        <f>IF(((COUNTIF($H$5:$H30,"x"))-(COUNTIF($H$5:$H29,"x")))=0,"",COUNTIF($H$5:$H30,"x"))</f>
        <v/>
      </c>
      <c r="I135" s="3707" t="str">
        <f>IF(((COUNTIF($I$5:I30,"x"))-(COUNTIF($I$5:I29,"x")))=0,"",COUNTIF($I$5:I30,"x"))</f>
        <v/>
      </c>
      <c r="J135" s="3707" t="str">
        <f>IF(((COUNTIF($J$5:J30,"x"))-(COUNTIF($J$5:J29,"x")))=0,"",COUNTIF($J$5:J30,"x"))</f>
        <v/>
      </c>
      <c r="K135" s="3707" t="str">
        <f>IF(((COUNTIF($K$5:K30,"x"))-(COUNTIF($K$5:K29,"x")))=0,"",COUNTIF($K$5:K30,"x"))</f>
        <v/>
      </c>
      <c r="L135" s="3707" t="str">
        <f>IF(((COUNTIF($L$5:L30,"x"))-(COUNTIF($L$5:L29,"x")))=0,"",COUNTIF($L$5:L30,"x"))</f>
        <v/>
      </c>
      <c r="M135" s="3707" t="str">
        <f>IF(((COUNTIF($M$5:M30,"x"))-(COUNTIF($M$5:M29,"x")))=0,"",COUNTIF($M$5:M30,"x"))</f>
        <v/>
      </c>
      <c r="N135" s="3707" t="str">
        <f>IF(((COUNTIF($N$5:N30,"x"))-(COUNTIF($N$5:N29,"x")))=0,"",COUNTIF($N$5:N30,"x"))</f>
        <v/>
      </c>
      <c r="O135" s="3707" t="str">
        <f>IF(((COUNTIF($O$5:O30,"x"))-(COUNTIF($O$5:O29,"x")))=0,"",COUNTIF($O$5:O30,"x"))</f>
        <v/>
      </c>
      <c r="P135" s="3707" t="str">
        <f>IF(((COUNTIF($P$5:P30,"x"))-(COUNTIF($P$5:P29,"x")))=0,"",COUNTIF($P$5:P30,"x"))</f>
        <v/>
      </c>
      <c r="Q135" s="3707" t="str">
        <f>IF(((COUNTIF($Q$5:Q30,"x"))-(COUNTIF($Q$5:Q29,"x")))=0,"",COUNTIF($Q$5:Q30,"x"))</f>
        <v/>
      </c>
      <c r="R135" s="3707" t="str">
        <f>IF(((COUNTIF($R$5:R30,"x"))-(COUNTIF($R$5:R29,"x")))=0,"",COUNTIF($R$5:R30,"x"))</f>
        <v/>
      </c>
      <c r="S135" s="3707">
        <f>IF(((COUNTIF($S$5:S30,"x"))-(COUNTIF($S$5:S29,"x")))=0,"",COUNTIF($S$5:S30,"x"))</f>
        <v>7</v>
      </c>
      <c r="T135" s="3707" t="str">
        <f>IF(((COUNTIF($T$5:T30,"x"))-(COUNTIF($T$5:T29,"x")))=0,"",COUNTIF($T$5:T30,"x"))</f>
        <v/>
      </c>
      <c r="U135" s="3707" t="str">
        <f>IF(((COUNTIF($U$5:U30,"x"))-(COUNTIF($U$5:U29,"x")))=0,"",COUNTIF($U$5:U30,"x"))</f>
        <v/>
      </c>
      <c r="V135" s="3707" t="str">
        <f>IF(((COUNTIF($V$5:V30,"x"))-(COUNTIF($V$5:V29,"x")))=0,"",COUNTIF($V$5:V30,"x"))</f>
        <v/>
      </c>
      <c r="W135" s="3707" t="str">
        <f>IF(((COUNTIF($W$5:W30,"x"))-(COUNTIF($W$5:W29,"x")))=0,"",COUNTIF($W$5:W30,"x"))</f>
        <v/>
      </c>
      <c r="X135" s="3707" t="str">
        <f>IF(((COUNTIF($X$5:X30,"x"))-(COUNTIF($X$5:X29,"x")))=0,"",COUNTIF($X$5:X30,"x"))</f>
        <v/>
      </c>
      <c r="Y135" s="3707" t="str">
        <f>IF(((COUNTIF($Y$5:Y30,"x"))-(COUNTIF($Y$5:Y29,"x")))=0,"",COUNTIF($Y$5:Y30,"x"))</f>
        <v/>
      </c>
      <c r="Z135" s="3707" t="str">
        <f>IF(((COUNTIF($Z$5:Z30,"x"))-(COUNTIF($Z$5:Z29,"x")))=0,"",COUNTIF($Z$5:Z30,"x"))</f>
        <v/>
      </c>
      <c r="AA135" s="3707" t="str">
        <f>IF(((COUNTIF($AA$5:AA30,"x"))-(COUNTIF($AA$5:AA29,"x")))=0,"",COUNTIF($AA$5:AA30,"x"))</f>
        <v/>
      </c>
      <c r="AB135" s="3707" t="str">
        <f>IF(((COUNTIF($AB$5:AB30,"x"))-(COUNTIF($AB$5:AB29,"x")))=0,"",COUNTIF($AB$5:AB30,"x"))</f>
        <v/>
      </c>
      <c r="AC135" s="3707" t="str">
        <f>IF(((COUNTIF($AC$5:AC30,"x"))-(COUNTIF($AC$5:AC29,"x")))=0,"",COUNTIF($AC$5:AC30,"x"))</f>
        <v/>
      </c>
      <c r="AD135" s="3707" t="str">
        <f>IF(((COUNTIF($AD$5:AD30,"x"))-(COUNTIF($AD$5:AD29,"x")))=0,"",COUNTIF($AD$5:AD30,"x"))</f>
        <v/>
      </c>
      <c r="AE135" s="3707" t="str">
        <f>IF(((COUNTIF($AE$5:AE30,"x"))-(COUNTIF($AE$5:AE29,"x")))=0,"",COUNTIF($AE$5:AE30,"x"))</f>
        <v/>
      </c>
      <c r="AF135" s="3708" t="str">
        <f>IF(((COUNTIF($AF$5:AF30,"x"))-(COUNTIF($AF$5:AF29,"x")))=0,"",COUNTIF($AF$5:AF30,"x"))</f>
        <v/>
      </c>
      <c r="AG135" s="2120" t="str">
        <f t="shared" si="15"/>
        <v>Fuego Top</v>
      </c>
    </row>
    <row r="136" spans="2:33" ht="18">
      <c r="B136" s="2136">
        <f t="shared" si="16"/>
        <v>27</v>
      </c>
      <c r="C136" s="3711" t="str">
        <f t="shared" si="13"/>
        <v>Coragen</v>
      </c>
      <c r="D136" s="3655"/>
      <c r="E136" s="3710"/>
      <c r="F136" s="3706" t="str">
        <f>IF(((COUNTIF($F$5:$F31,"x"))-(COUNTIF($F$5:$F30,"x")))=0,"",COUNTIF($F$5:$F31,"x"))</f>
        <v/>
      </c>
      <c r="G136" s="3707" t="str">
        <f>IF(((COUNTIF($G$5:$G31,"x"))-(COUNTIF($G$5:$G30,"x")))=0,"",COUNTIF($G$5:$G31,"x"))</f>
        <v/>
      </c>
      <c r="H136" s="3707" t="str">
        <f>IF(((COUNTIF($H$5:$H31,"x"))-(COUNTIF($H$5:$H30,"x")))=0,"",COUNTIF($H$5:$H31,"x"))</f>
        <v/>
      </c>
      <c r="I136" s="3707" t="str">
        <f>IF(((COUNTIF($I$5:I31,"x"))-(COUNTIF($I$5:I30,"x")))=0,"",COUNTIF($I$5:I31,"x"))</f>
        <v/>
      </c>
      <c r="J136" s="3707" t="str">
        <f>IF(((COUNTIF($J$5:J31,"x"))-(COUNTIF($J$5:J30,"x")))=0,"",COUNTIF($J$5:J31,"x"))</f>
        <v/>
      </c>
      <c r="K136" s="3707" t="str">
        <f>IF(((COUNTIF($K$5:K31,"x"))-(COUNTIF($K$5:K30,"x")))=0,"",COUNTIF($K$5:K31,"x"))</f>
        <v/>
      </c>
      <c r="L136" s="3707" t="str">
        <f>IF(((COUNTIF($L$5:L31,"x"))-(COUNTIF($L$5:L30,"x")))=0,"",COUNTIF($L$5:L31,"x"))</f>
        <v/>
      </c>
      <c r="M136" s="3707" t="str">
        <f>IF(((COUNTIF($M$5:M31,"x"))-(COUNTIF($M$5:M30,"x")))=0,"",COUNTIF($M$5:M31,"x"))</f>
        <v/>
      </c>
      <c r="N136" s="3707" t="str">
        <f>IF(((COUNTIF($N$5:N31,"x"))-(COUNTIF($N$5:N30,"x")))=0,"",COUNTIF($N$5:N31,"x"))</f>
        <v/>
      </c>
      <c r="O136" s="3707" t="str">
        <f>IF(((COUNTIF($O$5:O31,"x"))-(COUNTIF($O$5:O30,"x")))=0,"",COUNTIF($O$5:O31,"x"))</f>
        <v/>
      </c>
      <c r="P136" s="3707" t="str">
        <f>IF(((COUNTIF($P$5:P31,"x"))-(COUNTIF($P$5:P30,"x")))=0,"",COUNTIF($P$5:P31,"x"))</f>
        <v/>
      </c>
      <c r="Q136" s="3707" t="str">
        <f>IF(((COUNTIF($Q$5:Q31,"x"))-(COUNTIF($Q$5:Q30,"x")))=0,"",COUNTIF($Q$5:Q31,"x"))</f>
        <v/>
      </c>
      <c r="R136" s="3707">
        <f>IF(((COUNTIF($R$5:R31,"x"))-(COUNTIF($R$5:R30,"x")))=0,"",COUNTIF($R$5:R31,"x"))</f>
        <v>3</v>
      </c>
      <c r="S136" s="3707" t="str">
        <f>IF(((COUNTIF($S$5:S31,"x"))-(COUNTIF($S$5:S30,"x")))=0,"",COUNTIF($S$5:S31,"x"))</f>
        <v/>
      </c>
      <c r="T136" s="3707" t="str">
        <f>IF(((COUNTIF($T$5:T31,"x"))-(COUNTIF($T$5:T30,"x")))=0,"",COUNTIF($T$5:T31,"x"))</f>
        <v/>
      </c>
      <c r="U136" s="3707" t="str">
        <f>IF(((COUNTIF($U$5:U31,"x"))-(COUNTIF($U$5:U30,"x")))=0,"",COUNTIF($U$5:U31,"x"))</f>
        <v/>
      </c>
      <c r="V136" s="3707" t="str">
        <f>IF(((COUNTIF($V$5:V31,"x"))-(COUNTIF($V$5:V30,"x")))=0,"",COUNTIF($V$5:V31,"x"))</f>
        <v/>
      </c>
      <c r="W136" s="3707" t="str">
        <f>IF(((COUNTIF($W$5:W31,"x"))-(COUNTIF($W$5:W30,"x")))=0,"",COUNTIF($W$5:W31,"x"))</f>
        <v/>
      </c>
      <c r="X136" s="3707" t="str">
        <f>IF(((COUNTIF($X$5:X31,"x"))-(COUNTIF($X$5:X30,"x")))=0,"",COUNTIF($X$5:X31,"x"))</f>
        <v/>
      </c>
      <c r="Y136" s="3707" t="str">
        <f>IF(((COUNTIF($Y$5:Y31,"x"))-(COUNTIF($Y$5:Y30,"x")))=0,"",COUNTIF($Y$5:Y31,"x"))</f>
        <v/>
      </c>
      <c r="Z136" s="3707" t="str">
        <f>IF(((COUNTIF($Z$5:Z31,"x"))-(COUNTIF($Z$5:Z30,"x")))=0,"",COUNTIF($Z$5:Z31,"x"))</f>
        <v/>
      </c>
      <c r="AA136" s="3707" t="str">
        <f>IF(((COUNTIF($AA$5:AA31,"x"))-(COUNTIF($AA$5:AA30,"x")))=0,"",COUNTIF($AA$5:AA31,"x"))</f>
        <v/>
      </c>
      <c r="AB136" s="3707">
        <f>IF(((COUNTIF($AB$5:AB31,"x"))-(COUNTIF($AB$5:AB30,"x")))=0,"",COUNTIF($AB$5:AB31,"x"))</f>
        <v>6</v>
      </c>
      <c r="AC136" s="3707" t="str">
        <f>IF(((COUNTIF($AC$5:AC31,"x"))-(COUNTIF($AC$5:AC30,"x")))=0,"",COUNTIF($AC$5:AC31,"x"))</f>
        <v/>
      </c>
      <c r="AD136" s="3707">
        <f>IF(((COUNTIF($AD$5:AD31,"x"))-(COUNTIF($AD$5:AD30,"x")))=0,"",COUNTIF($AD$5:AD31,"x"))</f>
        <v>23</v>
      </c>
      <c r="AE136" s="3707" t="str">
        <f>IF(((COUNTIF($AE$5:AE31,"x"))-(COUNTIF($AE$5:AE30,"x")))=0,"",COUNTIF($AE$5:AE31,"x"))</f>
        <v/>
      </c>
      <c r="AF136" s="3708" t="str">
        <f>IF(((COUNTIF($AF$5:AF31,"x"))-(COUNTIF($AF$5:AF30,"x")))=0,"",COUNTIF($AF$5:AF31,"x"))</f>
        <v/>
      </c>
      <c r="AG136" s="2120" t="str">
        <f t="shared" si="15"/>
        <v>Coragen</v>
      </c>
    </row>
    <row r="137" spans="2:33" ht="18">
      <c r="B137" s="2136">
        <f t="shared" si="16"/>
        <v>28</v>
      </c>
      <c r="C137" s="3711" t="str">
        <f t="shared" si="13"/>
        <v xml:space="preserve">Debut </v>
      </c>
      <c r="D137" s="3655"/>
      <c r="E137" s="3710"/>
      <c r="F137" s="3706" t="str">
        <f>IF(((COUNTIF($F$5:$F32,"x"))-(COUNTIF($F$5:$F31,"x")))=0,"",COUNTIF($F$5:$F32,"x"))</f>
        <v/>
      </c>
      <c r="G137" s="3707" t="str">
        <f>IF(((COUNTIF($G$5:$G32,"x"))-(COUNTIF($G$5:$G31,"x")))=0,"",COUNTIF($G$5:$G32,"x"))</f>
        <v/>
      </c>
      <c r="H137" s="3707" t="str">
        <f>IF(((COUNTIF($H$5:$H32,"x"))-(COUNTIF($H$5:$H31,"x")))=0,"",COUNTIF($H$5:$H32,"x"))</f>
        <v/>
      </c>
      <c r="I137" s="3707" t="str">
        <f>IF(((COUNTIF($I$5:I32,"x"))-(COUNTIF($I$5:I31,"x")))=0,"",COUNTIF($I$5:I32,"x"))</f>
        <v/>
      </c>
      <c r="J137" s="3707" t="str">
        <f>IF(((COUNTIF($J$5:J32,"x"))-(COUNTIF($J$5:J31,"x")))=0,"",COUNTIF($J$5:J32,"x"))</f>
        <v/>
      </c>
      <c r="K137" s="3707" t="str">
        <f>IF(((COUNTIF($K$5:K32,"x"))-(COUNTIF($K$5:K31,"x")))=0,"",COUNTIF($K$5:K32,"x"))</f>
        <v/>
      </c>
      <c r="L137" s="3707" t="str">
        <f>IF(((COUNTIF($L$5:L32,"x"))-(COUNTIF($L$5:L31,"x")))=0,"",COUNTIF($L$5:L32,"x"))</f>
        <v/>
      </c>
      <c r="M137" s="3707" t="str">
        <f>IF(((COUNTIF($M$5:M32,"x"))-(COUNTIF($M$5:M31,"x")))=0,"",COUNTIF($M$5:M32,"x"))</f>
        <v/>
      </c>
      <c r="N137" s="3707" t="str">
        <f>IF(((COUNTIF($N$5:N32,"x"))-(COUNTIF($N$5:N31,"x")))=0,"",COUNTIF($N$5:N32,"x"))</f>
        <v/>
      </c>
      <c r="O137" s="3707" t="str">
        <f>IF(((COUNTIF($O$5:O32,"x"))-(COUNTIF($O$5:O31,"x")))=0,"",COUNTIF($O$5:O32,"x"))</f>
        <v/>
      </c>
      <c r="P137" s="3707" t="str">
        <f>IF(((COUNTIF($P$5:P32,"x"))-(COUNTIF($P$5:P31,"x")))=0,"",COUNTIF($P$5:P32,"x"))</f>
        <v/>
      </c>
      <c r="Q137" s="3707" t="str">
        <f>IF(((COUNTIF($Q$5:Q32,"x"))-(COUNTIF($Q$5:Q31,"x")))=0,"",COUNTIF($Q$5:Q32,"x"))</f>
        <v/>
      </c>
      <c r="R137" s="3707" t="str">
        <f>IF(((COUNTIF($R$5:R32,"x"))-(COUNTIF($R$5:R31,"x")))=0,"",COUNTIF($R$5:R32,"x"))</f>
        <v/>
      </c>
      <c r="S137" s="3707" t="str">
        <f>IF(((COUNTIF($S$5:S32,"x"))-(COUNTIF($S$5:S31,"x")))=0,"",COUNTIF($S$5:S32,"x"))</f>
        <v/>
      </c>
      <c r="T137" s="3707" t="str">
        <f>IF(((COUNTIF($T$5:T32,"x"))-(COUNTIF($T$5:T31,"x")))=0,"",COUNTIF($T$5:T32,"x"))</f>
        <v/>
      </c>
      <c r="U137" s="3707" t="str">
        <f>IF(((COUNTIF($U$5:U32,"x"))-(COUNTIF($U$5:U31,"x")))=0,"",COUNTIF($U$5:U32,"x"))</f>
        <v/>
      </c>
      <c r="V137" s="3707" t="str">
        <f>IF(((COUNTIF($V$5:V32,"x"))-(COUNTIF($V$5:V31,"x")))=0,"",COUNTIF($V$5:V32,"x"))</f>
        <v/>
      </c>
      <c r="W137" s="3707" t="str">
        <f>IF(((COUNTIF($W$5:W32,"x"))-(COUNTIF($W$5:W31,"x")))=0,"",COUNTIF($W$5:W32,"x"))</f>
        <v/>
      </c>
      <c r="X137" s="3707" t="str">
        <f>IF(((COUNTIF($X$5:X32,"x"))-(COUNTIF($X$5:X31,"x")))=0,"",COUNTIF($X$5:X32,"x"))</f>
        <v/>
      </c>
      <c r="Y137" s="3707" t="str">
        <f>IF(((COUNTIF($Y$5:Y32,"x"))-(COUNTIF($Y$5:Y31,"x")))=0,"",COUNTIF($Y$5:Y32,"x"))</f>
        <v/>
      </c>
      <c r="Z137" s="3707" t="str">
        <f>IF(((COUNTIF($Z$5:Z32,"x"))-(COUNTIF($Z$5:Z31,"x")))=0,"",COUNTIF($Z$5:Z32,"x"))</f>
        <v/>
      </c>
      <c r="AA137" s="3707">
        <f>IF(((COUNTIF($AA$5:AA32,"x"))-(COUNTIF($AA$5:AA31,"x")))=0,"",COUNTIF($AA$5:AA32,"x"))</f>
        <v>4</v>
      </c>
      <c r="AB137" s="3707" t="str">
        <f>IF(((COUNTIF($AB$5:AB32,"x"))-(COUNTIF($AB$5:AB31,"x")))=0,"",COUNTIF($AB$5:AB32,"x"))</f>
        <v/>
      </c>
      <c r="AC137" s="3707" t="str">
        <f>IF(((COUNTIF($AC$5:AC32,"x"))-(COUNTIF($AC$5:AC31,"x")))=0,"",COUNTIF($AC$5:AC32,"x"))</f>
        <v/>
      </c>
      <c r="AD137" s="3707">
        <f>IF(((COUNTIF($AD$5:AD32,"x"))-(COUNTIF($AD$5:AD31,"x")))=0,"",COUNTIF($AD$5:AD32,"x"))</f>
        <v>24</v>
      </c>
      <c r="AE137" s="3707" t="str">
        <f>IF(((COUNTIF($AE$5:AE32,"x"))-(COUNTIF($AE$5:AE31,"x")))=0,"",COUNTIF($AE$5:AE32,"x"))</f>
        <v/>
      </c>
      <c r="AF137" s="3708" t="str">
        <f>IF(((COUNTIF($AF$5:AF32,"x"))-(COUNTIF($AF$5:AF31,"x")))=0,"",COUNTIF($AF$5:AF32,"x"))</f>
        <v/>
      </c>
      <c r="AG137" s="2120" t="str">
        <f t="shared" si="15"/>
        <v xml:space="preserve">Debut </v>
      </c>
    </row>
    <row r="138" spans="2:33" ht="18">
      <c r="B138" s="2136">
        <f t="shared" si="16"/>
        <v>29</v>
      </c>
      <c r="C138" s="3654" t="str">
        <f t="shared" si="13"/>
        <v>Effigo</v>
      </c>
      <c r="D138" s="3655"/>
      <c r="E138" s="3709"/>
      <c r="F138" s="3706" t="str">
        <f>IF(((COUNTIF($F$5:$F33,"x"))-(COUNTIF($F$5:$F32,"x")))=0,"",COUNTIF($F$5:$F33,"x"))</f>
        <v/>
      </c>
      <c r="G138" s="3707" t="str">
        <f>IF(((COUNTIF($G$5:$G33,"x"))-(COUNTIF($G$5:$G32,"x")))=0,"",COUNTIF($G$5:$G33,"x"))</f>
        <v/>
      </c>
      <c r="H138" s="3707" t="str">
        <f>IF(((COUNTIF($H$5:$H33,"x"))-(COUNTIF($H$5:$H32,"x")))=0,"",COUNTIF($H$5:$H33,"x"))</f>
        <v/>
      </c>
      <c r="I138" s="3707" t="str">
        <f>IF(((COUNTIF($I$5:I33,"x"))-(COUNTIF($I$5:I32,"x")))=0,"",COUNTIF($I$5:I33,"x"))</f>
        <v/>
      </c>
      <c r="J138" s="3707" t="str">
        <f>IF(((COUNTIF($J$5:J33,"x"))-(COUNTIF($J$5:J32,"x")))=0,"",COUNTIF($J$5:J33,"x"))</f>
        <v/>
      </c>
      <c r="K138" s="3707" t="str">
        <f>IF(((COUNTIF($K$5:K33,"x"))-(COUNTIF($K$5:K32,"x")))=0,"",COUNTIF($K$5:K33,"x"))</f>
        <v/>
      </c>
      <c r="L138" s="3707" t="str">
        <f>IF(((COUNTIF($L$5:L33,"x"))-(COUNTIF($L$5:L32,"x")))=0,"",COUNTIF($L$5:L33,"x"))</f>
        <v/>
      </c>
      <c r="M138" s="3707" t="str">
        <f>IF(((COUNTIF($M$5:M33,"x"))-(COUNTIF($M$5:M32,"x")))=0,"",COUNTIF($M$5:M33,"x"))</f>
        <v/>
      </c>
      <c r="N138" s="3707" t="str">
        <f>IF(((COUNTIF($N$5:N33,"x"))-(COUNTIF($N$5:N32,"x")))=0,"",COUNTIF($N$5:N33,"x"))</f>
        <v/>
      </c>
      <c r="O138" s="3707" t="str">
        <f>IF(((COUNTIF($O$5:O33,"x"))-(COUNTIF($O$5:O32,"x")))=0,"",COUNTIF($O$5:O33,"x"))</f>
        <v/>
      </c>
      <c r="P138" s="3707" t="str">
        <f>IF(((COUNTIF($P$5:P33,"x"))-(COUNTIF($P$5:P32,"x")))=0,"",COUNTIF($P$5:P33,"x"))</f>
        <v/>
      </c>
      <c r="Q138" s="3707" t="str">
        <f>IF(((COUNTIF($Q$5:Q33,"x"))-(COUNTIF($Q$5:Q32,"x")))=0,"",COUNTIF($Q$5:Q33,"x"))</f>
        <v/>
      </c>
      <c r="R138" s="3707">
        <f>IF(((COUNTIF($R$5:R33,"x"))-(COUNTIF($R$5:R32,"x")))=0,"",COUNTIF($R$5:R33,"x"))</f>
        <v>4</v>
      </c>
      <c r="S138" s="3707">
        <f>IF(((COUNTIF($S$5:S33,"x"))-(COUNTIF($S$5:S32,"x")))=0,"",COUNTIF($S$5:S33,"x"))</f>
        <v>8</v>
      </c>
      <c r="T138" s="3707" t="str">
        <f>IF(((COUNTIF($T$5:T33,"x"))-(COUNTIF($T$5:T32,"x")))=0,"",COUNTIF($T$5:T33,"x"))</f>
        <v/>
      </c>
      <c r="U138" s="3707" t="str">
        <f>IF(((COUNTIF($U$5:U33,"x"))-(COUNTIF($U$5:U32,"x")))=0,"",COUNTIF($U$5:U33,"x"))</f>
        <v/>
      </c>
      <c r="V138" s="3707" t="str">
        <f>IF(((COUNTIF($V$5:V33,"x"))-(COUNTIF($V$5:V32,"x")))=0,"",COUNTIF($V$5:V33,"x"))</f>
        <v/>
      </c>
      <c r="W138" s="3707" t="str">
        <f>IF(((COUNTIF($W$5:W33,"x"))-(COUNTIF($W$5:W32,"x")))=0,"",COUNTIF($W$5:W33,"x"))</f>
        <v/>
      </c>
      <c r="X138" s="3707" t="str">
        <f>IF(((COUNTIF($X$5:X33,"x"))-(COUNTIF($X$5:X32,"x")))=0,"",COUNTIF($X$5:X33,"x"))</f>
        <v/>
      </c>
      <c r="Y138" s="3707" t="str">
        <f>IF(((COUNTIF($Y$5:Y33,"x"))-(COUNTIF($Y$5:Y32,"x")))=0,"",COUNTIF($Y$5:Y33,"x"))</f>
        <v/>
      </c>
      <c r="Z138" s="3707" t="str">
        <f>IF(((COUNTIF($Z$5:Z33,"x"))-(COUNTIF($Z$5:Z32,"x")))=0,"",COUNTIF($Z$5:Z33,"x"))</f>
        <v/>
      </c>
      <c r="AA138" s="3707" t="str">
        <f>IF(((COUNTIF($AA$5:AA33,"x"))-(COUNTIF($AA$5:AA32,"x")))=0,"",COUNTIF($AA$5:AA33,"x"))</f>
        <v/>
      </c>
      <c r="AB138" s="3707" t="str">
        <f>IF(((COUNTIF($AB$5:AB33,"x"))-(COUNTIF($AB$5:AB32,"x")))=0,"",COUNTIF($AB$5:AB33,"x"))</f>
        <v/>
      </c>
      <c r="AC138" s="3707" t="str">
        <f>IF(((COUNTIF($AC$5:AC33,"x"))-(COUNTIF($AC$5:AC32,"x")))=0,"",COUNTIF($AC$5:AC33,"x"))</f>
        <v/>
      </c>
      <c r="AD138" s="3707">
        <f>IF(((COUNTIF($AD$5:AD33,"x"))-(COUNTIF($AD$5:AD32,"x")))=0,"",COUNTIF($AD$5:AD33,"x"))</f>
        <v>25</v>
      </c>
      <c r="AE138" s="3707" t="str">
        <f>IF(((COUNTIF($AE$5:AE33,"x"))-(COUNTIF($AE$5:AE32,"x")))=0,"",COUNTIF($AE$5:AE33,"x"))</f>
        <v/>
      </c>
      <c r="AF138" s="3708" t="str">
        <f>IF(((COUNTIF($AF$5:AF33,"x"))-(COUNTIF($AF$5:AF32,"x")))=0,"",COUNTIF($AF$5:AF33,"x"))</f>
        <v/>
      </c>
      <c r="AG138" s="2120" t="str">
        <f t="shared" si="15"/>
        <v>Effigo</v>
      </c>
    </row>
    <row r="139" spans="2:33" ht="18">
      <c r="B139" s="2136">
        <f t="shared" si="16"/>
        <v>30</v>
      </c>
      <c r="C139" s="3711" t="str">
        <f t="shared" si="13"/>
        <v>Elatus Era</v>
      </c>
      <c r="D139" s="3655"/>
      <c r="E139" s="3710"/>
      <c r="F139" s="3706">
        <f>IF(((COUNTIF($F$5:$F34,"x"))-(COUNTIF($F$5:$F33,"x")))=0,"",COUNTIF($F$5:$F34,"x"))</f>
        <v>12</v>
      </c>
      <c r="G139" s="3707">
        <f>IF(((COUNTIF($G$5:$G34,"x"))-(COUNTIF($G$5:$G33,"x")))=0,"",COUNTIF($G$5:$G34,"x"))</f>
        <v>9</v>
      </c>
      <c r="H139" s="3707">
        <f>IF(((COUNTIF($H$5:$H34,"x"))-(COUNTIF($H$5:$H33,"x")))=0,"",COUNTIF($H$5:$H34,"x"))</f>
        <v>12</v>
      </c>
      <c r="I139" s="3707">
        <f>IF(((COUNTIF($I$5:I34,"x"))-(COUNTIF($I$5:I33,"x")))=0,"",COUNTIF($I$5:I34,"x"))</f>
        <v>11</v>
      </c>
      <c r="J139" s="3707">
        <f>IF(((COUNTIF($J$5:J34,"x"))-(COUNTIF($J$5:J33,"x")))=0,"",COUNTIF($J$5:J34,"x"))</f>
        <v>9</v>
      </c>
      <c r="K139" s="3707">
        <f>IF(((COUNTIF($K$5:K34,"x"))-(COUNTIF($K$5:K33,"x")))=0,"",COUNTIF($K$5:K34,"x"))</f>
        <v>9</v>
      </c>
      <c r="L139" s="3707">
        <f>IF(((COUNTIF($L$5:L34,"x"))-(COUNTIF($L$5:L33,"x")))=0,"",COUNTIF($L$5:L34,"x"))</f>
        <v>9</v>
      </c>
      <c r="M139" s="3707">
        <f>IF(((COUNTIF($M$5:M34,"x"))-(COUNTIF($M$5:M33,"x")))=0,"",COUNTIF($M$5:M34,"x"))</f>
        <v>9</v>
      </c>
      <c r="N139" s="3707" t="str">
        <f>IF(((COUNTIF($N$5:N34,"x"))-(COUNTIF($N$5:N33,"x")))=0,"",COUNTIF($N$5:N34,"x"))</f>
        <v/>
      </c>
      <c r="O139" s="3707" t="str">
        <f>IF(((COUNTIF($O$5:O34,"x"))-(COUNTIF($O$5:O33,"x")))=0,"",COUNTIF($O$5:O34,"x"))</f>
        <v/>
      </c>
      <c r="P139" s="3707" t="str">
        <f>IF(((COUNTIF($P$5:P34,"x"))-(COUNTIF($P$5:P33,"x")))=0,"",COUNTIF($P$5:P34,"x"))</f>
        <v/>
      </c>
      <c r="Q139" s="3707" t="str">
        <f>IF(((COUNTIF($Q$5:Q34,"x"))-(COUNTIF($Q$5:Q33,"x")))=0,"",COUNTIF($Q$5:Q34,"x"))</f>
        <v/>
      </c>
      <c r="R139" s="3707" t="str">
        <f>IF(((COUNTIF($R$5:R34,"x"))-(COUNTIF($R$5:R33,"x")))=0,"",COUNTIF($R$5:R34,"x"))</f>
        <v/>
      </c>
      <c r="S139" s="3707" t="str">
        <f>IF(((COUNTIF($S$5:S34,"x"))-(COUNTIF($S$5:S33,"x")))=0,"",COUNTIF($S$5:S34,"x"))</f>
        <v/>
      </c>
      <c r="T139" s="3707" t="str">
        <f>IF(((COUNTIF($T$5:T34,"x"))-(COUNTIF($T$5:T33,"x")))=0,"",COUNTIF($T$5:T34,"x"))</f>
        <v/>
      </c>
      <c r="U139" s="3707" t="str">
        <f>IF(((COUNTIF($U$5:U34,"x"))-(COUNTIF($U$5:U33,"x")))=0,"",COUNTIF($U$5:U34,"x"))</f>
        <v/>
      </c>
      <c r="V139" s="3707" t="str">
        <f>IF(((COUNTIF($V$5:V34,"x"))-(COUNTIF($V$5:V33,"x")))=0,"",COUNTIF($V$5:V34,"x"))</f>
        <v/>
      </c>
      <c r="W139" s="3707" t="str">
        <f>IF(((COUNTIF($W$5:W34,"x"))-(COUNTIF($W$5:W33,"x")))=0,"",COUNTIF($W$5:W34,"x"))</f>
        <v/>
      </c>
      <c r="X139" s="3707" t="str">
        <f>IF(((COUNTIF($X$5:X34,"x"))-(COUNTIF($X$5:X33,"x")))=0,"",COUNTIF($X$5:X34,"x"))</f>
        <v/>
      </c>
      <c r="Y139" s="3707" t="str">
        <f>IF(((COUNTIF($Y$5:Y34,"x"))-(COUNTIF($Y$5:Y33,"x")))=0,"",COUNTIF($Y$5:Y34,"x"))</f>
        <v/>
      </c>
      <c r="Z139" s="3707" t="str">
        <f>IF(((COUNTIF($Z$5:Z34,"x"))-(COUNTIF($Z$5:Z33,"x")))=0,"",COUNTIF($Z$5:Z34,"x"))</f>
        <v/>
      </c>
      <c r="AA139" s="3707" t="str">
        <f>IF(((COUNTIF($AA$5:AA34,"x"))-(COUNTIF($AA$5:AA33,"x")))=0,"",COUNTIF($AA$5:AA34,"x"))</f>
        <v/>
      </c>
      <c r="AB139" s="3707" t="str">
        <f>IF(((COUNTIF($AB$5:AB34,"x"))-(COUNTIF($AB$5:AB33,"x")))=0,"",COUNTIF($AB$5:AB34,"x"))</f>
        <v/>
      </c>
      <c r="AC139" s="3707" t="str">
        <f>IF(((COUNTIF($AC$5:AC34,"x"))-(COUNTIF($AC$5:AC33,"x")))=0,"",COUNTIF($AC$5:AC34,"x"))</f>
        <v/>
      </c>
      <c r="AD139" s="3707">
        <f>IF(((COUNTIF($AD$5:AD34,"x"))-(COUNTIF($AD$5:AD33,"x")))=0,"",COUNTIF($AD$5:AD34,"x"))</f>
        <v>26</v>
      </c>
      <c r="AE139" s="3707" t="str">
        <f>IF(((COUNTIF($AE$5:AE34,"x"))-(COUNTIF($AE$5:AE33,"x")))=0,"",COUNTIF($AE$5:AE34,"x"))</f>
        <v/>
      </c>
      <c r="AF139" s="3708" t="str">
        <f>IF(((COUNTIF($AF$5:AF34,"x"))-(COUNTIF($AF$5:AF33,"x")))=0,"",COUNTIF($AF$5:AF34,"x"))</f>
        <v/>
      </c>
      <c r="AG139" s="2120" t="str">
        <f t="shared" si="15"/>
        <v>Elatus Era</v>
      </c>
    </row>
    <row r="140" spans="2:33" ht="18">
      <c r="B140" s="2136">
        <f t="shared" si="16"/>
        <v>31</v>
      </c>
      <c r="C140" s="3711" t="str">
        <f t="shared" si="13"/>
        <v>Elumis P Dual Pack, Dual Gold</v>
      </c>
      <c r="D140" s="3655"/>
      <c r="E140" s="3710"/>
      <c r="F140" s="3706" t="str">
        <f>IF(((COUNTIF($F$5:$F35,"x"))-(COUNTIF($F$5:$F34,"x")))=0,"",COUNTIF($F$5:$F35,"x"))</f>
        <v/>
      </c>
      <c r="G140" s="3707" t="str">
        <f>IF(((COUNTIF($G$5:$G35,"x"))-(COUNTIF($G$5:$G34,"x")))=0,"",COUNTIF($G$5:$G35,"x"))</f>
        <v/>
      </c>
      <c r="H140" s="3707" t="str">
        <f>IF(((COUNTIF($H$5:$H35,"x"))-(COUNTIF($H$5:$H34,"x")))=0,"",COUNTIF($H$5:$H35,"x"))</f>
        <v/>
      </c>
      <c r="I140" s="3707" t="str">
        <f>IF(((COUNTIF($I$5:I35,"x"))-(COUNTIF($I$5:I34,"x")))=0,"",COUNTIF($I$5:I35,"x"))</f>
        <v/>
      </c>
      <c r="J140" s="3707" t="str">
        <f>IF(((COUNTIF($J$5:J35,"x"))-(COUNTIF($J$5:J34,"x")))=0,"",COUNTIF($J$5:J35,"x"))</f>
        <v/>
      </c>
      <c r="K140" s="3707" t="str">
        <f>IF(((COUNTIF($K$5:K35,"x"))-(COUNTIF($K$5:K34,"x")))=0,"",COUNTIF($K$5:K35,"x"))</f>
        <v/>
      </c>
      <c r="L140" s="3707" t="str">
        <f>IF(((COUNTIF($L$5:L35,"x"))-(COUNTIF($L$5:L34,"x")))=0,"",COUNTIF($L$5:L35,"x"))</f>
        <v/>
      </c>
      <c r="M140" s="3707" t="str">
        <f>IF(((COUNTIF($M$5:M35,"x"))-(COUNTIF($M$5:M34,"x")))=0,"",COUNTIF($M$5:M35,"x"))</f>
        <v/>
      </c>
      <c r="N140" s="3707" t="str">
        <f>IF(((COUNTIF($N$5:N35,"x"))-(COUNTIF($N$5:N34,"x")))=0,"",COUNTIF($N$5:N35,"x"))</f>
        <v/>
      </c>
      <c r="O140" s="3707" t="str">
        <f>IF(((COUNTIF($O$5:O35,"x"))-(COUNTIF($O$5:O34,"x")))=0,"",COUNTIF($O$5:O35,"x"))</f>
        <v/>
      </c>
      <c r="P140" s="3707" t="str">
        <f>IF(((COUNTIF($P$5:P35,"x"))-(COUNTIF($P$5:P34,"x")))=0,"",COUNTIF($P$5:P35,"x"))</f>
        <v/>
      </c>
      <c r="Q140" s="3707" t="str">
        <f>IF(((COUNTIF($Q$5:Q35,"x"))-(COUNTIF($Q$5:Q34,"x")))=0,"",COUNTIF($Q$5:Q35,"x"))</f>
        <v/>
      </c>
      <c r="R140" s="3707">
        <f>IF(((COUNTIF($R$5:R35,"x"))-(COUNTIF($R$5:R34,"x")))=0,"",COUNTIF($R$5:R35,"x"))</f>
        <v>5</v>
      </c>
      <c r="S140" s="3707" t="str">
        <f>IF(((COUNTIF($S$5:S35,"x"))-(COUNTIF($S$5:S34,"x")))=0,"",COUNTIF($S$5:S35,"x"))</f>
        <v/>
      </c>
      <c r="T140" s="3707" t="str">
        <f>IF(((COUNTIF($T$5:T35,"x"))-(COUNTIF($T$5:T34,"x")))=0,"",COUNTIF($T$5:T35,"x"))</f>
        <v/>
      </c>
      <c r="U140" s="3707" t="str">
        <f>IF(((COUNTIF($U$5:U35,"x"))-(COUNTIF($U$5:U34,"x")))=0,"",COUNTIF($U$5:U35,"x"))</f>
        <v/>
      </c>
      <c r="V140" s="3707" t="str">
        <f>IF(((COUNTIF($V$5:V35,"x"))-(COUNTIF($V$5:V34,"x")))=0,"",COUNTIF($V$5:V35,"x"))</f>
        <v/>
      </c>
      <c r="W140" s="3707" t="str">
        <f>IF(((COUNTIF($W$5:W35,"x"))-(COUNTIF($W$5:W34,"x")))=0,"",COUNTIF($W$5:W35,"x"))</f>
        <v/>
      </c>
      <c r="X140" s="3707" t="str">
        <f>IF(((COUNTIF($X$5:X35,"x"))-(COUNTIF($X$5:X34,"x")))=0,"",COUNTIF($X$5:X35,"x"))</f>
        <v/>
      </c>
      <c r="Y140" s="3707" t="str">
        <f>IF(((COUNTIF($Y$5:Y35,"x"))-(COUNTIF($Y$5:Y34,"x")))=0,"",COUNTIF($Y$5:Y35,"x"))</f>
        <v/>
      </c>
      <c r="Z140" s="3707" t="str">
        <f>IF(((COUNTIF($Z$5:Z35,"x"))-(COUNTIF($Z$5:Z34,"x")))=0,"",COUNTIF($Z$5:Z35,"x"))</f>
        <v/>
      </c>
      <c r="AA140" s="3707" t="str">
        <f>IF(((COUNTIF($AA$5:AA35,"x"))-(COUNTIF($AA$5:AA34,"x")))=0,"",COUNTIF($AA$5:AA35,"x"))</f>
        <v/>
      </c>
      <c r="AB140" s="3707" t="str">
        <f>IF(((COUNTIF($AB$5:AB35,"x"))-(COUNTIF($AB$5:AB34,"x")))=0,"",COUNTIF($AB$5:AB35,"x"))</f>
        <v/>
      </c>
      <c r="AC140" s="3707" t="str">
        <f>IF(((COUNTIF($AC$5:AC35,"x"))-(COUNTIF($AC$5:AC34,"x")))=0,"",COUNTIF($AC$5:AC35,"x"))</f>
        <v/>
      </c>
      <c r="AD140" s="3707">
        <f>IF(((COUNTIF($AD$5:AD35,"x"))-(COUNTIF($AD$5:AD34,"x")))=0,"",COUNTIF($AD$5:AD35,"x"))</f>
        <v>27</v>
      </c>
      <c r="AE140" s="3707" t="str">
        <f>IF(((COUNTIF($AE$5:AE35,"x"))-(COUNTIF($AE$5:AE34,"x")))=0,"",COUNTIF($AE$5:AE35,"x"))</f>
        <v/>
      </c>
      <c r="AF140" s="3708" t="str">
        <f>IF(((COUNTIF($AF$5:AF35,"x"))-(COUNTIF($AF$5:AF34,"x")))=0,"",COUNTIF($AF$5:AF35,"x"))</f>
        <v/>
      </c>
      <c r="AG140" s="2120" t="str">
        <f t="shared" si="15"/>
        <v>Elumis P Dual Pack, Dual Gold</v>
      </c>
    </row>
    <row r="141" spans="2:33" ht="18">
      <c r="B141" s="2136">
        <f t="shared" si="16"/>
        <v>32</v>
      </c>
      <c r="C141" s="3711" t="str">
        <f t="shared" si="13"/>
        <v>Elumis P Dual Pack, Elumis</v>
      </c>
      <c r="D141" s="3655"/>
      <c r="E141" s="3710"/>
      <c r="F141" s="3706" t="str">
        <f>IF(((COUNTIF($F$5:$F36,"x"))-(COUNTIF($F$5:$F35,"x")))=0,"",COUNTIF($F$5:$F36,"x"))</f>
        <v/>
      </c>
      <c r="G141" s="3707" t="str">
        <f>IF(((COUNTIF($G$5:$G36,"x"))-(COUNTIF($G$5:$G35,"x")))=0,"",COUNTIF($G$5:$G36,"x"))</f>
        <v/>
      </c>
      <c r="H141" s="3707" t="str">
        <f>IF(((COUNTIF($H$5:$H36,"x"))-(COUNTIF($H$5:$H35,"x")))=0,"",COUNTIF($H$5:$H36,"x"))</f>
        <v/>
      </c>
      <c r="I141" s="3707" t="str">
        <f>IF(((COUNTIF($I$5:I36,"x"))-(COUNTIF($I$5:I35,"x")))=0,"",COUNTIF($I$5:I36,"x"))</f>
        <v/>
      </c>
      <c r="J141" s="3707" t="str">
        <f>IF(((COUNTIF($J$5:J36,"x"))-(COUNTIF($J$5:J35,"x")))=0,"",COUNTIF($J$5:J36,"x"))</f>
        <v/>
      </c>
      <c r="K141" s="3707" t="str">
        <f>IF(((COUNTIF($K$5:K36,"x"))-(COUNTIF($K$5:K35,"x")))=0,"",COUNTIF($K$5:K36,"x"))</f>
        <v/>
      </c>
      <c r="L141" s="3707" t="str">
        <f>IF(((COUNTIF($L$5:L36,"x"))-(COUNTIF($L$5:L35,"x")))=0,"",COUNTIF($L$5:L36,"x"))</f>
        <v/>
      </c>
      <c r="M141" s="3707" t="str">
        <f>IF(((COUNTIF($M$5:M36,"x"))-(COUNTIF($M$5:M35,"x")))=0,"",COUNTIF($M$5:M36,"x"))</f>
        <v/>
      </c>
      <c r="N141" s="3707" t="str">
        <f>IF(((COUNTIF($N$5:N36,"x"))-(COUNTIF($N$5:N35,"x")))=0,"",COUNTIF($N$5:N36,"x"))</f>
        <v/>
      </c>
      <c r="O141" s="3707" t="str">
        <f>IF(((COUNTIF($O$5:O36,"x"))-(COUNTIF($O$5:O35,"x")))=0,"",COUNTIF($O$5:O36,"x"))</f>
        <v/>
      </c>
      <c r="P141" s="3707" t="str">
        <f>IF(((COUNTIF($P$5:P36,"x"))-(COUNTIF($P$5:P35,"x")))=0,"",COUNTIF($P$5:P36,"x"))</f>
        <v/>
      </c>
      <c r="Q141" s="3707" t="str">
        <f>IF(((COUNTIF($Q$5:Q36,"x"))-(COUNTIF($Q$5:Q35,"x")))=0,"",COUNTIF($Q$5:Q36,"x"))</f>
        <v/>
      </c>
      <c r="R141" s="3707">
        <f>IF(((COUNTIF($R$5:R36,"x"))-(COUNTIF($R$5:R35,"x")))=0,"",COUNTIF($R$5:R36,"x"))</f>
        <v>6</v>
      </c>
      <c r="S141" s="3707" t="str">
        <f>IF(((COUNTIF($S$5:S36,"x"))-(COUNTIF($S$5:S35,"x")))=0,"",COUNTIF($S$5:S36,"x"))</f>
        <v/>
      </c>
      <c r="T141" s="3707" t="str">
        <f>IF(((COUNTIF($T$5:T36,"x"))-(COUNTIF($T$5:T35,"x")))=0,"",COUNTIF($T$5:T36,"x"))</f>
        <v/>
      </c>
      <c r="U141" s="3707" t="str">
        <f>IF(((COUNTIF($U$5:U36,"x"))-(COUNTIF($U$5:U35,"x")))=0,"",COUNTIF($U$5:U36,"x"))</f>
        <v/>
      </c>
      <c r="V141" s="3707" t="str">
        <f>IF(((COUNTIF($V$5:V36,"x"))-(COUNTIF($V$5:V35,"x")))=0,"",COUNTIF($V$5:V36,"x"))</f>
        <v/>
      </c>
      <c r="W141" s="3707" t="str">
        <f>IF(((COUNTIF($W$5:W36,"x"))-(COUNTIF($W$5:W35,"x")))=0,"",COUNTIF($W$5:W36,"x"))</f>
        <v/>
      </c>
      <c r="X141" s="3707" t="str">
        <f>IF(((COUNTIF($X$5:X36,"x"))-(COUNTIF($X$5:X35,"x")))=0,"",COUNTIF($X$5:X36,"x"))</f>
        <v/>
      </c>
      <c r="Y141" s="3707" t="str">
        <f>IF(((COUNTIF($Y$5:Y36,"x"))-(COUNTIF($Y$5:Y35,"x")))=0,"",COUNTIF($Y$5:Y36,"x"))</f>
        <v/>
      </c>
      <c r="Z141" s="3707" t="str">
        <f>IF(((COUNTIF($Z$5:Z36,"x"))-(COUNTIF($Z$5:Z35,"x")))=0,"",COUNTIF($Z$5:Z36,"x"))</f>
        <v/>
      </c>
      <c r="AA141" s="3707" t="str">
        <f>IF(((COUNTIF($AA$5:AA36,"x"))-(COUNTIF($AA$5:AA35,"x")))=0,"",COUNTIF($AA$5:AA36,"x"))</f>
        <v/>
      </c>
      <c r="AB141" s="3707" t="str">
        <f>IF(((COUNTIF($AB$5:AB36,"x"))-(COUNTIF($AB$5:AB35,"x")))=0,"",COUNTIF($AB$5:AB36,"x"))</f>
        <v/>
      </c>
      <c r="AC141" s="3707" t="str">
        <f>IF(((COUNTIF($AC$5:AC36,"x"))-(COUNTIF($AC$5:AC35,"x")))=0,"",COUNTIF($AC$5:AC36,"x"))</f>
        <v/>
      </c>
      <c r="AD141" s="3707">
        <f>IF(((COUNTIF($AD$5:AD36,"x"))-(COUNTIF($AD$5:AD35,"x")))=0,"",COUNTIF($AD$5:AD36,"x"))</f>
        <v>28</v>
      </c>
      <c r="AE141" s="3707" t="str">
        <f>IF(((COUNTIF($AE$5:AE36,"x"))-(COUNTIF($AE$5:AE35,"x")))=0,"",COUNTIF($AE$5:AE36,"x"))</f>
        <v/>
      </c>
      <c r="AF141" s="3708" t="str">
        <f>IF(((COUNTIF($AF$5:AF36,"x"))-(COUNTIF($AF$5:AF35,"x")))=0,"",COUNTIF($AF$5:AF36,"x"))</f>
        <v/>
      </c>
      <c r="AG141" s="2120" t="str">
        <f t="shared" si="15"/>
        <v>Elumis P Dual Pack, Elumis</v>
      </c>
    </row>
    <row r="142" spans="2:33" ht="18">
      <c r="B142" s="2136">
        <f t="shared" si="16"/>
        <v>33</v>
      </c>
      <c r="C142" s="3711" t="str">
        <f t="shared" si="13"/>
        <v>Elumis P Dual Pack, Peak</v>
      </c>
      <c r="D142" s="3655"/>
      <c r="E142" s="3710"/>
      <c r="F142" s="3706" t="str">
        <f>IF(((COUNTIF($F$5:$F37,"x"))-(COUNTIF($F$5:$F36,"x")))=0,"",COUNTIF($F$5:$F37,"x"))</f>
        <v/>
      </c>
      <c r="G142" s="3707" t="str">
        <f>IF(((COUNTIF($G$5:$G37,"x"))-(COUNTIF($G$5:$G36,"x")))=0,"",COUNTIF($G$5:$G37,"x"))</f>
        <v/>
      </c>
      <c r="H142" s="3707" t="str">
        <f>IF(((COUNTIF($H$5:$H37,"x"))-(COUNTIF($H$5:$H36,"x")))=0,"",COUNTIF($H$5:$H37,"x"))</f>
        <v/>
      </c>
      <c r="I142" s="3707" t="str">
        <f>IF(((COUNTIF($I$5:I37,"x"))-(COUNTIF($I$5:I36,"x")))=0,"",COUNTIF($I$5:I37,"x"))</f>
        <v/>
      </c>
      <c r="J142" s="3707" t="str">
        <f>IF(((COUNTIF($J$5:J37,"x"))-(COUNTIF($J$5:J36,"x")))=0,"",COUNTIF($J$5:J37,"x"))</f>
        <v/>
      </c>
      <c r="K142" s="3707" t="str">
        <f>IF(((COUNTIF($K$5:K37,"x"))-(COUNTIF($K$5:K36,"x")))=0,"",COUNTIF($K$5:K37,"x"))</f>
        <v/>
      </c>
      <c r="L142" s="3707" t="str">
        <f>IF(((COUNTIF($L$5:L37,"x"))-(COUNTIF($L$5:L36,"x")))=0,"",COUNTIF($L$5:L37,"x"))</f>
        <v/>
      </c>
      <c r="M142" s="3707" t="str">
        <f>IF(((COUNTIF($M$5:M37,"x"))-(COUNTIF($M$5:M36,"x")))=0,"",COUNTIF($M$5:M37,"x"))</f>
        <v/>
      </c>
      <c r="N142" s="3707" t="str">
        <f>IF(((COUNTIF($N$5:N37,"x"))-(COUNTIF($N$5:N36,"x")))=0,"",COUNTIF($N$5:N37,"x"))</f>
        <v/>
      </c>
      <c r="O142" s="3707" t="str">
        <f>IF(((COUNTIF($O$5:O37,"x"))-(COUNTIF($O$5:O36,"x")))=0,"",COUNTIF($O$5:O37,"x"))</f>
        <v/>
      </c>
      <c r="P142" s="3707" t="str">
        <f>IF(((COUNTIF($P$5:P37,"x"))-(COUNTIF($P$5:P36,"x")))=0,"",COUNTIF($P$5:P37,"x"))</f>
        <v/>
      </c>
      <c r="Q142" s="3707" t="str">
        <f>IF(((COUNTIF($Q$5:Q37,"x"))-(COUNTIF($Q$5:Q36,"x")))=0,"",COUNTIF($Q$5:Q37,"x"))</f>
        <v/>
      </c>
      <c r="R142" s="3707">
        <f>IF(((COUNTIF($R$5:R37,"x"))-(COUNTIF($R$5:R36,"x")))=0,"",COUNTIF($R$5:R37,"x"))</f>
        <v>7</v>
      </c>
      <c r="S142" s="3707" t="str">
        <f>IF(((COUNTIF($S$5:S37,"x"))-(COUNTIF($S$5:S36,"x")))=0,"",COUNTIF($S$5:S37,"x"))</f>
        <v/>
      </c>
      <c r="T142" s="3707" t="str">
        <f>IF(((COUNTIF($T$5:T37,"x"))-(COUNTIF($T$5:T36,"x")))=0,"",COUNTIF($T$5:T37,"x"))</f>
        <v/>
      </c>
      <c r="U142" s="3707" t="str">
        <f>IF(((COUNTIF($U$5:U37,"x"))-(COUNTIF($U$5:U36,"x")))=0,"",COUNTIF($U$5:U37,"x"))</f>
        <v/>
      </c>
      <c r="V142" s="3707" t="str">
        <f>IF(((COUNTIF($V$5:V37,"x"))-(COUNTIF($V$5:V36,"x")))=0,"",COUNTIF($V$5:V37,"x"))</f>
        <v/>
      </c>
      <c r="W142" s="3707" t="str">
        <f>IF(((COUNTIF($W$5:W37,"x"))-(COUNTIF($W$5:W36,"x")))=0,"",COUNTIF($W$5:W37,"x"))</f>
        <v/>
      </c>
      <c r="X142" s="3707" t="str">
        <f>IF(((COUNTIF($X$5:X37,"x"))-(COUNTIF($X$5:X36,"x")))=0,"",COUNTIF($X$5:X37,"x"))</f>
        <v/>
      </c>
      <c r="Y142" s="3707" t="str">
        <f>IF(((COUNTIF($Y$5:Y37,"x"))-(COUNTIF($Y$5:Y36,"x")))=0,"",COUNTIF($Y$5:Y37,"x"))</f>
        <v/>
      </c>
      <c r="Z142" s="3707" t="str">
        <f>IF(((COUNTIF($Z$5:Z37,"x"))-(COUNTIF($Z$5:Z36,"x")))=0,"",COUNTIF($Z$5:Z37,"x"))</f>
        <v/>
      </c>
      <c r="AA142" s="3707" t="str">
        <f>IF(((COUNTIF($AA$5:AA37,"x"))-(COUNTIF($AA$5:AA36,"x")))=0,"",COUNTIF($AA$5:AA37,"x"))</f>
        <v/>
      </c>
      <c r="AB142" s="3707" t="str">
        <f>IF(((COUNTIF($AB$5:AB37,"x"))-(COUNTIF($AB$5:AB36,"x")))=0,"",COUNTIF($AB$5:AB37,"x"))</f>
        <v/>
      </c>
      <c r="AC142" s="3707" t="str">
        <f>IF(((COUNTIF($AC$5:AC37,"x"))-(COUNTIF($AC$5:AC36,"x")))=0,"",COUNTIF($AC$5:AC37,"x"))</f>
        <v/>
      </c>
      <c r="AD142" s="3707">
        <f>IF(((COUNTIF($AD$5:AD37,"x"))-(COUNTIF($AD$5:AD36,"x")))=0,"",COUNTIF($AD$5:AD37,"x"))</f>
        <v>29</v>
      </c>
      <c r="AE142" s="3707" t="str">
        <f>IF(((COUNTIF($AE$5:AE37,"x"))-(COUNTIF($AE$5:AE36,"x")))=0,"",COUNTIF($AE$5:AE37,"x"))</f>
        <v/>
      </c>
      <c r="AF142" s="3708" t="str">
        <f>IF(((COUNTIF($AF$5:AF37,"x"))-(COUNTIF($AF$5:AF36,"x")))=0,"",COUNTIF($AF$5:AF37,"x"))</f>
        <v/>
      </c>
      <c r="AG142" s="2120" t="str">
        <f t="shared" si="15"/>
        <v>Elumis P Dual Pack, Peak</v>
      </c>
    </row>
    <row r="143" spans="2:33" ht="18">
      <c r="B143" s="2136">
        <f t="shared" si="16"/>
        <v>34</v>
      </c>
      <c r="C143" s="3711" t="str">
        <f t="shared" si="13"/>
        <v>Fandango</v>
      </c>
      <c r="D143" s="3655"/>
      <c r="E143" s="3710"/>
      <c r="F143" s="3706">
        <f>IF(((COUNTIF($F$5:$F38,"x"))-(COUNTIF($F$5:$F37,"x")))=0,"",COUNTIF($F$5:$F38,"x"))</f>
        <v>13</v>
      </c>
      <c r="G143" s="3707">
        <f>IF(((COUNTIF($G$5:$G38,"x"))-(COUNTIF($G$5:$G37,"x")))=0,"",COUNTIF($G$5:$G38,"x"))</f>
        <v>10</v>
      </c>
      <c r="H143" s="3707">
        <f>IF(((COUNTIF($H$5:$H38,"x"))-(COUNTIF($H$5:$H37,"x")))=0,"",COUNTIF($H$5:$H38,"x"))</f>
        <v>13</v>
      </c>
      <c r="I143" s="3707">
        <f>IF(((COUNTIF($I$5:I38,"x"))-(COUNTIF($I$5:I37,"x")))=0,"",COUNTIF($I$5:I38,"x"))</f>
        <v>12</v>
      </c>
      <c r="J143" s="3707">
        <f>IF(((COUNTIF($J$5:J38,"x"))-(COUNTIF($J$5:J37,"x")))=0,"",COUNTIF($J$5:J38,"x"))</f>
        <v>10</v>
      </c>
      <c r="K143" s="3707">
        <f>IF(((COUNTIF($K$5:K38,"x"))-(COUNTIF($K$5:K37,"x")))=0,"",COUNTIF($K$5:K38,"x"))</f>
        <v>10</v>
      </c>
      <c r="L143" s="3707">
        <f>IF(((COUNTIF($L$5:L38,"x"))-(COUNTIF($L$5:L37,"x")))=0,"",COUNTIF($L$5:L38,"x"))</f>
        <v>10</v>
      </c>
      <c r="M143" s="3707">
        <f>IF(((COUNTIF($M$5:M38,"x"))-(COUNTIF($M$5:M37,"x")))=0,"",COUNTIF($M$5:M38,"x"))</f>
        <v>10</v>
      </c>
      <c r="N143" s="3707" t="str">
        <f>IF(((COUNTIF($N$5:N38,"x"))-(COUNTIF($N$5:N37,"x")))=0,"",COUNTIF($N$5:N38,"x"))</f>
        <v/>
      </c>
      <c r="O143" s="3707">
        <f>IF(((COUNTIF($O$5:O38,"x"))-(COUNTIF($O$5:O37,"x")))=0,"",COUNTIF($O$5:O38,"x"))</f>
        <v>7</v>
      </c>
      <c r="P143" s="3707" t="str">
        <f>IF(((COUNTIF($P$5:P38,"x"))-(COUNTIF($P$5:P37,"x")))=0,"",COUNTIF($P$5:P38,"x"))</f>
        <v/>
      </c>
      <c r="Q143" s="3707" t="str">
        <f>IF(((COUNTIF($Q$5:Q38,"x"))-(COUNTIF($Q$5:Q37,"x")))=0,"",COUNTIF($Q$5:Q38,"x"))</f>
        <v/>
      </c>
      <c r="R143" s="3707" t="str">
        <f>IF(((COUNTIF($R$5:R38,"x"))-(COUNTIF($R$5:R37,"x")))=0,"",COUNTIF($R$5:R38,"x"))</f>
        <v/>
      </c>
      <c r="S143" s="3707" t="str">
        <f>IF(((COUNTIF($S$5:S38,"x"))-(COUNTIF($S$5:S37,"x")))=0,"",COUNTIF($S$5:S38,"x"))</f>
        <v/>
      </c>
      <c r="T143" s="3707" t="str">
        <f>IF(((COUNTIF($T$5:T38,"x"))-(COUNTIF($T$5:T37,"x")))=0,"",COUNTIF($T$5:T38,"x"))</f>
        <v/>
      </c>
      <c r="U143" s="3707" t="str">
        <f>IF(((COUNTIF($U$5:U38,"x"))-(COUNTIF($U$5:U37,"x")))=0,"",COUNTIF($U$5:U38,"x"))</f>
        <v/>
      </c>
      <c r="V143" s="3707" t="str">
        <f>IF(((COUNTIF($V$5:V38,"x"))-(COUNTIF($V$5:V37,"x")))=0,"",COUNTIF($V$5:V38,"x"))</f>
        <v/>
      </c>
      <c r="W143" s="3707" t="str">
        <f>IF(((COUNTIF($W$5:W38,"x"))-(COUNTIF($W$5:W37,"x")))=0,"",COUNTIF($W$5:W38,"x"))</f>
        <v/>
      </c>
      <c r="X143" s="3707" t="str">
        <f>IF(((COUNTIF($X$5:X38,"x"))-(COUNTIF($X$5:X37,"x")))=0,"",COUNTIF($X$5:X38,"x"))</f>
        <v/>
      </c>
      <c r="Y143" s="3707" t="str">
        <f>IF(((COUNTIF($Y$5:Y38,"x"))-(COUNTIF($Y$5:Y37,"x")))=0,"",COUNTIF($Y$5:Y38,"x"))</f>
        <v/>
      </c>
      <c r="Z143" s="3707" t="str">
        <f>IF(((COUNTIF($Z$5:Z38,"x"))-(COUNTIF($Z$5:Z37,"x")))=0,"",COUNTIF($Z$5:Z38,"x"))</f>
        <v/>
      </c>
      <c r="AA143" s="3707" t="str">
        <f>IF(((COUNTIF($AA$5:AA38,"x"))-(COUNTIF($AA$5:AA37,"x")))=0,"",COUNTIF($AA$5:AA38,"x"))</f>
        <v/>
      </c>
      <c r="AB143" s="3707" t="str">
        <f>IF(((COUNTIF($AB$5:AB38,"x"))-(COUNTIF($AB$5:AB37,"x")))=0,"",COUNTIF($AB$5:AB38,"x"))</f>
        <v/>
      </c>
      <c r="AC143" s="3707" t="str">
        <f>IF(((COUNTIF($AC$5:AC38,"x"))-(COUNTIF($AC$5:AC37,"x")))=0,"",COUNTIF($AC$5:AC38,"x"))</f>
        <v/>
      </c>
      <c r="AD143" s="3707">
        <f>IF(((COUNTIF($AD$5:AD38,"x"))-(COUNTIF($AD$5:AD37,"x")))=0,"",COUNTIF($AD$5:AD38,"x"))</f>
        <v>30</v>
      </c>
      <c r="AE143" s="3707" t="str">
        <f>IF(((COUNTIF($AE$5:AE38,"x"))-(COUNTIF($AE$5:AE37,"x")))=0,"",COUNTIF($AE$5:AE38,"x"))</f>
        <v/>
      </c>
      <c r="AF143" s="3708" t="str">
        <f>IF(((COUNTIF($AF$5:AF38,"x"))-(COUNTIF($AF$5:AF37,"x")))=0,"",COUNTIF($AF$5:AF38,"x"))</f>
        <v/>
      </c>
      <c r="AG143" s="2120" t="str">
        <f t="shared" si="15"/>
        <v>Fandango</v>
      </c>
    </row>
    <row r="144" spans="2:33" ht="18">
      <c r="B144" s="2136">
        <f t="shared" si="16"/>
        <v>35</v>
      </c>
      <c r="C144" s="3711" t="str">
        <f t="shared" si="13"/>
        <v>Focus Aktiv Pack, Focus Ultra</v>
      </c>
      <c r="D144" s="3655"/>
      <c r="E144" s="3710"/>
      <c r="F144" s="3706" t="str">
        <f>IF(((COUNTIF($F$5:$F39,"x"))-(COUNTIF($F$5:$F38,"x")))=0,"",COUNTIF($F$5:$F39,"x"))</f>
        <v/>
      </c>
      <c r="G144" s="3707" t="str">
        <f>IF(((COUNTIF($G$5:$G39,"x"))-(COUNTIF($G$5:$G38,"x")))=0,"",COUNTIF($G$5:$G39,"x"))</f>
        <v/>
      </c>
      <c r="H144" s="3707" t="str">
        <f>IF(((COUNTIF($H$5:$H39,"x"))-(COUNTIF($H$5:$H38,"x")))=0,"",COUNTIF($H$5:$H39,"x"))</f>
        <v/>
      </c>
      <c r="I144" s="3707" t="str">
        <f>IF(((COUNTIF($I$5:I39,"x"))-(COUNTIF($I$5:I38,"x")))=0,"",COUNTIF($I$5:I39,"x"))</f>
        <v/>
      </c>
      <c r="J144" s="3707" t="str">
        <f>IF(((COUNTIF($J$5:J39,"x"))-(COUNTIF($J$5:J38,"x")))=0,"",COUNTIF($J$5:J39,"x"))</f>
        <v/>
      </c>
      <c r="K144" s="3707" t="str">
        <f>IF(((COUNTIF($K$5:K39,"x"))-(COUNTIF($K$5:K38,"x")))=0,"",COUNTIF($K$5:K39,"x"))</f>
        <v/>
      </c>
      <c r="L144" s="3707" t="str">
        <f>IF(((COUNTIF($L$5:L39,"x"))-(COUNTIF($L$5:L38,"x")))=0,"",COUNTIF($L$5:L39,"x"))</f>
        <v/>
      </c>
      <c r="M144" s="3707" t="str">
        <f>IF(((COUNTIF($M$5:M39,"x"))-(COUNTIF($M$5:M38,"x")))=0,"",COUNTIF($M$5:M39,"x"))</f>
        <v/>
      </c>
      <c r="N144" s="3707" t="str">
        <f>IF(((COUNTIF($N$5:N39,"x"))-(COUNTIF($N$5:N38,"x")))=0,"",COUNTIF($N$5:N39,"x"))</f>
        <v/>
      </c>
      <c r="O144" s="3707" t="str">
        <f>IF(((COUNTIF($O$5:O39,"x"))-(COUNTIF($O$5:O38,"x")))=0,"",COUNTIF($O$5:O39,"x"))</f>
        <v/>
      </c>
      <c r="P144" s="3707" t="str">
        <f>IF(((COUNTIF($P$5:P39,"x"))-(COUNTIF($P$5:P38,"x")))=0,"",COUNTIF($P$5:P39,"x"))</f>
        <v/>
      </c>
      <c r="Q144" s="3707" t="str">
        <f>IF(((COUNTIF($Q$5:Q39,"x"))-(COUNTIF($Q$5:Q38,"x")))=0,"",COUNTIF($Q$5:Q39,"x"))</f>
        <v/>
      </c>
      <c r="R144" s="3707" t="str">
        <f>IF(((COUNTIF($R$5:R39,"x"))-(COUNTIF($R$5:R38,"x")))=0,"",COUNTIF($R$5:R39,"x"))</f>
        <v/>
      </c>
      <c r="S144" s="3707">
        <f>IF(((COUNTIF($S$5:S39,"x"))-(COUNTIF($S$5:S38,"x")))=0,"",COUNTIF($S$5:S39,"x"))</f>
        <v>9</v>
      </c>
      <c r="T144" s="3707">
        <f>IF(((COUNTIF($T$5:T39,"x"))-(COUNTIF($T$5:T38,"x")))=0,"",COUNTIF($T$5:T39,"x"))</f>
        <v>3</v>
      </c>
      <c r="U144" s="3707">
        <f>IF(((COUNTIF($U$5:U39,"x"))-(COUNTIF($U$5:U38,"x")))=0,"",COUNTIF($U$5:U39,"x"))</f>
        <v>5</v>
      </c>
      <c r="V144" s="3707">
        <f>IF(((COUNTIF($V$5:V39,"x"))-(COUNTIF($V$5:V38,"x")))=0,"",COUNTIF($V$5:V39,"x"))</f>
        <v>3</v>
      </c>
      <c r="W144" s="3707">
        <f>IF(((COUNTIF($W$5:W39,"x"))-(COUNTIF($W$5:W38,"x")))=0,"",COUNTIF($W$5:W39,"x"))</f>
        <v>2</v>
      </c>
      <c r="X144" s="3707">
        <f>IF(((COUNTIF($X$5:X39,"x"))-(COUNTIF($X$5:X38,"x")))=0,"",COUNTIF($X$5:X39,"x"))</f>
        <v>5</v>
      </c>
      <c r="Y144" s="3707">
        <f>IF(((COUNTIF($Y$5:Y39,"x"))-(COUNTIF($Y$5:Y38,"x")))=0,"",COUNTIF($Y$5:Y39,"x"))</f>
        <v>5</v>
      </c>
      <c r="Z144" s="3707" t="str">
        <f>IF(((COUNTIF($Z$5:Z39,"x"))-(COUNTIF($Z$5:Z38,"x")))=0,"",COUNTIF($Z$5:Z39,"x"))</f>
        <v/>
      </c>
      <c r="AA144" s="3707">
        <f>IF(((COUNTIF($AA$5:AA39,"x"))-(COUNTIF($AA$5:AA38,"x")))=0,"",COUNTIF($AA$5:AA39,"x"))</f>
        <v>5</v>
      </c>
      <c r="AB144" s="3707">
        <f>IF(((COUNTIF($AB$5:AB39,"x"))-(COUNTIF($AB$5:AB38,"x")))=0,"",COUNTIF($AB$5:AB39,"x"))</f>
        <v>7</v>
      </c>
      <c r="AC144" s="3707" t="str">
        <f>IF(((COUNTIF($AC$5:AC39,"x"))-(COUNTIF($AC$5:AC38,"x")))=0,"",COUNTIF($AC$5:AC39,"x"))</f>
        <v/>
      </c>
      <c r="AD144" s="3707">
        <f>IF(((COUNTIF($AD$5:AD39,"x"))-(COUNTIF($AD$5:AD38,"x")))=0,"",COUNTIF($AD$5:AD39,"x"))</f>
        <v>31</v>
      </c>
      <c r="AE144" s="3707" t="str">
        <f>IF(((COUNTIF($AE$5:AE39,"x"))-(COUNTIF($AE$5:AE38,"x")))=0,"",COUNTIF($AE$5:AE39,"x"))</f>
        <v/>
      </c>
      <c r="AF144" s="3708" t="str">
        <f>IF(((COUNTIF($AF$5:AF39,"x"))-(COUNTIF($AF$5:AF38,"x")))=0,"",COUNTIF($AF$5:AF39,"x"))</f>
        <v/>
      </c>
      <c r="AG144" s="2120" t="str">
        <f t="shared" si="15"/>
        <v>Focus Aktiv Pack, Focus Ultra</v>
      </c>
    </row>
    <row r="145" spans="2:33" ht="18">
      <c r="B145" s="2136">
        <f t="shared" si="16"/>
        <v>36</v>
      </c>
      <c r="C145" s="3711" t="str">
        <f t="shared" si="13"/>
        <v>Folicur</v>
      </c>
      <c r="D145" s="3655"/>
      <c r="E145" s="3710"/>
      <c r="F145" s="3706">
        <f>IF(((COUNTIF($F$5:$F40,"x"))-(COUNTIF($F$5:$F39,"x")))=0,"",COUNTIF($F$5:$F40,"x"))</f>
        <v>14</v>
      </c>
      <c r="G145" s="3707">
        <f>IF(((COUNTIF($G$5:$G40,"x"))-(COUNTIF($G$5:$G39,"x")))=0,"",COUNTIF($G$5:$G40,"x"))</f>
        <v>11</v>
      </c>
      <c r="H145" s="3707">
        <f>IF(((COUNTIF($H$5:$H40,"x"))-(COUNTIF($H$5:$H39,"x")))=0,"",COUNTIF($H$5:$H40,"x"))</f>
        <v>14</v>
      </c>
      <c r="I145" s="3707" t="str">
        <f>IF(((COUNTIF($I$5:I40,"x"))-(COUNTIF($I$5:I39,"x")))=0,"",COUNTIF($I$5:I40,"x"))</f>
        <v/>
      </c>
      <c r="J145" s="3707">
        <f>IF(((COUNTIF($J$5:J40,"x"))-(COUNTIF($J$5:J39,"x")))=0,"",COUNTIF($J$5:J40,"x"))</f>
        <v>11</v>
      </c>
      <c r="K145" s="3707">
        <f>IF(((COUNTIF($K$5:K40,"x"))-(COUNTIF($K$5:K39,"x")))=0,"",COUNTIF($K$5:K40,"x"))</f>
        <v>11</v>
      </c>
      <c r="L145" s="3707">
        <f>IF(((COUNTIF($L$5:L40,"x"))-(COUNTIF($L$5:L39,"x")))=0,"",COUNTIF($L$5:L40,"x"))</f>
        <v>11</v>
      </c>
      <c r="M145" s="3707">
        <f>IF(((COUNTIF($M$5:M40,"x"))-(COUNTIF($M$5:M39,"x")))=0,"",COUNTIF($M$5:M40,"x"))</f>
        <v>11</v>
      </c>
      <c r="N145" s="3707" t="str">
        <f>IF(((COUNTIF($N$5:N40,"x"))-(COUNTIF($N$5:N39,"x")))=0,"",COUNTIF($N$5:N40,"x"))</f>
        <v/>
      </c>
      <c r="O145" s="3707" t="str">
        <f>IF(((COUNTIF($O$5:O40,"x"))-(COUNTIF($O$5:O39,"x")))=0,"",COUNTIF($O$5:O40,"x"))</f>
        <v/>
      </c>
      <c r="P145" s="3707" t="str">
        <f>IF(((COUNTIF($P$5:P40,"x"))-(COUNTIF($P$5:P39,"x")))=0,"",COUNTIF($P$5:P40,"x"))</f>
        <v/>
      </c>
      <c r="Q145" s="3707" t="str">
        <f>IF(((COUNTIF($Q$5:Q40,"x"))-(COUNTIF($Q$5:Q39,"x")))=0,"",COUNTIF($Q$5:Q40,"x"))</f>
        <v/>
      </c>
      <c r="R145" s="3707" t="str">
        <f>IF(((COUNTIF($R$5:R40,"x"))-(COUNTIF($R$5:R39,"x")))=0,"",COUNTIF($R$5:R40,"x"))</f>
        <v/>
      </c>
      <c r="S145" s="3707">
        <f>IF(((COUNTIF($S$5:S40,"x"))-(COUNTIF($S$5:S39,"x")))=0,"",COUNTIF($S$5:S40,"x"))</f>
        <v>10</v>
      </c>
      <c r="T145" s="3707">
        <f>IF(((COUNTIF($T$5:T40,"x"))-(COUNTIF($T$5:T39,"x")))=0,"",COUNTIF($T$5:T40,"x"))</f>
        <v>4</v>
      </c>
      <c r="U145" s="3707" t="str">
        <f>IF(((COUNTIF($U$5:U40,"x"))-(COUNTIF($U$5:U39,"x")))=0,"",COUNTIF($U$5:U40,"x"))</f>
        <v/>
      </c>
      <c r="V145" s="3707" t="str">
        <f>IF(((COUNTIF($V$5:V40,"x"))-(COUNTIF($V$5:V39,"x")))=0,"",COUNTIF($V$5:V40,"x"))</f>
        <v/>
      </c>
      <c r="W145" s="3707" t="str">
        <f>IF(((COUNTIF($W$5:W40,"x"))-(COUNTIF($W$5:W39,"x")))=0,"",COUNTIF($W$5:W40,"x"))</f>
        <v/>
      </c>
      <c r="X145" s="3707" t="str">
        <f>IF(((COUNTIF($X$5:X40,"x"))-(COUNTIF($X$5:X39,"x")))=0,"",COUNTIF($X$5:X40,"x"))</f>
        <v/>
      </c>
      <c r="Y145" s="3707" t="str">
        <f>IF(((COUNTIF($Y$5:Y40,"x"))-(COUNTIF($Y$5:Y39,"x")))=0,"",COUNTIF($Y$5:Y40,"x"))</f>
        <v/>
      </c>
      <c r="Z145" s="3707" t="str">
        <f>IF(((COUNTIF($Z$5:Z40,"x"))-(COUNTIF($Z$5:Z39,"x")))=0,"",COUNTIF($Z$5:Z40,"x"))</f>
        <v/>
      </c>
      <c r="AA145" s="3707" t="str">
        <f>IF(((COUNTIF($AA$5:AA40,"x"))-(COUNTIF($AA$5:AA39,"x")))=0,"",COUNTIF($AA$5:AA40,"x"))</f>
        <v/>
      </c>
      <c r="AB145" s="3707" t="str">
        <f>IF(((COUNTIF($AB$5:AB40,"x"))-(COUNTIF($AB$5:AB39,"x")))=0,"",COUNTIF($AB$5:AB40,"x"))</f>
        <v/>
      </c>
      <c r="AC145" s="3707" t="str">
        <f>IF(((COUNTIF($AC$5:AC40,"x"))-(COUNTIF($AC$5:AC39,"x")))=0,"",COUNTIF($AC$5:AC40,"x"))</f>
        <v/>
      </c>
      <c r="AD145" s="3707">
        <f>IF(((COUNTIF($AD$5:AD40,"x"))-(COUNTIF($AD$5:AD39,"x")))=0,"",COUNTIF($AD$5:AD40,"x"))</f>
        <v>32</v>
      </c>
      <c r="AE145" s="3707" t="str">
        <f>IF(((COUNTIF($AE$5:AE40,"x"))-(COUNTIF($AE$5:AE39,"x")))=0,"",COUNTIF($AE$5:AE40,"x"))</f>
        <v/>
      </c>
      <c r="AF145" s="3708" t="str">
        <f>IF(((COUNTIF($AF$5:AF40,"x"))-(COUNTIF($AF$5:AF39,"x")))=0,"",COUNTIF($AF$5:AF40,"x"))</f>
        <v/>
      </c>
      <c r="AG145" s="2120" t="str">
        <f t="shared" si="15"/>
        <v>Folicur</v>
      </c>
    </row>
    <row r="146" spans="2:33" ht="18">
      <c r="B146" s="2136">
        <f t="shared" si="16"/>
        <v>37</v>
      </c>
      <c r="C146" s="3711" t="str">
        <f t="shared" si="13"/>
        <v>Fusilade MAX</v>
      </c>
      <c r="D146" s="3655"/>
      <c r="E146" s="3710"/>
      <c r="F146" s="3706" t="str">
        <f>IF(((COUNTIF($F$5:$F41,"x"))-(COUNTIF($F$5:$F40,"x")))=0,"",COUNTIF($F$5:$F41,"x"))</f>
        <v/>
      </c>
      <c r="G146" s="3707" t="str">
        <f>IF(((COUNTIF($G$5:$G41,"x"))-(COUNTIF($G$5:$G40,"x")))=0,"",COUNTIF($G$5:$G41,"x"))</f>
        <v/>
      </c>
      <c r="H146" s="3707" t="str">
        <f>IF(((COUNTIF($H$5:$H41,"x"))-(COUNTIF($H$5:$H40,"x")))=0,"",COUNTIF($H$5:$H41,"x"))</f>
        <v/>
      </c>
      <c r="I146" s="3707" t="str">
        <f>IF(((COUNTIF($I$5:I41,"x"))-(COUNTIF($I$5:I40,"x")))=0,"",COUNTIF($I$5:I41,"x"))</f>
        <v/>
      </c>
      <c r="J146" s="3707" t="str">
        <f>IF(((COUNTIF($J$5:J41,"x"))-(COUNTIF($J$5:J40,"x")))=0,"",COUNTIF($J$5:J41,"x"))</f>
        <v/>
      </c>
      <c r="K146" s="3707" t="str">
        <f>IF(((COUNTIF($K$5:K41,"x"))-(COUNTIF($K$5:K40,"x")))=0,"",COUNTIF($K$5:K41,"x"))</f>
        <v/>
      </c>
      <c r="L146" s="3707" t="str">
        <f>IF(((COUNTIF($L$5:L41,"x"))-(COUNTIF($L$5:L40,"x")))=0,"",COUNTIF($L$5:L41,"x"))</f>
        <v/>
      </c>
      <c r="M146" s="3707" t="str">
        <f>IF(((COUNTIF($M$5:M41,"x"))-(COUNTIF($M$5:M40,"x")))=0,"",COUNTIF($M$5:M41,"x"))</f>
        <v/>
      </c>
      <c r="N146" s="3707" t="str">
        <f>IF(((COUNTIF($N$5:N41,"x"))-(COUNTIF($N$5:N40,"x")))=0,"",COUNTIF($N$5:N41,"x"))</f>
        <v/>
      </c>
      <c r="O146" s="3707" t="str">
        <f>IF(((COUNTIF($O$5:O41,"x"))-(COUNTIF($O$5:O40,"x")))=0,"",COUNTIF($O$5:O41,"x"))</f>
        <v/>
      </c>
      <c r="P146" s="3707" t="str">
        <f>IF(((COUNTIF($P$5:P41,"x"))-(COUNTIF($P$5:P40,"x")))=0,"",COUNTIF($P$5:P41,"x"))</f>
        <v/>
      </c>
      <c r="Q146" s="3707" t="str">
        <f>IF(((COUNTIF($Q$5:Q41,"x"))-(COUNTIF($Q$5:Q40,"x")))=0,"",COUNTIF($Q$5:Q41,"x"))</f>
        <v/>
      </c>
      <c r="R146" s="3707" t="str">
        <f>IF(((COUNTIF($R$5:R41,"x"))-(COUNTIF($R$5:R40,"x")))=0,"",COUNTIF($R$5:R41,"x"))</f>
        <v/>
      </c>
      <c r="S146" s="3707">
        <f>IF(((COUNTIF($S$5:S41,"x"))-(COUNTIF($S$5:S40,"x")))=0,"",COUNTIF($S$5:S41,"x"))</f>
        <v>11</v>
      </c>
      <c r="T146" s="3707" t="str">
        <f>IF(((COUNTIF($T$5:T41,"x"))-(COUNTIF($T$5:T40,"x")))=0,"",COUNTIF($T$5:T41,"x"))</f>
        <v/>
      </c>
      <c r="U146" s="3707">
        <f>IF(((COUNTIF($U$5:U41,"x"))-(COUNTIF($U$5:U40,"x")))=0,"",COUNTIF($U$5:U41,"x"))</f>
        <v>6</v>
      </c>
      <c r="V146" s="3707">
        <f>IF(((COUNTIF($V$5:V41,"x"))-(COUNTIF($V$5:V40,"x")))=0,"",COUNTIF($V$5:V41,"x"))</f>
        <v>4</v>
      </c>
      <c r="W146" s="3707">
        <f>IF(((COUNTIF($W$5:W41,"x"))-(COUNTIF($W$5:W40,"x")))=0,"",COUNTIF($W$5:W41,"x"))</f>
        <v>3</v>
      </c>
      <c r="X146" s="3707">
        <f>IF(((COUNTIF($X$5:X41,"x"))-(COUNTIF($X$5:X40,"x")))=0,"",COUNTIF($X$5:X41,"x"))</f>
        <v>6</v>
      </c>
      <c r="Y146" s="3707">
        <f>IF(((COUNTIF($Y$5:Y41,"x"))-(COUNTIF($Y$5:Y40,"x")))=0,"",COUNTIF($Y$5:Y41,"x"))</f>
        <v>6</v>
      </c>
      <c r="Z146" s="3707">
        <f>IF(((COUNTIF($Z$5:Z41,"x"))-(COUNTIF($Z$5:Z40,"x")))=0,"",COUNTIF($Z$5:Z41,"x"))</f>
        <v>2</v>
      </c>
      <c r="AA146" s="3707">
        <f>IF(((COUNTIF($AA$5:AA41,"x"))-(COUNTIF($AA$5:AA40,"x")))=0,"",COUNTIF($AA$5:AA41,"x"))</f>
        <v>6</v>
      </c>
      <c r="AB146" s="3707">
        <f>IF(((COUNTIF($AB$5:AB41,"x"))-(COUNTIF($AB$5:AB40,"x")))=0,"",COUNTIF($AB$5:AB41,"x"))</f>
        <v>8</v>
      </c>
      <c r="AC146" s="3707" t="str">
        <f>IF(((COUNTIF($AC$5:AC41,"x"))-(COUNTIF($AC$5:AC40,"x")))=0,"",COUNTIF($AC$5:AC41,"x"))</f>
        <v/>
      </c>
      <c r="AD146" s="3707">
        <f>IF(((COUNTIF($AD$5:AD41,"x"))-(COUNTIF($AD$5:AD40,"x")))=0,"",COUNTIF($AD$5:AD41,"x"))</f>
        <v>33</v>
      </c>
      <c r="AE146" s="3707" t="str">
        <f>IF(((COUNTIF($AE$5:AE41,"x"))-(COUNTIF($AE$5:AE40,"x")))=0,"",COUNTIF($AE$5:AE41,"x"))</f>
        <v/>
      </c>
      <c r="AF146" s="3708" t="str">
        <f>IF(((COUNTIF($AF$5:AF41,"x"))-(COUNTIF($AF$5:AF40,"x")))=0,"",COUNTIF($AF$5:AF41,"x"))</f>
        <v/>
      </c>
      <c r="AG146" s="2120" t="str">
        <f t="shared" si="15"/>
        <v>Fusilade MAX</v>
      </c>
    </row>
    <row r="147" spans="2:33" ht="18">
      <c r="B147" s="2136">
        <f t="shared" si="16"/>
        <v>38</v>
      </c>
      <c r="C147" s="3711" t="str">
        <f t="shared" si="13"/>
        <v>Goltix Gold</v>
      </c>
      <c r="D147" s="3655"/>
      <c r="E147" s="3710"/>
      <c r="F147" s="3706" t="str">
        <f>IF(((COUNTIF($F$5:$F42,"x"))-(COUNTIF($F$5:$F41,"x")))=0,"",COUNTIF($F$5:$F42,"x"))</f>
        <v/>
      </c>
      <c r="G147" s="3707" t="str">
        <f>IF(((COUNTIF($G$5:$G42,"x"))-(COUNTIF($G$5:$G41,"x")))=0,"",COUNTIF($G$5:$G42,"x"))</f>
        <v/>
      </c>
      <c r="H147" s="3707" t="str">
        <f>IF(((COUNTIF($H$5:$H42,"x"))-(COUNTIF($H$5:$H41,"x")))=0,"",COUNTIF($H$5:$H42,"x"))</f>
        <v/>
      </c>
      <c r="I147" s="3707" t="str">
        <f>IF(((COUNTIF($I$5:I42,"x"))-(COUNTIF($I$5:I41,"x")))=0,"",COUNTIF($I$5:I42,"x"))</f>
        <v/>
      </c>
      <c r="J147" s="3707" t="str">
        <f>IF(((COUNTIF($J$5:J42,"x"))-(COUNTIF($J$5:J41,"x")))=0,"",COUNTIF($J$5:J42,"x"))</f>
        <v/>
      </c>
      <c r="K147" s="3707" t="str">
        <f>IF(((COUNTIF($K$5:K42,"x"))-(COUNTIF($K$5:K41,"x")))=0,"",COUNTIF($K$5:K42,"x"))</f>
        <v/>
      </c>
      <c r="L147" s="3707" t="str">
        <f>IF(((COUNTIF($L$5:L42,"x"))-(COUNTIF($L$5:L41,"x")))=0,"",COUNTIF($L$5:L42,"x"))</f>
        <v/>
      </c>
      <c r="M147" s="3707" t="str">
        <f>IF(((COUNTIF($M$5:M42,"x"))-(COUNTIF($M$5:M41,"x")))=0,"",COUNTIF($M$5:M42,"x"))</f>
        <v/>
      </c>
      <c r="N147" s="3707" t="str">
        <f>IF(((COUNTIF($N$5:N42,"x"))-(COUNTIF($N$5:N41,"x")))=0,"",COUNTIF($N$5:N42,"x"))</f>
        <v/>
      </c>
      <c r="O147" s="3707" t="str">
        <f>IF(((COUNTIF($O$5:O42,"x"))-(COUNTIF($O$5:O41,"x")))=0,"",COUNTIF($O$5:O42,"x"))</f>
        <v/>
      </c>
      <c r="P147" s="3707" t="str">
        <f>IF(((COUNTIF($P$5:P42,"x"))-(COUNTIF($P$5:P41,"x")))=0,"",COUNTIF($P$5:P42,"x"))</f>
        <v/>
      </c>
      <c r="Q147" s="3707" t="str">
        <f>IF(((COUNTIF($Q$5:Q42,"x"))-(COUNTIF($Q$5:Q41,"x")))=0,"",COUNTIF($Q$5:Q42,"x"))</f>
        <v/>
      </c>
      <c r="R147" s="3707" t="str">
        <f>IF(((COUNTIF($R$5:R42,"x"))-(COUNTIF($R$5:R41,"x")))=0,"",COUNTIF($R$5:R42,"x"))</f>
        <v/>
      </c>
      <c r="S147" s="3707" t="str">
        <f>IF(((COUNTIF($S$5:S42,"x"))-(COUNTIF($S$5:S41,"x")))=0,"",COUNTIF($S$5:S42,"x"))</f>
        <v/>
      </c>
      <c r="T147" s="3707" t="str">
        <f>IF(((COUNTIF($T$5:T42,"x"))-(COUNTIF($T$5:T41,"x")))=0,"",COUNTIF($T$5:T42,"x"))</f>
        <v/>
      </c>
      <c r="U147" s="3707" t="str">
        <f>IF(((COUNTIF($U$5:U42,"x"))-(COUNTIF($U$5:U41,"x")))=0,"",COUNTIF($U$5:U42,"x"))</f>
        <v/>
      </c>
      <c r="V147" s="3707" t="str">
        <f>IF(((COUNTIF($V$5:V42,"x"))-(COUNTIF($V$5:V41,"x")))=0,"",COUNTIF($V$5:V42,"x"))</f>
        <v/>
      </c>
      <c r="W147" s="3707" t="str">
        <f>IF(((COUNTIF($W$5:W42,"x"))-(COUNTIF($W$5:W41,"x")))=0,"",COUNTIF($W$5:W42,"x"))</f>
        <v/>
      </c>
      <c r="X147" s="3707" t="str">
        <f>IF(((COUNTIF($X$5:X42,"x"))-(COUNTIF($X$5:X41,"x")))=0,"",COUNTIF($X$5:X42,"x"))</f>
        <v/>
      </c>
      <c r="Y147" s="3707" t="str">
        <f>IF(((COUNTIF($Y$5:Y42,"x"))-(COUNTIF($Y$5:Y41,"x")))=0,"",COUNTIF($Y$5:Y42,"x"))</f>
        <v/>
      </c>
      <c r="Z147" s="3707" t="str">
        <f>IF(((COUNTIF($Z$5:Z42,"x"))-(COUNTIF($Z$5:Z41,"x")))=0,"",COUNTIF($Z$5:Z42,"x"))</f>
        <v/>
      </c>
      <c r="AA147" s="3707">
        <f>IF(((COUNTIF($AA$5:AA42,"x"))-(COUNTIF($AA$5:AA41,"x")))=0,"",COUNTIF($AA$5:AA42,"x"))</f>
        <v>7</v>
      </c>
      <c r="AB147" s="3707" t="str">
        <f>IF(((COUNTIF($AB$5:AB42,"x"))-(COUNTIF($AB$5:AB41,"x")))=0,"",COUNTIF($AB$5:AB42,"x"))</f>
        <v/>
      </c>
      <c r="AC147" s="3707" t="str">
        <f>IF(((COUNTIF($AC$5:AC42,"x"))-(COUNTIF($AC$5:AC41,"x")))=0,"",COUNTIF($AC$5:AC42,"x"))</f>
        <v/>
      </c>
      <c r="AD147" s="3707">
        <f>IF(((COUNTIF($AD$5:AD42,"x"))-(COUNTIF($AD$5:AD41,"x")))=0,"",COUNTIF($AD$5:AD42,"x"))</f>
        <v>34</v>
      </c>
      <c r="AE147" s="3707" t="str">
        <f>IF(((COUNTIF($AE$5:AE42,"x"))-(COUNTIF($AE$5:AE41,"x")))=0,"",COUNTIF($AE$5:AE42,"x"))</f>
        <v/>
      </c>
      <c r="AF147" s="3708" t="str">
        <f>IF(((COUNTIF($AF$5:AF42,"x"))-(COUNTIF($AF$5:AF41,"x")))=0,"",COUNTIF($AF$5:AF42,"x"))</f>
        <v/>
      </c>
      <c r="AG147" s="2120" t="str">
        <f t="shared" si="15"/>
        <v>Goltix Gold</v>
      </c>
    </row>
    <row r="148" spans="2:33" ht="18">
      <c r="B148" s="2136">
        <f t="shared" si="16"/>
        <v>39</v>
      </c>
      <c r="C148" s="3711" t="str">
        <f t="shared" si="13"/>
        <v>Goltix Titan</v>
      </c>
      <c r="D148" s="3655"/>
      <c r="E148" s="3710"/>
      <c r="F148" s="3706" t="str">
        <f>IF(((COUNTIF($F$5:$F43,"x"))-(COUNTIF($F$5:$F42,"x")))=0,"",COUNTIF($F$5:$F43,"x"))</f>
        <v/>
      </c>
      <c r="G148" s="3707" t="str">
        <f>IF(((COUNTIF($G$5:$G43,"x"))-(COUNTIF($G$5:$G42,"x")))=0,"",COUNTIF($G$5:$G43,"x"))</f>
        <v/>
      </c>
      <c r="H148" s="3707" t="str">
        <f>IF(((COUNTIF($H$5:$H43,"x"))-(COUNTIF($H$5:$H42,"x")))=0,"",COUNTIF($H$5:$H43,"x"))</f>
        <v/>
      </c>
      <c r="I148" s="3707" t="str">
        <f>IF(((COUNTIF($I$5:I43,"x"))-(COUNTIF($I$5:I42,"x")))=0,"",COUNTIF($I$5:I43,"x"))</f>
        <v/>
      </c>
      <c r="J148" s="3707" t="str">
        <f>IF(((COUNTIF($J$5:J43,"x"))-(COUNTIF($J$5:J42,"x")))=0,"",COUNTIF($J$5:J43,"x"))</f>
        <v/>
      </c>
      <c r="K148" s="3707" t="str">
        <f>IF(((COUNTIF($K$5:K43,"x"))-(COUNTIF($K$5:K42,"x")))=0,"",COUNTIF($K$5:K43,"x"))</f>
        <v/>
      </c>
      <c r="L148" s="3707" t="str">
        <f>IF(((COUNTIF($L$5:L43,"x"))-(COUNTIF($L$5:L42,"x")))=0,"",COUNTIF($L$5:L43,"x"))</f>
        <v/>
      </c>
      <c r="M148" s="3707" t="str">
        <f>IF(((COUNTIF($M$5:M43,"x"))-(COUNTIF($M$5:M42,"x")))=0,"",COUNTIF($M$5:M43,"x"))</f>
        <v/>
      </c>
      <c r="N148" s="3707" t="str">
        <f>IF(((COUNTIF($N$5:N43,"x"))-(COUNTIF($N$5:N42,"x")))=0,"",COUNTIF($N$5:N43,"x"))</f>
        <v/>
      </c>
      <c r="O148" s="3707" t="str">
        <f>IF(((COUNTIF($O$5:O43,"x"))-(COUNTIF($O$5:O42,"x")))=0,"",COUNTIF($O$5:O43,"x"))</f>
        <v/>
      </c>
      <c r="P148" s="3707">
        <f>IF(((COUNTIF($P$5:P43,"x"))-(COUNTIF($P$5:P42,"x")))=0,"",COUNTIF($P$5:P43,"x"))</f>
        <v>5</v>
      </c>
      <c r="Q148" s="3707" t="str">
        <f>IF(((COUNTIF($Q$5:Q43,"x"))-(COUNTIF($Q$5:Q42,"x")))=0,"",COUNTIF($Q$5:Q43,"x"))</f>
        <v/>
      </c>
      <c r="R148" s="3707" t="str">
        <f>IF(((COUNTIF($R$5:R43,"x"))-(COUNTIF($R$5:R42,"x")))=0,"",COUNTIF($R$5:R43,"x"))</f>
        <v/>
      </c>
      <c r="S148" s="3707" t="str">
        <f>IF(((COUNTIF($S$5:S43,"x"))-(COUNTIF($S$5:S42,"x")))=0,"",COUNTIF($S$5:S43,"x"))</f>
        <v/>
      </c>
      <c r="T148" s="3707" t="str">
        <f>IF(((COUNTIF($T$5:T43,"x"))-(COUNTIF($T$5:T42,"x")))=0,"",COUNTIF($T$5:T43,"x"))</f>
        <v/>
      </c>
      <c r="U148" s="3707" t="str">
        <f>IF(((COUNTIF($U$5:U43,"x"))-(COUNTIF($U$5:U42,"x")))=0,"",COUNTIF($U$5:U43,"x"))</f>
        <v/>
      </c>
      <c r="V148" s="3707" t="str">
        <f>IF(((COUNTIF($V$5:V43,"x"))-(COUNTIF($V$5:V42,"x")))=0,"",COUNTIF($V$5:V43,"x"))</f>
        <v/>
      </c>
      <c r="W148" s="3707" t="str">
        <f>IF(((COUNTIF($W$5:W43,"x"))-(COUNTIF($W$5:W42,"x")))=0,"",COUNTIF($W$5:W43,"x"))</f>
        <v/>
      </c>
      <c r="X148" s="3707" t="str">
        <f>IF(((COUNTIF($X$5:X43,"x"))-(COUNTIF($X$5:X42,"x")))=0,"",COUNTIF($X$5:X43,"x"))</f>
        <v/>
      </c>
      <c r="Y148" s="3707" t="str">
        <f>IF(((COUNTIF($Y$5:Y43,"x"))-(COUNTIF($Y$5:Y42,"x")))=0,"",COUNTIF($Y$5:Y43,"x"))</f>
        <v/>
      </c>
      <c r="Z148" s="3707" t="str">
        <f>IF(((COUNTIF($Z$5:Z43,"x"))-(COUNTIF($Z$5:Z42,"x")))=0,"",COUNTIF($Z$5:Z43,"x"))</f>
        <v/>
      </c>
      <c r="AA148" s="3707">
        <f>IF(((COUNTIF($AA$5:AA43,"x"))-(COUNTIF($AA$5:AA42,"x")))=0,"",COUNTIF($AA$5:AA43,"x"))</f>
        <v>8</v>
      </c>
      <c r="AB148" s="3707" t="str">
        <f>IF(((COUNTIF($AB$5:AB43,"x"))-(COUNTIF($AB$5:AB42,"x")))=0,"",COUNTIF($AB$5:AB43,"x"))</f>
        <v/>
      </c>
      <c r="AC148" s="3707" t="str">
        <f>IF(((COUNTIF($AC$5:AC43,"x"))-(COUNTIF($AC$5:AC42,"x")))=0,"",COUNTIF($AC$5:AC43,"x"))</f>
        <v/>
      </c>
      <c r="AD148" s="3707">
        <f>IF(((COUNTIF($AD$5:AD43,"x"))-(COUNTIF($AD$5:AD42,"x")))=0,"",COUNTIF($AD$5:AD43,"x"))</f>
        <v>35</v>
      </c>
      <c r="AE148" s="3707" t="str">
        <f>IF(((COUNTIF($AE$5:AE43,"x"))-(COUNTIF($AE$5:AE42,"x")))=0,"",COUNTIF($AE$5:AE43,"x"))</f>
        <v/>
      </c>
      <c r="AF148" s="3708" t="str">
        <f>IF(((COUNTIF($AF$5:AF43,"x"))-(COUNTIF($AF$5:AF42,"x")))=0,"",COUNTIF($AF$5:AF43,"x"))</f>
        <v/>
      </c>
      <c r="AG148" s="2120" t="str">
        <f t="shared" si="15"/>
        <v>Goltix Titan</v>
      </c>
    </row>
    <row r="149" spans="2:33" ht="18">
      <c r="B149" s="2136">
        <f t="shared" si="16"/>
        <v>40</v>
      </c>
      <c r="C149" s="3711" t="str">
        <f t="shared" si="13"/>
        <v xml:space="preserve">Harmony SX </v>
      </c>
      <c r="D149" s="3655"/>
      <c r="E149" s="3710"/>
      <c r="F149" s="3706" t="str">
        <f>IF(((COUNTIF($F$5:$F44,"x"))-(COUNTIF($F$5:$F43,"x")))=0,"",COUNTIF($F$5:$F44,"x"))</f>
        <v/>
      </c>
      <c r="G149" s="3707" t="str">
        <f>IF(((COUNTIF($G$5:$G44,"x"))-(COUNTIF($G$5:$G43,"x")))=0,"",COUNTIF($G$5:$G44,"x"))</f>
        <v/>
      </c>
      <c r="H149" s="3707" t="str">
        <f>IF(((COUNTIF($H$5:$H44,"x"))-(COUNTIF($H$5:$H43,"x")))=0,"",COUNTIF($H$5:$H44,"x"))</f>
        <v/>
      </c>
      <c r="I149" s="3707" t="str">
        <f>IF(((COUNTIF($I$5:I44,"x"))-(COUNTIF($I$5:I43,"x")))=0,"",COUNTIF($I$5:I44,"x"))</f>
        <v/>
      </c>
      <c r="J149" s="3707" t="str">
        <f>IF(((COUNTIF($J$5:J44,"x"))-(COUNTIF($J$5:J43,"x")))=0,"",COUNTIF($J$5:J44,"x"))</f>
        <v/>
      </c>
      <c r="K149" s="3707" t="str">
        <f>IF(((COUNTIF($K$5:K44,"x"))-(COUNTIF($K$5:K43,"x")))=0,"",COUNTIF($K$5:K44,"x"))</f>
        <v/>
      </c>
      <c r="L149" s="3707" t="str">
        <f>IF(((COUNTIF($L$5:L44,"x"))-(COUNTIF($L$5:L43,"x")))=0,"",COUNTIF($L$5:L44,"x"))</f>
        <v/>
      </c>
      <c r="M149" s="3707" t="str">
        <f>IF(((COUNTIF($M$5:M44,"x"))-(COUNTIF($M$5:M43,"x")))=0,"",COUNTIF($M$5:M44,"x"))</f>
        <v/>
      </c>
      <c r="N149" s="3707" t="str">
        <f>IF(((COUNTIF($N$5:N44,"x"))-(COUNTIF($N$5:N43,"x")))=0,"",COUNTIF($N$5:N44,"x"))</f>
        <v/>
      </c>
      <c r="O149" s="3707" t="str">
        <f>IF(((COUNTIF($O$5:O44,"x"))-(COUNTIF($O$5:O43,"x")))=0,"",COUNTIF($O$5:O44,"x"))</f>
        <v/>
      </c>
      <c r="P149" s="3707" t="str">
        <f>IF(((COUNTIF($P$5:P44,"x"))-(COUNTIF($P$5:P43,"x")))=0,"",COUNTIF($P$5:P44,"x"))</f>
        <v/>
      </c>
      <c r="Q149" s="3707" t="str">
        <f>IF(((COUNTIF($Q$5:Q44,"x"))-(COUNTIF($Q$5:Q43,"x")))=0,"",COUNTIF($Q$5:Q44,"x"))</f>
        <v/>
      </c>
      <c r="R149" s="3707">
        <f>IF(((COUNTIF($R$5:R44,"x"))-(COUNTIF($R$5:R43,"x")))=0,"",COUNTIF($R$5:R44,"x"))</f>
        <v>8</v>
      </c>
      <c r="S149" s="3707" t="str">
        <f>IF(((COUNTIF($S$5:S44,"x"))-(COUNTIF($S$5:S43,"x")))=0,"",COUNTIF($S$5:S44,"x"))</f>
        <v/>
      </c>
      <c r="T149" s="3707" t="str">
        <f>IF(((COUNTIF($T$5:T44,"x"))-(COUNTIF($T$5:T43,"x")))=0,"",COUNTIF($T$5:T44,"x"))</f>
        <v/>
      </c>
      <c r="U149" s="3707" t="str">
        <f>IF(((COUNTIF($U$5:U44,"x"))-(COUNTIF($U$5:U43,"x")))=0,"",COUNTIF($U$5:U44,"x"))</f>
        <v/>
      </c>
      <c r="V149" s="3707">
        <f>IF(((COUNTIF($V$5:V44,"x"))-(COUNTIF($V$5:V43,"x")))=0,"",COUNTIF($V$5:V44,"x"))</f>
        <v>5</v>
      </c>
      <c r="W149" s="3707" t="str">
        <f>IF(((COUNTIF($W$5:W44,"x"))-(COUNTIF($W$5:W43,"x")))=0,"",COUNTIF($W$5:W44,"x"))</f>
        <v/>
      </c>
      <c r="X149" s="3707" t="str">
        <f>IF(((COUNTIF($X$5:X44,"x"))-(COUNTIF($X$5:X43,"x")))=0,"",COUNTIF($X$5:X44,"x"))</f>
        <v/>
      </c>
      <c r="Y149" s="3707" t="str">
        <f>IF(((COUNTIF($Y$5:Y44,"x"))-(COUNTIF($Y$5:Y43,"x")))=0,"",COUNTIF($Y$5:Y44,"x"))</f>
        <v/>
      </c>
      <c r="Z149" s="3707" t="str">
        <f>IF(((COUNTIF($Z$5:Z44,"x"))-(COUNTIF($Z$5:Z43,"x")))=0,"",COUNTIF($Z$5:Z44,"x"))</f>
        <v/>
      </c>
      <c r="AA149" s="3707" t="str">
        <f>IF(((COUNTIF($AA$5:AA44,"x"))-(COUNTIF($AA$5:AA43,"x")))=0,"",COUNTIF($AA$5:AA44,"x"))</f>
        <v/>
      </c>
      <c r="AB149" s="3707" t="str">
        <f>IF(((COUNTIF($AB$5:AB44,"x"))-(COUNTIF($AB$5:AB43,"x")))=0,"",COUNTIF($AB$5:AB44,"x"))</f>
        <v/>
      </c>
      <c r="AC149" s="3707" t="str">
        <f>IF(((COUNTIF($AC$5:AC44,"x"))-(COUNTIF($AC$5:AC43,"x")))=0,"",COUNTIF($AC$5:AC44,"x"))</f>
        <v/>
      </c>
      <c r="AD149" s="3707">
        <f>IF(((COUNTIF($AD$5:AD44,"x"))-(COUNTIF($AD$5:AD43,"x")))=0,"",COUNTIF($AD$5:AD44,"x"))</f>
        <v>36</v>
      </c>
      <c r="AE149" s="3707" t="str">
        <f>IF(((COUNTIF($AE$5:AE44,"x"))-(COUNTIF($AE$5:AE43,"x")))=0,"",COUNTIF($AE$5:AE44,"x"))</f>
        <v/>
      </c>
      <c r="AF149" s="3708" t="str">
        <f>IF(((COUNTIF($AF$5:AF44,"x"))-(COUNTIF($AF$5:AF43,"x")))=0,"",COUNTIF($AF$5:AF44,"x"))</f>
        <v/>
      </c>
      <c r="AG149" s="2120" t="str">
        <f t="shared" si="15"/>
        <v xml:space="preserve">Harmony SX </v>
      </c>
    </row>
    <row r="150" spans="2:33" ht="18">
      <c r="B150" s="2136">
        <f t="shared" si="16"/>
        <v>41</v>
      </c>
      <c r="C150" s="3711" t="str">
        <f t="shared" si="13"/>
        <v>Herold SC</v>
      </c>
      <c r="D150" s="3655"/>
      <c r="E150" s="3710"/>
      <c r="F150" s="3706">
        <f>IF(((COUNTIF($F$5:$F45,"x"))-(COUNTIF($F$5:$F44,"x")))=0,"",COUNTIF($F$5:$F45,"x"))</f>
        <v>15</v>
      </c>
      <c r="G150" s="3707">
        <f>IF(((COUNTIF($G$5:$G45,"x"))-(COUNTIF($G$5:$G44,"x")))=0,"",COUNTIF($G$5:$G45,"x"))</f>
        <v>12</v>
      </c>
      <c r="H150" s="3707">
        <f>IF(((COUNTIF($H$5:$H45,"x"))-(COUNTIF($H$5:$H44,"x")))=0,"",COUNTIF($H$5:$H45,"x"))</f>
        <v>15</v>
      </c>
      <c r="I150" s="3707">
        <f>IF(((COUNTIF($I$5:I45,"x"))-(COUNTIF($I$5:I44,"x")))=0,"",COUNTIF($I$5:I45,"x"))</f>
        <v>13</v>
      </c>
      <c r="J150" s="3707">
        <f>IF(((COUNTIF($J$5:J45,"x"))-(COUNTIF($J$5:J44,"x")))=0,"",COUNTIF($J$5:J45,"x"))</f>
        <v>12</v>
      </c>
      <c r="K150" s="3707" t="str">
        <f>IF(((COUNTIF($K$5:K45,"x"))-(COUNTIF($K$5:K44,"x")))=0,"",COUNTIF($K$5:K45,"x"))</f>
        <v/>
      </c>
      <c r="L150" s="3707" t="str">
        <f>IF(((COUNTIF($L$5:L45,"x"))-(COUNTIF($L$5:L44,"x")))=0,"",COUNTIF($L$5:L45,"x"))</f>
        <v/>
      </c>
      <c r="M150" s="3707" t="str">
        <f>IF(((COUNTIF($M$5:M45,"x"))-(COUNTIF($M$5:M44,"x")))=0,"",COUNTIF($M$5:M45,"x"))</f>
        <v/>
      </c>
      <c r="N150" s="3707" t="str">
        <f>IF(((COUNTIF($N$5:N45,"x"))-(COUNTIF($N$5:N44,"x")))=0,"",COUNTIF($N$5:N45,"x"))</f>
        <v/>
      </c>
      <c r="O150" s="3707" t="str">
        <f>IF(((COUNTIF($O$5:O45,"x"))-(COUNTIF($O$5:O44,"x")))=0,"",COUNTIF($O$5:O45,"x"))</f>
        <v/>
      </c>
      <c r="P150" s="3707" t="str">
        <f>IF(((COUNTIF($P$5:P45,"x"))-(COUNTIF($P$5:P44,"x")))=0,"",COUNTIF($P$5:P45,"x"))</f>
        <v/>
      </c>
      <c r="Q150" s="3707" t="str">
        <f>IF(((COUNTIF($Q$5:Q45,"x"))-(COUNTIF($Q$5:Q44,"x")))=0,"",COUNTIF($Q$5:Q45,"x"))</f>
        <v/>
      </c>
      <c r="R150" s="3707" t="str">
        <f>IF(((COUNTIF($R$5:R45,"x"))-(COUNTIF($R$5:R44,"x")))=0,"",COUNTIF($R$5:R45,"x"))</f>
        <v/>
      </c>
      <c r="S150" s="3707" t="str">
        <f>IF(((COUNTIF($S$5:S45,"x"))-(COUNTIF($S$5:S44,"x")))=0,"",COUNTIF($S$5:S45,"x"))</f>
        <v/>
      </c>
      <c r="T150" s="3707" t="str">
        <f>IF(((COUNTIF($T$5:T45,"x"))-(COUNTIF($T$5:T44,"x")))=0,"",COUNTIF($T$5:T45,"x"))</f>
        <v/>
      </c>
      <c r="U150" s="3707" t="str">
        <f>IF(((COUNTIF($U$5:U45,"x"))-(COUNTIF($U$5:U44,"x")))=0,"",COUNTIF($U$5:U45,"x"))</f>
        <v/>
      </c>
      <c r="V150" s="3707" t="str">
        <f>IF(((COUNTIF($V$5:V45,"x"))-(COUNTIF($V$5:V44,"x")))=0,"",COUNTIF($V$5:V45,"x"))</f>
        <v/>
      </c>
      <c r="W150" s="3707" t="str">
        <f>IF(((COUNTIF($W$5:W45,"x"))-(COUNTIF($W$5:W44,"x")))=0,"",COUNTIF($W$5:W45,"x"))</f>
        <v/>
      </c>
      <c r="X150" s="3707" t="str">
        <f>IF(((COUNTIF($X$5:X45,"x"))-(COUNTIF($X$5:X44,"x")))=0,"",COUNTIF($X$5:X45,"x"))</f>
        <v/>
      </c>
      <c r="Y150" s="3707" t="str">
        <f>IF(((COUNTIF($Y$5:Y45,"x"))-(COUNTIF($Y$5:Y44,"x")))=0,"",COUNTIF($Y$5:Y45,"x"))</f>
        <v/>
      </c>
      <c r="Z150" s="3707" t="str">
        <f>IF(((COUNTIF($Z$5:Z45,"x"))-(COUNTIF($Z$5:Z44,"x")))=0,"",COUNTIF($Z$5:Z45,"x"))</f>
        <v/>
      </c>
      <c r="AA150" s="3707" t="str">
        <f>IF(((COUNTIF($AA$5:AA45,"x"))-(COUNTIF($AA$5:AA44,"x")))=0,"",COUNTIF($AA$5:AA45,"x"))</f>
        <v/>
      </c>
      <c r="AB150" s="3707" t="str">
        <f>IF(((COUNTIF($AB$5:AB45,"x"))-(COUNTIF($AB$5:AB44,"x")))=0,"",COUNTIF($AB$5:AB45,"x"))</f>
        <v/>
      </c>
      <c r="AC150" s="3707" t="str">
        <f>IF(((COUNTIF($AC$5:AC45,"x"))-(COUNTIF($AC$5:AC44,"x")))=0,"",COUNTIF($AC$5:AC45,"x"))</f>
        <v/>
      </c>
      <c r="AD150" s="3707">
        <f>IF(((COUNTIF($AD$5:AD45,"x"))-(COUNTIF($AD$5:AD44,"x")))=0,"",COUNTIF($AD$5:AD45,"x"))</f>
        <v>37</v>
      </c>
      <c r="AE150" s="3707" t="str">
        <f>IF(((COUNTIF($AE$5:AE45,"x"))-(COUNTIF($AE$5:AE44,"x")))=0,"",COUNTIF($AE$5:AE45,"x"))</f>
        <v/>
      </c>
      <c r="AF150" s="3708" t="str">
        <f>IF(((COUNTIF($AF$5:AF45,"x"))-(COUNTIF($AF$5:AF44,"x")))=0,"",COUNTIF($AF$5:AF45,"x"))</f>
        <v/>
      </c>
      <c r="AG150" s="2120" t="str">
        <f t="shared" si="15"/>
        <v>Herold SC</v>
      </c>
    </row>
    <row r="151" spans="2:33" ht="18">
      <c r="B151" s="2136">
        <f t="shared" si="16"/>
        <v>42</v>
      </c>
      <c r="C151" s="3711" t="str">
        <f t="shared" si="13"/>
        <v>Hoestar Super</v>
      </c>
      <c r="D151" s="3655"/>
      <c r="E151" s="3710"/>
      <c r="F151" s="3706">
        <f>IF(((COUNTIF($F$5:$F46,"x"))-(COUNTIF($F$5:$F45,"x")))=0,"",COUNTIF($F$5:$F46,"x"))</f>
        <v>16</v>
      </c>
      <c r="G151" s="3707" t="str">
        <f>IF(((COUNTIF($G$5:$G46,"x"))-(COUNTIF($G$5:$G45,"x")))=0,"",COUNTIF($G$5:$G46,"x"))</f>
        <v/>
      </c>
      <c r="H151" s="3707">
        <f>IF(((COUNTIF($H$5:$H46,"x"))-(COUNTIF($H$5:$H45,"x")))=0,"",COUNTIF($H$5:$H46,"x"))</f>
        <v>16</v>
      </c>
      <c r="I151" s="3707">
        <f>IF(((COUNTIF($I$5:I46,"x"))-(COUNTIF($I$5:I45,"x")))=0,"",COUNTIF($I$5:I46,"x"))</f>
        <v>14</v>
      </c>
      <c r="J151" s="3707">
        <f>IF(((COUNTIF($J$5:J46,"x"))-(COUNTIF($J$5:J45,"x")))=0,"",COUNTIF($J$5:J46,"x"))</f>
        <v>13</v>
      </c>
      <c r="K151" s="3707">
        <f>IF(((COUNTIF($K$5:K46,"x"))-(COUNTIF($K$5:K45,"x")))=0,"",COUNTIF($K$5:K46,"x"))</f>
        <v>12</v>
      </c>
      <c r="L151" s="3707">
        <f>IF(((COUNTIF($L$5:L46,"x"))-(COUNTIF($L$5:L45,"x")))=0,"",COUNTIF($L$5:L46,"x"))</f>
        <v>12</v>
      </c>
      <c r="M151" s="3707">
        <f>IF(((COUNTIF($M$5:M46,"x"))-(COUNTIF($M$5:M45,"x")))=0,"",COUNTIF($M$5:M46,"x"))</f>
        <v>12</v>
      </c>
      <c r="N151" s="3707" t="str">
        <f>IF(((COUNTIF($N$5:N46,"x"))-(COUNTIF($N$5:N45,"x")))=0,"",COUNTIF($N$5:N46,"x"))</f>
        <v/>
      </c>
      <c r="O151" s="3707">
        <f>IF(((COUNTIF($O$5:O46,"x"))-(COUNTIF($O$5:O45,"x")))=0,"",COUNTIF($O$5:O46,"x"))</f>
        <v>8</v>
      </c>
      <c r="P151" s="3707">
        <f>IF(((COUNTIF($P$5:P46,"x"))-(COUNTIF($P$5:P45,"x")))=0,"",COUNTIF($P$5:P46,"x"))</f>
        <v>6</v>
      </c>
      <c r="Q151" s="3707" t="str">
        <f>IF(((COUNTIF($Q$5:Q46,"x"))-(COUNTIF($Q$5:Q45,"x")))=0,"",COUNTIF($Q$5:Q46,"x"))</f>
        <v/>
      </c>
      <c r="R151" s="3707" t="str">
        <f>IF(((COUNTIF($R$5:R46,"x"))-(COUNTIF($R$5:R45,"x")))=0,"",COUNTIF($R$5:R46,"x"))</f>
        <v/>
      </c>
      <c r="S151" s="3707" t="str">
        <f>IF(((COUNTIF($S$5:S46,"x"))-(COUNTIF($S$5:S45,"x")))=0,"",COUNTIF($S$5:S46,"x"))</f>
        <v/>
      </c>
      <c r="T151" s="3707" t="str">
        <f>IF(((COUNTIF($T$5:T46,"x"))-(COUNTIF($T$5:T45,"x")))=0,"",COUNTIF($T$5:T46,"x"))</f>
        <v/>
      </c>
      <c r="U151" s="3707" t="str">
        <f>IF(((COUNTIF($U$5:U46,"x"))-(COUNTIF($U$5:U45,"x")))=0,"",COUNTIF($U$5:U46,"x"))</f>
        <v/>
      </c>
      <c r="V151" s="3707" t="str">
        <f>IF(((COUNTIF($V$5:V46,"x"))-(COUNTIF($V$5:V45,"x")))=0,"",COUNTIF($V$5:V46,"x"))</f>
        <v/>
      </c>
      <c r="W151" s="3707" t="str">
        <f>IF(((COUNTIF($W$5:W46,"x"))-(COUNTIF($W$5:W45,"x")))=0,"",COUNTIF($W$5:W46,"x"))</f>
        <v/>
      </c>
      <c r="X151" s="3707" t="str">
        <f>IF(((COUNTIF($X$5:X46,"x"))-(COUNTIF($X$5:X45,"x")))=0,"",COUNTIF($X$5:X46,"x"))</f>
        <v/>
      </c>
      <c r="Y151" s="3707" t="str">
        <f>IF(((COUNTIF($Y$5:Y46,"x"))-(COUNTIF($Y$5:Y45,"x")))=0,"",COUNTIF($Y$5:Y46,"x"))</f>
        <v/>
      </c>
      <c r="Z151" s="3707" t="str">
        <f>IF(((COUNTIF($Z$5:Z46,"x"))-(COUNTIF($Z$5:Z45,"x")))=0,"",COUNTIF($Z$5:Z46,"x"))</f>
        <v/>
      </c>
      <c r="AA151" s="3707" t="str">
        <f>IF(((COUNTIF($AA$5:AA46,"x"))-(COUNTIF($AA$5:AA45,"x")))=0,"",COUNTIF($AA$5:AA46,"x"))</f>
        <v/>
      </c>
      <c r="AB151" s="3707" t="str">
        <f>IF(((COUNTIF($AB$5:AB46,"x"))-(COUNTIF($AB$5:AB45,"x")))=0,"",COUNTIF($AB$5:AB46,"x"))</f>
        <v/>
      </c>
      <c r="AC151" s="3707" t="str">
        <f>IF(((COUNTIF($AC$5:AC46,"x"))-(COUNTIF($AC$5:AC45,"x")))=0,"",COUNTIF($AC$5:AC46,"x"))</f>
        <v/>
      </c>
      <c r="AD151" s="3707">
        <f>IF(((COUNTIF($AD$5:AD46,"x"))-(COUNTIF($AD$5:AD45,"x")))=0,"",COUNTIF($AD$5:AD46,"x"))</f>
        <v>38</v>
      </c>
      <c r="AE151" s="3707" t="str">
        <f>IF(((COUNTIF($AE$5:AE46,"x"))-(COUNTIF($AE$5:AE45,"x")))=0,"",COUNTIF($AE$5:AE46,"x"))</f>
        <v/>
      </c>
      <c r="AF151" s="3708" t="str">
        <f>IF(((COUNTIF($AF$5:AF46,"x"))-(COUNTIF($AF$5:AF45,"x")))=0,"",COUNTIF($AF$5:AF46,"x"))</f>
        <v/>
      </c>
      <c r="AG151" s="2120" t="str">
        <f t="shared" si="15"/>
        <v>Hoestar Super</v>
      </c>
    </row>
    <row r="152" spans="2:33" ht="18">
      <c r="B152" s="2136">
        <f t="shared" si="16"/>
        <v>43</v>
      </c>
      <c r="C152" s="3711" t="str">
        <f t="shared" si="13"/>
        <v>Infinito</v>
      </c>
      <c r="D152" s="3655"/>
      <c r="E152" s="3710"/>
      <c r="F152" s="3706" t="str">
        <f>IF(((COUNTIF($F$5:$F47,"x"))-(COUNTIF($F$5:$F46,"x")))=0,"",COUNTIF($F$5:$F47,"x"))</f>
        <v/>
      </c>
      <c r="G152" s="3707" t="str">
        <f>IF(((COUNTIF($G$5:$G47,"x"))-(COUNTIF($G$5:$G46,"x")))=0,"",COUNTIF($G$5:$G47,"x"))</f>
        <v/>
      </c>
      <c r="H152" s="3707" t="str">
        <f>IF(((COUNTIF($H$5:$H47,"x"))-(COUNTIF($H$5:$H46,"x")))=0,"",COUNTIF($H$5:$H47,"x"))</f>
        <v/>
      </c>
      <c r="I152" s="3707" t="str">
        <f>IF(((COUNTIF($I$5:I47,"x"))-(COUNTIF($I$5:I46,"x")))=0,"",COUNTIF($I$5:I47,"x"))</f>
        <v/>
      </c>
      <c r="J152" s="3707" t="str">
        <f>IF(((COUNTIF($J$5:J47,"x"))-(COUNTIF($J$5:J46,"x")))=0,"",COUNTIF($J$5:J47,"x"))</f>
        <v/>
      </c>
      <c r="K152" s="3707" t="str">
        <f>IF(((COUNTIF($K$5:K47,"x"))-(COUNTIF($K$5:K46,"x")))=0,"",COUNTIF($K$5:K47,"x"))</f>
        <v/>
      </c>
      <c r="L152" s="3707" t="str">
        <f>IF(((COUNTIF($L$5:L47,"x"))-(COUNTIF($L$5:L46,"x")))=0,"",COUNTIF($L$5:L47,"x"))</f>
        <v/>
      </c>
      <c r="M152" s="3707" t="str">
        <f>IF(((COUNTIF($M$5:M47,"x"))-(COUNTIF($M$5:M46,"x")))=0,"",COUNTIF($M$5:M47,"x"))</f>
        <v/>
      </c>
      <c r="N152" s="3707" t="str">
        <f>IF(((COUNTIF($N$5:N47,"x"))-(COUNTIF($N$5:N46,"x")))=0,"",COUNTIF($N$5:N47,"x"))</f>
        <v/>
      </c>
      <c r="O152" s="3707" t="str">
        <f>IF(((COUNTIF($O$5:O47,"x"))-(COUNTIF($O$5:O46,"x")))=0,"",COUNTIF($O$5:O47,"x"))</f>
        <v/>
      </c>
      <c r="P152" s="3707" t="str">
        <f>IF(((COUNTIF($P$5:P47,"x"))-(COUNTIF($P$5:P46,"x")))=0,"",COUNTIF($P$5:P47,"x"))</f>
        <v/>
      </c>
      <c r="Q152" s="3707" t="str">
        <f>IF(((COUNTIF($Q$5:Q47,"x"))-(COUNTIF($Q$5:Q46,"x")))=0,"",COUNTIF($Q$5:Q47,"x"))</f>
        <v/>
      </c>
      <c r="R152" s="3707" t="str">
        <f>IF(((COUNTIF($R$5:R47,"x"))-(COUNTIF($R$5:R46,"x")))=0,"",COUNTIF($R$5:R47,"x"))</f>
        <v/>
      </c>
      <c r="S152" s="3707" t="str">
        <f>IF(((COUNTIF($S$5:S47,"x"))-(COUNTIF($S$5:S46,"x")))=0,"",COUNTIF($S$5:S47,"x"))</f>
        <v/>
      </c>
      <c r="T152" s="3707" t="str">
        <f>IF(((COUNTIF($T$5:T47,"x"))-(COUNTIF($T$5:T46,"x")))=0,"",COUNTIF($T$5:T47,"x"))</f>
        <v/>
      </c>
      <c r="U152" s="3707" t="str">
        <f>IF(((COUNTIF($U$5:U47,"x"))-(COUNTIF($U$5:U46,"x")))=0,"",COUNTIF($U$5:U47,"x"))</f>
        <v/>
      </c>
      <c r="V152" s="3707" t="str">
        <f>IF(((COUNTIF($V$5:V47,"x"))-(COUNTIF($V$5:V46,"x")))=0,"",COUNTIF($V$5:V47,"x"))</f>
        <v/>
      </c>
      <c r="W152" s="3707" t="str">
        <f>IF(((COUNTIF($W$5:W47,"x"))-(COUNTIF($W$5:W46,"x")))=0,"",COUNTIF($W$5:W47,"x"))</f>
        <v/>
      </c>
      <c r="X152" s="3707" t="str">
        <f>IF(((COUNTIF($X$5:X47,"x"))-(COUNTIF($X$5:X46,"x")))=0,"",COUNTIF($X$5:X47,"x"))</f>
        <v/>
      </c>
      <c r="Y152" s="3707" t="str">
        <f>IF(((COUNTIF($Y$5:Y47,"x"))-(COUNTIF($Y$5:Y46,"x")))=0,"",COUNTIF($Y$5:Y47,"x"))</f>
        <v/>
      </c>
      <c r="Z152" s="3707" t="str">
        <f>IF(((COUNTIF($Z$5:Z47,"x"))-(COUNTIF($Z$5:Z46,"x")))=0,"",COUNTIF($Z$5:Z47,"x"))</f>
        <v/>
      </c>
      <c r="AA152" s="3707" t="str">
        <f>IF(((COUNTIF($AA$5:AA47,"x"))-(COUNTIF($AA$5:AA46,"x")))=0,"",COUNTIF($AA$5:AA47,"x"))</f>
        <v/>
      </c>
      <c r="AB152" s="3707">
        <f>IF(((COUNTIF($AB$5:AB47,"x"))-(COUNTIF($AB$5:AB46,"x")))=0,"",COUNTIF($AB$5:AB47,"x"))</f>
        <v>9</v>
      </c>
      <c r="AC152" s="3707" t="str">
        <f>IF(((COUNTIF($AC$5:AC47,"x"))-(COUNTIF($AC$5:AC46,"x")))=0,"",COUNTIF($AC$5:AC47,"x"))</f>
        <v/>
      </c>
      <c r="AD152" s="3707">
        <f>IF(((COUNTIF($AD$5:AD47,"x"))-(COUNTIF($AD$5:AD46,"x")))=0,"",COUNTIF($AD$5:AD47,"x"))</f>
        <v>39</v>
      </c>
      <c r="AE152" s="3707" t="str">
        <f>IF(((COUNTIF($AE$5:AE47,"x"))-(COUNTIF($AE$5:AE46,"x")))=0,"",COUNTIF($AE$5:AE47,"x"))</f>
        <v/>
      </c>
      <c r="AF152" s="3708" t="str">
        <f>IF(((COUNTIF($AF$5:AF47,"x"))-(COUNTIF($AF$5:AF46,"x")))=0,"",COUNTIF($AF$5:AF47,"x"))</f>
        <v/>
      </c>
      <c r="AG152" s="2120" t="str">
        <f t="shared" si="15"/>
        <v>Infinito</v>
      </c>
    </row>
    <row r="153" spans="2:33" ht="18">
      <c r="B153" s="2136">
        <f t="shared" si="16"/>
        <v>44</v>
      </c>
      <c r="C153" s="3711" t="str">
        <f t="shared" si="13"/>
        <v>Input Classic</v>
      </c>
      <c r="D153" s="3655"/>
      <c r="E153" s="3710"/>
      <c r="F153" s="3706">
        <f>IF(((COUNTIF($F$5:$F48,"x"))-(COUNTIF($F$5:$F47,"x")))=0,"",COUNTIF($F$5:$F48,"x"))</f>
        <v>17</v>
      </c>
      <c r="G153" s="3707">
        <f>IF(((COUNTIF($G$5:$G48,"x"))-(COUNTIF($G$5:$G47,"x")))=0,"",COUNTIF($G$5:$G48,"x"))</f>
        <v>13</v>
      </c>
      <c r="H153" s="3707">
        <f>IF(((COUNTIF($H$5:$H48,"x"))-(COUNTIF($H$5:$H47,"x")))=0,"",COUNTIF($H$5:$H48,"x"))</f>
        <v>17</v>
      </c>
      <c r="I153" s="3707">
        <f>IF(((COUNTIF($I$5:I48,"x"))-(COUNTIF($I$5:I47,"x")))=0,"",COUNTIF($I$5:I48,"x"))</f>
        <v>15</v>
      </c>
      <c r="J153" s="3707">
        <f>IF(((COUNTIF($J$5:J48,"x"))-(COUNTIF($J$5:J47,"x")))=0,"",COUNTIF($J$5:J48,"x"))</f>
        <v>14</v>
      </c>
      <c r="K153" s="3707">
        <f>IF(((COUNTIF($K$5:K48,"x"))-(COUNTIF($K$5:K47,"x")))=0,"",COUNTIF($K$5:K48,"x"))</f>
        <v>13</v>
      </c>
      <c r="L153" s="3707">
        <f>IF(((COUNTIF($L$5:L48,"x"))-(COUNTIF($L$5:L47,"x")))=0,"",COUNTIF($L$5:L48,"x"))</f>
        <v>13</v>
      </c>
      <c r="M153" s="3707">
        <f>IF(((COUNTIF($M$5:M48,"x"))-(COUNTIF($M$5:M47,"x")))=0,"",COUNTIF($M$5:M48,"x"))</f>
        <v>13</v>
      </c>
      <c r="N153" s="3707" t="str">
        <f>IF(((COUNTIF($N$5:N48,"x"))-(COUNTIF($N$5:N47,"x")))=0,"",COUNTIF($N$5:N48,"x"))</f>
        <v/>
      </c>
      <c r="O153" s="3707">
        <f>IF(((COUNTIF($O$5:O48,"x"))-(COUNTIF($O$5:O47,"x")))=0,"",COUNTIF($O$5:O48,"x"))</f>
        <v>9</v>
      </c>
      <c r="P153" s="3707">
        <f>IF(((COUNTIF($P$5:P48,"x"))-(COUNTIF($P$5:P47,"x")))=0,"",COUNTIF($P$5:P48,"x"))</f>
        <v>7</v>
      </c>
      <c r="Q153" s="3707" t="str">
        <f>IF(((COUNTIF($Q$5:Q48,"x"))-(COUNTIF($Q$5:Q47,"x")))=0,"",COUNTIF($Q$5:Q48,"x"))</f>
        <v/>
      </c>
      <c r="R153" s="3707" t="str">
        <f>IF(((COUNTIF($R$5:R48,"x"))-(COUNTIF($R$5:R47,"x")))=0,"",COUNTIF($R$5:R48,"x"))</f>
        <v/>
      </c>
      <c r="S153" s="3707" t="str">
        <f>IF(((COUNTIF($S$5:S48,"x"))-(COUNTIF($S$5:S47,"x")))=0,"",COUNTIF($S$5:S48,"x"))</f>
        <v/>
      </c>
      <c r="T153" s="3707" t="str">
        <f>IF(((COUNTIF($T$5:T48,"x"))-(COUNTIF($T$5:T47,"x")))=0,"",COUNTIF($T$5:T48,"x"))</f>
        <v/>
      </c>
      <c r="U153" s="3707" t="str">
        <f>IF(((COUNTIF($U$5:U48,"x"))-(COUNTIF($U$5:U47,"x")))=0,"",COUNTIF($U$5:U48,"x"))</f>
        <v/>
      </c>
      <c r="V153" s="3707" t="str">
        <f>IF(((COUNTIF($V$5:V48,"x"))-(COUNTIF($V$5:V47,"x")))=0,"",COUNTIF($V$5:V48,"x"))</f>
        <v/>
      </c>
      <c r="W153" s="3707" t="str">
        <f>IF(((COUNTIF($W$5:W48,"x"))-(COUNTIF($W$5:W47,"x")))=0,"",COUNTIF($W$5:W48,"x"))</f>
        <v/>
      </c>
      <c r="X153" s="3707" t="str">
        <f>IF(((COUNTIF($X$5:X48,"x"))-(COUNTIF($X$5:X47,"x")))=0,"",COUNTIF($X$5:X48,"x"))</f>
        <v/>
      </c>
      <c r="Y153" s="3707" t="str">
        <f>IF(((COUNTIF($Y$5:Y48,"x"))-(COUNTIF($Y$5:Y47,"x")))=0,"",COUNTIF($Y$5:Y48,"x"))</f>
        <v/>
      </c>
      <c r="Z153" s="3707" t="str">
        <f>IF(((COUNTIF($Z$5:Z48,"x"))-(COUNTIF($Z$5:Z47,"x")))=0,"",COUNTIF($Z$5:Z48,"x"))</f>
        <v/>
      </c>
      <c r="AA153" s="3707" t="str">
        <f>IF(((COUNTIF($AA$5:AA48,"x"))-(COUNTIF($AA$5:AA47,"x")))=0,"",COUNTIF($AA$5:AA48,"x"))</f>
        <v/>
      </c>
      <c r="AB153" s="3707" t="str">
        <f>IF(((COUNTIF($AB$5:AB48,"x"))-(COUNTIF($AB$5:AB47,"x")))=0,"",COUNTIF($AB$5:AB48,"x"))</f>
        <v/>
      </c>
      <c r="AC153" s="3707" t="str">
        <f>IF(((COUNTIF($AC$5:AC48,"x"))-(COUNTIF($AC$5:AC47,"x")))=0,"",COUNTIF($AC$5:AC48,"x"))</f>
        <v/>
      </c>
      <c r="AD153" s="3707">
        <f>IF(((COUNTIF($AD$5:AD48,"x"))-(COUNTIF($AD$5:AD47,"x")))=0,"",COUNTIF($AD$5:AD48,"x"))</f>
        <v>40</v>
      </c>
      <c r="AE153" s="3707" t="str">
        <f>IF(((COUNTIF($AE$5:AE48,"x"))-(COUNTIF($AE$5:AE47,"x")))=0,"",COUNTIF($AE$5:AE48,"x"))</f>
        <v/>
      </c>
      <c r="AF153" s="3708" t="str">
        <f>IF(((COUNTIF($AF$5:AF48,"x"))-(COUNTIF($AF$5:AF47,"x")))=0,"",COUNTIF($AF$5:AF48,"x"))</f>
        <v/>
      </c>
      <c r="AG153" s="2120" t="str">
        <f t="shared" si="15"/>
        <v>Input Classic</v>
      </c>
    </row>
    <row r="154" spans="2:33" ht="18">
      <c r="B154" s="2136">
        <f t="shared" si="16"/>
        <v>45</v>
      </c>
      <c r="C154" s="3711" t="str">
        <f t="shared" si="13"/>
        <v>Input Xpro</v>
      </c>
      <c r="D154" s="3655"/>
      <c r="E154" s="3710"/>
      <c r="F154" s="3706">
        <f>IF(((COUNTIF($F$5:$F49,"x"))-(COUNTIF($F$5:$F48,"x")))=0,"",COUNTIF($F$5:$F49,"x"))</f>
        <v>18</v>
      </c>
      <c r="G154" s="3707">
        <f>IF(((COUNTIF($G$5:$G49,"x"))-(COUNTIF($G$5:$G48,"x")))=0,"",COUNTIF($G$5:$G49,"x"))</f>
        <v>14</v>
      </c>
      <c r="H154" s="3707">
        <f>IF(((COUNTIF($H$5:$H49,"x"))-(COUNTIF($H$5:$H48,"x")))=0,"",COUNTIF($H$5:$H49,"x"))</f>
        <v>18</v>
      </c>
      <c r="I154" s="3707">
        <f>IF(((COUNTIF($I$5:I49,"x"))-(COUNTIF($I$5:I48,"x")))=0,"",COUNTIF($I$5:I49,"x"))</f>
        <v>16</v>
      </c>
      <c r="J154" s="3707">
        <f>IF(((COUNTIF($J$5:J49,"x"))-(COUNTIF($J$5:J48,"x")))=0,"",COUNTIF($J$5:J49,"x"))</f>
        <v>15</v>
      </c>
      <c r="K154" s="3707">
        <f>IF(((COUNTIF($K$5:K49,"x"))-(COUNTIF($K$5:K48,"x")))=0,"",COUNTIF($K$5:K49,"x"))</f>
        <v>14</v>
      </c>
      <c r="L154" s="3707">
        <f>IF(((COUNTIF($L$5:L49,"x"))-(COUNTIF($L$5:L48,"x")))=0,"",COUNTIF($L$5:L49,"x"))</f>
        <v>14</v>
      </c>
      <c r="M154" s="3707">
        <f>IF(((COUNTIF($M$5:M49,"x"))-(COUNTIF($M$5:M48,"x")))=0,"",COUNTIF($M$5:M49,"x"))</f>
        <v>14</v>
      </c>
      <c r="N154" s="3707" t="str">
        <f>IF(((COUNTIF($N$5:N49,"x"))-(COUNTIF($N$5:N48,"x")))=0,"",COUNTIF($N$5:N49,"x"))</f>
        <v/>
      </c>
      <c r="O154" s="3707">
        <f>IF(((COUNTIF($O$5:O49,"x"))-(COUNTIF($O$5:O48,"x")))=0,"",COUNTIF($O$5:O49,"x"))</f>
        <v>10</v>
      </c>
      <c r="P154" s="3707">
        <f>IF(((COUNTIF($P$5:P49,"x"))-(COUNTIF($P$5:P48,"x")))=0,"",COUNTIF($P$5:P49,"x"))</f>
        <v>8</v>
      </c>
      <c r="Q154" s="3707" t="str">
        <f>IF(((COUNTIF($Q$5:Q49,"x"))-(COUNTIF($Q$5:Q48,"x")))=0,"",COUNTIF($Q$5:Q49,"x"))</f>
        <v/>
      </c>
      <c r="R154" s="3707" t="str">
        <f>IF(((COUNTIF($R$5:R49,"x"))-(COUNTIF($R$5:R48,"x")))=0,"",COUNTIF($R$5:R49,"x"))</f>
        <v/>
      </c>
      <c r="S154" s="3707" t="str">
        <f>IF(((COUNTIF($S$5:S49,"x"))-(COUNTIF($S$5:S48,"x")))=0,"",COUNTIF($S$5:S49,"x"))</f>
        <v/>
      </c>
      <c r="T154" s="3707" t="str">
        <f>IF(((COUNTIF($T$5:T49,"x"))-(COUNTIF($T$5:T48,"x")))=0,"",COUNTIF($T$5:T49,"x"))</f>
        <v/>
      </c>
      <c r="U154" s="3707" t="str">
        <f>IF(((COUNTIF($U$5:U49,"x"))-(COUNTIF($U$5:U48,"x")))=0,"",COUNTIF($U$5:U49,"x"))</f>
        <v/>
      </c>
      <c r="V154" s="3707" t="str">
        <f>IF(((COUNTIF($V$5:V49,"x"))-(COUNTIF($V$5:V48,"x")))=0,"",COUNTIF($V$5:V49,"x"))</f>
        <v/>
      </c>
      <c r="W154" s="3707" t="str">
        <f>IF(((COUNTIF($W$5:W49,"x"))-(COUNTIF($W$5:W48,"x")))=0,"",COUNTIF($W$5:W49,"x"))</f>
        <v/>
      </c>
      <c r="X154" s="3707" t="str">
        <f>IF(((COUNTIF($X$5:X49,"x"))-(COUNTIF($X$5:X48,"x")))=0,"",COUNTIF($X$5:X49,"x"))</f>
        <v/>
      </c>
      <c r="Y154" s="3707" t="str">
        <f>IF(((COUNTIF($Y$5:Y49,"x"))-(COUNTIF($Y$5:Y48,"x")))=0,"",COUNTIF($Y$5:Y49,"x"))</f>
        <v/>
      </c>
      <c r="Z154" s="3707" t="str">
        <f>IF(((COUNTIF($Z$5:Z49,"x"))-(COUNTIF($Z$5:Z48,"x")))=0,"",COUNTIF($Z$5:Z49,"x"))</f>
        <v/>
      </c>
      <c r="AA154" s="3707" t="str">
        <f>IF(((COUNTIF($AA$5:AA49,"x"))-(COUNTIF($AA$5:AA48,"x")))=0,"",COUNTIF($AA$5:AA49,"x"))</f>
        <v/>
      </c>
      <c r="AB154" s="3707" t="str">
        <f>IF(((COUNTIF($AB$5:AB49,"x"))-(COUNTIF($AB$5:AB48,"x")))=0,"",COUNTIF($AB$5:AB49,"x"))</f>
        <v/>
      </c>
      <c r="AC154" s="3707" t="str">
        <f>IF(((COUNTIF($AC$5:AC49,"x"))-(COUNTIF($AC$5:AC48,"x")))=0,"",COUNTIF($AC$5:AC49,"x"))</f>
        <v/>
      </c>
      <c r="AD154" s="3707">
        <f>IF(((COUNTIF($AD$5:AD49,"x"))-(COUNTIF($AD$5:AD48,"x")))=0,"",COUNTIF($AD$5:AD49,"x"))</f>
        <v>41</v>
      </c>
      <c r="AE154" s="3707" t="str">
        <f>IF(((COUNTIF($AE$5:AE49,"x"))-(COUNTIF($AE$5:AE48,"x")))=0,"",COUNTIF($AE$5:AE49,"x"))</f>
        <v/>
      </c>
      <c r="AF154" s="3708" t="str">
        <f>IF(((COUNTIF($AF$5:AF49,"x"))-(COUNTIF($AF$5:AF48,"x")))=0,"",COUNTIF($AF$5:AF49,"x"))</f>
        <v/>
      </c>
      <c r="AG154" s="2120" t="str">
        <f t="shared" si="15"/>
        <v>Input Xpro</v>
      </c>
    </row>
    <row r="155" spans="2:33" ht="18">
      <c r="B155" s="2136">
        <f t="shared" si="16"/>
        <v>46</v>
      </c>
      <c r="C155" s="3711" t="str">
        <f t="shared" si="13"/>
        <v>Metafol SC</v>
      </c>
      <c r="D155" s="3655"/>
      <c r="E155" s="3710"/>
      <c r="F155" s="3706" t="str">
        <f>IF(((COUNTIF($F$5:$F50,"x"))-(COUNTIF($F$5:$F49,"x")))=0,"",COUNTIF($F$5:$F50,"x"))</f>
        <v/>
      </c>
      <c r="G155" s="3707" t="str">
        <f>IF(((COUNTIF($G$5:$G50,"x"))-(COUNTIF($G$5:$G49,"x")))=0,"",COUNTIF($G$5:$G50,"x"))</f>
        <v/>
      </c>
      <c r="H155" s="3707" t="str">
        <f>IF(((COUNTIF($H$5:$H50,"x"))-(COUNTIF($H$5:$H49,"x")))=0,"",COUNTIF($H$5:$H50,"x"))</f>
        <v/>
      </c>
      <c r="I155" s="3707" t="str">
        <f>IF(((COUNTIF($I$5:I50,"x"))-(COUNTIF($I$5:I49,"x")))=0,"",COUNTIF($I$5:I50,"x"))</f>
        <v/>
      </c>
      <c r="J155" s="3707" t="str">
        <f>IF(((COUNTIF($J$5:J50,"x"))-(COUNTIF($J$5:J49,"x")))=0,"",COUNTIF($J$5:J50,"x"))</f>
        <v/>
      </c>
      <c r="K155" s="3707" t="str">
        <f>IF(((COUNTIF($K$5:K50,"x"))-(COUNTIF($K$5:K49,"x")))=0,"",COUNTIF($K$5:K50,"x"))</f>
        <v/>
      </c>
      <c r="L155" s="3707" t="str">
        <f>IF(((COUNTIF($L$5:L50,"x"))-(COUNTIF($L$5:L49,"x")))=0,"",COUNTIF($L$5:L50,"x"))</f>
        <v/>
      </c>
      <c r="M155" s="3707" t="str">
        <f>IF(((COUNTIF($M$5:M50,"x"))-(COUNTIF($M$5:M49,"x")))=0,"",COUNTIF($M$5:M50,"x"))</f>
        <v/>
      </c>
      <c r="N155" s="3707" t="str">
        <f>IF(((COUNTIF($N$5:N50,"x"))-(COUNTIF($N$5:N49,"x")))=0,"",COUNTIF($N$5:N50,"x"))</f>
        <v/>
      </c>
      <c r="O155" s="3707" t="str">
        <f>IF(((COUNTIF($O$5:O50,"x"))-(COUNTIF($O$5:O49,"x")))=0,"",COUNTIF($O$5:O50,"x"))</f>
        <v/>
      </c>
      <c r="P155" s="3707" t="str">
        <f>IF(((COUNTIF($P$5:P50,"x"))-(COUNTIF($P$5:P49,"x")))=0,"",COUNTIF($P$5:P50,"x"))</f>
        <v/>
      </c>
      <c r="Q155" s="3707" t="str">
        <f>IF(((COUNTIF($Q$5:Q50,"x"))-(COUNTIF($Q$5:Q49,"x")))=0,"",COUNTIF($Q$5:Q50,"x"))</f>
        <v/>
      </c>
      <c r="R155" s="3707" t="str">
        <f>IF(((COUNTIF($R$5:R50,"x"))-(COUNTIF($R$5:R49,"x")))=0,"",COUNTIF($R$5:R50,"x"))</f>
        <v/>
      </c>
      <c r="S155" s="3707" t="str">
        <f>IF(((COUNTIF($S$5:S50,"x"))-(COUNTIF($S$5:S49,"x")))=0,"",COUNTIF($S$5:S50,"x"))</f>
        <v/>
      </c>
      <c r="T155" s="3707" t="str">
        <f>IF(((COUNTIF($T$5:T50,"x"))-(COUNTIF($T$5:T49,"x")))=0,"",COUNTIF($T$5:T50,"x"))</f>
        <v/>
      </c>
      <c r="U155" s="3707" t="str">
        <f>IF(((COUNTIF($U$5:U50,"x"))-(COUNTIF($U$5:U49,"x")))=0,"",COUNTIF($U$5:U50,"x"))</f>
        <v/>
      </c>
      <c r="V155" s="3707" t="str">
        <f>IF(((COUNTIF($V$5:V50,"x"))-(COUNTIF($V$5:V49,"x")))=0,"",COUNTIF($V$5:V50,"x"))</f>
        <v/>
      </c>
      <c r="W155" s="3707" t="str">
        <f>IF(((COUNTIF($W$5:W50,"x"))-(COUNTIF($W$5:W49,"x")))=0,"",COUNTIF($W$5:W50,"x"))</f>
        <v/>
      </c>
      <c r="X155" s="3707" t="str">
        <f>IF(((COUNTIF($X$5:X50,"x"))-(COUNTIF($X$5:X49,"x")))=0,"",COUNTIF($X$5:X50,"x"))</f>
        <v/>
      </c>
      <c r="Y155" s="3707" t="str">
        <f>IF(((COUNTIF($Y$5:Y50,"x"))-(COUNTIF($Y$5:Y49,"x")))=0,"",COUNTIF($Y$5:Y50,"x"))</f>
        <v/>
      </c>
      <c r="Z155" s="3707" t="str">
        <f>IF(((COUNTIF($Z$5:Z50,"x"))-(COUNTIF($Z$5:Z49,"x")))=0,"",COUNTIF($Z$5:Z50,"x"))</f>
        <v/>
      </c>
      <c r="AA155" s="3707">
        <f>IF(((COUNTIF($AA$5:AA50,"x"))-(COUNTIF($AA$5:AA49,"x")))=0,"",COUNTIF($AA$5:AA50,"x"))</f>
        <v>9</v>
      </c>
      <c r="AB155" s="3707" t="str">
        <f>IF(((COUNTIF($AB$5:AB50,"x"))-(COUNTIF($AB$5:AB49,"x")))=0,"",COUNTIF($AB$5:AB50,"x"))</f>
        <v/>
      </c>
      <c r="AC155" s="3707" t="str">
        <f>IF(((COUNTIF($AC$5:AC50,"x"))-(COUNTIF($AC$5:AC49,"x")))=0,"",COUNTIF($AC$5:AC50,"x"))</f>
        <v/>
      </c>
      <c r="AD155" s="3707">
        <f>IF(((COUNTIF($AD$5:AD50,"x"))-(COUNTIF($AD$5:AD49,"x")))=0,"",COUNTIF($AD$5:AD50,"x"))</f>
        <v>42</v>
      </c>
      <c r="AE155" s="3707" t="str">
        <f>IF(((COUNTIF($AE$5:AE50,"x"))-(COUNTIF($AE$5:AE49,"x")))=0,"",COUNTIF($AE$5:AE50,"x"))</f>
        <v/>
      </c>
      <c r="AF155" s="3708" t="str">
        <f>IF(((COUNTIF($AF$5:AF50,"x"))-(COUNTIF($AF$5:AF49,"x")))=0,"",COUNTIF($AF$5:AF50,"x"))</f>
        <v/>
      </c>
      <c r="AG155" s="2120" t="str">
        <f t="shared" si="15"/>
        <v>Metafol SC</v>
      </c>
    </row>
    <row r="156" spans="2:33" ht="18">
      <c r="B156" s="2136">
        <f t="shared" si="16"/>
        <v>47</v>
      </c>
      <c r="C156" s="3654" t="str">
        <f t="shared" si="13"/>
        <v>Karate Zeon</v>
      </c>
      <c r="D156" s="3655"/>
      <c r="E156" s="3709"/>
      <c r="F156" s="3706">
        <f>IF(((COUNTIF($F$5:$F51,"x"))-(COUNTIF($F$5:$F50,"x")))=0,"",COUNTIF($F$5:$F51,"x"))</f>
        <v>19</v>
      </c>
      <c r="G156" s="3707">
        <f>IF(((COUNTIF($G$5:$G51,"x"))-(COUNTIF($G$5:$G50,"x")))=0,"",COUNTIF($G$5:$G51,"x"))</f>
        <v>15</v>
      </c>
      <c r="H156" s="3707">
        <f>IF(((COUNTIF($H$5:$H51,"x"))-(COUNTIF($H$5:$H50,"x")))=0,"",COUNTIF($H$5:$H51,"x"))</f>
        <v>19</v>
      </c>
      <c r="I156" s="3707">
        <f>IF(((COUNTIF($I$5:I51,"x"))-(COUNTIF($I$5:I50,"x")))=0,"",COUNTIF($I$5:I51,"x"))</f>
        <v>17</v>
      </c>
      <c r="J156" s="3707">
        <f>IF(((COUNTIF($J$5:J51,"x"))-(COUNTIF($J$5:J50,"x")))=0,"",COUNTIF($J$5:J51,"x"))</f>
        <v>16</v>
      </c>
      <c r="K156" s="3707">
        <f>IF(((COUNTIF($K$5:K51,"x"))-(COUNTIF($K$5:K50,"x")))=0,"",COUNTIF($K$5:K51,"x"))</f>
        <v>15</v>
      </c>
      <c r="L156" s="3707">
        <f>IF(((COUNTIF($L$5:L51,"x"))-(COUNTIF($L$5:L50,"x")))=0,"",COUNTIF($L$5:L51,"x"))</f>
        <v>15</v>
      </c>
      <c r="M156" s="3707">
        <f>IF(((COUNTIF($M$5:M51,"x"))-(COUNTIF($M$5:M50,"x")))=0,"",COUNTIF($M$5:M51,"x"))</f>
        <v>15</v>
      </c>
      <c r="N156" s="3707">
        <f>IF(((COUNTIF($N$5:N51,"x"))-(COUNTIF($N$5:N50,"x")))=0,"",COUNTIF($N$5:N51,"x"))</f>
        <v>6</v>
      </c>
      <c r="O156" s="3707">
        <f>IF(((COUNTIF($O$5:O51,"x"))-(COUNTIF($O$5:O50,"x")))=0,"",COUNTIF($O$5:O51,"x"))</f>
        <v>11</v>
      </c>
      <c r="P156" s="3707">
        <f>IF(((COUNTIF($P$5:P51,"x"))-(COUNTIF($P$5:P50,"x")))=0,"",COUNTIF($P$5:P51,"x"))</f>
        <v>9</v>
      </c>
      <c r="Q156" s="3707" t="str">
        <f>IF(((COUNTIF($Q$5:Q51,"x"))-(COUNTIF($Q$5:Q50,"x")))=0,"",COUNTIF($Q$5:Q51,"x"))</f>
        <v/>
      </c>
      <c r="R156" s="3707">
        <f>IF(((COUNTIF($R$5:R51,"x"))-(COUNTIF($R$5:R50,"x")))=0,"",COUNTIF($R$5:R51,"x"))</f>
        <v>9</v>
      </c>
      <c r="S156" s="3707">
        <f>IF(((COUNTIF($S$5:S51,"x"))-(COUNTIF($S$5:S50,"x")))=0,"",COUNTIF($S$5:S51,"x"))</f>
        <v>12</v>
      </c>
      <c r="T156" s="3707">
        <f>IF(((COUNTIF($T$5:T51,"x"))-(COUNTIF($T$5:T50,"x")))=0,"",COUNTIF($T$5:T51,"x"))</f>
        <v>5</v>
      </c>
      <c r="U156" s="3707">
        <f>IF(((COUNTIF($U$5:U51,"x"))-(COUNTIF($U$5:U50,"x")))=0,"",COUNTIF($U$5:U51,"x"))</f>
        <v>7</v>
      </c>
      <c r="V156" s="3707" t="str">
        <f>IF(((COUNTIF($V$5:V51,"x"))-(COUNTIF($V$5:V50,"x")))=0,"",COUNTIF($V$5:V51,"x"))</f>
        <v/>
      </c>
      <c r="W156" s="3707" t="str">
        <f>IF(((COUNTIF($W$5:W51,"x"))-(COUNTIF($W$5:W50,"x")))=0,"",COUNTIF($W$5:W51,"x"))</f>
        <v/>
      </c>
      <c r="X156" s="3707">
        <f>IF(((COUNTIF($X$5:X51,"x"))-(COUNTIF($X$5:X50,"x")))=0,"",COUNTIF($X$5:X51,"x"))</f>
        <v>7</v>
      </c>
      <c r="Y156" s="3707">
        <f>IF(((COUNTIF($Y$5:Y51,"x"))-(COUNTIF($Y$5:Y50,"x")))=0,"",COUNTIF($Y$5:Y51,"x"))</f>
        <v>7</v>
      </c>
      <c r="Z156" s="3707" t="str">
        <f>IF(((COUNTIF($Z$5:Z51,"x"))-(COUNTIF($Z$5:Z50,"x")))=0,"",COUNTIF($Z$5:Z51,"x"))</f>
        <v/>
      </c>
      <c r="AA156" s="3707">
        <f>IF(((COUNTIF($AA$5:AA51,"x"))-(COUNTIF($AA$5:AA50,"x")))=0,"",COUNTIF($AA$5:AA51,"x"))</f>
        <v>10</v>
      </c>
      <c r="AB156" s="3707">
        <f>IF(((COUNTIF($AB$5:AB51,"x"))-(COUNTIF($AB$5:AB50,"x")))=0,"",COUNTIF($AB$5:AB51,"x"))</f>
        <v>10</v>
      </c>
      <c r="AC156" s="3707" t="str">
        <f>IF(((COUNTIF($AC$5:AC51,"x"))-(COUNTIF($AC$5:AC50,"x")))=0,"",COUNTIF($AC$5:AC51,"x"))</f>
        <v/>
      </c>
      <c r="AD156" s="3707">
        <f>IF(((COUNTIF($AD$5:AD51,"x"))-(COUNTIF($AD$5:AD50,"x")))=0,"",COUNTIF($AD$5:AD51,"x"))</f>
        <v>43</v>
      </c>
      <c r="AE156" s="3707" t="str">
        <f>IF(((COUNTIF($AE$5:AE51,"x"))-(COUNTIF($AE$5:AE50,"x")))=0,"",COUNTIF($AE$5:AE51,"x"))</f>
        <v/>
      </c>
      <c r="AF156" s="3708" t="str">
        <f>IF(((COUNTIF($AF$5:AF51,"x"))-(COUNTIF($AF$5:AF50,"x")))=0,"",COUNTIF($AF$5:AF51,"x"))</f>
        <v/>
      </c>
      <c r="AG156" s="2120" t="str">
        <f t="shared" si="15"/>
        <v>Karate Zeon</v>
      </c>
    </row>
    <row r="157" spans="2:33" ht="18">
      <c r="B157" s="2136">
        <f t="shared" si="16"/>
        <v>48</v>
      </c>
      <c r="C157" s="3654" t="str">
        <f t="shared" si="13"/>
        <v>Mais Banvel WG</v>
      </c>
      <c r="D157" s="3655"/>
      <c r="E157" s="3710"/>
      <c r="F157" s="3706" t="str">
        <f>IF(((COUNTIF($F$5:$F52,"x"))-(COUNTIF($F$5:$F51,"x")))=0,"",COUNTIF($F$5:$F52,"x"))</f>
        <v/>
      </c>
      <c r="G157" s="3707" t="str">
        <f>IF(((COUNTIF($G$5:$G52,"x"))-(COUNTIF($G$5:$G51,"x")))=0,"",COUNTIF($G$5:$G52,"x"))</f>
        <v/>
      </c>
      <c r="H157" s="3707" t="str">
        <f>IF(((COUNTIF($H$5:$H52,"x"))-(COUNTIF($H$5:$H51,"x")))=0,"",COUNTIF($H$5:$H52,"x"))</f>
        <v/>
      </c>
      <c r="I157" s="3707" t="str">
        <f>IF(((COUNTIF($I$5:I52,"x"))-(COUNTIF($I$5:I51,"x")))=0,"",COUNTIF($I$5:I52,"x"))</f>
        <v/>
      </c>
      <c r="J157" s="3707" t="str">
        <f>IF(((COUNTIF($J$5:J52,"x"))-(COUNTIF($J$5:J51,"x")))=0,"",COUNTIF($J$5:J52,"x"))</f>
        <v/>
      </c>
      <c r="K157" s="3707" t="str">
        <f>IF(((COUNTIF($K$5:K52,"x"))-(COUNTIF($K$5:K51,"x")))=0,"",COUNTIF($K$5:K52,"x"))</f>
        <v/>
      </c>
      <c r="L157" s="3707" t="str">
        <f>IF(((COUNTIF($L$5:L52,"x"))-(COUNTIF($L$5:L51,"x")))=0,"",COUNTIF($L$5:L52,"x"))</f>
        <v/>
      </c>
      <c r="M157" s="3707" t="str">
        <f>IF(((COUNTIF($M$5:M52,"x"))-(COUNTIF($M$5:M51,"x")))=0,"",COUNTIF($M$5:M52,"x"))</f>
        <v/>
      </c>
      <c r="N157" s="3707" t="str">
        <f>IF(((COUNTIF($N$5:N52,"x"))-(COUNTIF($N$5:N51,"x")))=0,"",COUNTIF($N$5:N52,"x"))</f>
        <v/>
      </c>
      <c r="O157" s="3707" t="str">
        <f>IF(((COUNTIF($O$5:O52,"x"))-(COUNTIF($O$5:O51,"x")))=0,"",COUNTIF($O$5:O52,"x"))</f>
        <v/>
      </c>
      <c r="P157" s="3707" t="str">
        <f>IF(((COUNTIF($P$5:P52,"x"))-(COUNTIF($P$5:P51,"x")))=0,"",COUNTIF($P$5:P52,"x"))</f>
        <v/>
      </c>
      <c r="Q157" s="3707">
        <f>IF(((COUNTIF($Q$5:Q52,"x"))-(COUNTIF($Q$5:Q51,"x")))=0,"",COUNTIF($Q$5:Q52,"x"))</f>
        <v>2</v>
      </c>
      <c r="R157" s="3707">
        <f>IF(((COUNTIF($R$5:R52,"x"))-(COUNTIF($R$5:R51,"x")))=0,"",COUNTIF($R$5:R52,"x"))</f>
        <v>10</v>
      </c>
      <c r="S157" s="3707" t="str">
        <f>IF(((COUNTIF($S$5:S52,"x"))-(COUNTIF($S$5:S51,"x")))=0,"",COUNTIF($S$5:S52,"x"))</f>
        <v/>
      </c>
      <c r="T157" s="3707" t="str">
        <f>IF(((COUNTIF($T$5:T52,"x"))-(COUNTIF($T$5:T51,"x")))=0,"",COUNTIF($T$5:T52,"x"))</f>
        <v/>
      </c>
      <c r="U157" s="3707" t="str">
        <f>IF(((COUNTIF($U$5:U52,"x"))-(COUNTIF($U$5:U51,"x")))=0,"",COUNTIF($U$5:U52,"x"))</f>
        <v/>
      </c>
      <c r="V157" s="3707" t="str">
        <f>IF(((COUNTIF($V$5:V52,"x"))-(COUNTIF($V$5:V51,"x")))=0,"",COUNTIF($V$5:V52,"x"))</f>
        <v/>
      </c>
      <c r="W157" s="3707" t="str">
        <f>IF(((COUNTIF($W$5:W52,"x"))-(COUNTIF($W$5:W51,"x")))=0,"",COUNTIF($W$5:W52,"x"))</f>
        <v/>
      </c>
      <c r="X157" s="3707" t="str">
        <f>IF(((COUNTIF($X$5:X52,"x"))-(COUNTIF($X$5:X51,"x")))=0,"",COUNTIF($X$5:X52,"x"))</f>
        <v/>
      </c>
      <c r="Y157" s="3707" t="str">
        <f>IF(((COUNTIF($Y$5:Y52,"x"))-(COUNTIF($Y$5:Y51,"x")))=0,"",COUNTIF($Y$5:Y52,"x"))</f>
        <v/>
      </c>
      <c r="Z157" s="3707" t="str">
        <f>IF(((COUNTIF($Z$5:Z52,"x"))-(COUNTIF($Z$5:Z51,"x")))=0,"",COUNTIF($Z$5:Z52,"x"))</f>
        <v/>
      </c>
      <c r="AA157" s="3707" t="str">
        <f>IF(((COUNTIF($AA$5:AA52,"x"))-(COUNTIF($AA$5:AA51,"x")))=0,"",COUNTIF($AA$5:AA52,"x"))</f>
        <v/>
      </c>
      <c r="AB157" s="3707" t="str">
        <f>IF(((COUNTIF($AB$5:AB52,"x"))-(COUNTIF($AB$5:AB51,"x")))=0,"",COUNTIF($AB$5:AB52,"x"))</f>
        <v/>
      </c>
      <c r="AC157" s="3707" t="str">
        <f>IF(((COUNTIF($AC$5:AC52,"x"))-(COUNTIF($AC$5:AC51,"x")))=0,"",COUNTIF($AC$5:AC52,"x"))</f>
        <v/>
      </c>
      <c r="AD157" s="3707">
        <f>IF(((COUNTIF($AD$5:AD52,"x"))-(COUNTIF($AD$5:AD51,"x")))=0,"",COUNTIF($AD$5:AD52,"x"))</f>
        <v>44</v>
      </c>
      <c r="AE157" s="3707" t="str">
        <f>IF(((COUNTIF($AE$5:AE52,"x"))-(COUNTIF($AE$5:AE51,"x")))=0,"",COUNTIF($AE$5:AE52,"x"))</f>
        <v/>
      </c>
      <c r="AF157" s="3708" t="str">
        <f>IF(((COUNTIF($AF$5:AF52,"x"))-(COUNTIF($AF$5:AF51,"x")))=0,"",COUNTIF($AF$5:AF52,"x"))</f>
        <v/>
      </c>
      <c r="AG157" s="2120" t="str">
        <f t="shared" si="15"/>
        <v>Mais Banvel WG</v>
      </c>
    </row>
    <row r="158" spans="2:33" ht="18">
      <c r="B158" s="2136">
        <f t="shared" si="16"/>
        <v>49</v>
      </c>
      <c r="C158" s="3711" t="str">
        <f t="shared" si="13"/>
        <v>MaisTer Power</v>
      </c>
      <c r="D158" s="3655"/>
      <c r="E158" s="3710"/>
      <c r="F158" s="3706" t="str">
        <f>IF(((COUNTIF($F$5:$F53,"x"))-(COUNTIF($F$5:$F52,"x")))=0,"",COUNTIF($F$5:$F53,"x"))</f>
        <v/>
      </c>
      <c r="G158" s="3707" t="str">
        <f>IF(((COUNTIF($G$5:$G53,"x"))-(COUNTIF($G$5:$G52,"x")))=0,"",COUNTIF($G$5:$G53,"x"))</f>
        <v/>
      </c>
      <c r="H158" s="3707" t="str">
        <f>IF(((COUNTIF($H$5:$H53,"x"))-(COUNTIF($H$5:$H52,"x")))=0,"",COUNTIF($H$5:$H53,"x"))</f>
        <v/>
      </c>
      <c r="I158" s="3707" t="str">
        <f>IF(((COUNTIF($I$5:I53,"x"))-(COUNTIF($I$5:I52,"x")))=0,"",COUNTIF($I$5:I53,"x"))</f>
        <v/>
      </c>
      <c r="J158" s="3707" t="str">
        <f>IF(((COUNTIF($J$5:J53,"x"))-(COUNTIF($J$5:J52,"x")))=0,"",COUNTIF($J$5:J53,"x"))</f>
        <v/>
      </c>
      <c r="K158" s="3707" t="str">
        <f>IF(((COUNTIF($K$5:K53,"x"))-(COUNTIF($K$5:K52,"x")))=0,"",COUNTIF($K$5:K53,"x"))</f>
        <v/>
      </c>
      <c r="L158" s="3707" t="str">
        <f>IF(((COUNTIF($L$5:L53,"x"))-(COUNTIF($L$5:L52,"x")))=0,"",COUNTIF($L$5:L53,"x"))</f>
        <v/>
      </c>
      <c r="M158" s="3707" t="str">
        <f>IF(((COUNTIF($M$5:M53,"x"))-(COUNTIF($M$5:M52,"x")))=0,"",COUNTIF($M$5:M53,"x"))</f>
        <v/>
      </c>
      <c r="N158" s="3707" t="str">
        <f>IF(((COUNTIF($N$5:N53,"x"))-(COUNTIF($N$5:N52,"x")))=0,"",COUNTIF($N$5:N53,"x"))</f>
        <v/>
      </c>
      <c r="O158" s="3707" t="str">
        <f>IF(((COUNTIF($O$5:O53,"x"))-(COUNTIF($O$5:O52,"x")))=0,"",COUNTIF($O$5:O53,"x"))</f>
        <v/>
      </c>
      <c r="P158" s="3707" t="str">
        <f>IF(((COUNTIF($P$5:P53,"x"))-(COUNTIF($P$5:P52,"x")))=0,"",COUNTIF($P$5:P53,"x"))</f>
        <v/>
      </c>
      <c r="Q158" s="3707" t="str">
        <f>IF(((COUNTIF($Q$5:Q53,"x"))-(COUNTIF($Q$5:Q52,"x")))=0,"",COUNTIF($Q$5:Q53,"x"))</f>
        <v/>
      </c>
      <c r="R158" s="3707">
        <f>IF(((COUNTIF($R$5:R53,"x"))-(COUNTIF($R$5:R52,"x")))=0,"",COUNTIF($R$5:R53,"x"))</f>
        <v>11</v>
      </c>
      <c r="S158" s="3707" t="str">
        <f>IF(((COUNTIF($S$5:S53,"x"))-(COUNTIF($S$5:S52,"x")))=0,"",COUNTIF($S$5:S53,"x"))</f>
        <v/>
      </c>
      <c r="T158" s="3707" t="str">
        <f>IF(((COUNTIF($T$5:T53,"x"))-(COUNTIF($T$5:T52,"x")))=0,"",COUNTIF($T$5:T53,"x"))</f>
        <v/>
      </c>
      <c r="U158" s="3707" t="str">
        <f>IF(((COUNTIF($U$5:U53,"x"))-(COUNTIF($U$5:U52,"x")))=0,"",COUNTIF($U$5:U53,"x"))</f>
        <v/>
      </c>
      <c r="V158" s="3707" t="str">
        <f>IF(((COUNTIF($V$5:V53,"x"))-(COUNTIF($V$5:V52,"x")))=0,"",COUNTIF($V$5:V53,"x"))</f>
        <v/>
      </c>
      <c r="W158" s="3707" t="str">
        <f>IF(((COUNTIF($W$5:W53,"x"))-(COUNTIF($W$5:W52,"x")))=0,"",COUNTIF($W$5:W53,"x"))</f>
        <v/>
      </c>
      <c r="X158" s="3707" t="str">
        <f>IF(((COUNTIF($X$5:X53,"x"))-(COUNTIF($X$5:X52,"x")))=0,"",COUNTIF($X$5:X53,"x"))</f>
        <v/>
      </c>
      <c r="Y158" s="3707" t="str">
        <f>IF(((COUNTIF($Y$5:Y53,"x"))-(COUNTIF($Y$5:Y52,"x")))=0,"",COUNTIF($Y$5:Y53,"x"))</f>
        <v/>
      </c>
      <c r="Z158" s="3707" t="str">
        <f>IF(((COUNTIF($Z$5:Z53,"x"))-(COUNTIF($Z$5:Z52,"x")))=0,"",COUNTIF($Z$5:Z53,"x"))</f>
        <v/>
      </c>
      <c r="AA158" s="3707" t="str">
        <f>IF(((COUNTIF($AA$5:AA53,"x"))-(COUNTIF($AA$5:AA52,"x")))=0,"",COUNTIF($AA$5:AA53,"x"))</f>
        <v/>
      </c>
      <c r="AB158" s="3707" t="str">
        <f>IF(((COUNTIF($AB$5:AB53,"x"))-(COUNTIF($AB$5:AB52,"x")))=0,"",COUNTIF($AB$5:AB53,"x"))</f>
        <v/>
      </c>
      <c r="AC158" s="3707" t="str">
        <f>IF(((COUNTIF($AC$5:AC53,"x"))-(COUNTIF($AC$5:AC52,"x")))=0,"",COUNTIF($AC$5:AC53,"x"))</f>
        <v/>
      </c>
      <c r="AD158" s="3707">
        <f>IF(((COUNTIF($AD$5:AD53,"x"))-(COUNTIF($AD$5:AD52,"x")))=0,"",COUNTIF($AD$5:AD53,"x"))</f>
        <v>45</v>
      </c>
      <c r="AE158" s="3707" t="str">
        <f>IF(((COUNTIF($AE$5:AE53,"x"))-(COUNTIF($AE$5:AE52,"x")))=0,"",COUNTIF($AE$5:AE53,"x"))</f>
        <v/>
      </c>
      <c r="AF158" s="3708" t="str">
        <f>IF(((COUNTIF($AF$5:AF53,"x"))-(COUNTIF($AF$5:AF52,"x")))=0,"",COUNTIF($AF$5:AF53,"x"))</f>
        <v/>
      </c>
      <c r="AG158" s="2120" t="str">
        <f t="shared" si="15"/>
        <v>MaisTer Power</v>
      </c>
    </row>
    <row r="159" spans="2:33" ht="18">
      <c r="B159" s="2136">
        <f t="shared" si="16"/>
        <v>50</v>
      </c>
      <c r="C159" s="3654" t="str">
        <f t="shared" si="13"/>
        <v>Malibu</v>
      </c>
      <c r="D159" s="3655"/>
      <c r="E159" s="3709"/>
      <c r="F159" s="3706">
        <f>IF(((COUNTIF($F$5:$F54,"x"))-(COUNTIF($F$5:$F53,"x")))=0,"",COUNTIF($F$5:$F54,"x"))</f>
        <v>20</v>
      </c>
      <c r="G159" s="3707" t="str">
        <f>IF(((COUNTIF($G$5:$G54,"x"))-(COUNTIF($G$5:$G53,"x")))=0,"",COUNTIF($G$5:$G54,"x"))</f>
        <v/>
      </c>
      <c r="H159" s="3707">
        <f>IF(((COUNTIF($H$5:$H54,"x"))-(COUNTIF($H$5:$H53,"x")))=0,"",COUNTIF($H$5:$H54,"x"))</f>
        <v>20</v>
      </c>
      <c r="I159" s="3707">
        <f>IF(((COUNTIF($I$5:I54,"x"))-(COUNTIF($I$5:I53,"x")))=0,"",COUNTIF($I$5:I54,"x"))</f>
        <v>18</v>
      </c>
      <c r="J159" s="3707">
        <f>IF(((COUNTIF($J$5:J54,"x"))-(COUNTIF($J$5:J53,"x")))=0,"",COUNTIF($J$5:J54,"x"))</f>
        <v>17</v>
      </c>
      <c r="K159" s="3707" t="str">
        <f>IF(((COUNTIF($K$5:K54,"x"))-(COUNTIF($K$5:K53,"x")))=0,"",COUNTIF($K$5:K54,"x"))</f>
        <v/>
      </c>
      <c r="L159" s="3707" t="str">
        <f>IF(((COUNTIF($L$5:L54,"x"))-(COUNTIF($L$5:L53,"x")))=0,"",COUNTIF($L$5:L54,"x"))</f>
        <v/>
      </c>
      <c r="M159" s="3707" t="str">
        <f>IF(((COUNTIF($M$5:M54,"x"))-(COUNTIF($M$5:M53,"x")))=0,"",COUNTIF($M$5:M54,"x"))</f>
        <v/>
      </c>
      <c r="N159" s="3707" t="str">
        <f>IF(((COUNTIF($N$5:N54,"x"))-(COUNTIF($N$5:N53,"x")))=0,"",COUNTIF($N$5:N54,"x"))</f>
        <v/>
      </c>
      <c r="O159" s="3707" t="str">
        <f>IF(((COUNTIF($O$5:O54,"x"))-(COUNTIF($O$5:O53,"x")))=0,"",COUNTIF($O$5:O54,"x"))</f>
        <v/>
      </c>
      <c r="P159" s="3707" t="str">
        <f>IF(((COUNTIF($P$5:P54,"x"))-(COUNTIF($P$5:P53,"x")))=0,"",COUNTIF($P$5:P54,"x"))</f>
        <v/>
      </c>
      <c r="Q159" s="3707" t="str">
        <f>IF(((COUNTIF($Q$5:Q54,"x"))-(COUNTIF($Q$5:Q53,"x")))=0,"",COUNTIF($Q$5:Q54,"x"))</f>
        <v/>
      </c>
      <c r="R159" s="3707" t="str">
        <f>IF(((COUNTIF($R$5:R54,"x"))-(COUNTIF($R$5:R53,"x")))=0,"",COUNTIF($R$5:R54,"x"))</f>
        <v/>
      </c>
      <c r="S159" s="3707" t="str">
        <f>IF(((COUNTIF($S$5:S54,"x"))-(COUNTIF($S$5:S53,"x")))=0,"",COUNTIF($S$5:S54,"x"))</f>
        <v/>
      </c>
      <c r="T159" s="3707" t="str">
        <f>IF(((COUNTIF($T$5:T54,"x"))-(COUNTIF($T$5:T53,"x")))=0,"",COUNTIF($T$5:T54,"x"))</f>
        <v/>
      </c>
      <c r="U159" s="3707" t="str">
        <f>IF(((COUNTIF($U$5:U54,"x"))-(COUNTIF($U$5:U53,"x")))=0,"",COUNTIF($U$5:U54,"x"))</f>
        <v/>
      </c>
      <c r="V159" s="3707" t="str">
        <f>IF(((COUNTIF($V$5:V54,"x"))-(COUNTIF($V$5:V53,"x")))=0,"",COUNTIF($V$5:V54,"x"))</f>
        <v/>
      </c>
      <c r="W159" s="3707" t="str">
        <f>IF(((COUNTIF($W$5:W54,"x"))-(COUNTIF($W$5:W53,"x")))=0,"",COUNTIF($W$5:W54,"x"))</f>
        <v/>
      </c>
      <c r="X159" s="3707" t="str">
        <f>IF(((COUNTIF($X$5:X54,"x"))-(COUNTIF($X$5:X53,"x")))=0,"",COUNTIF($X$5:X54,"x"))</f>
        <v/>
      </c>
      <c r="Y159" s="3707" t="str">
        <f>IF(((COUNTIF($Y$5:Y54,"x"))-(COUNTIF($Y$5:Y53,"x")))=0,"",COUNTIF($Y$5:Y54,"x"))</f>
        <v/>
      </c>
      <c r="Z159" s="3707" t="str">
        <f>IF(((COUNTIF($Z$5:Z54,"x"))-(COUNTIF($Z$5:Z53,"x")))=0,"",COUNTIF($Z$5:Z54,"x"))</f>
        <v/>
      </c>
      <c r="AA159" s="3707" t="str">
        <f>IF(((COUNTIF($AA$5:AA54,"x"))-(COUNTIF($AA$5:AA53,"x")))=0,"",COUNTIF($AA$5:AA54,"x"))</f>
        <v/>
      </c>
      <c r="AB159" s="3707" t="str">
        <f>IF(((COUNTIF($AB$5:AB54,"x"))-(COUNTIF($AB$5:AB53,"x")))=0,"",COUNTIF($AB$5:AB54,"x"))</f>
        <v/>
      </c>
      <c r="AC159" s="3707" t="str">
        <f>IF(((COUNTIF($AC$5:AC54,"x"))-(COUNTIF($AC$5:AC53,"x")))=0,"",COUNTIF($AC$5:AC54,"x"))</f>
        <v/>
      </c>
      <c r="AD159" s="3707">
        <f>IF(((COUNTIF($AD$5:AD54,"x"))-(COUNTIF($AD$5:AD53,"x")))=0,"",COUNTIF($AD$5:AD54,"x"))</f>
        <v>46</v>
      </c>
      <c r="AE159" s="3707" t="str">
        <f>IF(((COUNTIF($AE$5:AE54,"x"))-(COUNTIF($AE$5:AE53,"x")))=0,"",COUNTIF($AE$5:AE54,"x"))</f>
        <v/>
      </c>
      <c r="AF159" s="3708" t="str">
        <f>IF(((COUNTIF($AF$5:AF54,"x"))-(COUNTIF($AF$5:AF53,"x")))=0,"",COUNTIF($AF$5:AF54,"x"))</f>
        <v/>
      </c>
      <c r="AG159" s="2120" t="str">
        <f t="shared" si="15"/>
        <v>Malibu</v>
      </c>
    </row>
    <row r="160" spans="2:33" ht="18">
      <c r="B160" s="2136">
        <f t="shared" si="16"/>
        <v>51</v>
      </c>
      <c r="C160" s="3711" t="str">
        <f t="shared" si="13"/>
        <v>Moddus</v>
      </c>
      <c r="D160" s="3655"/>
      <c r="E160" s="3710"/>
      <c r="F160" s="3706">
        <f>IF(((COUNTIF($F$5:$F55,"x"))-(COUNTIF($F$5:$F54,"x")))=0,"",COUNTIF($F$5:$F55,"x"))</f>
        <v>21</v>
      </c>
      <c r="G160" s="3707">
        <f>IF(((COUNTIF($G$5:$G55,"x"))-(COUNTIF($G$5:$G54,"x")))=0,"",COUNTIF($G$5:$G55,"x"))</f>
        <v>16</v>
      </c>
      <c r="H160" s="3707">
        <f>IF(((COUNTIF($H$5:$H55,"x"))-(COUNTIF($H$5:$H54,"x")))=0,"",COUNTIF($H$5:$H55,"x"))</f>
        <v>21</v>
      </c>
      <c r="I160" s="3707">
        <f>IF(((COUNTIF($I$5:I55,"x"))-(COUNTIF($I$5:I54,"x")))=0,"",COUNTIF($I$5:I55,"x"))</f>
        <v>19</v>
      </c>
      <c r="J160" s="3707">
        <f>IF(((COUNTIF($J$5:J55,"x"))-(COUNTIF($J$5:J54,"x")))=0,"",COUNTIF($J$5:J55,"x"))</f>
        <v>18</v>
      </c>
      <c r="K160" s="3707" t="str">
        <f>IF(((COUNTIF($K$5:K55,"x"))-(COUNTIF($K$5:K54,"x")))=0,"",COUNTIF($K$5:K55,"x"))</f>
        <v/>
      </c>
      <c r="L160" s="3707">
        <f>IF(((COUNTIF($L$5:L55,"x"))-(COUNTIF($L$5:L54,"x")))=0,"",COUNTIF($L$5:L55,"x"))</f>
        <v>16</v>
      </c>
      <c r="M160" s="3707">
        <f>IF(((COUNTIF($M$5:M55,"x"))-(COUNTIF($M$5:M54,"x")))=0,"",COUNTIF($M$5:M55,"x"))</f>
        <v>16</v>
      </c>
      <c r="N160" s="3707">
        <f>IF(((COUNTIF($N$5:N55,"x"))-(COUNTIF($N$5:N54,"x")))=0,"",COUNTIF($N$5:N55,"x"))</f>
        <v>7</v>
      </c>
      <c r="O160" s="3707" t="str">
        <f>IF(((COUNTIF($O$5:O55,"x"))-(COUNTIF($O$5:O54,"x")))=0,"",COUNTIF($O$5:O55,"x"))</f>
        <v/>
      </c>
      <c r="P160" s="3707" t="str">
        <f>IF(((COUNTIF($P$5:P55,"x"))-(COUNTIF($P$5:P54,"x")))=0,"",COUNTIF($P$5:P55,"x"))</f>
        <v/>
      </c>
      <c r="Q160" s="3707" t="str">
        <f>IF(((COUNTIF($Q$5:Q55,"x"))-(COUNTIF($Q$5:Q54,"x")))=0,"",COUNTIF($Q$5:Q55,"x"))</f>
        <v/>
      </c>
      <c r="R160" s="3707" t="str">
        <f>IF(((COUNTIF($R$5:R55,"x"))-(COUNTIF($R$5:R54,"x")))=0,"",COUNTIF($R$5:R55,"x"))</f>
        <v/>
      </c>
      <c r="S160" s="3707" t="str">
        <f>IF(((COUNTIF($S$5:S55,"x"))-(COUNTIF($S$5:S54,"x")))=0,"",COUNTIF($S$5:S55,"x"))</f>
        <v/>
      </c>
      <c r="T160" s="3707" t="str">
        <f>IF(((COUNTIF($T$5:T55,"x"))-(COUNTIF($T$5:T54,"x")))=0,"",COUNTIF($T$5:T55,"x"))</f>
        <v/>
      </c>
      <c r="U160" s="3707" t="str">
        <f>IF(((COUNTIF($U$5:U55,"x"))-(COUNTIF($U$5:U54,"x")))=0,"",COUNTIF($U$5:U55,"x"))</f>
        <v/>
      </c>
      <c r="V160" s="3707" t="str">
        <f>IF(((COUNTIF($V$5:V55,"x"))-(COUNTIF($V$5:V54,"x")))=0,"",COUNTIF($V$5:V55,"x"))</f>
        <v/>
      </c>
      <c r="W160" s="3707" t="str">
        <f>IF(((COUNTIF($W$5:W55,"x"))-(COUNTIF($W$5:W54,"x")))=0,"",COUNTIF($W$5:W55,"x"))</f>
        <v/>
      </c>
      <c r="X160" s="3707" t="str">
        <f>IF(((COUNTIF($X$5:X55,"x"))-(COUNTIF($X$5:X54,"x")))=0,"",COUNTIF($X$5:X55,"x"))</f>
        <v/>
      </c>
      <c r="Y160" s="3707" t="str">
        <f>IF(((COUNTIF($Y$5:Y55,"x"))-(COUNTIF($Y$5:Y54,"x")))=0,"",COUNTIF($Y$5:Y55,"x"))</f>
        <v/>
      </c>
      <c r="Z160" s="3707" t="str">
        <f>IF(((COUNTIF($Z$5:Z55,"x"))-(COUNTIF($Z$5:Z54,"x")))=0,"",COUNTIF($Z$5:Z55,"x"))</f>
        <v/>
      </c>
      <c r="AA160" s="3707" t="str">
        <f>IF(((COUNTIF($AA$5:AA55,"x"))-(COUNTIF($AA$5:AA54,"x")))=0,"",COUNTIF($AA$5:AA55,"x"))</f>
        <v/>
      </c>
      <c r="AB160" s="3707" t="str">
        <f>IF(((COUNTIF($AB$5:AB55,"x"))-(COUNTIF($AB$5:AB54,"x")))=0,"",COUNTIF($AB$5:AB55,"x"))</f>
        <v/>
      </c>
      <c r="AC160" s="3707" t="str">
        <f>IF(((COUNTIF($AC$5:AC55,"x"))-(COUNTIF($AC$5:AC54,"x")))=0,"",COUNTIF($AC$5:AC55,"x"))</f>
        <v/>
      </c>
      <c r="AD160" s="3707">
        <f>IF(((COUNTIF($AD$5:AD55,"x"))-(COUNTIF($AD$5:AD54,"x")))=0,"",COUNTIF($AD$5:AD55,"x"))</f>
        <v>47</v>
      </c>
      <c r="AE160" s="3707" t="str">
        <f>IF(((COUNTIF($AE$5:AE55,"x"))-(COUNTIF($AE$5:AE54,"x")))=0,"",COUNTIF($AE$5:AE55,"x"))</f>
        <v/>
      </c>
      <c r="AF160" s="3708" t="str">
        <f>IF(((COUNTIF($AF$5:AF55,"x"))-(COUNTIF($AF$5:AF54,"x")))=0,"",COUNTIF($AF$5:AF55,"x"))</f>
        <v/>
      </c>
      <c r="AG160" s="2120" t="str">
        <f t="shared" si="15"/>
        <v>Moddus</v>
      </c>
    </row>
    <row r="161" spans="2:33" ht="18">
      <c r="B161" s="2136">
        <f t="shared" si="16"/>
        <v>52</v>
      </c>
      <c r="C161" s="3712" t="str">
        <f t="shared" si="13"/>
        <v>Ortiva</v>
      </c>
      <c r="D161" s="3713"/>
      <c r="E161" s="3714"/>
      <c r="F161" s="3706" t="str">
        <f>IF(((COUNTIF($F$5:$F56,"x"))-(COUNTIF($F$5:$F55,"x")))=0,"",COUNTIF($F$5:$F56,"x"))</f>
        <v/>
      </c>
      <c r="G161" s="3707" t="str">
        <f>IF(((COUNTIF($G$5:$G56,"x"))-(COUNTIF($G$5:$G55,"x")))=0,"",COUNTIF($G$5:$G56,"x"))</f>
        <v/>
      </c>
      <c r="H161" s="3707" t="str">
        <f>IF(((COUNTIF($H$5:$H56,"x"))-(COUNTIF($H$5:$H55,"x")))=0,"",COUNTIF($H$5:$H56,"x"))</f>
        <v/>
      </c>
      <c r="I161" s="3707" t="str">
        <f>IF(((COUNTIF($I$5:I56,"x"))-(COUNTIF($I$5:I55,"x")))=0,"",COUNTIF($I$5:I56,"x"))</f>
        <v/>
      </c>
      <c r="J161" s="3715" t="str">
        <f>IF(((COUNTIF($J$5:J56,"x"))-(COUNTIF($J$5:J55,"x")))=0,"",COUNTIF($J$5:J56,"x"))</f>
        <v/>
      </c>
      <c r="K161" s="3715" t="str">
        <f>IF(((COUNTIF($K$5:K56,"x"))-(COUNTIF($K$5:K55,"x")))=0,"",COUNTIF($K$5:K56,"x"))</f>
        <v/>
      </c>
      <c r="L161" s="3715" t="str">
        <f>IF(((COUNTIF($L$5:L56,"x"))-(COUNTIF($L$5:L55,"x")))=0,"",COUNTIF($L$5:L56,"x"))</f>
        <v/>
      </c>
      <c r="M161" s="3715" t="str">
        <f>IF(((COUNTIF($M$5:M56,"x"))-(COUNTIF($M$5:M55,"x")))=0,"",COUNTIF($M$5:M56,"x"))</f>
        <v/>
      </c>
      <c r="N161" s="3715" t="str">
        <f>IF(((COUNTIF($N$5:N56,"x"))-(COUNTIF($N$5:N55,"x")))=0,"",COUNTIF($N$5:N56,"x"))</f>
        <v/>
      </c>
      <c r="O161" s="3715" t="str">
        <f>IF(((COUNTIF($O$5:O56,"x"))-(COUNTIF($O$5:O55,"x")))=0,"",COUNTIF($O$5:O56,"x"))</f>
        <v/>
      </c>
      <c r="P161" s="3707" t="str">
        <f>IF(((COUNTIF($P$5:P56,"x"))-(COUNTIF($P$5:P55,"x")))=0,"",COUNTIF($P$5:P56,"x"))</f>
        <v/>
      </c>
      <c r="Q161" s="3715" t="str">
        <f>IF(((COUNTIF($Q$5:Q56,"x"))-(COUNTIF($Q$5:Q55,"x")))=0,"",COUNTIF($Q$5:Q56,"x"))</f>
        <v/>
      </c>
      <c r="R161" s="3715" t="str">
        <f>IF(((COUNTIF($R$5:R56,"x"))-(COUNTIF($R$5:R55,"x")))=0,"",COUNTIF($R$5:R56,"x"))</f>
        <v/>
      </c>
      <c r="S161" s="3715">
        <f>IF(((COUNTIF($S$5:S56,"x"))-(COUNTIF($S$5:S55,"x")))=0,"",COUNTIF($S$5:S56,"x"))</f>
        <v>13</v>
      </c>
      <c r="T161" s="3715">
        <f>IF(((COUNTIF($T$5:T56,"x"))-(COUNTIF($T$5:T55,"x")))=0,"",COUNTIF($T$5:T56,"x"))</f>
        <v>6</v>
      </c>
      <c r="U161" s="3715" t="str">
        <f>IF(((COUNTIF($U$5:U56,"x"))-(COUNTIF($U$5:U55,"x")))=0,"",COUNTIF($U$5:U56,"x"))</f>
        <v/>
      </c>
      <c r="V161" s="3715" t="str">
        <f>IF(((COUNTIF($V$5:V56,"x"))-(COUNTIF($V$5:V55,"x")))=0,"",COUNTIF($V$5:V56,"x"))</f>
        <v/>
      </c>
      <c r="W161" s="3715" t="str">
        <f>IF(((COUNTIF($W$5:W56,"x"))-(COUNTIF($W$5:W55,"x")))=0,"",COUNTIF($W$5:W56,"x"))</f>
        <v/>
      </c>
      <c r="X161" s="3715" t="str">
        <f>IF(((COUNTIF($X$5:X56,"x"))-(COUNTIF($X$5:X55,"x")))=0,"",COUNTIF($X$5:X56,"x"))</f>
        <v/>
      </c>
      <c r="Y161" s="3715" t="str">
        <f>IF(((COUNTIF($Y$5:Y56,"x"))-(COUNTIF($Y$5:Y55,"x")))=0,"",COUNTIF($Y$5:Y56,"x"))</f>
        <v/>
      </c>
      <c r="Z161" s="3715" t="str">
        <f>IF(((COUNTIF($Z$5:Z56,"x"))-(COUNTIF($Z$5:Z55,"x")))=0,"",COUNTIF($Z$5:Z56,"x"))</f>
        <v/>
      </c>
      <c r="AA161" s="3715">
        <f>IF(((COUNTIF($AA$5:AA56,"x"))-(COUNTIF($AA$5:AA55,"x")))=0,"",COUNTIF($AA$5:AA56,"x"))</f>
        <v>11</v>
      </c>
      <c r="AB161" s="3715">
        <f>IF(((COUNTIF($AB$5:AB56,"x"))-(COUNTIF($AB$5:AB55,"x")))=0,"",COUNTIF($AB$5:AB56,"x"))</f>
        <v>11</v>
      </c>
      <c r="AC161" s="3715" t="str">
        <f>IF(((COUNTIF($AC$5:AC56,"x"))-(COUNTIF($AC$5:AC55,"x")))=0,"",COUNTIF($AC$5:AC56,"x"))</f>
        <v/>
      </c>
      <c r="AD161" s="3707">
        <f>IF(((COUNTIF($AD$5:AD56,"x"))-(COUNTIF($AD$5:AD55,"x")))=0,"",COUNTIF($AD$5:AD56,"x"))</f>
        <v>48</v>
      </c>
      <c r="AE161" s="3715" t="str">
        <f>IF(((COUNTIF($AE$5:AE56,"x"))-(COUNTIF($AE$5:AE55,"x")))=0,"",COUNTIF($AE$5:AE56,"x"))</f>
        <v/>
      </c>
      <c r="AF161" s="3716" t="str">
        <f>IF(((COUNTIF($AF$5:AF56,"x"))-(COUNTIF($AF$5:AF55,"x")))=0,"",COUNTIF($AF$5:AF56,"x"))</f>
        <v/>
      </c>
      <c r="AG161" s="2120" t="str">
        <f t="shared" si="15"/>
        <v>Ortiva</v>
      </c>
    </row>
    <row r="162" spans="2:33" ht="18">
      <c r="B162" s="2136">
        <f t="shared" si="16"/>
        <v>53</v>
      </c>
      <c r="C162" s="3712" t="str">
        <f t="shared" si="13"/>
        <v>Mospilan SG</v>
      </c>
      <c r="D162" s="3713"/>
      <c r="E162" s="3714"/>
      <c r="F162" s="3706" t="str">
        <f>IF(((COUNTIF($F$5:$F57,"x"))-(COUNTIF($F$5:$F56,"x")))=0,"",COUNTIF($F$5:$F57,"x"))</f>
        <v/>
      </c>
      <c r="G162" s="3707" t="str">
        <f>IF(((COUNTIF($G$5:$G57,"x"))-(COUNTIF($G$5:$G56,"x")))=0,"",COUNTIF($G$5:$G57,"x"))</f>
        <v/>
      </c>
      <c r="H162" s="3707" t="str">
        <f>IF(((COUNTIF($H$5:$H57,"x"))-(COUNTIF($H$5:$H56,"x")))=0,"",COUNTIF($H$5:$H57,"x"))</f>
        <v/>
      </c>
      <c r="I162" s="3707" t="str">
        <f>IF(((COUNTIF($I$5:I57,"x"))-(COUNTIF($I$5:I56,"x")))=0,"",COUNTIF($I$5:I57,"x"))</f>
        <v/>
      </c>
      <c r="J162" s="3715" t="str">
        <f>IF(((COUNTIF($J$5:J57,"x"))-(COUNTIF($J$5:J56,"x")))=0,"",COUNTIF($J$5:J57,"x"))</f>
        <v/>
      </c>
      <c r="K162" s="3715" t="str">
        <f>IF(((COUNTIF($K$5:K57,"x"))-(COUNTIF($K$5:K56,"x")))=0,"",COUNTIF($K$5:K57,"x"))</f>
        <v/>
      </c>
      <c r="L162" s="3715" t="str">
        <f>IF(((COUNTIF($L$5:L57,"x"))-(COUNTIF($L$5:L56,"x")))=0,"",COUNTIF($L$5:L57,"x"))</f>
        <v/>
      </c>
      <c r="M162" s="3715" t="str">
        <f>IF(((COUNTIF($M$5:M57,"x"))-(COUNTIF($M$5:M56,"x")))=0,"",COUNTIF($M$5:M57,"x"))</f>
        <v/>
      </c>
      <c r="N162" s="3715" t="str">
        <f>IF(((COUNTIF($N$5:N57,"x"))-(COUNTIF($N$5:N56,"x")))=0,"",COUNTIF($N$5:N57,"x"))</f>
        <v/>
      </c>
      <c r="O162" s="3715" t="str">
        <f>IF(((COUNTIF($O$5:O57,"x"))-(COUNTIF($O$5:O56,"x")))=0,"",COUNTIF($O$5:O57,"x"))</f>
        <v/>
      </c>
      <c r="P162" s="3707">
        <f>IF(((COUNTIF($P$5:P57,"x"))-(COUNTIF($P$5:P56,"x")))=0,"",COUNTIF($P$5:P57,"x"))</f>
        <v>10</v>
      </c>
      <c r="Q162" s="3715" t="str">
        <f>IF(((COUNTIF($Q$5:Q57,"x"))-(COUNTIF($Q$5:Q56,"x")))=0,"",COUNTIF($Q$5:Q57,"x"))</f>
        <v/>
      </c>
      <c r="R162" s="3715" t="str">
        <f>IF(((COUNTIF($R$5:R57,"x"))-(COUNTIF($R$5:R56,"x")))=0,"",COUNTIF($R$5:R57,"x"))</f>
        <v/>
      </c>
      <c r="S162" s="3715">
        <f>IF(((COUNTIF($S$5:S57,"x"))-(COUNTIF($S$5:S56,"x")))=0,"",COUNTIF($S$5:S57,"x"))</f>
        <v>14</v>
      </c>
      <c r="T162" s="3715">
        <f>IF(((COUNTIF($T$5:T57,"x"))-(COUNTIF($T$5:T56,"x")))=0,"",COUNTIF($T$5:T57,"x"))</f>
        <v>7</v>
      </c>
      <c r="U162" s="3715" t="str">
        <f>IF(((COUNTIF($U$5:U57,"x"))-(COUNTIF($U$5:U56,"x")))=0,"",COUNTIF($U$5:U57,"x"))</f>
        <v/>
      </c>
      <c r="V162" s="3715" t="str">
        <f>IF(((COUNTIF($V$5:V57,"x"))-(COUNTIF($V$5:V56,"x")))=0,"",COUNTIF($V$5:V57,"x"))</f>
        <v/>
      </c>
      <c r="W162" s="3715" t="str">
        <f>IF(((COUNTIF($W$5:W57,"x"))-(COUNTIF($W$5:W56,"x")))=0,"",COUNTIF($W$5:W57,"x"))</f>
        <v/>
      </c>
      <c r="X162" s="3715" t="str">
        <f>IF(((COUNTIF($X$5:X57,"x"))-(COUNTIF($X$5:X56,"x")))=0,"",COUNTIF($X$5:X57,"x"))</f>
        <v/>
      </c>
      <c r="Y162" s="3715" t="str">
        <f>IF(((COUNTIF($Y$5:Y57,"x"))-(COUNTIF($Y$5:Y56,"x")))=0,"",COUNTIF($Y$5:Y57,"x"))</f>
        <v/>
      </c>
      <c r="Z162" s="3715" t="str">
        <f>IF(((COUNTIF($Z$5:Z57,"x"))-(COUNTIF($Z$5:Z56,"x")))=0,"",COUNTIF($Z$5:Z57,"x"))</f>
        <v/>
      </c>
      <c r="AA162" s="3715" t="str">
        <f>IF(((COUNTIF($AA$5:AA57,"x"))-(COUNTIF($AA$5:AA56,"x")))=0,"",COUNTIF($AA$5:AA57,"x"))</f>
        <v/>
      </c>
      <c r="AB162" s="3715" t="str">
        <f>IF(((COUNTIF($AB$5:AB57,"x"))-(COUNTIF($AB$5:AB56,"x")))=0,"",COUNTIF($AB$5:AB57,"x"))</f>
        <v/>
      </c>
      <c r="AC162" s="3715" t="str">
        <f>IF(((COUNTIF($AC$5:AC57,"x"))-(COUNTIF($AC$5:AC56,"x")))=0,"",COUNTIF($AC$5:AC57,"x"))</f>
        <v/>
      </c>
      <c r="AD162" s="3707">
        <f>IF(((COUNTIF($AD$5:AD57,"x"))-(COUNTIF($AD$5:AD56,"x")))=0,"",COUNTIF($AD$5:AD57,"x"))</f>
        <v>49</v>
      </c>
      <c r="AE162" s="3715" t="str">
        <f>IF(((COUNTIF($AE$5:AE57,"x"))-(COUNTIF($AE$5:AE56,"x")))=0,"",COUNTIF($AE$5:AE57,"x"))</f>
        <v/>
      </c>
      <c r="AF162" s="3716" t="str">
        <f>IF(((COUNTIF($AF$5:AF57,"x"))-(COUNTIF($AF$5:AF56,"x")))=0,"",COUNTIF($AF$5:AF57,"x"))</f>
        <v/>
      </c>
      <c r="AG162" s="2120" t="str">
        <f t="shared" si="15"/>
        <v>Mospilan SG</v>
      </c>
    </row>
    <row r="163" spans="2:33" ht="18">
      <c r="B163" s="2136">
        <f t="shared" si="16"/>
        <v>54</v>
      </c>
      <c r="C163" s="3712" t="str">
        <f t="shared" si="13"/>
        <v>Pointer Plus</v>
      </c>
      <c r="D163" s="3713"/>
      <c r="E163" s="3714"/>
      <c r="F163" s="3706">
        <f>IF(((COUNTIF($F$5:$F58,"x"))-(COUNTIF($F$5:$F57,"x")))=0,"",COUNTIF($F$5:$F58,"x"))</f>
        <v>22</v>
      </c>
      <c r="G163" s="3707" t="str">
        <f>IF(((COUNTIF($G$5:$G58,"x"))-(COUNTIF($G$5:$G57,"x")))=0,"",COUNTIF($G$5:$G58,"x"))</f>
        <v/>
      </c>
      <c r="H163" s="3707">
        <f>IF(((COUNTIF($H$5:$H58,"x"))-(COUNTIF($H$5:$H57,"x")))=0,"",COUNTIF($H$5:$H58,"x"))</f>
        <v>22</v>
      </c>
      <c r="I163" s="3707">
        <f>IF(((COUNTIF($I$5:I58,"x"))-(COUNTIF($I$5:I57,"x")))=0,"",COUNTIF($I$5:I58,"x"))</f>
        <v>20</v>
      </c>
      <c r="J163" s="3715">
        <f>IF(((COUNTIF($J$5:J58,"x"))-(COUNTIF($J$5:J57,"x")))=0,"",COUNTIF($J$5:J58,"x"))</f>
        <v>19</v>
      </c>
      <c r="K163" s="3715">
        <f>IF(((COUNTIF($K$5:K58,"x"))-(COUNTIF($K$5:K57,"x")))=0,"",COUNTIF($K$5:K58,"x"))</f>
        <v>16</v>
      </c>
      <c r="L163" s="3715">
        <f>IF(((COUNTIF($L$5:L58,"x"))-(COUNTIF($L$5:L57,"x")))=0,"",COUNTIF($L$5:L58,"x"))</f>
        <v>17</v>
      </c>
      <c r="M163" s="3715">
        <f>IF(((COUNTIF($M$5:M58,"x"))-(COUNTIF($M$5:M57,"x")))=0,"",COUNTIF($M$5:M58,"x"))</f>
        <v>17</v>
      </c>
      <c r="N163" s="3715">
        <f>IF(((COUNTIF($N$5:N58,"x"))-(COUNTIF($N$5:N57,"x")))=0,"",COUNTIF($N$5:N58,"x"))</f>
        <v>8</v>
      </c>
      <c r="O163" s="3715" t="str">
        <f>IF(((COUNTIF($O$5:O58,"x"))-(COUNTIF($O$5:O57,"x")))=0,"",COUNTIF($O$5:O58,"x"))</f>
        <v/>
      </c>
      <c r="P163" s="3707" t="str">
        <f>IF(((COUNTIF($P$5:P58,"x"))-(COUNTIF($P$5:P57,"x")))=0,"",COUNTIF($P$5:P58,"x"))</f>
        <v/>
      </c>
      <c r="Q163" s="3715" t="str">
        <f>IF(((COUNTIF($Q$5:Q58,"x"))-(COUNTIF($Q$5:Q57,"x")))=0,"",COUNTIF($Q$5:Q58,"x"))</f>
        <v/>
      </c>
      <c r="R163" s="3715" t="str">
        <f>IF(((COUNTIF($R$5:R58,"x"))-(COUNTIF($R$5:R57,"x")))=0,"",COUNTIF($R$5:R58,"x"))</f>
        <v/>
      </c>
      <c r="S163" s="3715" t="str">
        <f>IF(((COUNTIF($S$5:S58,"x"))-(COUNTIF($S$5:S57,"x")))=0,"",COUNTIF($S$5:S58,"x"))</f>
        <v/>
      </c>
      <c r="T163" s="3715" t="str">
        <f>IF(((COUNTIF($T$5:T58,"x"))-(COUNTIF($T$5:T57,"x")))=0,"",COUNTIF($T$5:T58,"x"))</f>
        <v/>
      </c>
      <c r="U163" s="3715" t="str">
        <f>IF(((COUNTIF($U$5:U58,"x"))-(COUNTIF($U$5:U57,"x")))=0,"",COUNTIF($U$5:U58,"x"))</f>
        <v/>
      </c>
      <c r="V163" s="3715" t="str">
        <f>IF(((COUNTIF($V$5:V58,"x"))-(COUNTIF($V$5:V57,"x")))=0,"",COUNTIF($V$5:V58,"x"))</f>
        <v/>
      </c>
      <c r="W163" s="3715" t="str">
        <f>IF(((COUNTIF($W$5:W58,"x"))-(COUNTIF($W$5:W57,"x")))=0,"",COUNTIF($W$5:W58,"x"))</f>
        <v/>
      </c>
      <c r="X163" s="3715" t="str">
        <f>IF(((COUNTIF($X$5:X58,"x"))-(COUNTIF($X$5:X57,"x")))=0,"",COUNTIF($X$5:X58,"x"))</f>
        <v/>
      </c>
      <c r="Y163" s="3715" t="str">
        <f>IF(((COUNTIF($Y$5:Y58,"x"))-(COUNTIF($Y$5:Y57,"x")))=0,"",COUNTIF($Y$5:Y58,"x"))</f>
        <v/>
      </c>
      <c r="Z163" s="3715" t="str">
        <f>IF(((COUNTIF($Z$5:Z58,"x"))-(COUNTIF($Z$5:Z57,"x")))=0,"",COUNTIF($Z$5:Z58,"x"))</f>
        <v/>
      </c>
      <c r="AA163" s="3715" t="str">
        <f>IF(((COUNTIF($AA$5:AA58,"x"))-(COUNTIF($AA$5:AA57,"x")))=0,"",COUNTIF($AA$5:AA58,"x"))</f>
        <v/>
      </c>
      <c r="AB163" s="3715" t="str">
        <f>IF(((COUNTIF($AB$5:AB58,"x"))-(COUNTIF($AB$5:AB57,"x")))=0,"",COUNTIF($AB$5:AB58,"x"))</f>
        <v/>
      </c>
      <c r="AC163" s="3715" t="str">
        <f>IF(((COUNTIF($AC$5:AC58,"x"))-(COUNTIF($AC$5:AC57,"x")))=0,"",COUNTIF($AC$5:AC58,"x"))</f>
        <v/>
      </c>
      <c r="AD163" s="3707">
        <f>IF(((COUNTIF($AD$5:AD58,"x"))-(COUNTIF($AD$5:AD57,"x")))=0,"",COUNTIF($AD$5:AD58,"x"))</f>
        <v>50</v>
      </c>
      <c r="AE163" s="3715">
        <f>IF(((COUNTIF($AE$5:AE58,"x"))-(COUNTIF($AE$5:AE57,"x")))=0,"",COUNTIF($AE$5:AE58,"x"))</f>
        <v>1</v>
      </c>
      <c r="AF163" s="3716" t="str">
        <f>IF(((COUNTIF($AF$5:AF58,"x"))-(COUNTIF($AF$5:AF57,"x")))=0,"",COUNTIF($AF$5:AF58,"x"))</f>
        <v/>
      </c>
      <c r="AG163" s="2120" t="str">
        <f t="shared" si="15"/>
        <v>Pointer Plus</v>
      </c>
    </row>
    <row r="164" spans="2:33" ht="18">
      <c r="B164" s="2136">
        <f t="shared" si="16"/>
        <v>55</v>
      </c>
      <c r="C164" s="3712" t="str">
        <f t="shared" si="13"/>
        <v>Polyram WG</v>
      </c>
      <c r="D164" s="3713"/>
      <c r="E164" s="3714"/>
      <c r="F164" s="3706" t="str">
        <f>IF(((COUNTIF($F$5:$F59,"x"))-(COUNTIF($F$5:$F58,"x")))=0,"",COUNTIF($F$5:$F59,"x"))</f>
        <v/>
      </c>
      <c r="G164" s="3707" t="str">
        <f>IF(((COUNTIF($G$5:$G59,"x"))-(COUNTIF($G$5:$G58,"x")))=0,"",COUNTIF($G$5:$G59,"x"))</f>
        <v/>
      </c>
      <c r="H164" s="3707" t="str">
        <f>IF(((COUNTIF($H$5:$H59,"x"))-(COUNTIF($H$5:$H58,"x")))=0,"",COUNTIF($H$5:$H59,"x"))</f>
        <v/>
      </c>
      <c r="I164" s="3707" t="str">
        <f>IF(((COUNTIF($I$5:I59,"x"))-(COUNTIF($I$5:I58,"x")))=0,"",COUNTIF($I$5:I59,"x"))</f>
        <v/>
      </c>
      <c r="J164" s="3715" t="str">
        <f>IF(((COUNTIF($J$5:J59,"x"))-(COUNTIF($J$5:J58,"x")))=0,"",COUNTIF($J$5:J59,"x"))</f>
        <v/>
      </c>
      <c r="K164" s="3715" t="str">
        <f>IF(((COUNTIF($K$5:K59,"x"))-(COUNTIF($K$5:K58,"x")))=0,"",COUNTIF($K$5:K59,"x"))</f>
        <v/>
      </c>
      <c r="L164" s="3715" t="str">
        <f>IF(((COUNTIF($L$5:L59,"x"))-(COUNTIF($L$5:L58,"x")))=0,"",COUNTIF($L$5:L59,"x"))</f>
        <v/>
      </c>
      <c r="M164" s="3715" t="str">
        <f>IF(((COUNTIF($M$5:M59,"x"))-(COUNTIF($M$5:M58,"x")))=0,"",COUNTIF($M$5:M59,"x"))</f>
        <v/>
      </c>
      <c r="N164" s="3715" t="str">
        <f>IF(((COUNTIF($N$5:N59,"x"))-(COUNTIF($N$5:N58,"x")))=0,"",COUNTIF($N$5:N59,"x"))</f>
        <v/>
      </c>
      <c r="O164" s="3715" t="str">
        <f>IF(((COUNTIF($O$5:O59,"x"))-(COUNTIF($O$5:O58,"x")))=0,"",COUNTIF($O$5:O59,"x"))</f>
        <v/>
      </c>
      <c r="P164" s="3707" t="str">
        <f>IF(((COUNTIF($P$5:P59,"x"))-(COUNTIF($P$5:P58,"x")))=0,"",COUNTIF($P$5:P59,"x"))</f>
        <v/>
      </c>
      <c r="Q164" s="3715" t="str">
        <f>IF(((COUNTIF($Q$5:Q59,"x"))-(COUNTIF($Q$5:Q58,"x")))=0,"",COUNTIF($Q$5:Q59,"x"))</f>
        <v/>
      </c>
      <c r="R164" s="3715" t="str">
        <f>IF(((COUNTIF($R$5:R59,"x"))-(COUNTIF($R$5:R58,"x")))=0,"",COUNTIF($R$5:R59,"x"))</f>
        <v/>
      </c>
      <c r="S164" s="3715" t="str">
        <f>IF(((COUNTIF($S$5:S59,"x"))-(COUNTIF($S$5:S58,"x")))=0,"",COUNTIF($S$5:S59,"x"))</f>
        <v/>
      </c>
      <c r="T164" s="3715" t="str">
        <f>IF(((COUNTIF($T$5:T59,"x"))-(COUNTIF($T$5:T58,"x")))=0,"",COUNTIF($T$5:T59,"x"))</f>
        <v/>
      </c>
      <c r="U164" s="3715" t="str">
        <f>IF(((COUNTIF($U$5:U59,"x"))-(COUNTIF($U$5:U58,"x")))=0,"",COUNTIF($U$5:U59,"x"))</f>
        <v/>
      </c>
      <c r="V164" s="3715" t="str">
        <f>IF(((COUNTIF($V$5:V59,"x"))-(COUNTIF($V$5:V58,"x")))=0,"",COUNTIF($V$5:V59,"x"))</f>
        <v/>
      </c>
      <c r="W164" s="3715" t="str">
        <f>IF(((COUNTIF($W$5:W59,"x"))-(COUNTIF($W$5:W58,"x")))=0,"",COUNTIF($W$5:W59,"x"))</f>
        <v/>
      </c>
      <c r="X164" s="3715" t="str">
        <f>IF(((COUNTIF($X$5:X59,"x"))-(COUNTIF($X$5:X58,"x")))=0,"",COUNTIF($X$5:X59,"x"))</f>
        <v/>
      </c>
      <c r="Y164" s="3715" t="str">
        <f>IF(((COUNTIF($Y$5:Y59,"x"))-(COUNTIF($Y$5:Y58,"x")))=0,"",COUNTIF($Y$5:Y59,"x"))</f>
        <v/>
      </c>
      <c r="Z164" s="3715" t="str">
        <f>IF(((COUNTIF($Z$5:Z59,"x"))-(COUNTIF($Z$5:Z58,"x")))=0,"",COUNTIF($Z$5:Z59,"x"))</f>
        <v/>
      </c>
      <c r="AA164" s="3715" t="str">
        <f>IF(((COUNTIF($AA$5:AA59,"x"))-(COUNTIF($AA$5:AA58,"x")))=0,"",COUNTIF($AA$5:AA59,"x"))</f>
        <v/>
      </c>
      <c r="AB164" s="3715">
        <f>IF(((COUNTIF($AB$5:AB59,"x"))-(COUNTIF($AB$5:AB58,"x")))=0,"",COUNTIF($AB$5:AB59,"x"))</f>
        <v>12</v>
      </c>
      <c r="AC164" s="3715" t="str">
        <f>IF(((COUNTIF($AC$5:AC59,"x"))-(COUNTIF($AC$5:AC58,"x")))=0,"",COUNTIF($AC$5:AC59,"x"))</f>
        <v/>
      </c>
      <c r="AD164" s="3707">
        <f>IF(((COUNTIF($AD$5:AD59,"x"))-(COUNTIF($AD$5:AD58,"x")))=0,"",COUNTIF($AD$5:AD59,"x"))</f>
        <v>51</v>
      </c>
      <c r="AE164" s="3715" t="str">
        <f>IF(((COUNTIF($AE$5:AE59,"x"))-(COUNTIF($AE$5:AE58,"x")))=0,"",COUNTIF($AE$5:AE59,"x"))</f>
        <v/>
      </c>
      <c r="AF164" s="3716" t="str">
        <f>IF(((COUNTIF($AF$5:AF59,"x"))-(COUNTIF($AF$5:AF58,"x")))=0,"",COUNTIF($AF$5:AF59,"x"))</f>
        <v/>
      </c>
      <c r="AG164" s="2120" t="str">
        <f t="shared" si="15"/>
        <v>Polyram WG</v>
      </c>
    </row>
    <row r="165" spans="2:33" ht="18">
      <c r="B165" s="2136">
        <f t="shared" si="16"/>
        <v>56</v>
      </c>
      <c r="C165" s="3712" t="str">
        <f t="shared" si="13"/>
        <v>Primus Perfect</v>
      </c>
      <c r="D165" s="3713"/>
      <c r="E165" s="3714"/>
      <c r="F165" s="3706">
        <f>IF(((COUNTIF($F$5:$F60,"x"))-(COUNTIF($F$5:$F59,"x")))=0,"",COUNTIF($F$5:$F60,"x"))</f>
        <v>23</v>
      </c>
      <c r="G165" s="3707">
        <f>IF(((COUNTIF($G$5:$G60,"x"))-(COUNTIF($G$5:$G59,"x")))=0,"",COUNTIF($G$5:$G60,"x"))</f>
        <v>17</v>
      </c>
      <c r="H165" s="3707">
        <f>IF(((COUNTIF($H$5:$H60,"x"))-(COUNTIF($H$5:$H59,"x")))=0,"",COUNTIF($H$5:$H60,"x"))</f>
        <v>23</v>
      </c>
      <c r="I165" s="3707">
        <f>IF(((COUNTIF($I$5:I60,"x"))-(COUNTIF($I$5:I59,"x")))=0,"",COUNTIF($I$5:I60,"x"))</f>
        <v>21</v>
      </c>
      <c r="J165" s="3715">
        <f>IF(((COUNTIF($J$5:J60,"x"))-(COUNTIF($J$5:J59,"x")))=0,"",COUNTIF($J$5:J60,"x"))</f>
        <v>20</v>
      </c>
      <c r="K165" s="3715">
        <f>IF(((COUNTIF($K$5:K60,"x"))-(COUNTIF($K$5:K59,"x")))=0,"",COUNTIF($K$5:K60,"x"))</f>
        <v>17</v>
      </c>
      <c r="L165" s="3715">
        <f>IF(((COUNTIF($L$5:L60,"x"))-(COUNTIF($L$5:L59,"x")))=0,"",COUNTIF($L$5:L60,"x"))</f>
        <v>18</v>
      </c>
      <c r="M165" s="3715">
        <f>IF(((COUNTIF($M$5:M60,"x"))-(COUNTIF($M$5:M59,"x")))=0,"",COUNTIF($M$5:M60,"x"))</f>
        <v>18</v>
      </c>
      <c r="N165" s="3715">
        <f>IF(((COUNTIF($N$5:N60,"x"))-(COUNTIF($N$5:N59,"x")))=0,"",COUNTIF($N$5:N60,"x"))</f>
        <v>9</v>
      </c>
      <c r="O165" s="3715">
        <f>IF(((COUNTIF($O$5:O60,"x"))-(COUNTIF($O$5:O59,"x")))=0,"",COUNTIF($O$5:O60,"x"))</f>
        <v>12</v>
      </c>
      <c r="P165" s="3707" t="str">
        <f>IF(((COUNTIF($P$5:P60,"x"))-(COUNTIF($P$5:P59,"x")))=0,"",COUNTIF($P$5:P60,"x"))</f>
        <v/>
      </c>
      <c r="Q165" s="3715" t="str">
        <f>IF(((COUNTIF($Q$5:Q60,"x"))-(COUNTIF($Q$5:Q59,"x")))=0,"",COUNTIF($Q$5:Q60,"x"))</f>
        <v/>
      </c>
      <c r="R165" s="3715" t="str">
        <f>IF(((COUNTIF($R$5:R60,"x"))-(COUNTIF($R$5:R59,"x")))=0,"",COUNTIF($R$5:R60,"x"))</f>
        <v/>
      </c>
      <c r="S165" s="3715" t="str">
        <f>IF(((COUNTIF($S$5:S60,"x"))-(COUNTIF($S$5:S59,"x")))=0,"",COUNTIF($S$5:S60,"x"))</f>
        <v/>
      </c>
      <c r="T165" s="3715" t="str">
        <f>IF(((COUNTIF($T$5:T60,"x"))-(COUNTIF($T$5:T59,"x")))=0,"",COUNTIF($T$5:T60,"x"))</f>
        <v/>
      </c>
      <c r="U165" s="3715" t="str">
        <f>IF(((COUNTIF($U$5:U60,"x"))-(COUNTIF($U$5:U59,"x")))=0,"",COUNTIF($U$5:U60,"x"))</f>
        <v/>
      </c>
      <c r="V165" s="3715" t="str">
        <f>IF(((COUNTIF($V$5:V60,"x"))-(COUNTIF($V$5:V59,"x")))=0,"",COUNTIF($V$5:V60,"x"))</f>
        <v/>
      </c>
      <c r="W165" s="3715" t="str">
        <f>IF(((COUNTIF($W$5:W60,"x"))-(COUNTIF($W$5:W59,"x")))=0,"",COUNTIF($W$5:W60,"x"))</f>
        <v/>
      </c>
      <c r="X165" s="3715" t="str">
        <f>IF(((COUNTIF($X$5:X60,"x"))-(COUNTIF($X$5:X59,"x")))=0,"",COUNTIF($X$5:X60,"x"))</f>
        <v/>
      </c>
      <c r="Y165" s="3715" t="str">
        <f>IF(((COUNTIF($Y$5:Y60,"x"))-(COUNTIF($Y$5:Y59,"x")))=0,"",COUNTIF($Y$5:Y60,"x"))</f>
        <v/>
      </c>
      <c r="Z165" s="3715" t="str">
        <f>IF(((COUNTIF($Z$5:Z60,"x"))-(COUNTIF($Z$5:Z59,"x")))=0,"",COUNTIF($Z$5:Z60,"x"))</f>
        <v/>
      </c>
      <c r="AA165" s="3715" t="str">
        <f>IF(((COUNTIF($AA$5:AA60,"x"))-(COUNTIF($AA$5:AA59,"x")))=0,"",COUNTIF($AA$5:AA60,"x"))</f>
        <v/>
      </c>
      <c r="AB165" s="3715" t="str">
        <f>IF(((COUNTIF($AB$5:AB60,"x"))-(COUNTIF($AB$5:AB59,"x")))=0,"",COUNTIF($AB$5:AB60,"x"))</f>
        <v/>
      </c>
      <c r="AC165" s="3715" t="str">
        <f>IF(((COUNTIF($AC$5:AC60,"x"))-(COUNTIF($AC$5:AC59,"x")))=0,"",COUNTIF($AC$5:AC60,"x"))</f>
        <v/>
      </c>
      <c r="AD165" s="3707">
        <f>IF(((COUNTIF($AD$5:AD60,"x"))-(COUNTIF($AD$5:AD59,"x")))=0,"",COUNTIF($AD$5:AD60,"x"))</f>
        <v>52</v>
      </c>
      <c r="AE165" s="3715" t="str">
        <f>IF(((COUNTIF($AE$5:AE60,"x"))-(COUNTIF($AE$5:AE59,"x")))=0,"",COUNTIF($AE$5:AE60,"x"))</f>
        <v/>
      </c>
      <c r="AF165" s="3716" t="str">
        <f>IF(((COUNTIF($AF$5:AF60,"x"))-(COUNTIF($AF$5:AF59,"x")))=0,"",COUNTIF($AF$5:AF60,"x"))</f>
        <v/>
      </c>
      <c r="AG165" s="2120" t="str">
        <f t="shared" si="15"/>
        <v>Primus Perfect</v>
      </c>
    </row>
    <row r="166" spans="2:33" ht="18">
      <c r="B166" s="2136">
        <f t="shared" si="16"/>
        <v>57</v>
      </c>
      <c r="C166" s="3712" t="str">
        <f t="shared" si="13"/>
        <v>Proline</v>
      </c>
      <c r="D166" s="3713"/>
      <c r="E166" s="3714"/>
      <c r="F166" s="3706" t="str">
        <f>IF(((COUNTIF($F$5:$F61,"x"))-(COUNTIF($F$5:$F60,"x")))=0,"",COUNTIF($F$5:$F61,"x"))</f>
        <v/>
      </c>
      <c r="G166" s="3707" t="str">
        <f>IF(((COUNTIF($G$5:$G61,"x"))-(COUNTIF($G$5:$G60,"x")))=0,"",COUNTIF($G$5:$G61,"x"))</f>
        <v/>
      </c>
      <c r="H166" s="3707" t="str">
        <f>IF(((COUNTIF($H$5:$H61,"x"))-(COUNTIF($H$5:$H60,"x")))=0,"",COUNTIF($H$5:$H61,"x"))</f>
        <v/>
      </c>
      <c r="I166" s="3707" t="str">
        <f>IF(((COUNTIF($I$5:I61,"x"))-(COUNTIF($I$5:I60,"x")))=0,"",COUNTIF($I$5:I61,"x"))</f>
        <v/>
      </c>
      <c r="J166" s="3715" t="str">
        <f>IF(((COUNTIF($J$5:J61,"x"))-(COUNTIF($J$5:J60,"x")))=0,"",COUNTIF($J$5:J61,"x"))</f>
        <v/>
      </c>
      <c r="K166" s="3715" t="str">
        <f>IF(((COUNTIF($K$5:K61,"x"))-(COUNTIF($K$5:K60,"x")))=0,"",COUNTIF($K$5:K61,"x"))</f>
        <v/>
      </c>
      <c r="L166" s="3715" t="str">
        <f>IF(((COUNTIF($L$5:L61,"x"))-(COUNTIF($L$5:L60,"x")))=0,"",COUNTIF($L$5:L61,"x"))</f>
        <v/>
      </c>
      <c r="M166" s="3715" t="str">
        <f>IF(((COUNTIF($M$5:M61,"x"))-(COUNTIF($M$5:M60,"x")))=0,"",COUNTIF($M$5:M61,"x"))</f>
        <v/>
      </c>
      <c r="N166" s="3715" t="str">
        <f>IF(((COUNTIF($N$5:N61,"x"))-(COUNTIF($N$5:N60,"x")))=0,"",COUNTIF($N$5:N61,"x"))</f>
        <v/>
      </c>
      <c r="O166" s="3715" t="str">
        <f>IF(((COUNTIF($O$5:O61,"x"))-(COUNTIF($O$5:O60,"x")))=0,"",COUNTIF($O$5:O61,"x"))</f>
        <v/>
      </c>
      <c r="P166" s="3707" t="str">
        <f>IF(((COUNTIF($P$5:P61,"x"))-(COUNTIF($P$5:P60,"x")))=0,"",COUNTIF($P$5:P61,"x"))</f>
        <v/>
      </c>
      <c r="Q166" s="3715" t="str">
        <f>IF(((COUNTIF($Q$5:Q61,"x"))-(COUNTIF($Q$5:Q60,"x")))=0,"",COUNTIF($Q$5:Q61,"x"))</f>
        <v/>
      </c>
      <c r="R166" s="3715" t="str">
        <f>IF(((COUNTIF($R$5:R61,"x"))-(COUNTIF($R$5:R60,"x")))=0,"",COUNTIF($R$5:R61,"x"))</f>
        <v/>
      </c>
      <c r="S166" s="3715">
        <f>IF(((COUNTIF($S$5:S61,"x"))-(COUNTIF($S$5:S60,"x")))=0,"",COUNTIF($S$5:S61,"x"))</f>
        <v>15</v>
      </c>
      <c r="T166" s="3715">
        <f>IF(((COUNTIF($T$5:T61,"x"))-(COUNTIF($T$5:T60,"x")))=0,"",COUNTIF($T$5:T61,"x"))</f>
        <v>8</v>
      </c>
      <c r="U166" s="3715" t="str">
        <f>IF(((COUNTIF($U$5:U61,"x"))-(COUNTIF($U$5:U60,"x")))=0,"",COUNTIF($U$5:U61,"x"))</f>
        <v/>
      </c>
      <c r="V166" s="3715" t="str">
        <f>IF(((COUNTIF($V$5:V61,"x"))-(COUNTIF($V$5:V60,"x")))=0,"",COUNTIF($V$5:V61,"x"))</f>
        <v/>
      </c>
      <c r="W166" s="3715" t="str">
        <f>IF(((COUNTIF($W$5:W61,"x"))-(COUNTIF($W$5:W60,"x")))=0,"",COUNTIF($W$5:W61,"x"))</f>
        <v/>
      </c>
      <c r="X166" s="3715" t="str">
        <f>IF(((COUNTIF($X$5:X61,"x"))-(COUNTIF($X$5:X60,"x")))=0,"",COUNTIF($X$5:X61,"x"))</f>
        <v/>
      </c>
      <c r="Y166" s="3715" t="str">
        <f>IF(((COUNTIF($Y$5:Y61,"x"))-(COUNTIF($Y$5:Y60,"x")))=0,"",COUNTIF($Y$5:Y61,"x"))</f>
        <v/>
      </c>
      <c r="Z166" s="3715" t="str">
        <f>IF(((COUNTIF($Z$5:Z61,"x"))-(COUNTIF($Z$5:Z60,"x")))=0,"",COUNTIF($Z$5:Z61,"x"))</f>
        <v/>
      </c>
      <c r="AA166" s="3715" t="str">
        <f>IF(((COUNTIF($AA$5:AA61,"x"))-(COUNTIF($AA$5:AA60,"x")))=0,"",COUNTIF($AA$5:AA61,"x"))</f>
        <v/>
      </c>
      <c r="AB166" s="3715" t="str">
        <f>IF(((COUNTIF($AB$5:AB61,"x"))-(COUNTIF($AB$5:AB60,"x")))=0,"",COUNTIF($AB$5:AB61,"x"))</f>
        <v/>
      </c>
      <c r="AC166" s="3715" t="str">
        <f>IF(((COUNTIF($AC$5:AC61,"x"))-(COUNTIF($AC$5:AC60,"x")))=0,"",COUNTIF($AC$5:AC61,"x"))</f>
        <v/>
      </c>
      <c r="AD166" s="3707">
        <f>IF(((COUNTIF($AD$5:AD61,"x"))-(COUNTIF($AD$5:AD60,"x")))=0,"",COUNTIF($AD$5:AD61,"x"))</f>
        <v>53</v>
      </c>
      <c r="AE166" s="3715" t="str">
        <f>IF(((COUNTIF($AE$5:AE61,"x"))-(COUNTIF($AE$5:AE60,"x")))=0,"",COUNTIF($AE$5:AE61,"x"))</f>
        <v/>
      </c>
      <c r="AF166" s="3716" t="str">
        <f>IF(((COUNTIF($AF$5:AF61,"x"))-(COUNTIF($AF$5:AF60,"x")))=0,"",COUNTIF($AF$5:AF61,"x"))</f>
        <v/>
      </c>
      <c r="AG166" s="2120" t="str">
        <f t="shared" si="15"/>
        <v>Proline</v>
      </c>
    </row>
    <row r="167" spans="2:33" ht="18">
      <c r="B167" s="2136">
        <f t="shared" si="16"/>
        <v>58</v>
      </c>
      <c r="C167" s="3712" t="str">
        <f t="shared" si="13"/>
        <v>Propulse</v>
      </c>
      <c r="D167" s="3713"/>
      <c r="E167" s="3717"/>
      <c r="F167" s="3706" t="str">
        <f>IF(((COUNTIF($F$5:$F62,"x"))-(COUNTIF($F$5:$F61,"x")))=0,"",COUNTIF($F$5:$F62,"x"))</f>
        <v/>
      </c>
      <c r="G167" s="3707" t="str">
        <f>IF(((COUNTIF($G$5:$G62,"x"))-(COUNTIF($G$5:$G61,"x")))=0,"",COUNTIF($G$5:$G62,"x"))</f>
        <v/>
      </c>
      <c r="H167" s="3707" t="str">
        <f>IF(((COUNTIF($H$5:$H62,"x"))-(COUNTIF($H$5:$H61,"x")))=0,"",COUNTIF($H$5:$H62,"x"))</f>
        <v/>
      </c>
      <c r="I167" s="3707" t="str">
        <f>IF(((COUNTIF($I$5:I62,"x"))-(COUNTIF($I$5:I61,"x")))=0,"",COUNTIF($I$5:I62,"x"))</f>
        <v/>
      </c>
      <c r="J167" s="3715" t="str">
        <f>IF(((COUNTIF($J$5:J62,"x"))-(COUNTIF($J$5:J61,"x")))=0,"",COUNTIF($J$5:J62,"x"))</f>
        <v/>
      </c>
      <c r="K167" s="3715" t="str">
        <f>IF(((COUNTIF($K$5:K62,"x"))-(COUNTIF($K$5:K61,"x")))=0,"",COUNTIF($K$5:K62,"x"))</f>
        <v/>
      </c>
      <c r="L167" s="3715" t="str">
        <f>IF(((COUNTIF($L$5:L62,"x"))-(COUNTIF($L$5:L61,"x")))=0,"",COUNTIF($L$5:L62,"x"))</f>
        <v/>
      </c>
      <c r="M167" s="3715" t="str">
        <f>IF(((COUNTIF($M$5:M62,"x"))-(COUNTIF($M$5:M61,"x")))=0,"",COUNTIF($M$5:M62,"x"))</f>
        <v/>
      </c>
      <c r="N167" s="3715" t="str">
        <f>IF(((COUNTIF($N$5:N62,"x"))-(COUNTIF($N$5:N61,"x")))=0,"",COUNTIF($N$5:N62,"x"))</f>
        <v/>
      </c>
      <c r="O167" s="3715" t="str">
        <f>IF(((COUNTIF($O$5:O62,"x"))-(COUNTIF($O$5:O61,"x")))=0,"",COUNTIF($O$5:O62,"x"))</f>
        <v/>
      </c>
      <c r="P167" s="3707" t="str">
        <f>IF(((COUNTIF($P$5:P62,"x"))-(COUNTIF($P$5:P61,"x")))=0,"",COUNTIF($P$5:P62,"x"))</f>
        <v/>
      </c>
      <c r="Q167" s="3715" t="str">
        <f>IF(((COUNTIF($Q$5:Q62,"x"))-(COUNTIF($Q$5:Q61,"x")))=0,"",COUNTIF($Q$5:Q62,"x"))</f>
        <v/>
      </c>
      <c r="R167" s="3715" t="str">
        <f>IF(((COUNTIF($R$5:R62,"x"))-(COUNTIF($R$5:R61,"x")))=0,"",COUNTIF($R$5:R62,"x"))</f>
        <v/>
      </c>
      <c r="S167" s="3715">
        <f>IF(((COUNTIF($S$5:S62,"x"))-(COUNTIF($S$5:S61,"x")))=0,"",COUNTIF($S$5:S62,"x"))</f>
        <v>16</v>
      </c>
      <c r="T167" s="3715">
        <f>IF(((COUNTIF($T$5:T62,"x"))-(COUNTIF($T$5:T61,"x")))=0,"",COUNTIF($T$5:T62,"x"))</f>
        <v>9</v>
      </c>
      <c r="U167" s="3715" t="str">
        <f>IF(((COUNTIF($U$5:U62,"x"))-(COUNTIF($U$5:U61,"x")))=0,"",COUNTIF($U$5:U62,"x"))</f>
        <v/>
      </c>
      <c r="V167" s="3715" t="str">
        <f>IF(((COUNTIF($V$5:V62,"x"))-(COUNTIF($V$5:V61,"x")))=0,"",COUNTIF($V$5:V62,"x"))</f>
        <v/>
      </c>
      <c r="W167" s="3715" t="str">
        <f>IF(((COUNTIF($W$5:W62,"x"))-(COUNTIF($W$5:W61,"x")))=0,"",COUNTIF($W$5:W62,"x"))</f>
        <v/>
      </c>
      <c r="X167" s="3715" t="str">
        <f>IF(((COUNTIF($X$5:X62,"x"))-(COUNTIF($X$5:X61,"x")))=0,"",COUNTIF($X$5:X62,"x"))</f>
        <v/>
      </c>
      <c r="Y167" s="3715" t="str">
        <f>IF(((COUNTIF($Y$5:Y62,"x"))-(COUNTIF($Y$5:Y61,"x")))=0,"",COUNTIF($Y$5:Y62,"x"))</f>
        <v/>
      </c>
      <c r="Z167" s="3715" t="str">
        <f>IF(((COUNTIF($Z$5:Z62,"x"))-(COUNTIF($Z$5:Z61,"x")))=0,"",COUNTIF($Z$5:Z62,"x"))</f>
        <v/>
      </c>
      <c r="AA167" s="3715" t="str">
        <f>IF(((COUNTIF($AA$5:AA62,"x"))-(COUNTIF($AA$5:AA61,"x")))=0,"",COUNTIF($AA$5:AA62,"x"))</f>
        <v/>
      </c>
      <c r="AB167" s="3715" t="str">
        <f>IF(((COUNTIF($AB$5:AB62,"x"))-(COUNTIF($AB$5:AB61,"x")))=0,"",COUNTIF($AB$5:AB62,"x"))</f>
        <v/>
      </c>
      <c r="AC167" s="3715" t="str">
        <f>IF(((COUNTIF($AC$5:AC62,"x"))-(COUNTIF($AC$5:AC61,"x")))=0,"",COUNTIF($AC$5:AC62,"x"))</f>
        <v/>
      </c>
      <c r="AD167" s="3707">
        <f>IF(((COUNTIF($AD$5:AD62,"x"))-(COUNTIF($AD$5:AD61,"x")))=0,"",COUNTIF($AD$5:AD62,"x"))</f>
        <v>54</v>
      </c>
      <c r="AE167" s="3715" t="str">
        <f>IF(((COUNTIF($AE$5:AE62,"x"))-(COUNTIF($AE$5:AE61,"x")))=0,"",COUNTIF($AE$5:AE62,"x"))</f>
        <v/>
      </c>
      <c r="AF167" s="3716" t="str">
        <f>IF(((COUNTIF($AF$5:AF62,"x"))-(COUNTIF($AF$5:AF61,"x")))=0,"",COUNTIF($AF$5:AF62,"x"))</f>
        <v/>
      </c>
      <c r="AG167" s="2120" t="str">
        <f t="shared" si="15"/>
        <v>Propulse</v>
      </c>
    </row>
    <row r="168" spans="2:33" ht="18">
      <c r="B168" s="2136">
        <f t="shared" si="16"/>
        <v>59</v>
      </c>
      <c r="C168" s="3712" t="str">
        <f t="shared" si="13"/>
        <v>Prosaro</v>
      </c>
      <c r="D168" s="3713"/>
      <c r="E168" s="3717"/>
      <c r="F168" s="3706">
        <f>IF(((COUNTIF($F$5:$F63,"x"))-(COUNTIF($F$5:$F62,"x")))=0,"",COUNTIF($F$5:$F63,"x"))</f>
        <v>24</v>
      </c>
      <c r="G168" s="3707">
        <f>IF(((COUNTIF($G$5:$G63,"x"))-(COUNTIF($G$5:$G62,"x")))=0,"",COUNTIF($G$5:$G63,"x"))</f>
        <v>18</v>
      </c>
      <c r="H168" s="3707">
        <f>IF(((COUNTIF($H$5:$H63,"x"))-(COUNTIF($H$5:$H62,"x")))=0,"",COUNTIF($H$5:$H63,"x"))</f>
        <v>24</v>
      </c>
      <c r="I168" s="3707">
        <f>IF(((COUNTIF($I$5:I63,"x"))-(COUNTIF($I$5:I62,"x")))=0,"",COUNTIF($I$5:I63,"x"))</f>
        <v>22</v>
      </c>
      <c r="J168" s="3715">
        <f>IF(((COUNTIF($J$5:J63,"x"))-(COUNTIF($J$5:J62,"x")))=0,"",COUNTIF($J$5:J63,"x"))</f>
        <v>21</v>
      </c>
      <c r="K168" s="3715">
        <f>IF(((COUNTIF($K$5:K63,"x"))-(COUNTIF($K$5:K62,"x")))=0,"",COUNTIF($K$5:K63,"x"))</f>
        <v>18</v>
      </c>
      <c r="L168" s="3715">
        <f>IF(((COUNTIF($L$5:L63,"x"))-(COUNTIF($L$5:L62,"x")))=0,"",COUNTIF($L$5:L63,"x"))</f>
        <v>19</v>
      </c>
      <c r="M168" s="3715">
        <f>IF(((COUNTIF($M$5:M63,"x"))-(COUNTIF($M$5:M62,"x")))=0,"",COUNTIF($M$5:M63,"x"))</f>
        <v>19</v>
      </c>
      <c r="N168" s="3715" t="str">
        <f>IF(((COUNTIF($N$5:N63,"x"))-(COUNTIF($N$5:N62,"x")))=0,"",COUNTIF($N$5:N63,"x"))</f>
        <v/>
      </c>
      <c r="O168" s="3715">
        <f>IF(((COUNTIF($O$5:O63,"x"))-(COUNTIF($O$5:O62,"x")))=0,"",COUNTIF($O$5:O63,"x"))</f>
        <v>13</v>
      </c>
      <c r="P168" s="3707">
        <f>IF(((COUNTIF($P$5:P63,"x"))-(COUNTIF($P$5:P62,"x")))=0,"",COUNTIF($P$5:P63,"x"))</f>
        <v>11</v>
      </c>
      <c r="Q168" s="3715" t="str">
        <f>IF(((COUNTIF($Q$5:Q63,"x"))-(COUNTIF($Q$5:Q62,"x")))=0,"",COUNTIF($Q$5:Q63,"x"))</f>
        <v/>
      </c>
      <c r="R168" s="3715" t="str">
        <f>IF(((COUNTIF($R$5:R63,"x"))-(COUNTIF($R$5:R62,"x")))=0,"",COUNTIF($R$5:R63,"x"))</f>
        <v/>
      </c>
      <c r="S168" s="3715">
        <f>IF(((COUNTIF($S$5:S63,"x"))-(COUNTIF($S$5:S62,"x")))=0,"",COUNTIF($S$5:S63,"x"))</f>
        <v>17</v>
      </c>
      <c r="T168" s="3715">
        <f>IF(((COUNTIF($T$5:T63,"x"))-(COUNTIF($T$5:T62,"x")))=0,"",COUNTIF($T$5:T63,"x"))</f>
        <v>10</v>
      </c>
      <c r="U168" s="3715" t="str">
        <f>IF(((COUNTIF($U$5:U63,"x"))-(COUNTIF($U$5:U62,"x")))=0,"",COUNTIF($U$5:U63,"x"))</f>
        <v/>
      </c>
      <c r="V168" s="3715" t="str">
        <f>IF(((COUNTIF($V$5:V63,"x"))-(COUNTIF($V$5:V62,"x")))=0,"",COUNTIF($V$5:V63,"x"))</f>
        <v/>
      </c>
      <c r="W168" s="3715" t="str">
        <f>IF(((COUNTIF($W$5:W63,"x"))-(COUNTIF($W$5:W62,"x")))=0,"",COUNTIF($W$5:W63,"x"))</f>
        <v/>
      </c>
      <c r="X168" s="3715" t="str">
        <f>IF(((COUNTIF($X$5:X63,"x"))-(COUNTIF($X$5:X62,"x")))=0,"",COUNTIF($X$5:X63,"x"))</f>
        <v/>
      </c>
      <c r="Y168" s="3715" t="str">
        <f>IF(((COUNTIF($Y$5:Y63,"x"))-(COUNTIF($Y$5:Y62,"x")))=0,"",COUNTIF($Y$5:Y63,"x"))</f>
        <v/>
      </c>
      <c r="Z168" s="3715" t="str">
        <f>IF(((COUNTIF($Z$5:Z63,"x"))-(COUNTIF($Z$5:Z62,"x")))=0,"",COUNTIF($Z$5:Z63,"x"))</f>
        <v/>
      </c>
      <c r="AA168" s="3715" t="str">
        <f>IF(((COUNTIF($AA$5:AA63,"x"))-(COUNTIF($AA$5:AA62,"x")))=0,"",COUNTIF($AA$5:AA63,"x"))</f>
        <v/>
      </c>
      <c r="AB168" s="3715" t="str">
        <f>IF(((COUNTIF($AB$5:AB63,"x"))-(COUNTIF($AB$5:AB62,"x")))=0,"",COUNTIF($AB$5:AB63,"x"))</f>
        <v/>
      </c>
      <c r="AC168" s="3715" t="str">
        <f>IF(((COUNTIF($AC$5:AC63,"x"))-(COUNTIF($AC$5:AC62,"x")))=0,"",COUNTIF($AC$5:AC63,"x"))</f>
        <v/>
      </c>
      <c r="AD168" s="3707">
        <f>IF(((COUNTIF($AD$5:AD63,"x"))-(COUNTIF($AD$5:AD62,"x")))=0,"",COUNTIF($AD$5:AD63,"x"))</f>
        <v>55</v>
      </c>
      <c r="AE168" s="3715" t="str">
        <f>IF(((COUNTIF($AE$5:AE63,"x"))-(COUNTIF($AE$5:AE62,"x")))=0,"",COUNTIF($AE$5:AE63,"x"))</f>
        <v/>
      </c>
      <c r="AF168" s="3716" t="str">
        <f>IF(((COUNTIF($AF$5:AF63,"x"))-(COUNTIF($AF$5:AF62,"x")))=0,"",COUNTIF($AF$5:AF63,"x"))</f>
        <v/>
      </c>
      <c r="AG168" s="2120" t="str">
        <f t="shared" si="15"/>
        <v>Prosaro</v>
      </c>
    </row>
    <row r="169" spans="2:33" ht="18">
      <c r="B169" s="2136">
        <f t="shared" si="16"/>
        <v>60</v>
      </c>
      <c r="C169" s="3712" t="str">
        <f t="shared" si="13"/>
        <v>Ranman Top</v>
      </c>
      <c r="D169" s="3713"/>
      <c r="E169" s="3717"/>
      <c r="F169" s="3706" t="str">
        <f>IF(((COUNTIF($F$5:$F64,"x"))-(COUNTIF($F$5:$F63,"x")))=0,"",COUNTIF($F$5:$F64,"x"))</f>
        <v/>
      </c>
      <c r="G169" s="3707" t="str">
        <f>IF(((COUNTIF($G$5:$G64,"x"))-(COUNTIF($G$5:$G63,"x")))=0,"",COUNTIF($G$5:$G64,"x"))</f>
        <v/>
      </c>
      <c r="H169" s="3707" t="str">
        <f>IF(((COUNTIF($H$5:$H64,"x"))-(COUNTIF($H$5:$H63,"x")))=0,"",COUNTIF($H$5:$H64,"x"))</f>
        <v/>
      </c>
      <c r="I169" s="3707" t="str">
        <f>IF(((COUNTIF($I$5:I64,"x"))-(COUNTIF($I$5:I63,"x")))=0,"",COUNTIF($I$5:I64,"x"))</f>
        <v/>
      </c>
      <c r="J169" s="3715" t="str">
        <f>IF(((COUNTIF($J$5:J64,"x"))-(COUNTIF($J$5:J63,"x")))=0,"",COUNTIF($J$5:J64,"x"))</f>
        <v/>
      </c>
      <c r="K169" s="3715" t="str">
        <f>IF(((COUNTIF($K$5:K64,"x"))-(COUNTIF($K$5:K63,"x")))=0,"",COUNTIF($K$5:K64,"x"))</f>
        <v/>
      </c>
      <c r="L169" s="3715" t="str">
        <f>IF(((COUNTIF($L$5:L64,"x"))-(COUNTIF($L$5:L63,"x")))=0,"",COUNTIF($L$5:L64,"x"))</f>
        <v/>
      </c>
      <c r="M169" s="3715" t="str">
        <f>IF(((COUNTIF($M$5:M64,"x"))-(COUNTIF($M$5:M63,"x")))=0,"",COUNTIF($M$5:M64,"x"))</f>
        <v/>
      </c>
      <c r="N169" s="3715" t="str">
        <f>IF(((COUNTIF($N$5:N64,"x"))-(COUNTIF($N$5:N63,"x")))=0,"",COUNTIF($N$5:N64,"x"))</f>
        <v/>
      </c>
      <c r="O169" s="3715" t="str">
        <f>IF(((COUNTIF($O$5:O64,"x"))-(COUNTIF($O$5:O63,"x")))=0,"",COUNTIF($O$5:O64,"x"))</f>
        <v/>
      </c>
      <c r="P169" s="3707" t="str">
        <f>IF(((COUNTIF($P$5:P64,"x"))-(COUNTIF($P$5:P63,"x")))=0,"",COUNTIF($P$5:P64,"x"))</f>
        <v/>
      </c>
      <c r="Q169" s="3715" t="str">
        <f>IF(((COUNTIF($Q$5:Q64,"x"))-(COUNTIF($Q$5:Q63,"x")))=0,"",COUNTIF($Q$5:Q64,"x"))</f>
        <v/>
      </c>
      <c r="R169" s="3715" t="str">
        <f>IF(((COUNTIF($R$5:R64,"x"))-(COUNTIF($R$5:R63,"x")))=0,"",COUNTIF($R$5:R64,"x"))</f>
        <v/>
      </c>
      <c r="S169" s="3715" t="str">
        <f>IF(((COUNTIF($S$5:S64,"x"))-(COUNTIF($S$5:S63,"x")))=0,"",COUNTIF($S$5:S64,"x"))</f>
        <v/>
      </c>
      <c r="T169" s="3715" t="str">
        <f>IF(((COUNTIF($T$5:T64,"x"))-(COUNTIF($T$5:T63,"x")))=0,"",COUNTIF($T$5:T64,"x"))</f>
        <v/>
      </c>
      <c r="U169" s="3715" t="str">
        <f>IF(((COUNTIF($U$5:U64,"x"))-(COUNTIF($U$5:U63,"x")))=0,"",COUNTIF($U$5:U64,"x"))</f>
        <v/>
      </c>
      <c r="V169" s="3715" t="str">
        <f>IF(((COUNTIF($V$5:V64,"x"))-(COUNTIF($V$5:V63,"x")))=0,"",COUNTIF($V$5:V64,"x"))</f>
        <v/>
      </c>
      <c r="W169" s="3715" t="str">
        <f>IF(((COUNTIF($W$5:W64,"x"))-(COUNTIF($W$5:W63,"x")))=0,"",COUNTIF($W$5:W64,"x"))</f>
        <v/>
      </c>
      <c r="X169" s="3715" t="str">
        <f>IF(((COUNTIF($X$5:X64,"x"))-(COUNTIF($X$5:X63,"x")))=0,"",COUNTIF($X$5:X64,"x"))</f>
        <v/>
      </c>
      <c r="Y169" s="3715" t="str">
        <f>IF(((COUNTIF($Y$5:Y64,"x"))-(COUNTIF($Y$5:Y63,"x")))=0,"",COUNTIF($Y$5:Y64,"x"))</f>
        <v/>
      </c>
      <c r="Z169" s="3715" t="str">
        <f>IF(((COUNTIF($Z$5:Z64,"x"))-(COUNTIF($Z$5:Z63,"x")))=0,"",COUNTIF($Z$5:Z64,"x"))</f>
        <v/>
      </c>
      <c r="AA169" s="3715" t="str">
        <f>IF(((COUNTIF($AA$5:AA64,"x"))-(COUNTIF($AA$5:AA63,"x")))=0,"",COUNTIF($AA$5:AA64,"x"))</f>
        <v/>
      </c>
      <c r="AB169" s="3715">
        <f>IF(((COUNTIF($AB$5:AB64,"x"))-(COUNTIF($AB$5:AB63,"x")))=0,"",COUNTIF($AB$5:AB64,"x"))</f>
        <v>13</v>
      </c>
      <c r="AC169" s="3715" t="str">
        <f>IF(((COUNTIF($AC$5:AC64,"x"))-(COUNTIF($AC$5:AC63,"x")))=0,"",COUNTIF($AC$5:AC64,"x"))</f>
        <v/>
      </c>
      <c r="AD169" s="3707">
        <f>IF(((COUNTIF($AD$5:AD64,"x"))-(COUNTIF($AD$5:AD63,"x")))=0,"",COUNTIF($AD$5:AD64,"x"))</f>
        <v>56</v>
      </c>
      <c r="AE169" s="3715" t="str">
        <f>IF(((COUNTIF($AE$5:AE64,"x"))-(COUNTIF($AE$5:AE63,"x")))=0,"",COUNTIF($AE$5:AE64,"x"))</f>
        <v/>
      </c>
      <c r="AF169" s="3716" t="str">
        <f>IF(((COUNTIF($AF$5:AF64,"x"))-(COUNTIF($AF$5:AF63,"x")))=0,"",COUNTIF($AF$5:AF64,"x"))</f>
        <v/>
      </c>
      <c r="AG169" s="2120" t="str">
        <f t="shared" si="15"/>
        <v>Ranman Top</v>
      </c>
    </row>
    <row r="170" spans="2:33" ht="18">
      <c r="B170" s="2136">
        <f t="shared" si="16"/>
        <v>61</v>
      </c>
      <c r="C170" s="3712" t="str">
        <f t="shared" si="13"/>
        <v>Revus</v>
      </c>
      <c r="D170" s="3713"/>
      <c r="E170" s="3717"/>
      <c r="F170" s="3706" t="str">
        <f>IF(((COUNTIF($F$5:$F65,"x"))-(COUNTIF($F$5:$F64,"x")))=0,"",COUNTIF($F$5:$F65,"x"))</f>
        <v/>
      </c>
      <c r="G170" s="3707" t="str">
        <f>IF(((COUNTIF($G$5:$G65,"x"))-(COUNTIF($G$5:$G64,"x")))=0,"",COUNTIF($G$5:$G65,"x"))</f>
        <v/>
      </c>
      <c r="H170" s="3707" t="str">
        <f>IF(((COUNTIF($H$5:$H65,"x"))-(COUNTIF($H$5:$H64,"x")))=0,"",COUNTIF($H$5:$H65,"x"))</f>
        <v/>
      </c>
      <c r="I170" s="3707" t="str">
        <f>IF(((COUNTIF($I$5:I65,"x"))-(COUNTIF($I$5:I64,"x")))=0,"",COUNTIF($I$5:I65,"x"))</f>
        <v/>
      </c>
      <c r="J170" s="3715" t="str">
        <f>IF(((COUNTIF($J$5:J65,"x"))-(COUNTIF($J$5:J64,"x")))=0,"",COUNTIF($J$5:J65,"x"))</f>
        <v/>
      </c>
      <c r="K170" s="3715" t="str">
        <f>IF(((COUNTIF($K$5:K65,"x"))-(COUNTIF($K$5:K64,"x")))=0,"",COUNTIF($K$5:K65,"x"))</f>
        <v/>
      </c>
      <c r="L170" s="3715" t="str">
        <f>IF(((COUNTIF($L$5:L65,"x"))-(COUNTIF($L$5:L64,"x")))=0,"",COUNTIF($L$5:L65,"x"))</f>
        <v/>
      </c>
      <c r="M170" s="3715" t="str">
        <f>IF(((COUNTIF($M$5:M65,"x"))-(COUNTIF($M$5:M64,"x")))=0,"",COUNTIF($M$5:M65,"x"))</f>
        <v/>
      </c>
      <c r="N170" s="3715" t="str">
        <f>IF(((COUNTIF($N$5:N65,"x"))-(COUNTIF($N$5:N64,"x")))=0,"",COUNTIF($N$5:N65,"x"))</f>
        <v/>
      </c>
      <c r="O170" s="3715" t="str">
        <f>IF(((COUNTIF($O$5:O65,"x"))-(COUNTIF($O$5:O64,"x")))=0,"",COUNTIF($O$5:O65,"x"))</f>
        <v/>
      </c>
      <c r="P170" s="3707" t="str">
        <f>IF(((COUNTIF($P$5:P65,"x"))-(COUNTIF($P$5:P64,"x")))=0,"",COUNTIF($P$5:P65,"x"))</f>
        <v/>
      </c>
      <c r="Q170" s="3715" t="str">
        <f>IF(((COUNTIF($Q$5:Q65,"x"))-(COUNTIF($Q$5:Q64,"x")))=0,"",COUNTIF($Q$5:Q65,"x"))</f>
        <v/>
      </c>
      <c r="R170" s="3715" t="str">
        <f>IF(((COUNTIF($R$5:R65,"x"))-(COUNTIF($R$5:R64,"x")))=0,"",COUNTIF($R$5:R65,"x"))</f>
        <v/>
      </c>
      <c r="S170" s="3715" t="str">
        <f>IF(((COUNTIF($S$5:S65,"x"))-(COUNTIF($S$5:S64,"x")))=0,"",COUNTIF($S$5:S65,"x"))</f>
        <v/>
      </c>
      <c r="T170" s="3715" t="str">
        <f>IF(((COUNTIF($T$5:T65,"x"))-(COUNTIF($T$5:T64,"x")))=0,"",COUNTIF($T$5:T65,"x"))</f>
        <v/>
      </c>
      <c r="U170" s="3715" t="str">
        <f>IF(((COUNTIF($U$5:U65,"x"))-(COUNTIF($U$5:U64,"x")))=0,"",COUNTIF($U$5:U65,"x"))</f>
        <v/>
      </c>
      <c r="V170" s="3715" t="str">
        <f>IF(((COUNTIF($V$5:V65,"x"))-(COUNTIF($V$5:V64,"x")))=0,"",COUNTIF($V$5:V65,"x"))</f>
        <v/>
      </c>
      <c r="W170" s="3715" t="str">
        <f>IF(((COUNTIF($W$5:W65,"x"))-(COUNTIF($W$5:W64,"x")))=0,"",COUNTIF($W$5:W65,"x"))</f>
        <v/>
      </c>
      <c r="X170" s="3715" t="str">
        <f>IF(((COUNTIF($X$5:X65,"x"))-(COUNTIF($X$5:X64,"x")))=0,"",COUNTIF($X$5:X65,"x"))</f>
        <v/>
      </c>
      <c r="Y170" s="3715">
        <f>IF(((COUNTIF($Y$5:Y65,"x"))-(COUNTIF($Y$5:Y64,"x")))=0,"",COUNTIF($Y$5:Y65,"x"))</f>
        <v>8</v>
      </c>
      <c r="Z170" s="3715" t="str">
        <f>IF(((COUNTIF($Z$5:Z65,"x"))-(COUNTIF($Z$5:Z64,"x")))=0,"",COUNTIF($Z$5:Z65,"x"))</f>
        <v/>
      </c>
      <c r="AA170" s="3715" t="str">
        <f>IF(((COUNTIF($AA$5:AA65,"x"))-(COUNTIF($AA$5:AA64,"x")))=0,"",COUNTIF($AA$5:AA65,"x"))</f>
        <v/>
      </c>
      <c r="AB170" s="3715">
        <f>IF(((COUNTIF($AB$5:AB65,"x"))-(COUNTIF($AB$5:AB64,"x")))=0,"",COUNTIF($AB$5:AB65,"x"))</f>
        <v>14</v>
      </c>
      <c r="AC170" s="3715" t="str">
        <f>IF(((COUNTIF($AC$5:AC65,"x"))-(COUNTIF($AC$5:AC64,"x")))=0,"",COUNTIF($AC$5:AC65,"x"))</f>
        <v/>
      </c>
      <c r="AD170" s="3707">
        <f>IF(((COUNTIF($AD$5:AD65,"x"))-(COUNTIF($AD$5:AD64,"x")))=0,"",COUNTIF($AD$5:AD65,"x"))</f>
        <v>57</v>
      </c>
      <c r="AE170" s="3715" t="str">
        <f>IF(((COUNTIF($AE$5:AE65,"x"))-(COUNTIF($AE$5:AE64,"x")))=0,"",COUNTIF($AE$5:AE65,"x"))</f>
        <v/>
      </c>
      <c r="AF170" s="3716" t="str">
        <f>IF(((COUNTIF($AF$5:AF65,"x"))-(COUNTIF($AF$5:AF64,"x")))=0,"",COUNTIF($AF$5:AF65,"x"))</f>
        <v/>
      </c>
      <c r="AG170" s="2120" t="str">
        <f t="shared" si="15"/>
        <v>Revus</v>
      </c>
    </row>
    <row r="171" spans="2:33" ht="18">
      <c r="B171" s="2136">
        <f t="shared" si="16"/>
        <v>62</v>
      </c>
      <c r="C171" s="3712" t="str">
        <f t="shared" si="13"/>
        <v>Roundup Power Flex</v>
      </c>
      <c r="D171" s="3713"/>
      <c r="E171" s="3717"/>
      <c r="F171" s="3706" t="str">
        <f>IF(((COUNTIF($F$5:$F66,"x"))-(COUNTIF($F$5:$F65,"x")))=0,"",COUNTIF($F$5:$F66,"x"))</f>
        <v/>
      </c>
      <c r="G171" s="3707" t="str">
        <f>IF(((COUNTIF($G$5:$G66,"x"))-(COUNTIF($G$5:$G65,"x")))=0,"",COUNTIF($G$5:$G66,"x"))</f>
        <v/>
      </c>
      <c r="H171" s="3707" t="str">
        <f>IF(((COUNTIF($H$5:$H66,"x"))-(COUNTIF($H$5:$H65,"x")))=0,"",COUNTIF($H$5:$H66,"x"))</f>
        <v/>
      </c>
      <c r="I171" s="3707" t="str">
        <f>IF(((COUNTIF($I$5:I66,"x"))-(COUNTIF($I$5:I65,"x")))=0,"",COUNTIF($I$5:I66,"x"))</f>
        <v/>
      </c>
      <c r="J171" s="3715" t="str">
        <f>IF(((COUNTIF($J$5:J66,"x"))-(COUNTIF($J$5:J65,"x")))=0,"",COUNTIF($J$5:J66,"x"))</f>
        <v/>
      </c>
      <c r="K171" s="3715" t="str">
        <f>IF(((COUNTIF($K$5:K66,"x"))-(COUNTIF($K$5:K65,"x")))=0,"",COUNTIF($K$5:K66,"x"))</f>
        <v/>
      </c>
      <c r="L171" s="3715" t="str">
        <f>IF(((COUNTIF($L$5:L66,"x"))-(COUNTIF($L$5:L65,"x")))=0,"",COUNTIF($L$5:L66,"x"))</f>
        <v/>
      </c>
      <c r="M171" s="3715" t="str">
        <f>IF(((COUNTIF($M$5:M66,"x"))-(COUNTIF($M$5:M65,"x")))=0,"",COUNTIF($M$5:M66,"x"))</f>
        <v/>
      </c>
      <c r="N171" s="3715" t="str">
        <f>IF(((COUNTIF($N$5:N66,"x"))-(COUNTIF($N$5:N65,"x")))=0,"",COUNTIF($N$5:N66,"x"))</f>
        <v/>
      </c>
      <c r="O171" s="3715" t="str">
        <f>IF(((COUNTIF($O$5:O66,"x"))-(COUNTIF($O$5:O65,"x")))=0,"",COUNTIF($O$5:O66,"x"))</f>
        <v/>
      </c>
      <c r="P171" s="3707" t="str">
        <f>IF(((COUNTIF($P$5:P66,"x"))-(COUNTIF($P$5:P65,"x")))=0,"",COUNTIF($P$5:P66,"x"))</f>
        <v/>
      </c>
      <c r="Q171" s="3715" t="str">
        <f>IF(((COUNTIF($Q$5:Q66,"x"))-(COUNTIF($Q$5:Q65,"x")))=0,"",COUNTIF($Q$5:Q66,"x"))</f>
        <v/>
      </c>
      <c r="R171" s="3715" t="str">
        <f>IF(((COUNTIF($R$5:R66,"x"))-(COUNTIF($R$5:R65,"x")))=0,"",COUNTIF($R$5:R66,"x"))</f>
        <v/>
      </c>
      <c r="S171" s="3715" t="str">
        <f>IF(((COUNTIF($S$5:S66,"x"))-(COUNTIF($S$5:S65,"x")))=0,"",COUNTIF($S$5:S66,"x"))</f>
        <v/>
      </c>
      <c r="T171" s="3715" t="str">
        <f>IF(((COUNTIF($T$5:T66,"x"))-(COUNTIF($T$5:T65,"x")))=0,"",COUNTIF($T$5:T66,"x"))</f>
        <v/>
      </c>
      <c r="U171" s="3715" t="str">
        <f>IF(((COUNTIF($U$5:U66,"x"))-(COUNTIF($U$5:U65,"x")))=0,"",COUNTIF($U$5:U66,"x"))</f>
        <v/>
      </c>
      <c r="V171" s="3715">
        <f>IF(((COUNTIF($V$5:V66,"x"))-(COUNTIF($V$5:V65,"x")))=0,"",COUNTIF($V$5:V66,"x"))</f>
        <v>6</v>
      </c>
      <c r="W171" s="3715" t="str">
        <f>IF(((COUNTIF($W$5:W66,"x"))-(COUNTIF($W$5:W65,"x")))=0,"",COUNTIF($W$5:W66,"x"))</f>
        <v/>
      </c>
      <c r="X171" s="3715" t="str">
        <f>IF(((COUNTIF($X$5:X66,"x"))-(COUNTIF($X$5:X65,"x")))=0,"",COUNTIF($X$5:X66,"x"))</f>
        <v/>
      </c>
      <c r="Y171" s="3715">
        <f>IF(((COUNTIF($Y$5:Y66,"x"))-(COUNTIF($Y$5:Y65,"x")))=0,"",COUNTIF($Y$5:Y66,"x"))</f>
        <v>9</v>
      </c>
      <c r="Z171" s="3715" t="str">
        <f>IF(((COUNTIF($Z$5:Z66,"x"))-(COUNTIF($Z$5:Z65,"x")))=0,"",COUNTIF($Z$5:Z66,"x"))</f>
        <v/>
      </c>
      <c r="AA171" s="3715" t="str">
        <f>IF(((COUNTIF($AA$5:AA66,"x"))-(COUNTIF($AA$5:AA65,"x")))=0,"",COUNTIF($AA$5:AA66,"x"))</f>
        <v/>
      </c>
      <c r="AB171" s="3715" t="str">
        <f>IF(((COUNTIF($AB$5:AB66,"x"))-(COUNTIF($AB$5:AB65,"x")))=0,"",COUNTIF($AB$5:AB66,"x"))</f>
        <v/>
      </c>
      <c r="AC171" s="3715" t="str">
        <f>IF(((COUNTIF($AC$5:AC66,"x"))-(COUNTIF($AC$5:AC65,"x")))=0,"",COUNTIF($AC$5:AC66,"x"))</f>
        <v/>
      </c>
      <c r="AD171" s="3707">
        <f>IF(((COUNTIF($AD$5:AD66,"x"))-(COUNTIF($AD$5:AD65,"x")))=0,"",COUNTIF($AD$5:AD66,"x"))</f>
        <v>58</v>
      </c>
      <c r="AE171" s="3715" t="str">
        <f>IF(((COUNTIF($AE$5:AE66,"x"))-(COUNTIF($AE$5:AE65,"x")))=0,"",COUNTIF($AE$5:AE66,"x"))</f>
        <v/>
      </c>
      <c r="AF171" s="3716" t="str">
        <f>IF(((COUNTIF($AF$5:AF66,"x"))-(COUNTIF($AF$5:AF65,"x")))=0,"",COUNTIF($AF$5:AF66,"x"))</f>
        <v/>
      </c>
      <c r="AG171" s="2120" t="str">
        <f t="shared" si="15"/>
        <v>Roundup Power Flex</v>
      </c>
    </row>
    <row r="172" spans="2:33" ht="18">
      <c r="B172" s="2136">
        <f t="shared" si="16"/>
        <v>63</v>
      </c>
      <c r="C172" s="3712" t="str">
        <f t="shared" si="13"/>
        <v>Roundup Rekord</v>
      </c>
      <c r="D172" s="3713"/>
      <c r="E172" s="3717"/>
      <c r="F172" s="3706" t="str">
        <f>IF(((COUNTIF($F$5:$F67,"x"))-(COUNTIF($F$5:$F66,"x")))=0,"",COUNTIF($F$5:$F67,"x"))</f>
        <v/>
      </c>
      <c r="G172" s="3707" t="str">
        <f>IF(((COUNTIF($G$5:$G67,"x"))-(COUNTIF($G$5:$G66,"x")))=0,"",COUNTIF($G$5:$G67,"x"))</f>
        <v/>
      </c>
      <c r="H172" s="3707" t="str">
        <f>IF(((COUNTIF($H$5:$H67,"x"))-(COUNTIF($H$5:$H66,"x")))=0,"",COUNTIF($H$5:$H67,"x"))</f>
        <v/>
      </c>
      <c r="I172" s="3707" t="str">
        <f>IF(((COUNTIF($I$5:I67,"x"))-(COUNTIF($I$5:I66,"x")))=0,"",COUNTIF($I$5:I67,"x"))</f>
        <v/>
      </c>
      <c r="J172" s="3715" t="str">
        <f>IF(((COUNTIF($J$5:J67,"x"))-(COUNTIF($J$5:J66,"x")))=0,"",COUNTIF($J$5:J67,"x"))</f>
        <v/>
      </c>
      <c r="K172" s="3715" t="str">
        <f>IF(((COUNTIF($K$5:K67,"x"))-(COUNTIF($K$5:K66,"x")))=0,"",COUNTIF($K$5:K67,"x"))</f>
        <v/>
      </c>
      <c r="L172" s="3715" t="str">
        <f>IF(((COUNTIF($L$5:L67,"x"))-(COUNTIF($L$5:L66,"x")))=0,"",COUNTIF($L$5:L67,"x"))</f>
        <v/>
      </c>
      <c r="M172" s="3715" t="str">
        <f>IF(((COUNTIF($M$5:M67,"x"))-(COUNTIF($M$5:M66,"x")))=0,"",COUNTIF($M$5:M67,"x"))</f>
        <v/>
      </c>
      <c r="N172" s="3715" t="str">
        <f>IF(((COUNTIF($N$5:N67,"x"))-(COUNTIF($N$5:N66,"x")))=0,"",COUNTIF($N$5:N67,"x"))</f>
        <v/>
      </c>
      <c r="O172" s="3715" t="str">
        <f>IF(((COUNTIF($O$5:O67,"x"))-(COUNTIF($O$5:O66,"x")))=0,"",COUNTIF($O$5:O67,"x"))</f>
        <v/>
      </c>
      <c r="P172" s="3707" t="str">
        <f>IF(((COUNTIF($P$5:P67,"x"))-(COUNTIF($P$5:P66,"x")))=0,"",COUNTIF($P$5:P67,"x"))</f>
        <v/>
      </c>
      <c r="Q172" s="3715" t="str">
        <f>IF(((COUNTIF($Q$5:Q67,"x"))-(COUNTIF($Q$5:Q66,"x")))=0,"",COUNTIF($Q$5:Q67,"x"))</f>
        <v/>
      </c>
      <c r="R172" s="3715" t="str">
        <f>IF(((COUNTIF($R$5:R67,"x"))-(COUNTIF($R$5:R66,"x")))=0,"",COUNTIF($R$5:R67,"x"))</f>
        <v/>
      </c>
      <c r="S172" s="3715" t="str">
        <f>IF(((COUNTIF($S$5:S67,"x"))-(COUNTIF($S$5:S66,"x")))=0,"",COUNTIF($S$5:S67,"x"))</f>
        <v/>
      </c>
      <c r="T172" s="3715" t="str">
        <f>IF(((COUNTIF($T$5:T67,"x"))-(COUNTIF($T$5:T66,"x")))=0,"",COUNTIF($T$5:T67,"x"))</f>
        <v/>
      </c>
      <c r="U172" s="3715" t="str">
        <f>IF(((COUNTIF($U$5:U67,"x"))-(COUNTIF($U$5:U66,"x")))=0,"",COUNTIF($U$5:U67,"x"))</f>
        <v/>
      </c>
      <c r="V172" s="3715" t="str">
        <f>IF(((COUNTIF($V$5:V67,"x"))-(COUNTIF($V$5:V66,"x")))=0,"",COUNTIF($V$5:V67,"x"))</f>
        <v/>
      </c>
      <c r="W172" s="3715" t="str">
        <f>IF(((COUNTIF($W$5:W67,"x"))-(COUNTIF($W$5:W66,"x")))=0,"",COUNTIF($W$5:W67,"x"))</f>
        <v/>
      </c>
      <c r="X172" s="3715" t="str">
        <f>IF(((COUNTIF($X$5:X67,"x"))-(COUNTIF($X$5:X66,"x")))=0,"",COUNTIF($X$5:X67,"x"))</f>
        <v/>
      </c>
      <c r="Y172" s="3715" t="str">
        <f>IF(((COUNTIF($Y$5:Y67,"x"))-(COUNTIF($Y$5:Y66,"x")))=0,"",COUNTIF($Y$5:Y67,"x"))</f>
        <v/>
      </c>
      <c r="Z172" s="3715" t="str">
        <f>IF(((COUNTIF($Z$5:Z67,"x"))-(COUNTIF($Z$5:Z66,"x")))=0,"",COUNTIF($Z$5:Z67,"x"))</f>
        <v/>
      </c>
      <c r="AA172" s="3715" t="str">
        <f>IF(((COUNTIF($AA$5:AA67,"x"))-(COUNTIF($AA$5:AA66,"x")))=0,"",COUNTIF($AA$5:AA67,"x"))</f>
        <v/>
      </c>
      <c r="AB172" s="3715" t="str">
        <f>IF(((COUNTIF($AB$5:AB67,"x"))-(COUNTIF($AB$5:AB66,"x")))=0,"",COUNTIF($AB$5:AB67,"x"))</f>
        <v/>
      </c>
      <c r="AC172" s="3715" t="str">
        <f>IF(((COUNTIF($AC$5:AC67,"x"))-(COUNTIF($AC$5:AC66,"x")))=0,"",COUNTIF($AC$5:AC67,"x"))</f>
        <v/>
      </c>
      <c r="AD172" s="3707">
        <f>IF(((COUNTIF($AD$5:AD67,"x"))-(COUNTIF($AD$5:AD66,"x")))=0,"",COUNTIF($AD$5:AD67,"x"))</f>
        <v>59</v>
      </c>
      <c r="AE172" s="3715" t="str">
        <f>IF(((COUNTIF($AE$5:AE67,"x"))-(COUNTIF($AE$5:AE66,"x")))=0,"",COUNTIF($AE$5:AE67,"x"))</f>
        <v/>
      </c>
      <c r="AF172" s="3716" t="str">
        <f>IF(((COUNTIF($AF$5:AF67,"x"))-(COUNTIF($AF$5:AF66,"x")))=0,"",COUNTIF($AF$5:AF67,"x"))</f>
        <v/>
      </c>
      <c r="AG172" s="2120" t="str">
        <f t="shared" si="15"/>
        <v>Roundup Rekord</v>
      </c>
    </row>
    <row r="173" spans="2:33" ht="18">
      <c r="B173" s="2136">
        <f t="shared" si="16"/>
        <v>64</v>
      </c>
      <c r="C173" s="3712" t="str">
        <f t="shared" si="13"/>
        <v>Revytrex</v>
      </c>
      <c r="D173" s="3713"/>
      <c r="E173" s="3717"/>
      <c r="F173" s="3706">
        <f>IF(((COUNTIF($F$5:$F68,"x"))-(COUNTIF($F$5:$F67,"x")))=0,"",COUNTIF($F$5:$F68,"x"))</f>
        <v>25</v>
      </c>
      <c r="G173" s="3707">
        <f>IF(((COUNTIF($G$5:$G68,"x"))-(COUNTIF($G$5:$G67,"x")))=0,"",COUNTIF($G$5:$G68,"x"))</f>
        <v>19</v>
      </c>
      <c r="H173" s="3707">
        <f>IF(((COUNTIF($H$5:$H68,"x"))-(COUNTIF($H$5:$H67,"x")))=0,"",COUNTIF($H$5:$H68,"x"))</f>
        <v>25</v>
      </c>
      <c r="I173" s="3707">
        <f>IF(((COUNTIF($I$5:I68,"x"))-(COUNTIF($I$5:I67,"x")))=0,"",COUNTIF($I$5:I68,"x"))</f>
        <v>23</v>
      </c>
      <c r="J173" s="3715">
        <f>IF(((COUNTIF($J$5:J68,"x"))-(COUNTIF($J$5:J67,"x")))=0,"",COUNTIF($J$5:J68,"x"))</f>
        <v>22</v>
      </c>
      <c r="K173" s="3715">
        <f>IF(((COUNTIF($K$5:K68,"x"))-(COUNTIF($K$5:K67,"x")))=0,"",COUNTIF($K$5:K68,"x"))</f>
        <v>19</v>
      </c>
      <c r="L173" s="3715">
        <f>IF(((COUNTIF($L$5:L68,"x"))-(COUNTIF($L$5:L67,"x")))=0,"",COUNTIF($L$5:L68,"x"))</f>
        <v>20</v>
      </c>
      <c r="M173" s="3715">
        <f>IF(((COUNTIF($M$5:M68,"x"))-(COUNTIF($M$5:M67,"x")))=0,"",COUNTIF($M$5:M68,"x"))</f>
        <v>20</v>
      </c>
      <c r="N173" s="3715">
        <f>IF(((COUNTIF($N$5:N68,"x"))-(COUNTIF($N$5:N67,"x")))=0,"",COUNTIF($N$5:N68,"x"))</f>
        <v>10</v>
      </c>
      <c r="O173" s="3715">
        <f>IF(((COUNTIF($O$5:O68,"x"))-(COUNTIF($O$5:O67,"x")))=0,"",COUNTIF($O$5:O68,"x"))</f>
        <v>14</v>
      </c>
      <c r="P173" s="3707" t="str">
        <f>IF(((COUNTIF($P$5:P68,"x"))-(COUNTIF($P$5:P67,"x")))=0,"",COUNTIF($P$5:P68,"x"))</f>
        <v/>
      </c>
      <c r="Q173" s="3715" t="str">
        <f>IF(((COUNTIF($Q$5:Q68,"x"))-(COUNTIF($Q$5:Q67,"x")))=0,"",COUNTIF($Q$5:Q68,"x"))</f>
        <v/>
      </c>
      <c r="R173" s="3715" t="str">
        <f>IF(((COUNTIF($R$5:R68,"x"))-(COUNTIF($R$5:R67,"x")))=0,"",COUNTIF($R$5:R68,"x"))</f>
        <v/>
      </c>
      <c r="S173" s="3715" t="str">
        <f>IF(((COUNTIF($S$5:S68,"x"))-(COUNTIF($S$5:S67,"x")))=0,"",COUNTIF($S$5:S68,"x"))</f>
        <v/>
      </c>
      <c r="T173" s="3715" t="str">
        <f>IF(((COUNTIF($T$5:T68,"x"))-(COUNTIF($T$5:T67,"x")))=0,"",COUNTIF($T$5:T68,"x"))</f>
        <v/>
      </c>
      <c r="U173" s="3715" t="str">
        <f>IF(((COUNTIF($U$5:U68,"x"))-(COUNTIF($U$5:U67,"x")))=0,"",COUNTIF($U$5:U68,"x"))</f>
        <v/>
      </c>
      <c r="V173" s="3715" t="str">
        <f>IF(((COUNTIF($V$5:V68,"x"))-(COUNTIF($V$5:V67,"x")))=0,"",COUNTIF($V$5:V68,"x"))</f>
        <v/>
      </c>
      <c r="W173" s="3715" t="str">
        <f>IF(((COUNTIF($W$5:W68,"x"))-(COUNTIF($W$5:W67,"x")))=0,"",COUNTIF($W$5:W68,"x"))</f>
        <v/>
      </c>
      <c r="X173" s="3715" t="str">
        <f>IF(((COUNTIF($X$5:X68,"x"))-(COUNTIF($X$5:X67,"x")))=0,"",COUNTIF($X$5:X68,"x"))</f>
        <v/>
      </c>
      <c r="Y173" s="3715" t="str">
        <f>IF(((COUNTIF($Y$5:Y68,"x"))-(COUNTIF($Y$5:Y67,"x")))=0,"",COUNTIF($Y$5:Y68,"x"))</f>
        <v/>
      </c>
      <c r="Z173" s="3715" t="str">
        <f>IF(((COUNTIF($Z$5:Z68,"x"))-(COUNTIF($Z$5:Z67,"x")))=0,"",COUNTIF($Z$5:Z68,"x"))</f>
        <v/>
      </c>
      <c r="AA173" s="3715" t="str">
        <f>IF(((COUNTIF($AA$5:AA68,"x"))-(COUNTIF($AA$5:AA67,"x")))=0,"",COUNTIF($AA$5:AA68,"x"))</f>
        <v/>
      </c>
      <c r="AB173" s="3715" t="str">
        <f>IF(((COUNTIF($AB$5:AB68,"x"))-(COUNTIF($AB$5:AB67,"x")))=0,"",COUNTIF($AB$5:AB68,"x"))</f>
        <v/>
      </c>
      <c r="AC173" s="3715" t="str">
        <f>IF(((COUNTIF($AC$5:AC68,"x"))-(COUNTIF($AC$5:AC67,"x")))=0,"",COUNTIF($AC$5:AC68,"x"))</f>
        <v/>
      </c>
      <c r="AD173" s="3707">
        <f>IF(((COUNTIF($AD$5:AD68,"x"))-(COUNTIF($AD$5:AD67,"x")))=0,"",COUNTIF($AD$5:AD68,"x"))</f>
        <v>60</v>
      </c>
      <c r="AE173" s="3715" t="str">
        <f>IF(((COUNTIF($AE$5:AE68,"x"))-(COUNTIF($AE$5:AE67,"x")))=0,"",COUNTIF($AE$5:AE68,"x"))</f>
        <v/>
      </c>
      <c r="AF173" s="3716" t="str">
        <f>IF(((COUNTIF($AF$5:AF68,"x"))-(COUNTIF($AF$5:AF67,"x")))=0,"",COUNTIF($AF$5:AF68,"x"))</f>
        <v/>
      </c>
      <c r="AG173" s="2120" t="str">
        <f t="shared" si="15"/>
        <v>Revytrex</v>
      </c>
    </row>
    <row r="174" spans="2:33" ht="18">
      <c r="B174" s="2136">
        <f t="shared" si="16"/>
        <v>65</v>
      </c>
      <c r="C174" s="3712" t="str">
        <f t="shared" ref="C174:C208" si="17">C69</f>
        <v>Comet</v>
      </c>
      <c r="D174" s="3713"/>
      <c r="E174" s="3717"/>
      <c r="F174" s="3706">
        <f>IF(((COUNTIF($F$5:$F69,"x"))-(COUNTIF($F$5:$F68,"x")))=0,"",COUNTIF($F$5:$F69,"x"))</f>
        <v>26</v>
      </c>
      <c r="G174" s="3707">
        <f>IF(((COUNTIF($G$5:$G69,"x"))-(COUNTIF($G$5:$G68,"x")))=0,"",COUNTIF($G$5:$G69,"x"))</f>
        <v>20</v>
      </c>
      <c r="H174" s="3707">
        <f>IF(((COUNTIF($H$5:$H69,"x"))-(COUNTIF($H$5:$H68,"x")))=0,"",COUNTIF($H$5:$H69,"x"))</f>
        <v>26</v>
      </c>
      <c r="I174" s="3707">
        <f>IF(((COUNTIF($I$5:I69,"x"))-(COUNTIF($I$5:I68,"x")))=0,"",COUNTIF($I$5:I69,"x"))</f>
        <v>24</v>
      </c>
      <c r="J174" s="3715">
        <f>IF(((COUNTIF($J$5:J69,"x"))-(COUNTIF($J$5:J68,"x")))=0,"",COUNTIF($J$5:J69,"x"))</f>
        <v>23</v>
      </c>
      <c r="K174" s="3715">
        <f>IF(((COUNTIF($K$5:K69,"x"))-(COUNTIF($K$5:K68,"x")))=0,"",COUNTIF($K$5:K69,"x"))</f>
        <v>20</v>
      </c>
      <c r="L174" s="3715">
        <f>IF(((COUNTIF($L$5:L69,"x"))-(COUNTIF($L$5:L68,"x")))=0,"",COUNTIF($L$5:L69,"x"))</f>
        <v>21</v>
      </c>
      <c r="M174" s="3715">
        <f>IF(((COUNTIF($M$5:M69,"x"))-(COUNTIF($M$5:M68,"x")))=0,"",COUNTIF($M$5:M69,"x"))</f>
        <v>21</v>
      </c>
      <c r="N174" s="3715" t="str">
        <f>IF(((COUNTIF($N$5:N69,"x"))-(COUNTIF($N$5:N68,"x")))=0,"",COUNTIF($N$5:N69,"x"))</f>
        <v/>
      </c>
      <c r="O174" s="3715">
        <f>IF(((COUNTIF($O$5:O69,"x"))-(COUNTIF($O$5:O68,"x")))=0,"",COUNTIF($O$5:O69,"x"))</f>
        <v>15</v>
      </c>
      <c r="P174" s="3707" t="str">
        <f>IF(((COUNTIF($P$5:P69,"x"))-(COUNTIF($P$5:P68,"x")))=0,"",COUNTIF($P$5:P69,"x"))</f>
        <v/>
      </c>
      <c r="Q174" s="3715" t="str">
        <f>IF(((COUNTIF($Q$5:Q69,"x"))-(COUNTIF($Q$5:Q68,"x")))=0,"",COUNTIF($Q$5:Q69,"x"))</f>
        <v/>
      </c>
      <c r="R174" s="3715" t="str">
        <f>IF(((COUNTIF($R$5:R69,"x"))-(COUNTIF($R$5:R68,"x")))=0,"",COUNTIF($R$5:R69,"x"))</f>
        <v/>
      </c>
      <c r="S174" s="3715" t="str">
        <f>IF(((COUNTIF($S$5:S69,"x"))-(COUNTIF($S$5:S68,"x")))=0,"",COUNTIF($S$5:S69,"x"))</f>
        <v/>
      </c>
      <c r="T174" s="3715" t="str">
        <f>IF(((COUNTIF($T$5:T69,"x"))-(COUNTIF($T$5:T68,"x")))=0,"",COUNTIF($T$5:T69,"x"))</f>
        <v/>
      </c>
      <c r="U174" s="3715" t="str">
        <f>IF(((COUNTIF($U$5:U69,"x"))-(COUNTIF($U$5:U68,"x")))=0,"",COUNTIF($U$5:U69,"x"))</f>
        <v/>
      </c>
      <c r="V174" s="3715" t="str">
        <f>IF(((COUNTIF($V$5:V69,"x"))-(COUNTIF($V$5:V68,"x")))=0,"",COUNTIF($V$5:V69,"x"))</f>
        <v/>
      </c>
      <c r="W174" s="3715" t="str">
        <f>IF(((COUNTIF($W$5:W69,"x"))-(COUNTIF($W$5:W68,"x")))=0,"",COUNTIF($W$5:W69,"x"))</f>
        <v/>
      </c>
      <c r="X174" s="3715" t="str">
        <f>IF(((COUNTIF($X$5:X69,"x"))-(COUNTIF($X$5:X68,"x")))=0,"",COUNTIF($X$5:X69,"x"))</f>
        <v/>
      </c>
      <c r="Y174" s="3715" t="str">
        <f>IF(((COUNTIF($Y$5:Y69,"x"))-(COUNTIF($Y$5:Y68,"x")))=0,"",COUNTIF($Y$5:Y69,"x"))</f>
        <v/>
      </c>
      <c r="Z174" s="3715" t="str">
        <f>IF(((COUNTIF($Z$5:Z69,"x"))-(COUNTIF($Z$5:Z68,"x")))=0,"",COUNTIF($Z$5:Z69,"x"))</f>
        <v/>
      </c>
      <c r="AA174" s="3715" t="str">
        <f>IF(((COUNTIF($AA$5:AA69,"x"))-(COUNTIF($AA$5:AA68,"x")))=0,"",COUNTIF($AA$5:AA69,"x"))</f>
        <v/>
      </c>
      <c r="AB174" s="3715" t="str">
        <f>IF(((COUNTIF($AB$5:AB69,"x"))-(COUNTIF($AB$5:AB68,"x")))=0,"",COUNTIF($AB$5:AB69,"x"))</f>
        <v/>
      </c>
      <c r="AC174" s="3715" t="str">
        <f>IF(((COUNTIF($AC$5:AC69,"x"))-(COUNTIF($AC$5:AC68,"x")))=0,"",COUNTIF($AC$5:AC69,"x"))</f>
        <v/>
      </c>
      <c r="AD174" s="3707">
        <f>IF(((COUNTIF($AD$5:AD69,"x"))-(COUNTIF($AD$5:AD68,"x")))=0,"",COUNTIF($AD$5:AD69,"x"))</f>
        <v>61</v>
      </c>
      <c r="AE174" s="3715" t="str">
        <f>IF(((COUNTIF($AE$5:AE69,"x"))-(COUNTIF($AE$5:AE68,"x")))=0,"",COUNTIF($AE$5:AE69,"x"))</f>
        <v/>
      </c>
      <c r="AF174" s="3716" t="str">
        <f>IF(((COUNTIF($AF$5:AF69,"x"))-(COUNTIF($AF$5:AF68,"x")))=0,"",COUNTIF($AF$5:AF69,"x"))</f>
        <v/>
      </c>
      <c r="AG174" s="2120" t="str">
        <f t="shared" ref="AG174:AG208" si="18">C174</f>
        <v>Comet</v>
      </c>
    </row>
    <row r="175" spans="2:33" ht="18">
      <c r="B175" s="2136">
        <f t="shared" ref="B175:B208" si="19">B174+1</f>
        <v>66</v>
      </c>
      <c r="C175" s="3712" t="str">
        <f t="shared" si="17"/>
        <v>Select 240 EC</v>
      </c>
      <c r="D175" s="3713"/>
      <c r="E175" s="3717"/>
      <c r="F175" s="3706" t="str">
        <f>IF(((COUNTIF($F$5:$F70,"x"))-(COUNTIF($F$5:$F69,"x")))=0,"",COUNTIF($F$5:$F70,"x"))</f>
        <v/>
      </c>
      <c r="G175" s="3707" t="str">
        <f>IF(((COUNTIF($G$5:$G70,"x"))-(COUNTIF($G$5:$G69,"x")))=0,"",COUNTIF($G$5:$G70,"x"))</f>
        <v/>
      </c>
      <c r="H175" s="3707" t="str">
        <f>IF(((COUNTIF($H$5:$H70,"x"))-(COUNTIF($H$5:$H69,"x")))=0,"",COUNTIF($H$5:$H70,"x"))</f>
        <v/>
      </c>
      <c r="I175" s="3707" t="str">
        <f>IF(((COUNTIF($I$5:I70,"x"))-(COUNTIF($I$5:I69,"x")))=0,"",COUNTIF($I$5:I70,"x"))</f>
        <v/>
      </c>
      <c r="J175" s="3715" t="str">
        <f>IF(((COUNTIF($J$5:J70,"x"))-(COUNTIF($J$5:J69,"x")))=0,"",COUNTIF($J$5:J70,"x"))</f>
        <v/>
      </c>
      <c r="K175" s="3715" t="str">
        <f>IF(((COUNTIF($K$5:K70,"x"))-(COUNTIF($K$5:K69,"x")))=0,"",COUNTIF($K$5:K70,"x"))</f>
        <v/>
      </c>
      <c r="L175" s="3715" t="str">
        <f>IF(((COUNTIF($L$5:L70,"x"))-(COUNTIF($L$5:L69,"x")))=0,"",COUNTIF($L$5:L70,"x"))</f>
        <v/>
      </c>
      <c r="M175" s="3715" t="str">
        <f>IF(((COUNTIF($M$5:M70,"x"))-(COUNTIF($M$5:M69,"x")))=0,"",COUNTIF($M$5:M70,"x"))</f>
        <v/>
      </c>
      <c r="N175" s="3715" t="str">
        <f>IF(((COUNTIF($N$5:N70,"x"))-(COUNTIF($N$5:N69,"x")))=0,"",COUNTIF($N$5:N70,"x"))</f>
        <v/>
      </c>
      <c r="O175" s="3715" t="str">
        <f>IF(((COUNTIF($O$5:O70,"x"))-(COUNTIF($O$5:O69,"x")))=0,"",COUNTIF($O$5:O70,"x"))</f>
        <v/>
      </c>
      <c r="P175" s="3707" t="str">
        <f>IF(((COUNTIF($P$5:P70,"x"))-(COUNTIF($P$5:P69,"x")))=0,"",COUNTIF($P$5:P70,"x"))</f>
        <v/>
      </c>
      <c r="Q175" s="3715" t="str">
        <f>IF(((COUNTIF($Q$5:Q70,"x"))-(COUNTIF($Q$5:Q69,"x")))=0,"",COUNTIF($Q$5:Q70,"x"))</f>
        <v/>
      </c>
      <c r="R175" s="3715" t="str">
        <f>IF(((COUNTIF($R$5:R70,"x"))-(COUNTIF($R$5:R69,"x")))=0,"",COUNTIF($R$5:R70,"x"))</f>
        <v/>
      </c>
      <c r="S175" s="3715">
        <f>IF(((COUNTIF($S$5:S70,"x"))-(COUNTIF($S$5:S69,"x")))=0,"",COUNTIF($S$5:S70,"x"))</f>
        <v>18</v>
      </c>
      <c r="T175" s="3715" t="str">
        <f>IF(((COUNTIF($T$5:T70,"x"))-(COUNTIF($T$5:T69,"x")))=0,"",COUNTIF($T$5:T70,"x"))</f>
        <v/>
      </c>
      <c r="U175" s="3715" t="str">
        <f>IF(((COUNTIF($U$5:U70,"x"))-(COUNTIF($U$5:U69,"x")))=0,"",COUNTIF($U$5:U70,"x"))</f>
        <v/>
      </c>
      <c r="V175" s="3715" t="str">
        <f>IF(((COUNTIF($V$5:V70,"x"))-(COUNTIF($V$5:V69,"x")))=0,"",COUNTIF($V$5:V70,"x"))</f>
        <v/>
      </c>
      <c r="W175" s="3715" t="str">
        <f>IF(((COUNTIF($W$5:W70,"x"))-(COUNTIF($W$5:W69,"x")))=0,"",COUNTIF($W$5:W70,"x"))</f>
        <v/>
      </c>
      <c r="X175" s="3715">
        <f>IF(((COUNTIF($X$5:X70,"x"))-(COUNTIF($X$5:X69,"x")))=0,"",COUNTIF($X$5:X70,"x"))</f>
        <v>8</v>
      </c>
      <c r="Y175" s="3715" t="str">
        <f>IF(((COUNTIF($Y$5:Y70,"x"))-(COUNTIF($Y$5:Y69,"x")))=0,"",COUNTIF($Y$5:Y70,"x"))</f>
        <v/>
      </c>
      <c r="Z175" s="3715" t="str">
        <f>IF(((COUNTIF($Z$5:Z70,"x"))-(COUNTIF($Z$5:Z69,"x")))=0,"",COUNTIF($Z$5:Z70,"x"))</f>
        <v/>
      </c>
      <c r="AA175" s="3715" t="str">
        <f>IF(((COUNTIF($AA$5:AA70,"x"))-(COUNTIF($AA$5:AA69,"x")))=0,"",COUNTIF($AA$5:AA70,"x"))</f>
        <v/>
      </c>
      <c r="AB175" s="3715" t="str">
        <f>IF(((COUNTIF($AB$5:AB70,"x"))-(COUNTIF($AB$5:AB69,"x")))=0,"",COUNTIF($AB$5:AB70,"x"))</f>
        <v/>
      </c>
      <c r="AC175" s="3715" t="str">
        <f>IF(((COUNTIF($AC$5:AC70,"x"))-(COUNTIF($AC$5:AC69,"x")))=0,"",COUNTIF($AC$5:AC70,"x"))</f>
        <v/>
      </c>
      <c r="AD175" s="3707">
        <f>IF(((COUNTIF($AD$5:AD70,"x"))-(COUNTIF($AD$5:AD69,"x")))=0,"",COUNTIF($AD$5:AD70,"x"))</f>
        <v>62</v>
      </c>
      <c r="AE175" s="3715" t="str">
        <f>IF(((COUNTIF($AE$5:AE70,"x"))-(COUNTIF($AE$5:AE69,"x")))=0,"",COUNTIF($AE$5:AE70,"x"))</f>
        <v/>
      </c>
      <c r="AF175" s="3716" t="str">
        <f>IF(((COUNTIF($AF$5:AF70,"x"))-(COUNTIF($AF$5:AF69,"x")))=0,"",COUNTIF($AF$5:AF70,"x"))</f>
        <v/>
      </c>
      <c r="AG175" s="2120" t="str">
        <f t="shared" si="18"/>
        <v>Select 240 EC</v>
      </c>
    </row>
    <row r="176" spans="2:33" ht="18">
      <c r="B176" s="2136">
        <f t="shared" si="19"/>
        <v>67</v>
      </c>
      <c r="C176" s="3712" t="str">
        <f t="shared" si="17"/>
        <v>Sencor Liquid</v>
      </c>
      <c r="D176" s="3713"/>
      <c r="E176" s="3717"/>
      <c r="F176" s="3706" t="str">
        <f>IF(((COUNTIF($F$5:$F71,"x"))-(COUNTIF($F$5:$F70,"x")))=0,"",COUNTIF($F$5:$F71,"x"))</f>
        <v/>
      </c>
      <c r="G176" s="3707" t="str">
        <f>IF(((COUNTIF($G$5:$G71,"x"))-(COUNTIF($G$5:$G70,"x")))=0,"",COUNTIF($G$5:$G71,"x"))</f>
        <v/>
      </c>
      <c r="H176" s="3707" t="str">
        <f>IF(((COUNTIF($H$5:$H71,"x"))-(COUNTIF($H$5:$H70,"x")))=0,"",COUNTIF($H$5:$H71,"x"))</f>
        <v/>
      </c>
      <c r="I176" s="3707" t="str">
        <f>IF(((COUNTIF($I$5:I71,"x"))-(COUNTIF($I$5:I70,"x")))=0,"",COUNTIF($I$5:I71,"x"))</f>
        <v/>
      </c>
      <c r="J176" s="3715" t="str">
        <f>IF(((COUNTIF($J$5:J71,"x"))-(COUNTIF($J$5:J70,"x")))=0,"",COUNTIF($J$5:J71,"x"))</f>
        <v/>
      </c>
      <c r="K176" s="3715" t="str">
        <f>IF(((COUNTIF($K$5:K71,"x"))-(COUNTIF($K$5:K70,"x")))=0,"",COUNTIF($K$5:K71,"x"))</f>
        <v/>
      </c>
      <c r="L176" s="3715" t="str">
        <f>IF(((COUNTIF($L$5:L71,"x"))-(COUNTIF($L$5:L70,"x")))=0,"",COUNTIF($L$5:L71,"x"))</f>
        <v/>
      </c>
      <c r="M176" s="3715" t="str">
        <f>IF(((COUNTIF($M$5:M71,"x"))-(COUNTIF($M$5:M70,"x")))=0,"",COUNTIF($M$5:M71,"x"))</f>
        <v/>
      </c>
      <c r="N176" s="3715" t="str">
        <f>IF(((COUNTIF($N$5:N71,"x"))-(COUNTIF($N$5:N70,"x")))=0,"",COUNTIF($N$5:N71,"x"))</f>
        <v/>
      </c>
      <c r="O176" s="3715" t="str">
        <f>IF(((COUNTIF($O$5:O71,"x"))-(COUNTIF($O$5:O70,"x")))=0,"",COUNTIF($O$5:O71,"x"))</f>
        <v/>
      </c>
      <c r="P176" s="3707" t="str">
        <f>IF(((COUNTIF($P$5:P71,"x"))-(COUNTIF($P$5:P70,"x")))=0,"",COUNTIF($P$5:P71,"x"))</f>
        <v/>
      </c>
      <c r="Q176" s="3715" t="str">
        <f>IF(((COUNTIF($Q$5:Q71,"x"))-(COUNTIF($Q$5:Q70,"x")))=0,"",COUNTIF($Q$5:Q71,"x"))</f>
        <v/>
      </c>
      <c r="R176" s="3715" t="str">
        <f>IF(((COUNTIF($R$5:R71,"x"))-(COUNTIF($R$5:R70,"x")))=0,"",COUNTIF($R$5:R71,"x"))</f>
        <v/>
      </c>
      <c r="S176" s="3715" t="str">
        <f>IF(((COUNTIF($S$5:S71,"x"))-(COUNTIF($S$5:S70,"x")))=0,"",COUNTIF($S$5:S71,"x"))</f>
        <v/>
      </c>
      <c r="T176" s="3715" t="str">
        <f>IF(((COUNTIF($T$5:T71,"x"))-(COUNTIF($T$5:T70,"x")))=0,"",COUNTIF($T$5:T71,"x"))</f>
        <v/>
      </c>
      <c r="U176" s="3715" t="str">
        <f>IF(((COUNTIF($U$5:U71,"x"))-(COUNTIF($U$5:U70,"x")))=0,"",COUNTIF($U$5:U71,"x"))</f>
        <v/>
      </c>
      <c r="V176" s="3715">
        <f>IF(((COUNTIF($V$5:V71,"x"))-(COUNTIF($V$5:V70,"x")))=0,"",COUNTIF($V$5:V71,"x"))</f>
        <v>7</v>
      </c>
      <c r="W176" s="3715" t="str">
        <f>IF(((COUNTIF($W$5:W71,"x"))-(COUNTIF($W$5:W70,"x")))=0,"",COUNTIF($W$5:W71,"x"))</f>
        <v/>
      </c>
      <c r="X176" s="3715" t="str">
        <f>IF(((COUNTIF($X$5:X71,"x"))-(COUNTIF($X$5:X70,"x")))=0,"",COUNTIF($X$5:X71,"x"))</f>
        <v/>
      </c>
      <c r="Y176" s="3715" t="str">
        <f>IF(((COUNTIF($Y$5:Y71,"x"))-(COUNTIF($Y$5:Y70,"x")))=0,"",COUNTIF($Y$5:Y71,"x"))</f>
        <v/>
      </c>
      <c r="Z176" s="3715" t="str">
        <f>IF(((COUNTIF($Z$5:Z71,"x"))-(COUNTIF($Z$5:Z70,"x")))=0,"",COUNTIF($Z$5:Z71,"x"))</f>
        <v/>
      </c>
      <c r="AA176" s="3715" t="str">
        <f>IF(((COUNTIF($AA$5:AA71,"x"))-(COUNTIF($AA$5:AA70,"x")))=0,"",COUNTIF($AA$5:AA71,"x"))</f>
        <v/>
      </c>
      <c r="AB176" s="3715">
        <f>IF(((COUNTIF($AB$5:AB71,"x"))-(COUNTIF($AB$5:AB70,"x")))=0,"",COUNTIF($AB$5:AB71,"x"))</f>
        <v>15</v>
      </c>
      <c r="AC176" s="3715" t="str">
        <f>IF(((COUNTIF($AC$5:AC71,"x"))-(COUNTIF($AC$5:AC70,"x")))=0,"",COUNTIF($AC$5:AC71,"x"))</f>
        <v/>
      </c>
      <c r="AD176" s="3707">
        <f>IF(((COUNTIF($AD$5:AD71,"x"))-(COUNTIF($AD$5:AD70,"x")))=0,"",COUNTIF($AD$5:AD71,"x"))</f>
        <v>63</v>
      </c>
      <c r="AE176" s="3715" t="str">
        <f>IF(((COUNTIF($AE$5:AE71,"x"))-(COUNTIF($AE$5:AE70,"x")))=0,"",COUNTIF($AE$5:AE71,"x"))</f>
        <v/>
      </c>
      <c r="AF176" s="3716" t="str">
        <f>IF(((COUNTIF($AF$5:AF71,"x"))-(COUNTIF($AF$5:AF70,"x")))=0,"",COUNTIF($AF$5:AF71,"x"))</f>
        <v/>
      </c>
      <c r="AG176" s="2120" t="str">
        <f t="shared" si="18"/>
        <v>Sencor Liquid</v>
      </c>
    </row>
    <row r="177" spans="2:33" ht="18">
      <c r="B177" s="2136">
        <f t="shared" si="19"/>
        <v>68</v>
      </c>
      <c r="C177" s="3712" t="str">
        <f t="shared" si="17"/>
        <v>Shirlan</v>
      </c>
      <c r="D177" s="3713"/>
      <c r="E177" s="3717"/>
      <c r="F177" s="3706" t="str">
        <f>IF(((COUNTIF($F$5:$F72,"x"))-(COUNTIF($F$5:$F71,"x")))=0,"",COUNTIF($F$5:$F72,"x"))</f>
        <v/>
      </c>
      <c r="G177" s="3707" t="str">
        <f>IF(((COUNTIF($G$5:$G72,"x"))-(COUNTIF($G$5:$G71,"x")))=0,"",COUNTIF($G$5:$G72,"x"))</f>
        <v/>
      </c>
      <c r="H177" s="3707" t="str">
        <f>IF(((COUNTIF($H$5:$H72,"x"))-(COUNTIF($H$5:$H71,"x")))=0,"",COUNTIF($H$5:$H72,"x"))</f>
        <v/>
      </c>
      <c r="I177" s="3707" t="str">
        <f>IF(((COUNTIF($I$5:I72,"x"))-(COUNTIF($I$5:I71,"x")))=0,"",COUNTIF($I$5:I72,"x"))</f>
        <v/>
      </c>
      <c r="J177" s="3715" t="str">
        <f>IF(((COUNTIF($J$5:J72,"x"))-(COUNTIF($J$5:J71,"x")))=0,"",COUNTIF($J$5:J72,"x"))</f>
        <v/>
      </c>
      <c r="K177" s="3715" t="str">
        <f>IF(((COUNTIF($K$5:K72,"x"))-(COUNTIF($K$5:K71,"x")))=0,"",COUNTIF($K$5:K72,"x"))</f>
        <v/>
      </c>
      <c r="L177" s="3715" t="str">
        <f>IF(((COUNTIF($L$5:L72,"x"))-(COUNTIF($L$5:L71,"x")))=0,"",COUNTIF($L$5:L72,"x"))</f>
        <v/>
      </c>
      <c r="M177" s="3715" t="str">
        <f>IF(((COUNTIF($M$5:M72,"x"))-(COUNTIF($M$5:M71,"x")))=0,"",COUNTIF($M$5:M72,"x"))</f>
        <v/>
      </c>
      <c r="N177" s="3715" t="str">
        <f>IF(((COUNTIF($N$5:N72,"x"))-(COUNTIF($N$5:N71,"x")))=0,"",COUNTIF($N$5:N72,"x"))</f>
        <v/>
      </c>
      <c r="O177" s="3715" t="str">
        <f>IF(((COUNTIF($O$5:O72,"x"))-(COUNTIF($O$5:O71,"x")))=0,"",COUNTIF($O$5:O72,"x"))</f>
        <v/>
      </c>
      <c r="P177" s="3707" t="str">
        <f>IF(((COUNTIF($P$5:P72,"x"))-(COUNTIF($P$5:P71,"x")))=0,"",COUNTIF($P$5:P72,"x"))</f>
        <v/>
      </c>
      <c r="Q177" s="3715" t="str">
        <f>IF(((COUNTIF($Q$5:Q72,"x"))-(COUNTIF($Q$5:Q71,"x")))=0,"",COUNTIF($Q$5:Q72,"x"))</f>
        <v/>
      </c>
      <c r="R177" s="3715" t="str">
        <f>IF(((COUNTIF($R$5:R72,"x"))-(COUNTIF($R$5:R71,"x")))=0,"",COUNTIF($R$5:R72,"x"))</f>
        <v/>
      </c>
      <c r="S177" s="3715" t="str">
        <f>IF(((COUNTIF($S$5:S72,"x"))-(COUNTIF($S$5:S71,"x")))=0,"",COUNTIF($S$5:S72,"x"))</f>
        <v/>
      </c>
      <c r="T177" s="3715" t="str">
        <f>IF(((COUNTIF($T$5:T72,"x"))-(COUNTIF($T$5:T71,"x")))=0,"",COUNTIF($T$5:T72,"x"))</f>
        <v/>
      </c>
      <c r="U177" s="3715" t="str">
        <f>IF(((COUNTIF($U$5:U72,"x"))-(COUNTIF($U$5:U71,"x")))=0,"",COUNTIF($U$5:U72,"x"))</f>
        <v/>
      </c>
      <c r="V177" s="3715" t="str">
        <f>IF(((COUNTIF($V$5:V72,"x"))-(COUNTIF($V$5:V71,"x")))=0,"",COUNTIF($V$5:V72,"x"))</f>
        <v/>
      </c>
      <c r="W177" s="3715" t="str">
        <f>IF(((COUNTIF($W$5:W72,"x"))-(COUNTIF($W$5:W71,"x")))=0,"",COUNTIF($W$5:W72,"x"))</f>
        <v/>
      </c>
      <c r="X177" s="3715" t="str">
        <f>IF(((COUNTIF($X$5:X72,"x"))-(COUNTIF($X$5:X71,"x")))=0,"",COUNTIF($X$5:X72,"x"))</f>
        <v/>
      </c>
      <c r="Y177" s="3715" t="str">
        <f>IF(((COUNTIF($Y$5:Y72,"x"))-(COUNTIF($Y$5:Y71,"x")))=0,"",COUNTIF($Y$5:Y72,"x"))</f>
        <v/>
      </c>
      <c r="Z177" s="3715" t="str">
        <f>IF(((COUNTIF($Z$5:Z72,"x"))-(COUNTIF($Z$5:Z71,"x")))=0,"",COUNTIF($Z$5:Z72,"x"))</f>
        <v/>
      </c>
      <c r="AA177" s="3715" t="str">
        <f>IF(((COUNTIF($AA$5:AA72,"x"))-(COUNTIF($AA$5:AA71,"x")))=0,"",COUNTIF($AA$5:AA72,"x"))</f>
        <v/>
      </c>
      <c r="AB177" s="3715">
        <f>IF(((COUNTIF($AB$5:AB72,"x"))-(COUNTIF($AB$5:AB71,"x")))=0,"",COUNTIF($AB$5:AB72,"x"))</f>
        <v>16</v>
      </c>
      <c r="AC177" s="3715" t="str">
        <f>IF(((COUNTIF($AC$5:AC72,"x"))-(COUNTIF($AC$5:AC71,"x")))=0,"",COUNTIF($AC$5:AC72,"x"))</f>
        <v/>
      </c>
      <c r="AD177" s="3707">
        <f>IF(((COUNTIF($AD$5:AD72,"x"))-(COUNTIF($AD$5:AD71,"x")))=0,"",COUNTIF($AD$5:AD72,"x"))</f>
        <v>64</v>
      </c>
      <c r="AE177" s="3715" t="str">
        <f>IF(((COUNTIF($AE$5:AE72,"x"))-(COUNTIF($AE$5:AE71,"x")))=0,"",COUNTIF($AE$5:AE72,"x"))</f>
        <v/>
      </c>
      <c r="AF177" s="3716" t="str">
        <f>IF(((COUNTIF($AF$5:AF72,"x"))-(COUNTIF($AF$5:AF71,"x")))=0,"",COUNTIF($AF$5:AF72,"x"))</f>
        <v/>
      </c>
      <c r="AG177" s="2120" t="str">
        <f t="shared" si="18"/>
        <v>Shirlan</v>
      </c>
    </row>
    <row r="178" spans="2:33" ht="18">
      <c r="B178" s="2136">
        <f t="shared" si="19"/>
        <v>69</v>
      </c>
      <c r="C178" s="3712" t="str">
        <f t="shared" si="17"/>
        <v>Spectrum Plus</v>
      </c>
      <c r="D178" s="3713"/>
      <c r="E178" s="3717"/>
      <c r="F178" s="3706" t="str">
        <f>IF(((COUNTIF($F$5:$F73,"x"))-(COUNTIF($F$5:$F72,"x")))=0,"",COUNTIF($F$5:$F73,"x"))</f>
        <v/>
      </c>
      <c r="G178" s="3707" t="str">
        <f>IF(((COUNTIF($G$5:$G73,"x"))-(COUNTIF($G$5:$G72,"x")))=0,"",COUNTIF($G$5:$G73,"x"))</f>
        <v/>
      </c>
      <c r="H178" s="3707" t="str">
        <f>IF(((COUNTIF($H$5:$H73,"x"))-(COUNTIF($H$5:$H72,"x")))=0,"",COUNTIF($H$5:$H73,"x"))</f>
        <v/>
      </c>
      <c r="I178" s="3707" t="str">
        <f>IF(((COUNTIF($I$5:I73,"x"))-(COUNTIF($I$5:I72,"x")))=0,"",COUNTIF($I$5:I73,"x"))</f>
        <v/>
      </c>
      <c r="J178" s="3715" t="str">
        <f>IF(((COUNTIF($J$5:J73,"x"))-(COUNTIF($J$5:J72,"x")))=0,"",COUNTIF($J$5:J73,"x"))</f>
        <v/>
      </c>
      <c r="K178" s="3715" t="str">
        <f>IF(((COUNTIF($K$5:K73,"x"))-(COUNTIF($K$5:K72,"x")))=0,"",COUNTIF($K$5:K73,"x"))</f>
        <v/>
      </c>
      <c r="L178" s="3715" t="str">
        <f>IF(((COUNTIF($L$5:L73,"x"))-(COUNTIF($L$5:L72,"x")))=0,"",COUNTIF($L$5:L73,"x"))</f>
        <v/>
      </c>
      <c r="M178" s="3715" t="str">
        <f>IF(((COUNTIF($M$5:M73,"x"))-(COUNTIF($M$5:M72,"x")))=0,"",COUNTIF($M$5:M73,"x"))</f>
        <v/>
      </c>
      <c r="N178" s="3715" t="str">
        <f>IF(((COUNTIF($N$5:N73,"x"))-(COUNTIF($N$5:N72,"x")))=0,"",COUNTIF($N$5:N73,"x"))</f>
        <v/>
      </c>
      <c r="O178" s="3715" t="str">
        <f>IF(((COUNTIF($O$5:O73,"x"))-(COUNTIF($O$5:O72,"x")))=0,"",COUNTIF($O$5:O73,"x"))</f>
        <v/>
      </c>
      <c r="P178" s="3707" t="str">
        <f>IF(((COUNTIF($P$5:P73,"x"))-(COUNTIF($P$5:P72,"x")))=0,"",COUNTIF($P$5:P73,"x"))</f>
        <v/>
      </c>
      <c r="Q178" s="3715" t="str">
        <f>IF(((COUNTIF($Q$5:Q73,"x"))-(COUNTIF($Q$5:Q72,"x")))=0,"",COUNTIF($Q$5:Q73,"x"))</f>
        <v/>
      </c>
      <c r="R178" s="3715">
        <f>IF(((COUNTIF($R$5:R73,"x"))-(COUNTIF($R$5:R72,"x")))=0,"",COUNTIF($R$5:R73,"x"))</f>
        <v>12</v>
      </c>
      <c r="S178" s="3715" t="str">
        <f>IF(((COUNTIF($S$5:S73,"x"))-(COUNTIF($S$5:S72,"x")))=0,"",COUNTIF($S$5:S73,"x"))</f>
        <v/>
      </c>
      <c r="T178" s="3715" t="str">
        <f>IF(((COUNTIF($T$5:T73,"x"))-(COUNTIF($T$5:T72,"x")))=0,"",COUNTIF($T$5:T73,"x"))</f>
        <v/>
      </c>
      <c r="U178" s="3715">
        <f>IF(((COUNTIF($U$5:U73,"x"))-(COUNTIF($U$5:U72,"x")))=0,"",COUNTIF($U$5:U73,"x"))</f>
        <v>8</v>
      </c>
      <c r="V178" s="3715">
        <f>IF(((COUNTIF($V$5:V73,"x"))-(COUNTIF($V$5:V72,"x")))=0,"",COUNTIF($V$5:V73,"x"))</f>
        <v>8</v>
      </c>
      <c r="W178" s="3715" t="str">
        <f>IF(((COUNTIF($W$5:W73,"x"))-(COUNTIF($W$5:W72,"x")))=0,"",COUNTIF($W$5:W73,"x"))</f>
        <v/>
      </c>
      <c r="X178" s="3715">
        <f>IF(((COUNTIF($X$5:X73,"x"))-(COUNTIF($X$5:X72,"x")))=0,"",COUNTIF($X$5:X73,"x"))</f>
        <v>9</v>
      </c>
      <c r="Y178" s="3715">
        <f>IF(((COUNTIF($Y$5:Y73,"x"))-(COUNTIF($Y$5:Y72,"x")))=0,"",COUNTIF($Y$5:Y73,"x"))</f>
        <v>10</v>
      </c>
      <c r="Z178" s="3715">
        <f>IF(((COUNTIF($Z$5:Z73,"x"))-(COUNTIF($Z$5:Z72,"x")))=0,"",COUNTIF($Z$5:Z73,"x"))</f>
        <v>3</v>
      </c>
      <c r="AA178" s="3715" t="str">
        <f>IF(((COUNTIF($AA$5:AA73,"x"))-(COUNTIF($AA$5:AA72,"x")))=0,"",COUNTIF($AA$5:AA73,"x"))</f>
        <v/>
      </c>
      <c r="AB178" s="3715" t="str">
        <f>IF(((COUNTIF($AB$5:AB73,"x"))-(COUNTIF($AB$5:AB72,"x")))=0,"",COUNTIF($AB$5:AB73,"x"))</f>
        <v/>
      </c>
      <c r="AC178" s="3715" t="str">
        <f>IF(((COUNTIF($AC$5:AC73,"x"))-(COUNTIF($AC$5:AC72,"x")))=0,"",COUNTIF($AC$5:AC73,"x"))</f>
        <v/>
      </c>
      <c r="AD178" s="3707">
        <f>IF(((COUNTIF($AD$5:AD73,"x"))-(COUNTIF($AD$5:AD72,"x")))=0,"",COUNTIF($AD$5:AD73,"x"))</f>
        <v>65</v>
      </c>
      <c r="AE178" s="3715" t="str">
        <f>IF(((COUNTIF($AE$5:AE73,"x"))-(COUNTIF($AE$5:AE72,"x")))=0,"",COUNTIF($AE$5:AE73,"x"))</f>
        <v/>
      </c>
      <c r="AF178" s="3716" t="str">
        <f>IF(((COUNTIF($AF$5:AF73,"x"))-(COUNTIF($AF$5:AF72,"x")))=0,"",COUNTIF($AF$5:AF73,"x"))</f>
        <v/>
      </c>
      <c r="AG178" s="2120" t="str">
        <f t="shared" si="18"/>
        <v>Spectrum Plus</v>
      </c>
    </row>
    <row r="179" spans="2:33" ht="18">
      <c r="B179" s="2136">
        <f t="shared" si="19"/>
        <v>70</v>
      </c>
      <c r="C179" s="3712" t="str">
        <f t="shared" si="17"/>
        <v>Starane XL</v>
      </c>
      <c r="D179" s="3713"/>
      <c r="E179" s="3717"/>
      <c r="F179" s="3706">
        <f>IF(((COUNTIF($F$5:$F74,"x"))-(COUNTIF($F$5:$F73,"x")))=0,"",COUNTIF($F$5:$F74,"x"))</f>
        <v>27</v>
      </c>
      <c r="G179" s="3707" t="str">
        <f>IF(((COUNTIF($G$5:$G74,"x"))-(COUNTIF($G$5:$G73,"x")))=0,"",COUNTIF($G$5:$G74,"x"))</f>
        <v/>
      </c>
      <c r="H179" s="3707">
        <f>IF(((COUNTIF($H$5:$H74,"x"))-(COUNTIF($H$5:$H73,"x")))=0,"",COUNTIF($H$5:$H74,"x"))</f>
        <v>27</v>
      </c>
      <c r="I179" s="3707">
        <f>IF(((COUNTIF($I$5:I74,"x"))-(COUNTIF($I$5:I73,"x")))=0,"",COUNTIF($I$5:I74,"x"))</f>
        <v>25</v>
      </c>
      <c r="J179" s="3715">
        <f>IF(((COUNTIF($J$5:J74,"x"))-(COUNTIF($J$5:J73,"x")))=0,"",COUNTIF($J$5:J74,"x"))</f>
        <v>24</v>
      </c>
      <c r="K179" s="3715">
        <f>IF(((COUNTIF($K$5:K74,"x"))-(COUNTIF($K$5:K73,"x")))=0,"",COUNTIF($K$5:K74,"x"))</f>
        <v>21</v>
      </c>
      <c r="L179" s="3715">
        <f>IF(((COUNTIF($L$5:L74,"x"))-(COUNTIF($L$5:L73,"x")))=0,"",COUNTIF($L$5:L74,"x"))</f>
        <v>22</v>
      </c>
      <c r="M179" s="3715">
        <f>IF(((COUNTIF($M$5:M74,"x"))-(COUNTIF($M$5:M73,"x")))=0,"",COUNTIF($M$5:M74,"x"))</f>
        <v>22</v>
      </c>
      <c r="N179" s="3715">
        <f>IF(((COUNTIF($N$5:N74,"x"))-(COUNTIF($N$5:N73,"x")))=0,"",COUNTIF($N$5:N74,"x"))</f>
        <v>11</v>
      </c>
      <c r="O179" s="3715">
        <f>IF(((COUNTIF($O$5:O74,"x"))-(COUNTIF($O$5:O73,"x")))=0,"",COUNTIF($O$5:O74,"x"))</f>
        <v>16</v>
      </c>
      <c r="P179" s="3707">
        <f>IF(((COUNTIF($P$5:P74,"x"))-(COUNTIF($P$5:P73,"x")))=0,"",COUNTIF($P$5:P74,"x"))</f>
        <v>12</v>
      </c>
      <c r="Q179" s="3715" t="str">
        <f>IF(((COUNTIF($Q$5:Q74,"x"))-(COUNTIF($Q$5:Q73,"x")))=0,"",COUNTIF($Q$5:Q74,"x"))</f>
        <v/>
      </c>
      <c r="R179" s="3715" t="str">
        <f>IF(((COUNTIF($R$5:R74,"x"))-(COUNTIF($R$5:R73,"x")))=0,"",COUNTIF($R$5:R74,"x"))</f>
        <v/>
      </c>
      <c r="S179" s="3715" t="str">
        <f>IF(((COUNTIF($S$5:S74,"x"))-(COUNTIF($S$5:S73,"x")))=0,"",COUNTIF($S$5:S74,"x"))</f>
        <v/>
      </c>
      <c r="T179" s="3715" t="str">
        <f>IF(((COUNTIF($T$5:T74,"x"))-(COUNTIF($T$5:T73,"x")))=0,"",COUNTIF($T$5:T74,"x"))</f>
        <v/>
      </c>
      <c r="U179" s="3715" t="str">
        <f>IF(((COUNTIF($U$5:U74,"x"))-(COUNTIF($U$5:U73,"x")))=0,"",COUNTIF($U$5:U74,"x"))</f>
        <v/>
      </c>
      <c r="V179" s="3715" t="str">
        <f>IF(((COUNTIF($V$5:V74,"x"))-(COUNTIF($V$5:V73,"x")))=0,"",COUNTIF($V$5:V74,"x"))</f>
        <v/>
      </c>
      <c r="W179" s="3715" t="str">
        <f>IF(((COUNTIF($W$5:W74,"x"))-(COUNTIF($W$5:W73,"x")))=0,"",COUNTIF($W$5:W74,"x"))</f>
        <v/>
      </c>
      <c r="X179" s="3715" t="str">
        <f>IF(((COUNTIF($X$5:X74,"x"))-(COUNTIF($X$5:X73,"x")))=0,"",COUNTIF($X$5:X74,"x"))</f>
        <v/>
      </c>
      <c r="Y179" s="3715" t="str">
        <f>IF(((COUNTIF($Y$5:Y74,"x"))-(COUNTIF($Y$5:Y73,"x")))=0,"",COUNTIF($Y$5:Y74,"x"))</f>
        <v/>
      </c>
      <c r="Z179" s="3715" t="str">
        <f>IF(((COUNTIF($Z$5:Z74,"x"))-(COUNTIF($Z$5:Z73,"x")))=0,"",COUNTIF($Z$5:Z74,"x"))</f>
        <v/>
      </c>
      <c r="AA179" s="3715" t="str">
        <f>IF(((COUNTIF($AA$5:AA74,"x"))-(COUNTIF($AA$5:AA73,"x")))=0,"",COUNTIF($AA$5:AA74,"x"))</f>
        <v/>
      </c>
      <c r="AB179" s="3715" t="str">
        <f>IF(((COUNTIF($AB$5:AB74,"x"))-(COUNTIF($AB$5:AB73,"x")))=0,"",COUNTIF($AB$5:AB74,"x"))</f>
        <v/>
      </c>
      <c r="AC179" s="3715" t="str">
        <f>IF(((COUNTIF($AC$5:AC74,"x"))-(COUNTIF($AC$5:AC73,"x")))=0,"",COUNTIF($AC$5:AC74,"x"))</f>
        <v/>
      </c>
      <c r="AD179" s="3707">
        <f>IF(((COUNTIF($AD$5:AD74,"x"))-(COUNTIF($AD$5:AD73,"x")))=0,"",COUNTIF($AD$5:AD74,"x"))</f>
        <v>66</v>
      </c>
      <c r="AE179" s="3715" t="str">
        <f>IF(((COUNTIF($AE$5:AE74,"x"))-(COUNTIF($AE$5:AE73,"x")))=0,"",COUNTIF($AE$5:AE74,"x"))</f>
        <v/>
      </c>
      <c r="AF179" s="3716" t="str">
        <f>IF(((COUNTIF($AF$5:AF74,"x"))-(COUNTIF($AF$5:AF73,"x")))=0,"",COUNTIF($AF$5:AF74,"x"))</f>
        <v/>
      </c>
      <c r="AG179" s="2120" t="str">
        <f t="shared" si="18"/>
        <v>Starane XL</v>
      </c>
    </row>
    <row r="180" spans="2:33" ht="18">
      <c r="B180" s="2136">
        <f t="shared" si="19"/>
        <v>71</v>
      </c>
      <c r="C180" s="3712">
        <f t="shared" si="17"/>
        <v>0</v>
      </c>
      <c r="D180" s="3713"/>
      <c r="E180" s="3717"/>
      <c r="F180" s="3706" t="str">
        <f>IF(((COUNTIF($F$5:$F75,"x"))-(COUNTIF($F$5:$F74,"x")))=0,"",COUNTIF($F$5:$F75,"x"))</f>
        <v/>
      </c>
      <c r="G180" s="3707" t="str">
        <f>IF(((COUNTIF($G$5:$G75,"x"))-(COUNTIF($G$5:$G74,"x")))=0,"",COUNTIF($G$5:$G75,"x"))</f>
        <v/>
      </c>
      <c r="H180" s="3707" t="str">
        <f>IF(((COUNTIF($H$5:$H75,"x"))-(COUNTIF($H$5:$H74,"x")))=0,"",COUNTIF($H$5:$H75,"x"))</f>
        <v/>
      </c>
      <c r="I180" s="3707" t="str">
        <f>IF(((COUNTIF($I$5:I75,"x"))-(COUNTIF($I$5:I74,"x")))=0,"",COUNTIF($I$5:I75,"x"))</f>
        <v/>
      </c>
      <c r="J180" s="3715" t="str">
        <f>IF(((COUNTIF($J$5:J75,"x"))-(COUNTIF($J$5:J74,"x")))=0,"",COUNTIF($J$5:J75,"x"))</f>
        <v/>
      </c>
      <c r="K180" s="3715" t="str">
        <f>IF(((COUNTIF($K$5:K75,"x"))-(COUNTIF($K$5:K74,"x")))=0,"",COUNTIF($K$5:K75,"x"))</f>
        <v/>
      </c>
      <c r="L180" s="3715" t="str">
        <f>IF(((COUNTIF($L$5:L75,"x"))-(COUNTIF($L$5:L74,"x")))=0,"",COUNTIF($L$5:L75,"x"))</f>
        <v/>
      </c>
      <c r="M180" s="3715" t="str">
        <f>IF(((COUNTIF($M$5:M75,"x"))-(COUNTIF($M$5:M74,"x")))=0,"",COUNTIF($M$5:M75,"x"))</f>
        <v/>
      </c>
      <c r="N180" s="3715" t="str">
        <f>IF(((COUNTIF($N$5:N75,"x"))-(COUNTIF($N$5:N74,"x")))=0,"",COUNTIF($N$5:N75,"x"))</f>
        <v/>
      </c>
      <c r="O180" s="3715" t="str">
        <f>IF(((COUNTIF($O$5:O75,"x"))-(COUNTIF($O$5:O74,"x")))=0,"",COUNTIF($O$5:O75,"x"))</f>
        <v/>
      </c>
      <c r="P180" s="3707" t="str">
        <f>IF(((COUNTIF($P$5:P75,"x"))-(COUNTIF($P$5:P74,"x")))=0,"",COUNTIF($P$5:P75,"x"))</f>
        <v/>
      </c>
      <c r="Q180" s="3715" t="str">
        <f>IF(((COUNTIF($Q$5:Q75,"x"))-(COUNTIF($Q$5:Q74,"x")))=0,"",COUNTIF($Q$5:Q75,"x"))</f>
        <v/>
      </c>
      <c r="R180" s="3715" t="str">
        <f>IF(((COUNTIF($R$5:R75,"x"))-(COUNTIF($R$5:R74,"x")))=0,"",COUNTIF($R$5:R75,"x"))</f>
        <v/>
      </c>
      <c r="S180" s="3715" t="str">
        <f>IF(((COUNTIF($S$5:S75,"x"))-(COUNTIF($S$5:S74,"x")))=0,"",COUNTIF($S$5:S75,"x"))</f>
        <v/>
      </c>
      <c r="T180" s="3715" t="str">
        <f>IF(((COUNTIF($T$5:T75,"x"))-(COUNTIF($T$5:T74,"x")))=0,"",COUNTIF($T$5:T75,"x"))</f>
        <v/>
      </c>
      <c r="U180" s="3715" t="str">
        <f>IF(((COUNTIF($U$5:U75,"x"))-(COUNTIF($U$5:U74,"x")))=0,"",COUNTIF($U$5:U75,"x"))</f>
        <v/>
      </c>
      <c r="V180" s="3715" t="str">
        <f>IF(((COUNTIF($V$5:V75,"x"))-(COUNTIF($V$5:V74,"x")))=0,"",COUNTIF($V$5:V75,"x"))</f>
        <v/>
      </c>
      <c r="W180" s="3715" t="str">
        <f>IF(((COUNTIF($W$5:W75,"x"))-(COUNTIF($W$5:W74,"x")))=0,"",COUNTIF($W$5:W75,"x"))</f>
        <v/>
      </c>
      <c r="X180" s="3715" t="str">
        <f>IF(((COUNTIF($X$5:X75,"x"))-(COUNTIF($X$5:X74,"x")))=0,"",COUNTIF($X$5:X75,"x"))</f>
        <v/>
      </c>
      <c r="Y180" s="3715" t="str">
        <f>IF(((COUNTIF($Y$5:Y75,"x"))-(COUNTIF($Y$5:Y74,"x")))=0,"",COUNTIF($Y$5:Y75,"x"))</f>
        <v/>
      </c>
      <c r="Z180" s="3715" t="str">
        <f>IF(((COUNTIF($Z$5:Z75,"x"))-(COUNTIF($Z$5:Z74,"x")))=0,"",COUNTIF($Z$5:Z75,"x"))</f>
        <v/>
      </c>
      <c r="AA180" s="3715" t="str">
        <f>IF(((COUNTIF($AA$5:AA75,"x"))-(COUNTIF($AA$5:AA74,"x")))=0,"",COUNTIF($AA$5:AA75,"x"))</f>
        <v/>
      </c>
      <c r="AB180" s="3715" t="str">
        <f>IF(((COUNTIF($AB$5:AB75,"x"))-(COUNTIF($AB$5:AB74,"x")))=0,"",COUNTIF($AB$5:AB75,"x"))</f>
        <v/>
      </c>
      <c r="AC180" s="3715" t="str">
        <f>IF(((COUNTIF($AC$5:AC75,"x"))-(COUNTIF($AC$5:AC74,"x")))=0,"",COUNTIF($AC$5:AC75,"x"))</f>
        <v/>
      </c>
      <c r="AD180" s="3707" t="str">
        <f>IF(((COUNTIF($AD$5:AD75,"x"))-(COUNTIF($AD$5:AD74,"x")))=0,"",COUNTIF($AD$5:AD75,"x"))</f>
        <v/>
      </c>
      <c r="AE180" s="3715" t="str">
        <f>IF(((COUNTIF($AE$5:AE75,"x"))-(COUNTIF($AE$5:AE74,"x")))=0,"",COUNTIF($AE$5:AE75,"x"))</f>
        <v/>
      </c>
      <c r="AF180" s="3716" t="str">
        <f>IF(((COUNTIF($AF$5:AF75,"x"))-(COUNTIF($AF$5:AF74,"x")))=0,"",COUNTIF($AF$5:AF75,"x"))</f>
        <v/>
      </c>
      <c r="AG180" s="2120">
        <f t="shared" si="18"/>
        <v>0</v>
      </c>
    </row>
    <row r="181" spans="2:33" ht="18">
      <c r="B181" s="2136">
        <f t="shared" si="19"/>
        <v>72</v>
      </c>
      <c r="C181" s="3712" t="str">
        <f t="shared" si="17"/>
        <v>Stomp Aqua</v>
      </c>
      <c r="D181" s="3713"/>
      <c r="E181" s="3717"/>
      <c r="F181" s="3706">
        <f>IF(((COUNTIF($F$5:$F76,"x"))-(COUNTIF($F$5:$F75,"x")))=0,"",COUNTIF($F$5:$F76,"x"))</f>
        <v>28</v>
      </c>
      <c r="G181" s="3707">
        <f>IF(((COUNTIF($G$5:$G76,"x"))-(COUNTIF($G$5:$G75,"x")))=0,"",COUNTIF($G$5:$G76,"x"))</f>
        <v>21</v>
      </c>
      <c r="H181" s="3707">
        <f>IF(((COUNTIF($H$5:$H76,"x"))-(COUNTIF($H$5:$H75,"x")))=0,"",COUNTIF($H$5:$H76,"x"))</f>
        <v>28</v>
      </c>
      <c r="I181" s="3707">
        <f>IF(((COUNTIF($I$5:I76,"x"))-(COUNTIF($I$5:I75,"x")))=0,"",COUNTIF($I$5:I76,"x"))</f>
        <v>26</v>
      </c>
      <c r="J181" s="3715">
        <f>IF(((COUNTIF($J$5:J76,"x"))-(COUNTIF($J$5:J75,"x")))=0,"",COUNTIF($J$5:J76,"x"))</f>
        <v>25</v>
      </c>
      <c r="K181" s="3715" t="str">
        <f>IF(((COUNTIF($K$5:K76,"x"))-(COUNTIF($K$5:K75,"x")))=0,"",COUNTIF($K$5:K76,"x"))</f>
        <v/>
      </c>
      <c r="L181" s="3715" t="str">
        <f>IF(((COUNTIF($L$5:L76,"x"))-(COUNTIF($L$5:L75,"x")))=0,"",COUNTIF($L$5:L76,"x"))</f>
        <v/>
      </c>
      <c r="M181" s="3715" t="str">
        <f>IF(((COUNTIF($M$5:M76,"x"))-(COUNTIF($M$5:M75,"x")))=0,"",COUNTIF($M$5:M76,"x"))</f>
        <v/>
      </c>
      <c r="N181" s="3715" t="str">
        <f>IF(((COUNTIF($N$5:N76,"x"))-(COUNTIF($N$5:N75,"x")))=0,"",COUNTIF($N$5:N76,"x"))</f>
        <v/>
      </c>
      <c r="O181" s="3715" t="str">
        <f>IF(((COUNTIF($O$5:O76,"x"))-(COUNTIF($O$5:O75,"x")))=0,"",COUNTIF($O$5:O76,"x"))</f>
        <v/>
      </c>
      <c r="P181" s="3707" t="str">
        <f>IF(((COUNTIF($P$5:P76,"x"))-(COUNTIF($P$5:P75,"x")))=0,"",COUNTIF($P$5:P76,"x"))</f>
        <v/>
      </c>
      <c r="Q181" s="3715">
        <f>IF(((COUNTIF($Q$5:Q76,"x"))-(COUNTIF($Q$5:Q75,"x")))=0,"",COUNTIF($Q$5:Q76,"x"))</f>
        <v>3</v>
      </c>
      <c r="R181" s="3715">
        <f>IF(((COUNTIF($R$5:R76,"x"))-(COUNTIF($R$5:R75,"x")))=0,"",COUNTIF($R$5:R76,"x"))</f>
        <v>13</v>
      </c>
      <c r="S181" s="3715">
        <f>IF(((COUNTIF($S$5:S76,"x"))-(COUNTIF($S$5:S75,"x")))=0,"",COUNTIF($S$5:S76,"x"))</f>
        <v>19</v>
      </c>
      <c r="T181" s="3715">
        <f>IF(((COUNTIF($T$5:T76,"x"))-(COUNTIF($T$5:T75,"x")))=0,"",COUNTIF($T$5:T76,"x"))</f>
        <v>11</v>
      </c>
      <c r="U181" s="3715">
        <f>IF(((COUNTIF($U$5:U76,"x"))-(COUNTIF($U$5:U75,"x")))=0,"",COUNTIF($U$5:U76,"x"))</f>
        <v>9</v>
      </c>
      <c r="V181" s="3715">
        <f>IF(((COUNTIF($V$5:V76,"x"))-(COUNTIF($V$5:V75,"x")))=0,"",COUNTIF($V$5:V76,"x"))</f>
        <v>9</v>
      </c>
      <c r="W181" s="3715" t="str">
        <f>IF(((COUNTIF($W$5:W76,"x"))-(COUNTIF($W$5:W75,"x")))=0,"",COUNTIF($W$5:W76,"x"))</f>
        <v/>
      </c>
      <c r="X181" s="3715">
        <f>IF(((COUNTIF($X$5:X76,"x"))-(COUNTIF($X$5:X75,"x")))=0,"",COUNTIF($X$5:X76,"x"))</f>
        <v>10</v>
      </c>
      <c r="Y181" s="3715">
        <f>IF(((COUNTIF($Y$5:Y76,"x"))-(COUNTIF($Y$5:Y75,"x")))=0,"",COUNTIF($Y$5:Y76,"x"))</f>
        <v>11</v>
      </c>
      <c r="Z181" s="3715">
        <f>IF(((COUNTIF($Z$5:Z76,"x"))-(COUNTIF($Z$5:Z75,"x")))=0,"",COUNTIF($Z$5:Z76,"x"))</f>
        <v>4</v>
      </c>
      <c r="AA181" s="3715" t="str">
        <f>IF(((COUNTIF($AA$5:AA76,"x"))-(COUNTIF($AA$5:AA75,"x")))=0,"",COUNTIF($AA$5:AA76,"x"))</f>
        <v/>
      </c>
      <c r="AB181" s="3715" t="str">
        <f>IF(((COUNTIF($AB$5:AB76,"x"))-(COUNTIF($AB$5:AB75,"x")))=0,"",COUNTIF($AB$5:AB76,"x"))</f>
        <v/>
      </c>
      <c r="AC181" s="3715" t="str">
        <f>IF(((COUNTIF($AC$5:AC76,"x"))-(COUNTIF($AC$5:AC75,"x")))=0,"",COUNTIF($AC$5:AC76,"x"))</f>
        <v/>
      </c>
      <c r="AD181" s="3707">
        <f>IF(((COUNTIF($AD$5:AD76,"x"))-(COUNTIF($AD$5:AD75,"x")))=0,"",COUNTIF($AD$5:AD76,"x"))</f>
        <v>67</v>
      </c>
      <c r="AE181" s="3715" t="str">
        <f>IF(((COUNTIF($AE$5:AE76,"x"))-(COUNTIF($AE$5:AE75,"x")))=0,"",COUNTIF($AE$5:AE76,"x"))</f>
        <v/>
      </c>
      <c r="AF181" s="3716" t="str">
        <f>IF(((COUNTIF($AF$5:AF76,"x"))-(COUNTIF($AF$5:AF75,"x")))=0,"",COUNTIF($AF$5:AF76,"x"))</f>
        <v/>
      </c>
      <c r="AG181" s="2120" t="str">
        <f t="shared" si="18"/>
        <v>Stomp Aqua</v>
      </c>
    </row>
    <row r="182" spans="2:33" ht="18">
      <c r="B182" s="2136">
        <f t="shared" si="19"/>
        <v>73</v>
      </c>
      <c r="C182" s="3712" t="str">
        <f t="shared" si="17"/>
        <v>Teppeki</v>
      </c>
      <c r="D182" s="3713"/>
      <c r="E182" s="3717"/>
      <c r="F182" s="3706">
        <f>IF(((COUNTIF($F$5:$F77,"x"))-(COUNTIF($F$5:$F76,"x")))=0,"",COUNTIF($F$5:$F77,"x"))</f>
        <v>29</v>
      </c>
      <c r="G182" s="3707" t="str">
        <f>IF(((COUNTIF($G$5:$G77,"x"))-(COUNTIF($G$5:$G76,"x")))=0,"",COUNTIF($G$5:$G77,"x"))</f>
        <v/>
      </c>
      <c r="H182" s="3707" t="str">
        <f>IF(((COUNTIF($H$5:$H77,"x"))-(COUNTIF($H$5:$H76,"x")))=0,"",COUNTIF($H$5:$H77,"x"))</f>
        <v/>
      </c>
      <c r="I182" s="3707" t="str">
        <f>IF(((COUNTIF($I$5:I77,"x"))-(COUNTIF($I$5:I76,"x")))=0,"",COUNTIF($I$5:I77,"x"))</f>
        <v/>
      </c>
      <c r="J182" s="3715" t="str">
        <f>IF(((COUNTIF($J$5:J77,"x"))-(COUNTIF($J$5:J76,"x")))=0,"",COUNTIF($J$5:J77,"x"))</f>
        <v/>
      </c>
      <c r="K182" s="3715" t="str">
        <f>IF(((COUNTIF($K$5:K77,"x"))-(COUNTIF($K$5:K76,"x")))=0,"",COUNTIF($K$5:K77,"x"))</f>
        <v/>
      </c>
      <c r="L182" s="3715" t="str">
        <f>IF(((COUNTIF($L$5:L77,"x"))-(COUNTIF($L$5:L76,"x")))=0,"",COUNTIF($L$5:L77,"x"))</f>
        <v/>
      </c>
      <c r="M182" s="3715" t="str">
        <f>IF(((COUNTIF($M$5:M77,"x"))-(COUNTIF($M$5:M76,"x")))=0,"",COUNTIF($M$5:M77,"x"))</f>
        <v/>
      </c>
      <c r="N182" s="3715" t="str">
        <f>IF(((COUNTIF($N$5:N77,"x"))-(COUNTIF($N$5:N76,"x")))=0,"",COUNTIF($N$5:N77,"x"))</f>
        <v/>
      </c>
      <c r="O182" s="3715" t="str">
        <f>IF(((COUNTIF($O$5:O77,"x"))-(COUNTIF($O$5:O76,"x")))=0,"",COUNTIF($O$5:O77,"x"))</f>
        <v/>
      </c>
      <c r="P182" s="3707" t="str">
        <f>IF(((COUNTIF($P$5:P77,"x"))-(COUNTIF($P$5:P76,"x")))=0,"",COUNTIF($P$5:P77,"x"))</f>
        <v/>
      </c>
      <c r="Q182" s="3715" t="str">
        <f>IF(((COUNTIF($Q$5:Q77,"x"))-(COUNTIF($Q$5:Q76,"x")))=0,"",COUNTIF($Q$5:Q77,"x"))</f>
        <v/>
      </c>
      <c r="R182" s="3715" t="str">
        <f>IF(((COUNTIF($R$5:R77,"x"))-(COUNTIF($R$5:R76,"x")))=0,"",COUNTIF($R$5:R77,"x"))</f>
        <v/>
      </c>
      <c r="S182" s="3715" t="str">
        <f>IF(((COUNTIF($S$5:S77,"x"))-(COUNTIF($S$5:S76,"x")))=0,"",COUNTIF($S$5:S77,"x"))</f>
        <v/>
      </c>
      <c r="T182" s="3715" t="str">
        <f>IF(((COUNTIF($T$5:T77,"x"))-(COUNTIF($T$5:T76,"x")))=0,"",COUNTIF($T$5:T77,"x"))</f>
        <v/>
      </c>
      <c r="U182" s="3715" t="str">
        <f>IF(((COUNTIF($U$5:U77,"x"))-(COUNTIF($U$5:U76,"x")))=0,"",COUNTIF($U$5:U77,"x"))</f>
        <v/>
      </c>
      <c r="V182" s="3715" t="str">
        <f>IF(((COUNTIF($V$5:V77,"x"))-(COUNTIF($V$5:V76,"x")))=0,"",COUNTIF($V$5:V77,"x"))</f>
        <v/>
      </c>
      <c r="W182" s="3715" t="str">
        <f>IF(((COUNTIF($W$5:W77,"x"))-(COUNTIF($W$5:W76,"x")))=0,"",COUNTIF($W$5:W77,"x"))</f>
        <v/>
      </c>
      <c r="X182" s="3715" t="str">
        <f>IF(((COUNTIF($X$5:X77,"x"))-(COUNTIF($X$5:X76,"x")))=0,"",COUNTIF($X$5:X77,"x"))</f>
        <v/>
      </c>
      <c r="Y182" s="3715" t="str">
        <f>IF(((COUNTIF($Y$5:Y77,"x"))-(COUNTIF($Y$5:Y76,"x")))=0,"",COUNTIF($Y$5:Y77,"x"))</f>
        <v/>
      </c>
      <c r="Z182" s="3715" t="str">
        <f>IF(((COUNTIF($Z$5:Z77,"x"))-(COUNTIF($Z$5:Z76,"x")))=0,"",COUNTIF($Z$5:Z77,"x"))</f>
        <v/>
      </c>
      <c r="AA182" s="3715" t="str">
        <f>IF(((COUNTIF($AA$5:AA77,"x"))-(COUNTIF($AA$5:AA76,"x")))=0,"",COUNTIF($AA$5:AA77,"x"))</f>
        <v/>
      </c>
      <c r="AB182" s="3715">
        <f>IF(((COUNTIF($AB$5:AB77,"x"))-(COUNTIF($AB$5:AB76,"x")))=0,"",COUNTIF($AB$5:AB77,"x"))</f>
        <v>17</v>
      </c>
      <c r="AC182" s="3715" t="str">
        <f>IF(((COUNTIF($AC$5:AC77,"x"))-(COUNTIF($AC$5:AC76,"x")))=0,"",COUNTIF($AC$5:AC77,"x"))</f>
        <v/>
      </c>
      <c r="AD182" s="3707">
        <f>IF(((COUNTIF($AD$5:AD77,"x"))-(COUNTIF($AD$5:AD76,"x")))=0,"",COUNTIF($AD$5:AD77,"x"))</f>
        <v>68</v>
      </c>
      <c r="AE182" s="3715" t="str">
        <f>IF(((COUNTIF($AE$5:AE77,"x"))-(COUNTIF($AE$5:AE76,"x")))=0,"",COUNTIF($AE$5:AE77,"x"))</f>
        <v/>
      </c>
      <c r="AF182" s="3716" t="str">
        <f>IF(((COUNTIF($AF$5:AF77,"x"))-(COUNTIF($AF$5:AF76,"x")))=0,"",COUNTIF($AF$5:AF77,"x"))</f>
        <v/>
      </c>
      <c r="AG182" s="2120" t="str">
        <f t="shared" si="18"/>
        <v>Teppeki</v>
      </c>
    </row>
    <row r="183" spans="2:33" ht="18">
      <c r="B183" s="2136">
        <f t="shared" si="19"/>
        <v>74</v>
      </c>
      <c r="C183" s="3712" t="str">
        <f t="shared" si="17"/>
        <v>Tilmor</v>
      </c>
      <c r="D183" s="3713"/>
      <c r="E183" s="3717"/>
      <c r="F183" s="3706" t="str">
        <f>IF(((COUNTIF($F$5:$F78,"x"))-(COUNTIF($F$5:$F77,"x")))=0,"",COUNTIF($F$5:$F78,"x"))</f>
        <v/>
      </c>
      <c r="G183" s="3707" t="str">
        <f>IF(((COUNTIF($G$5:$G78,"x"))-(COUNTIF($G$5:$G77,"x")))=0,"",COUNTIF($G$5:$G78,"x"))</f>
        <v/>
      </c>
      <c r="H183" s="3707" t="str">
        <f>IF(((COUNTIF($H$5:$H78,"x"))-(COUNTIF($H$5:$H77,"x")))=0,"",COUNTIF($H$5:$H78,"x"))</f>
        <v/>
      </c>
      <c r="I183" s="3707" t="str">
        <f>IF(((COUNTIF($I$5:I78,"x"))-(COUNTIF($I$5:I77,"x")))=0,"",COUNTIF($I$5:I78,"x"))</f>
        <v/>
      </c>
      <c r="J183" s="3715" t="str">
        <f>IF(((COUNTIF($J$5:J78,"x"))-(COUNTIF($J$5:J77,"x")))=0,"",COUNTIF($J$5:J78,"x"))</f>
        <v/>
      </c>
      <c r="K183" s="3715" t="str">
        <f>IF(((COUNTIF($K$5:K78,"x"))-(COUNTIF($K$5:K77,"x")))=0,"",COUNTIF($K$5:K78,"x"))</f>
        <v/>
      </c>
      <c r="L183" s="3715" t="str">
        <f>IF(((COUNTIF($L$5:L78,"x"))-(COUNTIF($L$5:L77,"x")))=0,"",COUNTIF($L$5:L78,"x"))</f>
        <v/>
      </c>
      <c r="M183" s="3715" t="str">
        <f>IF(((COUNTIF($M$5:M78,"x"))-(COUNTIF($M$5:M77,"x")))=0,"",COUNTIF($M$5:M78,"x"))</f>
        <v/>
      </c>
      <c r="N183" s="3715" t="str">
        <f>IF(((COUNTIF($N$5:N78,"x"))-(COUNTIF($N$5:N77,"x")))=0,"",COUNTIF($N$5:N78,"x"))</f>
        <v/>
      </c>
      <c r="O183" s="3715" t="str">
        <f>IF(((COUNTIF($O$5:O78,"x"))-(COUNTIF($O$5:O77,"x")))=0,"",COUNTIF($O$5:O78,"x"))</f>
        <v/>
      </c>
      <c r="P183" s="3707" t="str">
        <f>IF(((COUNTIF($P$5:P78,"x"))-(COUNTIF($P$5:P77,"x")))=0,"",COUNTIF($P$5:P78,"x"))</f>
        <v/>
      </c>
      <c r="Q183" s="3715" t="str">
        <f>IF(((COUNTIF($Q$5:Q78,"x"))-(COUNTIF($Q$5:Q77,"x")))=0,"",COUNTIF($Q$5:Q78,"x"))</f>
        <v/>
      </c>
      <c r="R183" s="3715" t="str">
        <f>IF(((COUNTIF($R$5:R78,"x"))-(COUNTIF($R$5:R77,"x")))=0,"",COUNTIF($R$5:R78,"x"))</f>
        <v/>
      </c>
      <c r="S183" s="3715">
        <f>IF(((COUNTIF($S$5:S78,"x"))-(COUNTIF($S$5:S77,"x")))=0,"",COUNTIF($S$5:S78,"x"))</f>
        <v>20</v>
      </c>
      <c r="T183" s="3715" t="str">
        <f>IF(((COUNTIF($T$5:T78,"x"))-(COUNTIF($T$5:T77,"x")))=0,"",COUNTIF($T$5:T78,"x"))</f>
        <v/>
      </c>
      <c r="U183" s="3715" t="str">
        <f>IF(((COUNTIF($U$5:U78,"x"))-(COUNTIF($U$5:U77,"x")))=0,"",COUNTIF($U$5:U78,"x"))</f>
        <v/>
      </c>
      <c r="V183" s="3715" t="str">
        <f>IF(((COUNTIF($V$5:V78,"x"))-(COUNTIF($V$5:V77,"x")))=0,"",COUNTIF($V$5:V78,"x"))</f>
        <v/>
      </c>
      <c r="W183" s="3715" t="str">
        <f>IF(((COUNTIF($W$5:W78,"x"))-(COUNTIF($W$5:W77,"x")))=0,"",COUNTIF($W$5:W78,"x"))</f>
        <v/>
      </c>
      <c r="X183" s="3715" t="str">
        <f>IF(((COUNTIF($X$5:X78,"x"))-(COUNTIF($X$5:X77,"x")))=0,"",COUNTIF($X$5:X78,"x"))</f>
        <v/>
      </c>
      <c r="Y183" s="3715" t="str">
        <f>IF(((COUNTIF($Y$5:Y78,"x"))-(COUNTIF($Y$5:Y77,"x")))=0,"",COUNTIF($Y$5:Y78,"x"))</f>
        <v/>
      </c>
      <c r="Z183" s="3715" t="str">
        <f>IF(((COUNTIF($Z$5:Z78,"x"))-(COUNTIF($Z$5:Z77,"x")))=0,"",COUNTIF($Z$5:Z78,"x"))</f>
        <v/>
      </c>
      <c r="AA183" s="3715" t="str">
        <f>IF(((COUNTIF($AA$5:AA78,"x"))-(COUNTIF($AA$5:AA77,"x")))=0,"",COUNTIF($AA$5:AA78,"x"))</f>
        <v/>
      </c>
      <c r="AB183" s="3715" t="str">
        <f>IF(((COUNTIF($AB$5:AB78,"x"))-(COUNTIF($AB$5:AB77,"x")))=0,"",COUNTIF($AB$5:AB78,"x"))</f>
        <v/>
      </c>
      <c r="AC183" s="3715" t="str">
        <f>IF(((COUNTIF($AC$5:AC78,"x"))-(COUNTIF($AC$5:AC77,"x")))=0,"",COUNTIF($AC$5:AC78,"x"))</f>
        <v/>
      </c>
      <c r="AD183" s="3707">
        <f>IF(((COUNTIF($AD$5:AD78,"x"))-(COUNTIF($AD$5:AD77,"x")))=0,"",COUNTIF($AD$5:AD78,"x"))</f>
        <v>69</v>
      </c>
      <c r="AE183" s="3715" t="str">
        <f>IF(((COUNTIF($AE$5:AE78,"x"))-(COUNTIF($AE$5:AE77,"x")))=0,"",COUNTIF($AE$5:AE78,"x"))</f>
        <v/>
      </c>
      <c r="AF183" s="3716" t="str">
        <f>IF(((COUNTIF($AF$5:AF78,"x"))-(COUNTIF($AF$5:AF77,"x")))=0,"",COUNTIF($AF$5:AF78,"x"))</f>
        <v/>
      </c>
      <c r="AG183" s="2120" t="str">
        <f t="shared" si="18"/>
        <v>Tilmor</v>
      </c>
    </row>
    <row r="184" spans="2:33" ht="18">
      <c r="B184" s="2136">
        <f t="shared" si="19"/>
        <v>75</v>
      </c>
      <c r="C184" s="3712" t="str">
        <f t="shared" si="17"/>
        <v>Traxos</v>
      </c>
      <c r="D184" s="3713"/>
      <c r="E184" s="3717"/>
      <c r="F184" s="3706">
        <f>IF(((COUNTIF($F$5:$F79,"x"))-(COUNTIF($F$5:$F78,"x")))=0,"",COUNTIF($F$5:$F79,"x"))</f>
        <v>30</v>
      </c>
      <c r="G184" s="3707" t="str">
        <f>IF(((COUNTIF($G$5:$G79,"x"))-(COUNTIF($G$5:$G78,"x")))=0,"",COUNTIF($G$5:$G79,"x"))</f>
        <v/>
      </c>
      <c r="H184" s="3707">
        <f>IF(((COUNTIF($H$5:$H79,"x"))-(COUNTIF($H$5:$H78,"x")))=0,"",COUNTIF($H$5:$H79,"x"))</f>
        <v>29</v>
      </c>
      <c r="I184" s="3707">
        <f>IF(((COUNTIF($I$5:I79,"x"))-(COUNTIF($I$5:I78,"x")))=0,"",COUNTIF($I$5:I79,"x"))</f>
        <v>27</v>
      </c>
      <c r="J184" s="3715" t="str">
        <f>IF(((COUNTIF($J$5:J79,"x"))-(COUNTIF($J$5:J78,"x")))=0,"",COUNTIF($J$5:J79,"x"))</f>
        <v/>
      </c>
      <c r="K184" s="3715" t="str">
        <f>IF(((COUNTIF($K$5:K79,"x"))-(COUNTIF($K$5:K78,"x")))=0,"",COUNTIF($K$5:K79,"x"))</f>
        <v/>
      </c>
      <c r="L184" s="3715" t="str">
        <f>IF(((COUNTIF($L$5:L79,"x"))-(COUNTIF($L$5:L78,"x")))=0,"",COUNTIF($L$5:L79,"x"))</f>
        <v/>
      </c>
      <c r="M184" s="3715" t="str">
        <f>IF(((COUNTIF($M$5:M79,"x"))-(COUNTIF($M$5:M78,"x")))=0,"",COUNTIF($M$5:M79,"x"))</f>
        <v/>
      </c>
      <c r="N184" s="3715" t="str">
        <f>IF(((COUNTIF($N$5:N79,"x"))-(COUNTIF($N$5:N78,"x")))=0,"",COUNTIF($N$5:N79,"x"))</f>
        <v/>
      </c>
      <c r="O184" s="3715" t="str">
        <f>IF(((COUNTIF($O$5:O79,"x"))-(COUNTIF($O$5:O78,"x")))=0,"",COUNTIF($O$5:O79,"x"))</f>
        <v/>
      </c>
      <c r="P184" s="3707" t="str">
        <f>IF(((COUNTIF($P$5:P79,"x"))-(COUNTIF($P$5:P78,"x")))=0,"",COUNTIF($P$5:P79,"x"))</f>
        <v/>
      </c>
      <c r="Q184" s="3715" t="str">
        <f>IF(((COUNTIF($Q$5:Q79,"x"))-(COUNTIF($Q$5:Q78,"x")))=0,"",COUNTIF($Q$5:Q79,"x"))</f>
        <v/>
      </c>
      <c r="R184" s="3715" t="str">
        <f>IF(((COUNTIF($R$5:R79,"x"))-(COUNTIF($R$5:R78,"x")))=0,"",COUNTIF($R$5:R79,"x"))</f>
        <v/>
      </c>
      <c r="S184" s="3715" t="str">
        <f>IF(((COUNTIF($S$5:S79,"x"))-(COUNTIF($S$5:S78,"x")))=0,"",COUNTIF($S$5:S79,"x"))</f>
        <v/>
      </c>
      <c r="T184" s="3715" t="str">
        <f>IF(((COUNTIF($T$5:T79,"x"))-(COUNTIF($T$5:T78,"x")))=0,"",COUNTIF($T$5:T79,"x"))</f>
        <v/>
      </c>
      <c r="U184" s="3715" t="str">
        <f>IF(((COUNTIF($U$5:U79,"x"))-(COUNTIF($U$5:U78,"x")))=0,"",COUNTIF($U$5:U79,"x"))</f>
        <v/>
      </c>
      <c r="V184" s="3715" t="str">
        <f>IF(((COUNTIF($V$5:V79,"x"))-(COUNTIF($V$5:V78,"x")))=0,"",COUNTIF($V$5:V79,"x"))</f>
        <v/>
      </c>
      <c r="W184" s="3715" t="str">
        <f>IF(((COUNTIF($W$5:W79,"x"))-(COUNTIF($W$5:W78,"x")))=0,"",COUNTIF($W$5:W79,"x"))</f>
        <v/>
      </c>
      <c r="X184" s="3715" t="str">
        <f>IF(((COUNTIF($X$5:X79,"x"))-(COUNTIF($X$5:X78,"x")))=0,"",COUNTIF($X$5:X79,"x"))</f>
        <v/>
      </c>
      <c r="Y184" s="3715" t="str">
        <f>IF(((COUNTIF($Y$5:Y79,"x"))-(COUNTIF($Y$5:Y78,"x")))=0,"",COUNTIF($Y$5:Y79,"x"))</f>
        <v/>
      </c>
      <c r="Z184" s="3715" t="str">
        <f>IF(((COUNTIF($Z$5:Z79,"x"))-(COUNTIF($Z$5:Z78,"x")))=0,"",COUNTIF($Z$5:Z79,"x"))</f>
        <v/>
      </c>
      <c r="AA184" s="3715" t="str">
        <f>IF(((COUNTIF($AA$5:AA79,"x"))-(COUNTIF($AA$5:AA78,"x")))=0,"",COUNTIF($AA$5:AA79,"x"))</f>
        <v/>
      </c>
      <c r="AB184" s="3715" t="str">
        <f>IF(((COUNTIF($AB$5:AB79,"x"))-(COUNTIF($AB$5:AB78,"x")))=0,"",COUNTIF($AB$5:AB79,"x"))</f>
        <v/>
      </c>
      <c r="AC184" s="3715" t="str">
        <f>IF(((COUNTIF($AC$5:AC79,"x"))-(COUNTIF($AC$5:AC78,"x")))=0,"",COUNTIF($AC$5:AC79,"x"))</f>
        <v/>
      </c>
      <c r="AD184" s="3707">
        <f>IF(((COUNTIF($AD$5:AD79,"x"))-(COUNTIF($AD$5:AD78,"x")))=0,"",COUNTIF($AD$5:AD79,"x"))</f>
        <v>70</v>
      </c>
      <c r="AE184" s="3715" t="str">
        <f>IF(((COUNTIF($AE$5:AE79,"x"))-(COUNTIF($AE$5:AE78,"x")))=0,"",COUNTIF($AE$5:AE79,"x"))</f>
        <v/>
      </c>
      <c r="AF184" s="3716" t="str">
        <f>IF(((COUNTIF($AF$5:AF79,"x"))-(COUNTIF($AF$5:AF78,"x")))=0,"",COUNTIF($AF$5:AF79,"x"))</f>
        <v/>
      </c>
      <c r="AG184" s="2120" t="str">
        <f t="shared" si="18"/>
        <v>Traxos</v>
      </c>
    </row>
    <row r="185" spans="2:33" ht="18">
      <c r="B185" s="2136">
        <f t="shared" si="19"/>
        <v>76</v>
      </c>
      <c r="C185" s="3712" t="str">
        <f t="shared" si="17"/>
        <v>Trebon 30 EC</v>
      </c>
      <c r="D185" s="3713"/>
      <c r="E185" s="3717"/>
      <c r="F185" s="3706" t="str">
        <f>IF(((COUNTIF($F$5:$F80,"x"))-(COUNTIF($F$5:$F79,"x")))=0,"",COUNTIF($F$5:$F80,"x"))</f>
        <v/>
      </c>
      <c r="G185" s="3707" t="str">
        <f>IF(((COUNTIF($G$5:$G80,"x"))-(COUNTIF($G$5:$G79,"x")))=0,"",COUNTIF($G$5:$G80,"x"))</f>
        <v/>
      </c>
      <c r="H185" s="3707" t="str">
        <f>IF(((COUNTIF($H$5:$H80,"x"))-(COUNTIF($H$5:$H79,"x")))=0,"",COUNTIF($H$5:$H80,"x"))</f>
        <v/>
      </c>
      <c r="I185" s="3707" t="str">
        <f>IF(((COUNTIF($I$5:I80,"x"))-(COUNTIF($I$5:I79,"x")))=0,"",COUNTIF($I$5:I80,"x"))</f>
        <v/>
      </c>
      <c r="J185" s="3715" t="str">
        <f>IF(((COUNTIF($J$5:J80,"x"))-(COUNTIF($J$5:J79,"x")))=0,"",COUNTIF($J$5:J80,"x"))</f>
        <v/>
      </c>
      <c r="K185" s="3715" t="str">
        <f>IF(((COUNTIF($K$5:K80,"x"))-(COUNTIF($K$5:K79,"x")))=0,"",COUNTIF($K$5:K80,"x"))</f>
        <v/>
      </c>
      <c r="L185" s="3715" t="str">
        <f>IF(((COUNTIF($L$5:L80,"x"))-(COUNTIF($L$5:L79,"x")))=0,"",COUNTIF($L$5:L80,"x"))</f>
        <v/>
      </c>
      <c r="M185" s="3715" t="str">
        <f>IF(((COUNTIF($M$5:M80,"x"))-(COUNTIF($M$5:M79,"x")))=0,"",COUNTIF($M$5:M80,"x"))</f>
        <v/>
      </c>
      <c r="N185" s="3715" t="str">
        <f>IF(((COUNTIF($N$5:N80,"x"))-(COUNTIF($N$5:N79,"x")))=0,"",COUNTIF($N$5:N80,"x"))</f>
        <v/>
      </c>
      <c r="O185" s="3715" t="str">
        <f>IF(((COUNTIF($O$5:O80,"x"))-(COUNTIF($O$5:O79,"x")))=0,"",COUNTIF($O$5:O80,"x"))</f>
        <v/>
      </c>
      <c r="P185" s="3707" t="str">
        <f>IF(((COUNTIF($P$5:P80,"x"))-(COUNTIF($P$5:P79,"x")))=0,"",COUNTIF($P$5:P80,"x"))</f>
        <v/>
      </c>
      <c r="Q185" s="3715" t="str">
        <f>IF(((COUNTIF($Q$5:Q80,"x"))-(COUNTIF($Q$5:Q79,"x")))=0,"",COUNTIF($Q$5:Q80,"x"))</f>
        <v/>
      </c>
      <c r="R185" s="3715" t="str">
        <f>IF(((COUNTIF($R$5:R80,"x"))-(COUNTIF($R$5:R79,"x")))=0,"",COUNTIF($R$5:R80,"x"))</f>
        <v/>
      </c>
      <c r="S185" s="3715">
        <f>IF(((COUNTIF($S$5:S80,"x"))-(COUNTIF($S$5:S79,"x")))=0,"",COUNTIF($S$5:S80,"x"))</f>
        <v>21</v>
      </c>
      <c r="T185" s="3715">
        <f>IF(((COUNTIF($T$5:T80,"x"))-(COUNTIF($T$5:T79,"x")))=0,"",COUNTIF($T$5:T80,"x"))</f>
        <v>12</v>
      </c>
      <c r="U185" s="3715" t="str">
        <f>IF(((COUNTIF($U$5:U80,"x"))-(COUNTIF($U$5:U79,"x")))=0,"",COUNTIF($U$5:U80,"x"))</f>
        <v/>
      </c>
      <c r="V185" s="3715" t="str">
        <f>IF(((COUNTIF($V$5:V80,"x"))-(COUNTIF($V$5:V79,"x")))=0,"",COUNTIF($V$5:V80,"x"))</f>
        <v/>
      </c>
      <c r="W185" s="3715" t="str">
        <f>IF(((COUNTIF($W$5:W80,"x"))-(COUNTIF($W$5:W79,"x")))=0,"",COUNTIF($W$5:W80,"x"))</f>
        <v/>
      </c>
      <c r="X185" s="3715" t="str">
        <f>IF(((COUNTIF($X$5:X80,"x"))-(COUNTIF($X$5:X79,"x")))=0,"",COUNTIF($X$5:X80,"x"))</f>
        <v/>
      </c>
      <c r="Y185" s="3715" t="str">
        <f>IF(((COUNTIF($Y$5:Y80,"x"))-(COUNTIF($Y$5:Y79,"x")))=0,"",COUNTIF($Y$5:Y80,"x"))</f>
        <v/>
      </c>
      <c r="Z185" s="3715" t="str">
        <f>IF(((COUNTIF($Z$5:Z80,"x"))-(COUNTIF($Z$5:Z79,"x")))=0,"",COUNTIF($Z$5:Z80,"x"))</f>
        <v/>
      </c>
      <c r="AA185" s="3715" t="str">
        <f>IF(((COUNTIF($AA$5:AA80,"x"))-(COUNTIF($AA$5:AA79,"x")))=0,"",COUNTIF($AA$5:AA80,"x"))</f>
        <v/>
      </c>
      <c r="AB185" s="3715" t="str">
        <f>IF(((COUNTIF($AB$5:AB80,"x"))-(COUNTIF($AB$5:AB79,"x")))=0,"",COUNTIF($AB$5:AB80,"x"))</f>
        <v/>
      </c>
      <c r="AC185" s="3715" t="str">
        <f>IF(((COUNTIF($AC$5:AC80,"x"))-(COUNTIF($AC$5:AC79,"x")))=0,"",COUNTIF($AC$5:AC80,"x"))</f>
        <v/>
      </c>
      <c r="AD185" s="3707">
        <f>IF(((COUNTIF($AD$5:AD80,"x"))-(COUNTIF($AD$5:AD79,"x")))=0,"",COUNTIF($AD$5:AD80,"x"))</f>
        <v>71</v>
      </c>
      <c r="AE185" s="3715" t="str">
        <f>IF(((COUNTIF($AE$5:AE80,"x"))-(COUNTIF($AE$5:AE79,"x")))=0,"",COUNTIF($AE$5:AE80,"x"))</f>
        <v/>
      </c>
      <c r="AF185" s="3716" t="str">
        <f>IF(((COUNTIF($AF$5:AF80,"x"))-(COUNTIF($AF$5:AF79,"x")))=0,"",COUNTIF($AF$5:AF80,"x"))</f>
        <v/>
      </c>
      <c r="AG185" s="2120" t="str">
        <f t="shared" si="18"/>
        <v>Trebon 30 EC</v>
      </c>
    </row>
    <row r="186" spans="2:33" ht="18">
      <c r="B186" s="2136">
        <f t="shared" si="19"/>
        <v>77</v>
      </c>
      <c r="C186" s="3712" t="str">
        <f t="shared" si="17"/>
        <v>TRICHOGRAMMA</v>
      </c>
      <c r="D186" s="3713"/>
      <c r="E186" s="3717"/>
      <c r="F186" s="3706" t="str">
        <f>IF(((COUNTIF($F$5:$F81,"x"))-(COUNTIF($F$5:$F80,"x")))=0,"",COUNTIF($F$5:$F81,"x"))</f>
        <v/>
      </c>
      <c r="G186" s="3707" t="str">
        <f>IF(((COUNTIF($G$5:$G81,"x"))-(COUNTIF($G$5:$G80,"x")))=0,"",COUNTIF($G$5:$G81,"x"))</f>
        <v/>
      </c>
      <c r="H186" s="3707" t="str">
        <f>IF(((COUNTIF($H$5:$H81,"x"))-(COUNTIF($H$5:$H80,"x")))=0,"",COUNTIF($H$5:$H81,"x"))</f>
        <v/>
      </c>
      <c r="I186" s="3707" t="str">
        <f>IF(((COUNTIF($I$5:I81,"x"))-(COUNTIF($I$5:I80,"x")))=0,"",COUNTIF($I$5:I81,"x"))</f>
        <v/>
      </c>
      <c r="J186" s="3715" t="str">
        <f>IF(((COUNTIF($J$5:J81,"x"))-(COUNTIF($J$5:J80,"x")))=0,"",COUNTIF($J$5:J81,"x"))</f>
        <v/>
      </c>
      <c r="K186" s="3715" t="str">
        <f>IF(((COUNTIF($K$5:K81,"x"))-(COUNTIF($K$5:K80,"x")))=0,"",COUNTIF($K$5:K81,"x"))</f>
        <v/>
      </c>
      <c r="L186" s="3715" t="str">
        <f>IF(((COUNTIF($L$5:L81,"x"))-(COUNTIF($L$5:L80,"x")))=0,"",COUNTIF($L$5:L81,"x"))</f>
        <v/>
      </c>
      <c r="M186" s="3715" t="str">
        <f>IF(((COUNTIF($M$5:M81,"x"))-(COUNTIF($M$5:M80,"x")))=0,"",COUNTIF($M$5:M81,"x"))</f>
        <v/>
      </c>
      <c r="N186" s="3715" t="str">
        <f>IF(((COUNTIF($N$5:N81,"x"))-(COUNTIF($N$5:N80,"x")))=0,"",COUNTIF($N$5:N81,"x"))</f>
        <v/>
      </c>
      <c r="O186" s="3715" t="str">
        <f>IF(((COUNTIF($O$5:O81,"x"))-(COUNTIF($O$5:O80,"x")))=0,"",COUNTIF($O$5:O81,"x"))</f>
        <v/>
      </c>
      <c r="P186" s="3707" t="str">
        <f>IF(((COUNTIF($P$5:P81,"x"))-(COUNTIF($P$5:P80,"x")))=0,"",COUNTIF($P$5:P81,"x"))</f>
        <v/>
      </c>
      <c r="Q186" s="3715" t="str">
        <f>IF(((COUNTIF($Q$5:Q81,"x"))-(COUNTIF($Q$5:Q80,"x")))=0,"",COUNTIF($Q$5:Q81,"x"))</f>
        <v/>
      </c>
      <c r="R186" s="3715">
        <f>IF(((COUNTIF($R$5:R81,"x"))-(COUNTIF($R$5:R80,"x")))=0,"",COUNTIF($R$5:R81,"x"))</f>
        <v>14</v>
      </c>
      <c r="S186" s="3715" t="str">
        <f>IF(((COUNTIF($S$5:S81,"x"))-(COUNTIF($S$5:S80,"x")))=0,"",COUNTIF($S$5:S81,"x"))</f>
        <v/>
      </c>
      <c r="T186" s="3715" t="str">
        <f>IF(((COUNTIF($T$5:T81,"x"))-(COUNTIF($T$5:T80,"x")))=0,"",COUNTIF($T$5:T81,"x"))</f>
        <v/>
      </c>
      <c r="U186" s="3715" t="str">
        <f>IF(((COUNTIF($U$5:U81,"x"))-(COUNTIF($U$5:U80,"x")))=0,"",COUNTIF($U$5:U81,"x"))</f>
        <v/>
      </c>
      <c r="V186" s="3715" t="str">
        <f>IF(((COUNTIF($V$5:V81,"x"))-(COUNTIF($V$5:V80,"x")))=0,"",COUNTIF($V$5:V81,"x"))</f>
        <v/>
      </c>
      <c r="W186" s="3715" t="str">
        <f>IF(((COUNTIF($W$5:W81,"x"))-(COUNTIF($W$5:W80,"x")))=0,"",COUNTIF($W$5:W81,"x"))</f>
        <v/>
      </c>
      <c r="X186" s="3715" t="str">
        <f>IF(((COUNTIF($X$5:X81,"x"))-(COUNTIF($X$5:X80,"x")))=0,"",COUNTIF($X$5:X81,"x"))</f>
        <v/>
      </c>
      <c r="Y186" s="3715" t="str">
        <f>IF(((COUNTIF($Y$5:Y81,"x"))-(COUNTIF($Y$5:Y80,"x")))=0,"",COUNTIF($Y$5:Y81,"x"))</f>
        <v/>
      </c>
      <c r="Z186" s="3715" t="str">
        <f>IF(((COUNTIF($Z$5:Z81,"x"))-(COUNTIF($Z$5:Z80,"x")))=0,"",COUNTIF($Z$5:Z81,"x"))</f>
        <v/>
      </c>
      <c r="AA186" s="3715" t="str">
        <f>IF(((COUNTIF($AA$5:AA81,"x"))-(COUNTIF($AA$5:AA80,"x")))=0,"",COUNTIF($AA$5:AA81,"x"))</f>
        <v/>
      </c>
      <c r="AB186" s="3715" t="str">
        <f>IF(((COUNTIF($AB$5:AB81,"x"))-(COUNTIF($AB$5:AB80,"x")))=0,"",COUNTIF($AB$5:AB81,"x"))</f>
        <v/>
      </c>
      <c r="AC186" s="3715" t="str">
        <f>IF(((COUNTIF($AC$5:AC81,"x"))-(COUNTIF($AC$5:AC80,"x")))=0,"",COUNTIF($AC$5:AC81,"x"))</f>
        <v/>
      </c>
      <c r="AD186" s="3707">
        <f>IF(((COUNTIF($AD$5:AD81,"x"))-(COUNTIF($AD$5:AD80,"x")))=0,"",COUNTIF($AD$5:AD81,"x"))</f>
        <v>72</v>
      </c>
      <c r="AE186" s="3715" t="str">
        <f>IF(((COUNTIF($AE$5:AE81,"x"))-(COUNTIF($AE$5:AE80,"x")))=0,"",COUNTIF($AE$5:AE81,"x"))</f>
        <v/>
      </c>
      <c r="AF186" s="3716" t="str">
        <f>IF(((COUNTIF($AF$5:AF81,"x"))-(COUNTIF($AF$5:AF80,"x")))=0,"",COUNTIF($AF$5:AF81,"x"))</f>
        <v/>
      </c>
      <c r="AG186" s="2120" t="str">
        <f t="shared" si="18"/>
        <v>TRICHOGRAMMA</v>
      </c>
    </row>
    <row r="187" spans="2:33" ht="18">
      <c r="B187" s="2136">
        <f t="shared" si="19"/>
        <v>78</v>
      </c>
      <c r="C187" s="3712" t="str">
        <f t="shared" si="17"/>
        <v>Zypar</v>
      </c>
      <c r="D187" s="3713"/>
      <c r="E187" s="3717"/>
      <c r="F187" s="3706">
        <f>IF(((COUNTIF($F$5:$F82,"x"))-(COUNTIF($F$5:$F81,"x")))=0,"",COUNTIF($F$5:$F82,"x"))</f>
        <v>31</v>
      </c>
      <c r="G187" s="3707">
        <f>IF(((COUNTIF($G$5:$G82,"x"))-(COUNTIF($G$5:$G81,"x")))=0,"",COUNTIF($G$5:$G82,"x"))</f>
        <v>22</v>
      </c>
      <c r="H187" s="3707">
        <f>IF(((COUNTIF($H$5:$H82,"x"))-(COUNTIF($H$5:$H81,"x")))=0,"",COUNTIF($H$5:$H82,"x"))</f>
        <v>30</v>
      </c>
      <c r="I187" s="3707">
        <f>IF(((COUNTIF($I$5:I82,"x"))-(COUNTIF($I$5:I81,"x")))=0,"",COUNTIF($I$5:I82,"x"))</f>
        <v>28</v>
      </c>
      <c r="J187" s="3715">
        <f>IF(((COUNTIF($J$5:J82,"x"))-(COUNTIF($J$5:J81,"x")))=0,"",COUNTIF($J$5:J82,"x"))</f>
        <v>26</v>
      </c>
      <c r="K187" s="3715">
        <f>IF(((COUNTIF($K$5:K82,"x"))-(COUNTIF($K$5:K81,"x")))=0,"",COUNTIF($K$5:K82,"x"))</f>
        <v>22</v>
      </c>
      <c r="L187" s="3715">
        <f>IF(((COUNTIF($L$5:L82,"x"))-(COUNTIF($L$5:L81,"x")))=0,"",COUNTIF($L$5:L82,"x"))</f>
        <v>23</v>
      </c>
      <c r="M187" s="3715">
        <f>IF(((COUNTIF($M$5:M82,"x"))-(COUNTIF($M$5:M81,"x")))=0,"",COUNTIF($M$5:M82,"x"))</f>
        <v>23</v>
      </c>
      <c r="N187" s="3715" t="str">
        <f>IF(((COUNTIF($N$5:N82,"x"))-(COUNTIF($N$5:N81,"x")))=0,"",COUNTIF($N$5:N82,"x"))</f>
        <v/>
      </c>
      <c r="O187" s="3715">
        <f>IF(((COUNTIF($O$5:O82,"x"))-(COUNTIF($O$5:O81,"x")))=0,"",COUNTIF($O$5:O82,"x"))</f>
        <v>17</v>
      </c>
      <c r="P187" s="3707" t="str">
        <f>IF(((COUNTIF($P$5:P82,"x"))-(COUNTIF($P$5:P81,"x")))=0,"",COUNTIF($P$5:P82,"x"))</f>
        <v/>
      </c>
      <c r="Q187" s="3715" t="str">
        <f>IF(((COUNTIF($Q$5:Q82,"x"))-(COUNTIF($Q$5:Q81,"x")))=0,"",COUNTIF($Q$5:Q82,"x"))</f>
        <v/>
      </c>
      <c r="R187" s="3715" t="str">
        <f>IF(((COUNTIF($R$5:R82,"x"))-(COUNTIF($R$5:R81,"x")))=0,"",COUNTIF($R$5:R82,"x"))</f>
        <v/>
      </c>
      <c r="S187" s="3715" t="str">
        <f>IF(((COUNTIF($S$5:S82,"x"))-(COUNTIF($S$5:S81,"x")))=0,"",COUNTIF($S$5:S82,"x"))</f>
        <v/>
      </c>
      <c r="T187" s="3715" t="str">
        <f>IF(((COUNTIF($T$5:T82,"x"))-(COUNTIF($T$5:T81,"x")))=0,"",COUNTIF($T$5:T82,"x"))</f>
        <v/>
      </c>
      <c r="U187" s="3715" t="str">
        <f>IF(((COUNTIF($U$5:U82,"x"))-(COUNTIF($U$5:U81,"x")))=0,"",COUNTIF($U$5:U82,"x"))</f>
        <v/>
      </c>
      <c r="V187" s="3715" t="str">
        <f>IF(((COUNTIF($V$5:V82,"x"))-(COUNTIF($V$5:V81,"x")))=0,"",COUNTIF($V$5:V82,"x"))</f>
        <v/>
      </c>
      <c r="W187" s="3715" t="str">
        <f>IF(((COUNTIF($W$5:W82,"x"))-(COUNTIF($W$5:W81,"x")))=0,"",COUNTIF($W$5:W82,"x"))</f>
        <v/>
      </c>
      <c r="X187" s="3715" t="str">
        <f>IF(((COUNTIF($X$5:X82,"x"))-(COUNTIF($X$5:X81,"x")))=0,"",COUNTIF($X$5:X82,"x"))</f>
        <v/>
      </c>
      <c r="Y187" s="3715" t="str">
        <f>IF(((COUNTIF($Y$5:Y82,"x"))-(COUNTIF($Y$5:Y81,"x")))=0,"",COUNTIF($Y$5:Y82,"x"))</f>
        <v/>
      </c>
      <c r="Z187" s="3715" t="str">
        <f>IF(((COUNTIF($Z$5:Z82,"x"))-(COUNTIF($Z$5:Z81,"x")))=0,"",COUNTIF($Z$5:Z82,"x"))</f>
        <v/>
      </c>
      <c r="AA187" s="3715" t="str">
        <f>IF(((COUNTIF($AA$5:AA82,"x"))-(COUNTIF($AA$5:AA81,"x")))=0,"",COUNTIF($AA$5:AA82,"x"))</f>
        <v/>
      </c>
      <c r="AB187" s="3715" t="str">
        <f>IF(((COUNTIF($AB$5:AB82,"x"))-(COUNTIF($AB$5:AB81,"x")))=0,"",COUNTIF($AB$5:AB82,"x"))</f>
        <v/>
      </c>
      <c r="AC187" s="3715" t="str">
        <f>IF(((COUNTIF($AC$5:AC82,"x"))-(COUNTIF($AC$5:AC81,"x")))=0,"",COUNTIF($AC$5:AC82,"x"))</f>
        <v/>
      </c>
      <c r="AD187" s="3707">
        <f>IF(((COUNTIF($AD$5:AD82,"x"))-(COUNTIF($AD$5:AD81,"x")))=0,"",COUNTIF($AD$5:AD82,"x"))</f>
        <v>73</v>
      </c>
      <c r="AE187" s="3715" t="str">
        <f>IF(((COUNTIF($AE$5:AE82,"x"))-(COUNTIF($AE$5:AE81,"x")))=0,"",COUNTIF($AE$5:AE82,"x"))</f>
        <v/>
      </c>
      <c r="AF187" s="3716" t="str">
        <f>IF(((COUNTIF($AF$5:AF82,"x"))-(COUNTIF($AF$5:AF81,"x")))=0,"",COUNTIF($AF$5:AF82,"x"))</f>
        <v/>
      </c>
      <c r="AG187" s="2120" t="str">
        <f t="shared" si="18"/>
        <v>Zypar</v>
      </c>
    </row>
    <row r="188" spans="2:33" ht="18">
      <c r="B188" s="2136">
        <f t="shared" si="19"/>
        <v>79</v>
      </c>
      <c r="C188" s="3712" t="str">
        <f t="shared" si="17"/>
        <v>Spectrum</v>
      </c>
      <c r="D188" s="3713"/>
      <c r="E188" s="3717"/>
      <c r="F188" s="3706" t="str">
        <f>IF(((COUNTIF($F$5:$F83,"x"))-(COUNTIF($F$5:$F82,"x")))=0,"",COUNTIF($F$5:$F83,"x"))</f>
        <v/>
      </c>
      <c r="G188" s="3707" t="str">
        <f>IF(((COUNTIF($G$5:$G83,"x"))-(COUNTIF($G$5:$G82,"x")))=0,"",COUNTIF($G$5:$G83,"x"))</f>
        <v/>
      </c>
      <c r="H188" s="3707" t="str">
        <f>IF(((COUNTIF($H$5:$H83,"x"))-(COUNTIF($H$5:$H82,"x")))=0,"",COUNTIF($H$5:$H83,"x"))</f>
        <v/>
      </c>
      <c r="I188" s="3707" t="str">
        <f>IF(((COUNTIF($I$5:I83,"x"))-(COUNTIF($I$5:I82,"x")))=0,"",COUNTIF($I$5:I83,"x"))</f>
        <v/>
      </c>
      <c r="J188" s="3715" t="str">
        <f>IF(((COUNTIF($J$5:J83,"x"))-(COUNTIF($J$5:J82,"x")))=0,"",COUNTIF($J$5:J83,"x"))</f>
        <v/>
      </c>
      <c r="K188" s="3715" t="str">
        <f>IF(((COUNTIF($K$5:K83,"x"))-(COUNTIF($K$5:K82,"x")))=0,"",COUNTIF($K$5:K83,"x"))</f>
        <v/>
      </c>
      <c r="L188" s="3715" t="str">
        <f>IF(((COUNTIF($L$5:L83,"x"))-(COUNTIF($L$5:L82,"x")))=0,"",COUNTIF($L$5:L83,"x"))</f>
        <v/>
      </c>
      <c r="M188" s="3715" t="str">
        <f>IF(((COUNTIF($M$5:M83,"x"))-(COUNTIF($M$5:M82,"x")))=0,"",COUNTIF($M$5:M83,"x"))</f>
        <v/>
      </c>
      <c r="N188" s="3715" t="str">
        <f>IF(((COUNTIF($N$5:N83,"x"))-(COUNTIF($N$5:N82,"x")))=0,"",COUNTIF($N$5:N83,"x"))</f>
        <v/>
      </c>
      <c r="O188" s="3715" t="str">
        <f>IF(((COUNTIF($O$5:O83,"x"))-(COUNTIF($O$5:O82,"x")))=0,"",COUNTIF($O$5:O83,"x"))</f>
        <v/>
      </c>
      <c r="P188" s="3707">
        <f>IF(((COUNTIF($P$5:P83,"x"))-(COUNTIF($P$5:P82,"x")))=0,"",COUNTIF($P$5:P83,"x"))</f>
        <v>13</v>
      </c>
      <c r="Q188" s="3715">
        <f>IF(((COUNTIF($Q$5:Q83,"x"))-(COUNTIF($Q$5:Q82,"x")))=0,"",COUNTIF($Q$5:Q83,"x"))</f>
        <v>4</v>
      </c>
      <c r="R188" s="3715">
        <f>IF(((COUNTIF($R$5:R83,"x"))-(COUNTIF($R$5:R82,"x")))=0,"",COUNTIF($R$5:R83,"x"))</f>
        <v>15</v>
      </c>
      <c r="S188" s="3715" t="str">
        <f>IF(((COUNTIF($S$5:S83,"x"))-(COUNTIF($S$5:S82,"x")))=0,"",COUNTIF($S$5:S83,"x"))</f>
        <v/>
      </c>
      <c r="T188" s="3715" t="str">
        <f>IF(((COUNTIF($T$5:T83,"x"))-(COUNTIF($T$5:T82,"x")))=0,"",COUNTIF($T$5:T83,"x"))</f>
        <v/>
      </c>
      <c r="U188" s="3715" t="str">
        <f>IF(((COUNTIF($U$5:U83,"x"))-(COUNTIF($U$5:U82,"x")))=0,"",COUNTIF($U$5:U83,"x"))</f>
        <v/>
      </c>
      <c r="V188" s="3715">
        <f>IF(((COUNTIF($V$5:V83,"x"))-(COUNTIF($V$5:V82,"x")))=0,"",COUNTIF($V$5:V83,"x"))</f>
        <v>10</v>
      </c>
      <c r="W188" s="3715" t="str">
        <f>IF(((COUNTIF($W$5:W83,"x"))-(COUNTIF($W$5:W82,"x")))=0,"",COUNTIF($W$5:W83,"x"))</f>
        <v/>
      </c>
      <c r="X188" s="3715" t="str">
        <f>IF(((COUNTIF($X$5:X83,"x"))-(COUNTIF($X$5:X82,"x")))=0,"",COUNTIF($X$5:X83,"x"))</f>
        <v/>
      </c>
      <c r="Y188" s="3715" t="str">
        <f>IF(((COUNTIF($Y$5:Y83,"x"))-(COUNTIF($Y$5:Y82,"x")))=0,"",COUNTIF($Y$5:Y83,"x"))</f>
        <v/>
      </c>
      <c r="Z188" s="3715" t="str">
        <f>IF(((COUNTIF($Z$5:Z83,"x"))-(COUNTIF($Z$5:Z82,"x")))=0,"",COUNTIF($Z$5:Z83,"x"))</f>
        <v/>
      </c>
      <c r="AA188" s="3715">
        <f>IF(((COUNTIF($AA$5:AA83,"x"))-(COUNTIF($AA$5:AA82,"x")))=0,"",COUNTIF($AA$5:AA83,"x"))</f>
        <v>12</v>
      </c>
      <c r="AB188" s="3715">
        <f>IF(((COUNTIF($AB$5:AB83,"x"))-(COUNTIF($AB$5:AB82,"x")))=0,"",COUNTIF($AB$5:AB83,"x"))</f>
        <v>18</v>
      </c>
      <c r="AC188" s="3715" t="str">
        <f>IF(((COUNTIF($AC$5:AC83,"x"))-(COUNTIF($AC$5:AC82,"x")))=0,"",COUNTIF($AC$5:AC83,"x"))</f>
        <v/>
      </c>
      <c r="AD188" s="3707">
        <f>IF(((COUNTIF($AD$5:AD83,"x"))-(COUNTIF($AD$5:AD82,"x")))=0,"",COUNTIF($AD$5:AD83,"x"))</f>
        <v>74</v>
      </c>
      <c r="AE188" s="3715" t="str">
        <f>IF(((COUNTIF($AE$5:AE83,"x"))-(COUNTIF($AE$5:AE82,"x")))=0,"",COUNTIF($AE$5:AE83,"x"))</f>
        <v/>
      </c>
      <c r="AF188" s="3716" t="str">
        <f>IF(((COUNTIF($AF$5:AF83,"x"))-(COUNTIF($AF$5:AF82,"x")))=0,"",COUNTIF($AF$5:AF83,"x"))</f>
        <v/>
      </c>
      <c r="AG188" s="2120" t="str">
        <f t="shared" si="18"/>
        <v>Spectrum</v>
      </c>
    </row>
    <row r="189" spans="2:33" ht="18">
      <c r="B189" s="2136">
        <f t="shared" si="19"/>
        <v>80</v>
      </c>
      <c r="C189" s="3712">
        <f t="shared" si="17"/>
        <v>0</v>
      </c>
      <c r="D189" s="3713"/>
      <c r="E189" s="3717"/>
      <c r="F189" s="3706" t="str">
        <f>IF(((COUNTIF($F$5:$F84,"x"))-(COUNTIF($F$5:$F83,"x")))=0,"",COUNTIF($F$5:$F84,"x"))</f>
        <v/>
      </c>
      <c r="G189" s="3707" t="str">
        <f>IF(((COUNTIF($G$5:$G84,"x"))-(COUNTIF($G$5:$G83,"x")))=0,"",COUNTIF($G$5:$G84,"x"))</f>
        <v/>
      </c>
      <c r="H189" s="3707" t="str">
        <f>IF(((COUNTIF($H$5:$H84,"x"))-(COUNTIF($H$5:$H83,"x")))=0,"",COUNTIF($H$5:$H84,"x"))</f>
        <v/>
      </c>
      <c r="I189" s="3707" t="str">
        <f>IF(((COUNTIF($I$5:I84,"x"))-(COUNTIF($I$5:I83,"x")))=0,"",COUNTIF($I$5:I84,"x"))</f>
        <v/>
      </c>
      <c r="J189" s="3715" t="str">
        <f>IF(((COUNTIF($J$5:J84,"x"))-(COUNTIF($J$5:J83,"x")))=0,"",COUNTIF($J$5:J84,"x"))</f>
        <v/>
      </c>
      <c r="K189" s="3715" t="str">
        <f>IF(((COUNTIF($K$5:K84,"x"))-(COUNTIF($K$5:K83,"x")))=0,"",COUNTIF($K$5:K84,"x"))</f>
        <v/>
      </c>
      <c r="L189" s="3715" t="str">
        <f>IF(((COUNTIF($L$5:L84,"x"))-(COUNTIF($L$5:L83,"x")))=0,"",COUNTIF($L$5:L84,"x"))</f>
        <v/>
      </c>
      <c r="M189" s="3715" t="str">
        <f>IF(((COUNTIF($M$5:M84,"x"))-(COUNTIF($M$5:M83,"x")))=0,"",COUNTIF($M$5:M84,"x"))</f>
        <v/>
      </c>
      <c r="N189" s="3715" t="str">
        <f>IF(((COUNTIF($N$5:N84,"x"))-(COUNTIF($N$5:N83,"x")))=0,"",COUNTIF($N$5:N84,"x"))</f>
        <v/>
      </c>
      <c r="O189" s="3715" t="str">
        <f>IF(((COUNTIF($O$5:O84,"x"))-(COUNTIF($O$5:O83,"x")))=0,"",COUNTIF($O$5:O84,"x"))</f>
        <v/>
      </c>
      <c r="P189" s="3707">
        <f>IF(((COUNTIF($P$5:P84,"x"))-(COUNTIF($P$5:P83,"x")))=0,"",COUNTIF($P$5:P84,"x"))</f>
        <v>14</v>
      </c>
      <c r="Q189" s="3715" t="str">
        <f>IF(((COUNTIF($Q$5:Q84,"x"))-(COUNTIF($Q$5:Q83,"x")))=0,"",COUNTIF($Q$5:Q84,"x"))</f>
        <v/>
      </c>
      <c r="R189" s="3715" t="str">
        <f>IF(((COUNTIF($R$5:R84,"x"))-(COUNTIF($R$5:R83,"x")))=0,"",COUNTIF($R$5:R84,"x"))</f>
        <v/>
      </c>
      <c r="S189" s="3715" t="str">
        <f>IF(((COUNTIF($S$5:S84,"x"))-(COUNTIF($S$5:S83,"x")))=0,"",COUNTIF($S$5:S84,"x"))</f>
        <v/>
      </c>
      <c r="T189" s="3715" t="str">
        <f>IF(((COUNTIF($T$5:T84,"x"))-(COUNTIF($T$5:T83,"x")))=0,"",COUNTIF($T$5:T84,"x"))</f>
        <v/>
      </c>
      <c r="U189" s="3715" t="str">
        <f>IF(((COUNTIF($U$5:U84,"x"))-(COUNTIF($U$5:U83,"x")))=0,"",COUNTIF($U$5:U84,"x"))</f>
        <v/>
      </c>
      <c r="V189" s="3715" t="str">
        <f>IF(((COUNTIF($V$5:V84,"x"))-(COUNTIF($V$5:V83,"x")))=0,"",COUNTIF($V$5:V84,"x"))</f>
        <v/>
      </c>
      <c r="W189" s="3715" t="str">
        <f>IF(((COUNTIF($W$5:W84,"x"))-(COUNTIF($W$5:W83,"x")))=0,"",COUNTIF($W$5:W84,"x"))</f>
        <v/>
      </c>
      <c r="X189" s="3715" t="str">
        <f>IF(((COUNTIF($X$5:X84,"x"))-(COUNTIF($X$5:X83,"x")))=0,"",COUNTIF($X$5:X84,"x"))</f>
        <v/>
      </c>
      <c r="Y189" s="3715" t="str">
        <f>IF(((COUNTIF($Y$5:Y84,"x"))-(COUNTIF($Y$5:Y83,"x")))=0,"",COUNTIF($Y$5:Y84,"x"))</f>
        <v/>
      </c>
      <c r="Z189" s="3715" t="str">
        <f>IF(((COUNTIF($Z$5:Z84,"x"))-(COUNTIF($Z$5:Z83,"x")))=0,"",COUNTIF($Z$5:Z84,"x"))</f>
        <v/>
      </c>
      <c r="AA189" s="3715" t="str">
        <f>IF(((COUNTIF($AA$5:AA84,"x"))-(COUNTIF($AA$5:AA83,"x")))=0,"",COUNTIF($AA$5:AA84,"x"))</f>
        <v/>
      </c>
      <c r="AB189" s="3715" t="str">
        <f>IF(((COUNTIF($AB$5:AB84,"x"))-(COUNTIF($AB$5:AB83,"x")))=0,"",COUNTIF($AB$5:AB84,"x"))</f>
        <v/>
      </c>
      <c r="AC189" s="3715" t="str">
        <f>IF(((COUNTIF($AC$5:AC84,"x"))-(COUNTIF($AC$5:AC83,"x")))=0,"",COUNTIF($AC$5:AC84,"x"))</f>
        <v/>
      </c>
      <c r="AD189" s="3707" t="str">
        <f>IF(((COUNTIF($AD$5:AD84,"x"))-(COUNTIF($AD$5:AD83,"x")))=0,"",COUNTIF($AD$5:AD84,"x"))</f>
        <v/>
      </c>
      <c r="AE189" s="3715" t="str">
        <f>IF(((COUNTIF($AE$5:AE84,"x"))-(COUNTIF($AE$5:AE83,"x")))=0,"",COUNTIF($AE$5:AE84,"x"))</f>
        <v/>
      </c>
      <c r="AF189" s="3716" t="str">
        <f>IF(((COUNTIF($AF$5:AF84,"x"))-(COUNTIF($AF$5:AF83,"x")))=0,"",COUNTIF($AF$5:AF84,"x"))</f>
        <v/>
      </c>
      <c r="AG189" s="2120">
        <f t="shared" si="18"/>
        <v>0</v>
      </c>
    </row>
    <row r="190" spans="2:33" ht="18">
      <c r="B190" s="2136">
        <f t="shared" si="19"/>
        <v>81</v>
      </c>
      <c r="C190" s="3712" t="str">
        <f t="shared" si="17"/>
        <v>Univoq</v>
      </c>
      <c r="D190" s="3713"/>
      <c r="E190" s="3717"/>
      <c r="F190" s="3706">
        <f>IF(((COUNTIF($F$5:$F85,"x"))-(COUNTIF($F$5:$F84,"x")))=0,"",COUNTIF($F$5:$F85,"x"))</f>
        <v>32</v>
      </c>
      <c r="G190" s="3707">
        <f>IF(((COUNTIF($G$5:$G85,"x"))-(COUNTIF($G$5:$G84,"x")))=0,"",COUNTIF($G$5:$G85,"x"))</f>
        <v>23</v>
      </c>
      <c r="H190" s="3707">
        <f>IF(((COUNTIF($H$5:$H85,"x"))-(COUNTIF($H$5:$H84,"x")))=0,"",COUNTIF($H$5:$H85,"x"))</f>
        <v>31</v>
      </c>
      <c r="I190" s="3707">
        <f>IF(((COUNTIF($I$5:I85,"x"))-(COUNTIF($I$5:I84,"x")))=0,"",COUNTIF($I$5:I85,"x"))</f>
        <v>29</v>
      </c>
      <c r="J190" s="3715" t="str">
        <f>IF(((COUNTIF($J$5:J85,"x"))-(COUNTIF($J$5:J84,"x")))=0,"",COUNTIF($J$5:J85,"x"))</f>
        <v/>
      </c>
      <c r="K190" s="3715">
        <f>IF(((COUNTIF($K$5:K85,"x"))-(COUNTIF($K$5:K84,"x")))=0,"",COUNTIF($K$5:K85,"x"))</f>
        <v>23</v>
      </c>
      <c r="L190" s="3715" t="str">
        <f>IF(((COUNTIF($L$5:L85,"x"))-(COUNTIF($L$5:L84,"x")))=0,"",COUNTIF($L$5:L85,"x"))</f>
        <v/>
      </c>
      <c r="M190" s="3715" t="str">
        <f>IF(((COUNTIF($M$5:M85,"x"))-(COUNTIF($M$5:M84,"x")))=0,"",COUNTIF($M$5:M85,"x"))</f>
        <v/>
      </c>
      <c r="N190" s="3715" t="str">
        <f>IF(((COUNTIF($N$5:N85,"x"))-(COUNTIF($N$5:N84,"x")))=0,"",COUNTIF($N$5:N85,"x"))</f>
        <v/>
      </c>
      <c r="O190" s="3715" t="str">
        <f>IF(((COUNTIF($O$5:O85,"x"))-(COUNTIF($O$5:O84,"x")))=0,"",COUNTIF($O$5:O85,"x"))</f>
        <v/>
      </c>
      <c r="P190" s="3707">
        <f>IF(((COUNTIF($P$5:P85,"x"))-(COUNTIF($P$5:P84,"x")))=0,"",COUNTIF($P$5:P85,"x"))</f>
        <v>15</v>
      </c>
      <c r="Q190" s="3715" t="str">
        <f>IF(((COUNTIF($Q$5:Q85,"x"))-(COUNTIF($Q$5:Q84,"x")))=0,"",COUNTIF($Q$5:Q85,"x"))</f>
        <v/>
      </c>
      <c r="R190" s="3715" t="str">
        <f>IF(((COUNTIF($R$5:R85,"x"))-(COUNTIF($R$5:R84,"x")))=0,"",COUNTIF($R$5:R85,"x"))</f>
        <v/>
      </c>
      <c r="S190" s="3715" t="str">
        <f>IF(((COUNTIF($S$5:S85,"x"))-(COUNTIF($S$5:S84,"x")))=0,"",COUNTIF($S$5:S85,"x"))</f>
        <v/>
      </c>
      <c r="T190" s="3715" t="str">
        <f>IF(((COUNTIF($T$5:T85,"x"))-(COUNTIF($T$5:T84,"x")))=0,"",COUNTIF($T$5:T85,"x"))</f>
        <v/>
      </c>
      <c r="U190" s="3715" t="str">
        <f>IF(((COUNTIF($U$5:U85,"x"))-(COUNTIF($U$5:U84,"x")))=0,"",COUNTIF($U$5:U85,"x"))</f>
        <v/>
      </c>
      <c r="V190" s="3715" t="str">
        <f>IF(((COUNTIF($V$5:V85,"x"))-(COUNTIF($V$5:V84,"x")))=0,"",COUNTIF($V$5:V85,"x"))</f>
        <v/>
      </c>
      <c r="W190" s="3715" t="str">
        <f>IF(((COUNTIF($W$5:W85,"x"))-(COUNTIF($W$5:W84,"x")))=0,"",COUNTIF($W$5:W85,"x"))</f>
        <v/>
      </c>
      <c r="X190" s="3715" t="str">
        <f>IF(((COUNTIF($X$5:X85,"x"))-(COUNTIF($X$5:X84,"x")))=0,"",COUNTIF($X$5:X85,"x"))</f>
        <v/>
      </c>
      <c r="Y190" s="3715" t="str">
        <f>IF(((COUNTIF($Y$5:Y85,"x"))-(COUNTIF($Y$5:Y84,"x")))=0,"",COUNTIF($Y$5:Y85,"x"))</f>
        <v/>
      </c>
      <c r="Z190" s="3715" t="str">
        <f>IF(((COUNTIF($Z$5:Z85,"x"))-(COUNTIF($Z$5:Z84,"x")))=0,"",COUNTIF($Z$5:Z85,"x"))</f>
        <v/>
      </c>
      <c r="AA190" s="3715" t="str">
        <f>IF(((COUNTIF($AA$5:AA85,"x"))-(COUNTIF($AA$5:AA84,"x")))=0,"",COUNTIF($AA$5:AA85,"x"))</f>
        <v/>
      </c>
      <c r="AB190" s="3715" t="str">
        <f>IF(((COUNTIF($AB$5:AB85,"x"))-(COUNTIF($AB$5:AB84,"x")))=0,"",COUNTIF($AB$5:AB85,"x"))</f>
        <v/>
      </c>
      <c r="AC190" s="3715" t="str">
        <f>IF(((COUNTIF($AC$5:AC85,"x"))-(COUNTIF($AC$5:AC84,"x")))=0,"",COUNTIF($AC$5:AC85,"x"))</f>
        <v/>
      </c>
      <c r="AD190" s="3707">
        <f>IF(((COUNTIF($AD$5:AD85,"x"))-(COUNTIF($AD$5:AD84,"x")))=0,"",COUNTIF($AD$5:AD85,"x"))</f>
        <v>75</v>
      </c>
      <c r="AE190" s="3715" t="str">
        <f>IF(((COUNTIF($AE$5:AE85,"x"))-(COUNTIF($AE$5:AE84,"x")))=0,"",COUNTIF($AE$5:AE85,"x"))</f>
        <v/>
      </c>
      <c r="AF190" s="3716" t="str">
        <f>IF(((COUNTIF($AF$5:AF85,"x"))-(COUNTIF($AF$5:AF84,"x")))=0,"",COUNTIF($AF$5:AF85,"x"))</f>
        <v/>
      </c>
      <c r="AG190" s="2120" t="str">
        <f t="shared" si="18"/>
        <v>Univoq</v>
      </c>
    </row>
    <row r="191" spans="2:33" ht="18">
      <c r="B191" s="2136">
        <f t="shared" si="19"/>
        <v>82</v>
      </c>
      <c r="C191" s="3712">
        <f t="shared" si="17"/>
        <v>0</v>
      </c>
      <c r="D191" s="3713"/>
      <c r="E191" s="3717"/>
      <c r="F191" s="3706" t="str">
        <f>IF(((COUNTIF($F$5:$F86,"x"))-(COUNTIF($F$5:$F85,"x")))=0,"",COUNTIF($F$5:$F86,"x"))</f>
        <v/>
      </c>
      <c r="G191" s="3707" t="str">
        <f>IF(((COUNTIF($G$5:$G86,"x"))-(COUNTIF($G$5:$G85,"x")))=0,"",COUNTIF($G$5:$G86,"x"))</f>
        <v/>
      </c>
      <c r="H191" s="3707" t="str">
        <f>IF(((COUNTIF($H$5:$H86,"x"))-(COUNTIF($H$5:$H85,"x")))=0,"",COUNTIF($H$5:$H86,"x"))</f>
        <v/>
      </c>
      <c r="I191" s="3707" t="str">
        <f>IF(((COUNTIF($I$5:I86,"x"))-(COUNTIF($I$5:I85,"x")))=0,"",COUNTIF($I$5:I86,"x"))</f>
        <v/>
      </c>
      <c r="J191" s="3715" t="str">
        <f>IF(((COUNTIF($J$5:J86,"x"))-(COUNTIF($J$5:J85,"x")))=0,"",COUNTIF($J$5:J86,"x"))</f>
        <v/>
      </c>
      <c r="K191" s="3715" t="str">
        <f>IF(((COUNTIF($K$5:K86,"x"))-(COUNTIF($K$5:K85,"x")))=0,"",COUNTIF($K$5:K86,"x"))</f>
        <v/>
      </c>
      <c r="L191" s="3715" t="str">
        <f>IF(((COUNTIF($L$5:L86,"x"))-(COUNTIF($L$5:L85,"x")))=0,"",COUNTIF($L$5:L86,"x"))</f>
        <v/>
      </c>
      <c r="M191" s="3715" t="str">
        <f>IF(((COUNTIF($M$5:M86,"x"))-(COUNTIF($M$5:M85,"x")))=0,"",COUNTIF($M$5:M86,"x"))</f>
        <v/>
      </c>
      <c r="N191" s="3715" t="str">
        <f>IF(((COUNTIF($N$5:N86,"x"))-(COUNTIF($N$5:N85,"x")))=0,"",COUNTIF($N$5:N86,"x"))</f>
        <v/>
      </c>
      <c r="O191" s="3715" t="str">
        <f>IF(((COUNTIF($O$5:O86,"x"))-(COUNTIF($O$5:O85,"x")))=0,"",COUNTIF($O$5:O86,"x"))</f>
        <v/>
      </c>
      <c r="P191" s="3707" t="str">
        <f>IF(((COUNTIF($P$5:P86,"x"))-(COUNTIF($P$5:P85,"x")))=0,"",COUNTIF($P$5:P86,"x"))</f>
        <v/>
      </c>
      <c r="Q191" s="3715" t="str">
        <f>IF(((COUNTIF($Q$5:Q86,"x"))-(COUNTIF($Q$5:Q85,"x")))=0,"",COUNTIF($Q$5:Q86,"x"))</f>
        <v/>
      </c>
      <c r="R191" s="3715" t="str">
        <f>IF(((COUNTIF($R$5:R86,"x"))-(COUNTIF($R$5:R85,"x")))=0,"",COUNTIF($R$5:R86,"x"))</f>
        <v/>
      </c>
      <c r="S191" s="3715" t="str">
        <f>IF(((COUNTIF($S$5:S86,"x"))-(COUNTIF($S$5:S85,"x")))=0,"",COUNTIF($S$5:S86,"x"))</f>
        <v/>
      </c>
      <c r="T191" s="3715" t="str">
        <f>IF(((COUNTIF($T$5:T86,"x"))-(COUNTIF($T$5:T85,"x")))=0,"",COUNTIF($T$5:T86,"x"))</f>
        <v/>
      </c>
      <c r="U191" s="3715" t="str">
        <f>IF(((COUNTIF($U$5:U86,"x"))-(COUNTIF($U$5:U85,"x")))=0,"",COUNTIF($U$5:U86,"x"))</f>
        <v/>
      </c>
      <c r="V191" s="3715" t="str">
        <f>IF(((COUNTIF($V$5:V86,"x"))-(COUNTIF($V$5:V85,"x")))=0,"",COUNTIF($V$5:V86,"x"))</f>
        <v/>
      </c>
      <c r="W191" s="3715" t="str">
        <f>IF(((COUNTIF($W$5:W86,"x"))-(COUNTIF($W$5:W85,"x")))=0,"",COUNTIF($W$5:W86,"x"))</f>
        <v/>
      </c>
      <c r="X191" s="3715" t="str">
        <f>IF(((COUNTIF($X$5:X86,"x"))-(COUNTIF($X$5:X85,"x")))=0,"",COUNTIF($X$5:X86,"x"))</f>
        <v/>
      </c>
      <c r="Y191" s="3715" t="str">
        <f>IF(((COUNTIF($Y$5:Y86,"x"))-(COUNTIF($Y$5:Y85,"x")))=0,"",COUNTIF($Y$5:Y86,"x"))</f>
        <v/>
      </c>
      <c r="Z191" s="3715" t="str">
        <f>IF(((COUNTIF($Z$5:Z86,"x"))-(COUNTIF($Z$5:Z85,"x")))=0,"",COUNTIF($Z$5:Z86,"x"))</f>
        <v/>
      </c>
      <c r="AA191" s="3715" t="str">
        <f>IF(((COUNTIF($AA$5:AA86,"x"))-(COUNTIF($AA$5:AA85,"x")))=0,"",COUNTIF($AA$5:AA86,"x"))</f>
        <v/>
      </c>
      <c r="AB191" s="3715" t="str">
        <f>IF(((COUNTIF($AB$5:AB86,"x"))-(COUNTIF($AB$5:AB85,"x")))=0,"",COUNTIF($AB$5:AB86,"x"))</f>
        <v/>
      </c>
      <c r="AC191" s="3715" t="str">
        <f>IF(((COUNTIF($AC$5:AC86,"x"))-(COUNTIF($AC$5:AC85,"x")))=0,"",COUNTIF($AC$5:AC86,"x"))</f>
        <v/>
      </c>
      <c r="AD191" s="3707">
        <f>IF(((COUNTIF($AD$5:AD86,"x"))-(COUNTIF($AD$5:AD85,"x")))=0,"",COUNTIF($AD$5:AD86,"x"))</f>
        <v>76</v>
      </c>
      <c r="AE191" s="3715" t="str">
        <f>IF(((COUNTIF($AE$5:AE86,"x"))-(COUNTIF($AE$5:AE85,"x")))=0,"",COUNTIF($AE$5:AE86,"x"))</f>
        <v/>
      </c>
      <c r="AF191" s="3716" t="str">
        <f>IF(((COUNTIF($AF$5:AF86,"x"))-(COUNTIF($AF$5:AF85,"x")))=0,"",COUNTIF($AF$5:AF86,"x"))</f>
        <v/>
      </c>
      <c r="AG191" s="2120">
        <f t="shared" si="18"/>
        <v>0</v>
      </c>
    </row>
    <row r="192" spans="2:33" ht="18">
      <c r="B192" s="2136">
        <f t="shared" si="19"/>
        <v>83</v>
      </c>
      <c r="C192" s="3712">
        <f t="shared" si="17"/>
        <v>0</v>
      </c>
      <c r="D192" s="3713"/>
      <c r="E192" s="3717"/>
      <c r="F192" s="3706" t="str">
        <f>IF(((COUNTIF($F$5:$F87,"x"))-(COUNTIF($F$5:$F86,"x")))=0,"",COUNTIF($F$5:$F87,"x"))</f>
        <v/>
      </c>
      <c r="G192" s="3707" t="str">
        <f>IF(((COUNTIF($G$5:$G87,"x"))-(COUNTIF($G$5:$G86,"x")))=0,"",COUNTIF($G$5:$G87,"x"))</f>
        <v/>
      </c>
      <c r="H192" s="3707" t="str">
        <f>IF(((COUNTIF($H$5:$H87,"x"))-(COUNTIF($H$5:$H86,"x")))=0,"",COUNTIF($H$5:$H87,"x"))</f>
        <v/>
      </c>
      <c r="I192" s="3707" t="str">
        <f>IF(((COUNTIF($I$5:I87,"x"))-(COUNTIF($I$5:I86,"x")))=0,"",COUNTIF($I$5:I87,"x"))</f>
        <v/>
      </c>
      <c r="J192" s="3715" t="str">
        <f>IF(((COUNTIF($J$5:J87,"x"))-(COUNTIF($J$5:J86,"x")))=0,"",COUNTIF($J$5:J87,"x"))</f>
        <v/>
      </c>
      <c r="K192" s="3715" t="str">
        <f>IF(((COUNTIF($K$5:K87,"x"))-(COUNTIF($K$5:K86,"x")))=0,"",COUNTIF($K$5:K87,"x"))</f>
        <v/>
      </c>
      <c r="L192" s="3715" t="str">
        <f>IF(((COUNTIF($L$5:L87,"x"))-(COUNTIF($L$5:L86,"x")))=0,"",COUNTIF($L$5:L87,"x"))</f>
        <v/>
      </c>
      <c r="M192" s="3715" t="str">
        <f>IF(((COUNTIF($M$5:M87,"x"))-(COUNTIF($M$5:M86,"x")))=0,"",COUNTIF($M$5:M87,"x"))</f>
        <v/>
      </c>
      <c r="N192" s="3715" t="str">
        <f>IF(((COUNTIF($N$5:N87,"x"))-(COUNTIF($N$5:N86,"x")))=0,"",COUNTIF($N$5:N87,"x"))</f>
        <v/>
      </c>
      <c r="O192" s="3715" t="str">
        <f>IF(((COUNTIF($O$5:O87,"x"))-(COUNTIF($O$5:O86,"x")))=0,"",COUNTIF($O$5:O87,"x"))</f>
        <v/>
      </c>
      <c r="P192" s="3707" t="str">
        <f>IF(((COUNTIF($P$5:P87,"x"))-(COUNTIF($P$5:P86,"x")))=0,"",COUNTIF($P$5:P87,"x"))</f>
        <v/>
      </c>
      <c r="Q192" s="3715" t="str">
        <f>IF(((COUNTIF($Q$5:Q87,"x"))-(COUNTIF($Q$5:Q86,"x")))=0,"",COUNTIF($Q$5:Q87,"x"))</f>
        <v/>
      </c>
      <c r="R192" s="3715" t="str">
        <f>IF(((COUNTIF($R$5:R87,"x"))-(COUNTIF($R$5:R86,"x")))=0,"",COUNTIF($R$5:R87,"x"))</f>
        <v/>
      </c>
      <c r="S192" s="3715" t="str">
        <f>IF(((COUNTIF($S$5:S87,"x"))-(COUNTIF($S$5:S86,"x")))=0,"",COUNTIF($S$5:S87,"x"))</f>
        <v/>
      </c>
      <c r="T192" s="3715" t="str">
        <f>IF(((COUNTIF($T$5:T87,"x"))-(COUNTIF($T$5:T86,"x")))=0,"",COUNTIF($T$5:T87,"x"))</f>
        <v/>
      </c>
      <c r="U192" s="3715" t="str">
        <f>IF(((COUNTIF($U$5:U87,"x"))-(COUNTIF($U$5:U86,"x")))=0,"",COUNTIF($U$5:U87,"x"))</f>
        <v/>
      </c>
      <c r="V192" s="3715" t="str">
        <f>IF(((COUNTIF($V$5:V87,"x"))-(COUNTIF($V$5:V86,"x")))=0,"",COUNTIF($V$5:V87,"x"))</f>
        <v/>
      </c>
      <c r="W192" s="3715" t="str">
        <f>IF(((COUNTIF($W$5:W87,"x"))-(COUNTIF($W$5:W86,"x")))=0,"",COUNTIF($W$5:W87,"x"))</f>
        <v/>
      </c>
      <c r="X192" s="3715" t="str">
        <f>IF(((COUNTIF($X$5:X87,"x"))-(COUNTIF($X$5:X86,"x")))=0,"",COUNTIF($X$5:X87,"x"))</f>
        <v/>
      </c>
      <c r="Y192" s="3715" t="str">
        <f>IF(((COUNTIF($Y$5:Y87,"x"))-(COUNTIF($Y$5:Y86,"x")))=0,"",COUNTIF($Y$5:Y87,"x"))</f>
        <v/>
      </c>
      <c r="Z192" s="3715" t="str">
        <f>IF(((COUNTIF($Z$5:Z87,"x"))-(COUNTIF($Z$5:Z86,"x")))=0,"",COUNTIF($Z$5:Z87,"x"))</f>
        <v/>
      </c>
      <c r="AA192" s="3715" t="str">
        <f>IF(((COUNTIF($AA$5:AA87,"x"))-(COUNTIF($AA$5:AA86,"x")))=0,"",COUNTIF($AA$5:AA87,"x"))</f>
        <v/>
      </c>
      <c r="AB192" s="3715" t="str">
        <f>IF(((COUNTIF($AB$5:AB87,"x"))-(COUNTIF($AB$5:AB86,"x")))=0,"",COUNTIF($AB$5:AB87,"x"))</f>
        <v/>
      </c>
      <c r="AC192" s="3715" t="str">
        <f>IF(((COUNTIF($AC$5:AC87,"x"))-(COUNTIF($AC$5:AC86,"x")))=0,"",COUNTIF($AC$5:AC87,"x"))</f>
        <v/>
      </c>
      <c r="AD192" s="3707">
        <f>IF(((COUNTIF($AD$5:AD87,"x"))-(COUNTIF($AD$5:AD86,"x")))=0,"",COUNTIF($AD$5:AD87,"x"))</f>
        <v>77</v>
      </c>
      <c r="AE192" s="3715" t="str">
        <f>IF(((COUNTIF($AE$5:AE87,"x"))-(COUNTIF($AE$5:AE86,"x")))=0,"",COUNTIF($AE$5:AE87,"x"))</f>
        <v/>
      </c>
      <c r="AF192" s="3716" t="str">
        <f>IF(((COUNTIF($AF$5:AF87,"x"))-(COUNTIF($AF$5:AF86,"x")))=0,"",COUNTIF($AF$5:AF87,"x"))</f>
        <v/>
      </c>
      <c r="AG192" s="2120">
        <f t="shared" si="18"/>
        <v>0</v>
      </c>
    </row>
    <row r="193" spans="2:33" ht="18">
      <c r="B193" s="2136">
        <f t="shared" si="19"/>
        <v>84</v>
      </c>
      <c r="C193" s="3712">
        <f t="shared" si="17"/>
        <v>0</v>
      </c>
      <c r="D193" s="3713"/>
      <c r="E193" s="3717"/>
      <c r="F193" s="3706" t="str">
        <f>IF(((COUNTIF($F$5:$F88,"x"))-(COUNTIF($F$5:$F87,"x")))=0,"",COUNTIF($F$5:$F88,"x"))</f>
        <v/>
      </c>
      <c r="G193" s="3707" t="str">
        <f>IF(((COUNTIF($G$5:$G88,"x"))-(COUNTIF($G$5:$G87,"x")))=0,"",COUNTIF($G$5:$G88,"x"))</f>
        <v/>
      </c>
      <c r="H193" s="3707" t="str">
        <f>IF(((COUNTIF($H$5:$H88,"x"))-(COUNTIF($H$5:$H87,"x")))=0,"",COUNTIF($H$5:$H88,"x"))</f>
        <v/>
      </c>
      <c r="I193" s="3707" t="str">
        <f>IF(((COUNTIF($I$5:I88,"x"))-(COUNTIF($I$5:I87,"x")))=0,"",COUNTIF($I$5:I88,"x"))</f>
        <v/>
      </c>
      <c r="J193" s="3715" t="str">
        <f>IF(((COUNTIF($J$5:J88,"x"))-(COUNTIF($J$5:J87,"x")))=0,"",COUNTIF($J$5:J88,"x"))</f>
        <v/>
      </c>
      <c r="K193" s="3715" t="str">
        <f>IF(((COUNTIF($K$5:K88,"x"))-(COUNTIF($K$5:K87,"x")))=0,"",COUNTIF($K$5:K88,"x"))</f>
        <v/>
      </c>
      <c r="L193" s="3715" t="str">
        <f>IF(((COUNTIF($L$5:L88,"x"))-(COUNTIF($L$5:L87,"x")))=0,"",COUNTIF($L$5:L88,"x"))</f>
        <v/>
      </c>
      <c r="M193" s="3715" t="str">
        <f>IF(((COUNTIF($M$5:M88,"x"))-(COUNTIF($M$5:M87,"x")))=0,"",COUNTIF($M$5:M88,"x"))</f>
        <v/>
      </c>
      <c r="N193" s="3715" t="str">
        <f>IF(((COUNTIF($N$5:N88,"x"))-(COUNTIF($N$5:N87,"x")))=0,"",COUNTIF($N$5:N88,"x"))</f>
        <v/>
      </c>
      <c r="O193" s="3715" t="str">
        <f>IF(((COUNTIF($O$5:O88,"x"))-(COUNTIF($O$5:O87,"x")))=0,"",COUNTIF($O$5:O88,"x"))</f>
        <v/>
      </c>
      <c r="P193" s="3707" t="str">
        <f>IF(((COUNTIF($P$5:P88,"x"))-(COUNTIF($P$5:P87,"x")))=0,"",COUNTIF($P$5:P88,"x"))</f>
        <v/>
      </c>
      <c r="Q193" s="3715" t="str">
        <f>IF(((COUNTIF($Q$5:Q88,"x"))-(COUNTIF($Q$5:Q87,"x")))=0,"",COUNTIF($Q$5:Q88,"x"))</f>
        <v/>
      </c>
      <c r="R193" s="3715" t="str">
        <f>IF(((COUNTIF($R$5:R88,"x"))-(COUNTIF($R$5:R87,"x")))=0,"",COUNTIF($R$5:R88,"x"))</f>
        <v/>
      </c>
      <c r="S193" s="3715" t="str">
        <f>IF(((COUNTIF($S$5:S88,"x"))-(COUNTIF($S$5:S87,"x")))=0,"",COUNTIF($S$5:S88,"x"))</f>
        <v/>
      </c>
      <c r="T193" s="3715" t="str">
        <f>IF(((COUNTIF($T$5:T88,"x"))-(COUNTIF($T$5:T87,"x")))=0,"",COUNTIF($T$5:T88,"x"))</f>
        <v/>
      </c>
      <c r="U193" s="3715" t="str">
        <f>IF(((COUNTIF($U$5:U88,"x"))-(COUNTIF($U$5:U87,"x")))=0,"",COUNTIF($U$5:U88,"x"))</f>
        <v/>
      </c>
      <c r="V193" s="3715" t="str">
        <f>IF(((COUNTIF($V$5:V88,"x"))-(COUNTIF($V$5:V87,"x")))=0,"",COUNTIF($V$5:V88,"x"))</f>
        <v/>
      </c>
      <c r="W193" s="3715" t="str">
        <f>IF(((COUNTIF($W$5:W88,"x"))-(COUNTIF($W$5:W87,"x")))=0,"",COUNTIF($W$5:W88,"x"))</f>
        <v/>
      </c>
      <c r="X193" s="3715" t="str">
        <f>IF(((COUNTIF($X$5:X88,"x"))-(COUNTIF($X$5:X87,"x")))=0,"",COUNTIF($X$5:X88,"x"))</f>
        <v/>
      </c>
      <c r="Y193" s="3715" t="str">
        <f>IF(((COUNTIF($Y$5:Y88,"x"))-(COUNTIF($Y$5:Y87,"x")))=0,"",COUNTIF($Y$5:Y88,"x"))</f>
        <v/>
      </c>
      <c r="Z193" s="3715" t="str">
        <f>IF(((COUNTIF($Z$5:Z88,"x"))-(COUNTIF($Z$5:Z87,"x")))=0,"",COUNTIF($Z$5:Z88,"x"))</f>
        <v/>
      </c>
      <c r="AA193" s="3715" t="str">
        <f>IF(((COUNTIF($AA$5:AA88,"x"))-(COUNTIF($AA$5:AA87,"x")))=0,"",COUNTIF($AA$5:AA88,"x"))</f>
        <v/>
      </c>
      <c r="AB193" s="3715" t="str">
        <f>IF(((COUNTIF($AB$5:AB88,"x"))-(COUNTIF($AB$5:AB87,"x")))=0,"",COUNTIF($AB$5:AB88,"x"))</f>
        <v/>
      </c>
      <c r="AC193" s="3715" t="str">
        <f>IF(((COUNTIF($AC$5:AC88,"x"))-(COUNTIF($AC$5:AC87,"x")))=0,"",COUNTIF($AC$5:AC88,"x"))</f>
        <v/>
      </c>
      <c r="AD193" s="3707">
        <f>IF(((COUNTIF($AD$5:AD88,"x"))-(COUNTIF($AD$5:AD87,"x")))=0,"",COUNTIF($AD$5:AD88,"x"))</f>
        <v>78</v>
      </c>
      <c r="AE193" s="3715">
        <f>IF(((COUNTIF($AE$5:AE88,"x"))-(COUNTIF($AE$5:AE87,"x")))=0,"",COUNTIF($AE$5:AE88,"x"))</f>
        <v>2</v>
      </c>
      <c r="AF193" s="3716" t="str">
        <f>IF(((COUNTIF($AF$5:AF88,"x"))-(COUNTIF($AF$5:AF87,"x")))=0,"",COUNTIF($AF$5:AF88,"x"))</f>
        <v/>
      </c>
      <c r="AG193" s="2120">
        <f t="shared" si="18"/>
        <v>0</v>
      </c>
    </row>
    <row r="194" spans="2:33" ht="18">
      <c r="B194" s="2136">
        <f t="shared" si="19"/>
        <v>85</v>
      </c>
      <c r="C194" s="3712">
        <f t="shared" si="17"/>
        <v>0</v>
      </c>
      <c r="D194" s="3713"/>
      <c r="E194" s="3717"/>
      <c r="F194" s="3706" t="str">
        <f>IF(((COUNTIF($F$5:$F89,"x"))-(COUNTIF($F$5:$F88,"x")))=0,"",COUNTIF($F$5:$F89,"x"))</f>
        <v/>
      </c>
      <c r="G194" s="3707" t="str">
        <f>IF(((COUNTIF($G$5:$G89,"x"))-(COUNTIF($G$5:$G88,"x")))=0,"",COUNTIF($G$5:$G89,"x"))</f>
        <v/>
      </c>
      <c r="H194" s="3707" t="str">
        <f>IF(((COUNTIF($H$5:$H89,"x"))-(COUNTIF($H$5:$H88,"x")))=0,"",COUNTIF($H$5:$H89,"x"))</f>
        <v/>
      </c>
      <c r="I194" s="3707" t="str">
        <f>IF(((COUNTIF($I$5:I89,"x"))-(COUNTIF($I$5:I88,"x")))=0,"",COUNTIF($I$5:I89,"x"))</f>
        <v/>
      </c>
      <c r="J194" s="3715" t="str">
        <f>IF(((COUNTIF($J$5:J89,"x"))-(COUNTIF($J$5:J88,"x")))=0,"",COUNTIF($J$5:J89,"x"))</f>
        <v/>
      </c>
      <c r="K194" s="3715" t="str">
        <f>IF(((COUNTIF($K$5:K89,"x"))-(COUNTIF($K$5:K88,"x")))=0,"",COUNTIF($K$5:K89,"x"))</f>
        <v/>
      </c>
      <c r="L194" s="3715" t="str">
        <f>IF(((COUNTIF($L$5:L89,"x"))-(COUNTIF($L$5:L88,"x")))=0,"",COUNTIF($L$5:L89,"x"))</f>
        <v/>
      </c>
      <c r="M194" s="3715" t="str">
        <f>IF(((COUNTIF($M$5:M89,"x"))-(COUNTIF($M$5:M88,"x")))=0,"",COUNTIF($M$5:M89,"x"))</f>
        <v/>
      </c>
      <c r="N194" s="3715" t="str">
        <f>IF(((COUNTIF($N$5:N89,"x"))-(COUNTIF($N$5:N88,"x")))=0,"",COUNTIF($N$5:N89,"x"))</f>
        <v/>
      </c>
      <c r="O194" s="3715" t="str">
        <f>IF(((COUNTIF($O$5:O89,"x"))-(COUNTIF($O$5:O88,"x")))=0,"",COUNTIF($O$5:O89,"x"))</f>
        <v/>
      </c>
      <c r="P194" s="3707">
        <f>IF(((COUNTIF($P$5:P89,"x"))-(COUNTIF($P$5:P88,"x")))=0,"",COUNTIF($P$5:P89,"x"))</f>
        <v>16</v>
      </c>
      <c r="Q194" s="3715" t="str">
        <f>IF(((COUNTIF($Q$5:Q89,"x"))-(COUNTIF($Q$5:Q88,"x")))=0,"",COUNTIF($Q$5:Q89,"x"))</f>
        <v/>
      </c>
      <c r="R194" s="3715" t="str">
        <f>IF(((COUNTIF($R$5:R89,"x"))-(COUNTIF($R$5:R88,"x")))=0,"",COUNTIF($R$5:R89,"x"))</f>
        <v/>
      </c>
      <c r="S194" s="3715" t="str">
        <f>IF(((COUNTIF($S$5:S89,"x"))-(COUNTIF($S$5:S88,"x")))=0,"",COUNTIF($S$5:S89,"x"))</f>
        <v/>
      </c>
      <c r="T194" s="3715" t="str">
        <f>IF(((COUNTIF($T$5:T89,"x"))-(COUNTIF($T$5:T88,"x")))=0,"",COUNTIF($T$5:T89,"x"))</f>
        <v/>
      </c>
      <c r="U194" s="3715" t="str">
        <f>IF(((COUNTIF($U$5:U89,"x"))-(COUNTIF($U$5:U88,"x")))=0,"",COUNTIF($U$5:U89,"x"))</f>
        <v/>
      </c>
      <c r="V194" s="3715" t="str">
        <f>IF(((COUNTIF($V$5:V89,"x"))-(COUNTIF($V$5:V88,"x")))=0,"",COUNTIF($V$5:V89,"x"))</f>
        <v/>
      </c>
      <c r="W194" s="3715" t="str">
        <f>IF(((COUNTIF($W$5:W89,"x"))-(COUNTIF($W$5:W88,"x")))=0,"",COUNTIF($W$5:W89,"x"))</f>
        <v/>
      </c>
      <c r="X194" s="3715" t="str">
        <f>IF(((COUNTIF($X$5:X89,"x"))-(COUNTIF($X$5:X88,"x")))=0,"",COUNTIF($X$5:X89,"x"))</f>
        <v/>
      </c>
      <c r="Y194" s="3715" t="str">
        <f>IF(((COUNTIF($Y$5:Y89,"x"))-(COUNTIF($Y$5:Y88,"x")))=0,"",COUNTIF($Y$5:Y89,"x"))</f>
        <v/>
      </c>
      <c r="Z194" s="3715" t="str">
        <f>IF(((COUNTIF($Z$5:Z89,"x"))-(COUNTIF($Z$5:Z88,"x")))=0,"",COUNTIF($Z$5:Z89,"x"))</f>
        <v/>
      </c>
      <c r="AA194" s="3715" t="str">
        <f>IF(((COUNTIF($AA$5:AA89,"x"))-(COUNTIF($AA$5:AA88,"x")))=0,"",COUNTIF($AA$5:AA89,"x"))</f>
        <v/>
      </c>
      <c r="AB194" s="3715" t="str">
        <f>IF(((COUNTIF($AB$5:AB89,"x"))-(COUNTIF($AB$5:AB88,"x")))=0,"",COUNTIF($AB$5:AB89,"x"))</f>
        <v/>
      </c>
      <c r="AC194" s="3715" t="str">
        <f>IF(((COUNTIF($AC$5:AC89,"x"))-(COUNTIF($AC$5:AC88,"x")))=0,"",COUNTIF($AC$5:AC89,"x"))</f>
        <v/>
      </c>
      <c r="AD194" s="3707">
        <f>IF(((COUNTIF($AD$5:AD89,"x"))-(COUNTIF($AD$5:AD88,"x")))=0,"",COUNTIF($AD$5:AD89,"x"))</f>
        <v>79</v>
      </c>
      <c r="AE194" s="3715" t="str">
        <f>IF(((COUNTIF($AE$5:AE89,"x"))-(COUNTIF($AE$5:AE88,"x")))=0,"",COUNTIF($AE$5:AE89,"x"))</f>
        <v/>
      </c>
      <c r="AF194" s="3716" t="str">
        <f>IF(((COUNTIF($AF$5:AF89,"x"))-(COUNTIF($AF$5:AF88,"x")))=0,"",COUNTIF($AF$5:AF89,"x"))</f>
        <v/>
      </c>
      <c r="AG194" s="2120">
        <f t="shared" si="18"/>
        <v>0</v>
      </c>
    </row>
    <row r="195" spans="2:33" ht="18">
      <c r="B195" s="2136">
        <f t="shared" si="19"/>
        <v>86</v>
      </c>
      <c r="C195" s="3712">
        <f t="shared" si="17"/>
        <v>0</v>
      </c>
      <c r="D195" s="3713"/>
      <c r="E195" s="3717"/>
      <c r="F195" s="3706" t="str">
        <f>IF(((COUNTIF($F$5:$F90,"x"))-(COUNTIF($F$5:$F89,"x")))=0,"",COUNTIF($F$5:$F90,"x"))</f>
        <v/>
      </c>
      <c r="G195" s="3707" t="str">
        <f>IF(((COUNTIF($G$5:$G90,"x"))-(COUNTIF($G$5:$G89,"x")))=0,"",COUNTIF($G$5:$G90,"x"))</f>
        <v/>
      </c>
      <c r="H195" s="3707" t="str">
        <f>IF(((COUNTIF($H$5:$H90,"x"))-(COUNTIF($H$5:$H89,"x")))=0,"",COUNTIF($H$5:$H90,"x"))</f>
        <v/>
      </c>
      <c r="I195" s="3707" t="str">
        <f>IF(((COUNTIF($I$5:I90,"x"))-(COUNTIF($I$5:I89,"x")))=0,"",COUNTIF($I$5:I90,"x"))</f>
        <v/>
      </c>
      <c r="J195" s="3715" t="str">
        <f>IF(((COUNTIF($J$5:J90,"x"))-(COUNTIF($J$5:J89,"x")))=0,"",COUNTIF($J$5:J90,"x"))</f>
        <v/>
      </c>
      <c r="K195" s="3715" t="str">
        <f>IF(((COUNTIF($K$5:K90,"x"))-(COUNTIF($K$5:K89,"x")))=0,"",COUNTIF($K$5:K90,"x"))</f>
        <v/>
      </c>
      <c r="L195" s="3715" t="str">
        <f>IF(((COUNTIF($L$5:L90,"x"))-(COUNTIF($L$5:L89,"x")))=0,"",COUNTIF($L$5:L90,"x"))</f>
        <v/>
      </c>
      <c r="M195" s="3715" t="str">
        <f>IF(((COUNTIF($M$5:M90,"x"))-(COUNTIF($M$5:M89,"x")))=0,"",COUNTIF($M$5:M90,"x"))</f>
        <v/>
      </c>
      <c r="N195" s="3715" t="str">
        <f>IF(((COUNTIF($N$5:N90,"x"))-(COUNTIF($N$5:N89,"x")))=0,"",COUNTIF($N$5:N90,"x"))</f>
        <v/>
      </c>
      <c r="O195" s="3715" t="str">
        <f>IF(((COUNTIF($O$5:O90,"x"))-(COUNTIF($O$5:O89,"x")))=0,"",COUNTIF($O$5:O90,"x"))</f>
        <v/>
      </c>
      <c r="P195" s="3707" t="str">
        <f>IF(((COUNTIF($P$5:P90,"x"))-(COUNTIF($P$5:P89,"x")))=0,"",COUNTIF($P$5:P90,"x"))</f>
        <v/>
      </c>
      <c r="Q195" s="3715" t="str">
        <f>IF(((COUNTIF($Q$5:Q90,"x"))-(COUNTIF($Q$5:Q89,"x")))=0,"",COUNTIF($Q$5:Q90,"x"))</f>
        <v/>
      </c>
      <c r="R195" s="3715" t="str">
        <f>IF(((COUNTIF($R$5:R90,"x"))-(COUNTIF($R$5:R89,"x")))=0,"",COUNTIF($R$5:R90,"x"))</f>
        <v/>
      </c>
      <c r="S195" s="3715" t="str">
        <f>IF(((COUNTIF($S$5:S90,"x"))-(COUNTIF($S$5:S89,"x")))=0,"",COUNTIF($S$5:S90,"x"))</f>
        <v/>
      </c>
      <c r="T195" s="3715" t="str">
        <f>IF(((COUNTIF($T$5:T90,"x"))-(COUNTIF($T$5:T89,"x")))=0,"",COUNTIF($T$5:T90,"x"))</f>
        <v/>
      </c>
      <c r="U195" s="3715" t="str">
        <f>IF(((COUNTIF($U$5:U90,"x"))-(COUNTIF($U$5:U89,"x")))=0,"",COUNTIF($U$5:U90,"x"))</f>
        <v/>
      </c>
      <c r="V195" s="3715" t="str">
        <f>IF(((COUNTIF($V$5:V90,"x"))-(COUNTIF($V$5:V89,"x")))=0,"",COUNTIF($V$5:V90,"x"))</f>
        <v/>
      </c>
      <c r="W195" s="3715" t="str">
        <f>IF(((COUNTIF($W$5:W90,"x"))-(COUNTIF($W$5:W89,"x")))=0,"",COUNTIF($W$5:W90,"x"))</f>
        <v/>
      </c>
      <c r="X195" s="3715" t="str">
        <f>IF(((COUNTIF($X$5:X90,"x"))-(COUNTIF($X$5:X89,"x")))=0,"",COUNTIF($X$5:X90,"x"))</f>
        <v/>
      </c>
      <c r="Y195" s="3715" t="str">
        <f>IF(((COUNTIF($Y$5:Y90,"x"))-(COUNTIF($Y$5:Y89,"x")))=0,"",COUNTIF($Y$5:Y90,"x"))</f>
        <v/>
      </c>
      <c r="Z195" s="3715" t="str">
        <f>IF(((COUNTIF($Z$5:Z90,"x"))-(COUNTIF($Z$5:Z89,"x")))=0,"",COUNTIF($Z$5:Z90,"x"))</f>
        <v/>
      </c>
      <c r="AA195" s="3715" t="str">
        <f>IF(((COUNTIF($AA$5:AA90,"x"))-(COUNTIF($AA$5:AA89,"x")))=0,"",COUNTIF($AA$5:AA90,"x"))</f>
        <v/>
      </c>
      <c r="AB195" s="3715" t="str">
        <f>IF(((COUNTIF($AB$5:AB90,"x"))-(COUNTIF($AB$5:AB89,"x")))=0,"",COUNTIF($AB$5:AB90,"x"))</f>
        <v/>
      </c>
      <c r="AC195" s="3715" t="str">
        <f>IF(((COUNTIF($AC$5:AC90,"x"))-(COUNTIF($AC$5:AC89,"x")))=0,"",COUNTIF($AC$5:AC90,"x"))</f>
        <v/>
      </c>
      <c r="AD195" s="3707">
        <f>IF(((COUNTIF($AD$5:AD90,"x"))-(COUNTIF($AD$5:AD89,"x")))=0,"",COUNTIF($AD$5:AD90,"x"))</f>
        <v>80</v>
      </c>
      <c r="AE195" s="3715" t="str">
        <f>IF(((COUNTIF($AE$5:AE90,"x"))-(COUNTIF($AE$5:AE89,"x")))=0,"",COUNTIF($AE$5:AE90,"x"))</f>
        <v/>
      </c>
      <c r="AF195" s="3716" t="str">
        <f>IF(((COUNTIF($AF$5:AF90,"x"))-(COUNTIF($AF$5:AF89,"x")))=0,"",COUNTIF($AF$5:AF90,"x"))</f>
        <v/>
      </c>
      <c r="AG195" s="2120">
        <f t="shared" si="18"/>
        <v>0</v>
      </c>
    </row>
    <row r="196" spans="2:33" ht="18">
      <c r="B196" s="2136">
        <f t="shared" si="19"/>
        <v>87</v>
      </c>
      <c r="C196" s="3712">
        <f t="shared" si="17"/>
        <v>0</v>
      </c>
      <c r="D196" s="3713"/>
      <c r="E196" s="3717"/>
      <c r="F196" s="3706" t="str">
        <f>IF(((COUNTIF($F$5:$F91,"x"))-(COUNTIF($F$5:$F90,"x")))=0,"",COUNTIF($F$5:$F91,"x"))</f>
        <v/>
      </c>
      <c r="G196" s="3707" t="str">
        <f>IF(((COUNTIF($G$5:$G91,"x"))-(COUNTIF($G$5:$G90,"x")))=0,"",COUNTIF($G$5:$G91,"x"))</f>
        <v/>
      </c>
      <c r="H196" s="3707" t="str">
        <f>IF(((COUNTIF($H$5:$H91,"x"))-(COUNTIF($H$5:$H90,"x")))=0,"",COUNTIF($H$5:$H91,"x"))</f>
        <v/>
      </c>
      <c r="I196" s="3707" t="str">
        <f>IF(((COUNTIF($I$5:I91,"x"))-(COUNTIF($I$5:I90,"x")))=0,"",COUNTIF($I$5:I91,"x"))</f>
        <v/>
      </c>
      <c r="J196" s="3715" t="str">
        <f>IF(((COUNTIF($J$5:J91,"x"))-(COUNTIF($J$5:J90,"x")))=0,"",COUNTIF($J$5:J91,"x"))</f>
        <v/>
      </c>
      <c r="K196" s="3715" t="str">
        <f>IF(((COUNTIF($K$5:K91,"x"))-(COUNTIF($K$5:K90,"x")))=0,"",COUNTIF($K$5:K91,"x"))</f>
        <v/>
      </c>
      <c r="L196" s="3715" t="str">
        <f>IF(((COUNTIF($L$5:L91,"x"))-(COUNTIF($L$5:L90,"x")))=0,"",COUNTIF($L$5:L91,"x"))</f>
        <v/>
      </c>
      <c r="M196" s="3715" t="str">
        <f>IF(((COUNTIF($M$5:M91,"x"))-(COUNTIF($M$5:M90,"x")))=0,"",COUNTIF($M$5:M91,"x"))</f>
        <v/>
      </c>
      <c r="N196" s="3715" t="str">
        <f>IF(((COUNTIF($N$5:N91,"x"))-(COUNTIF($N$5:N90,"x")))=0,"",COUNTIF($N$5:N91,"x"))</f>
        <v/>
      </c>
      <c r="O196" s="3715" t="str">
        <f>IF(((COUNTIF($O$5:O91,"x"))-(COUNTIF($O$5:O90,"x")))=0,"",COUNTIF($O$5:O91,"x"))</f>
        <v/>
      </c>
      <c r="P196" s="3707" t="str">
        <f>IF(((COUNTIF($P$5:P91,"x"))-(COUNTIF($P$5:P90,"x")))=0,"",COUNTIF($P$5:P91,"x"))</f>
        <v/>
      </c>
      <c r="Q196" s="3715" t="str">
        <f>IF(((COUNTIF($Q$5:Q91,"x"))-(COUNTIF($Q$5:Q90,"x")))=0,"",COUNTIF($Q$5:Q91,"x"))</f>
        <v/>
      </c>
      <c r="R196" s="3715" t="str">
        <f>IF(((COUNTIF($R$5:R91,"x"))-(COUNTIF($R$5:R90,"x")))=0,"",COUNTIF($R$5:R91,"x"))</f>
        <v/>
      </c>
      <c r="S196" s="3715" t="str">
        <f>IF(((COUNTIF($S$5:S91,"x"))-(COUNTIF($S$5:S90,"x")))=0,"",COUNTIF($S$5:S91,"x"))</f>
        <v/>
      </c>
      <c r="T196" s="3715" t="str">
        <f>IF(((COUNTIF($T$5:T91,"x"))-(COUNTIF($T$5:T90,"x")))=0,"",COUNTIF($T$5:T91,"x"))</f>
        <v/>
      </c>
      <c r="U196" s="3715" t="str">
        <f>IF(((COUNTIF($U$5:U91,"x"))-(COUNTIF($U$5:U90,"x")))=0,"",COUNTIF($U$5:U91,"x"))</f>
        <v/>
      </c>
      <c r="V196" s="3715" t="str">
        <f>IF(((COUNTIF($V$5:V91,"x"))-(COUNTIF($V$5:V90,"x")))=0,"",COUNTIF($V$5:V91,"x"))</f>
        <v/>
      </c>
      <c r="W196" s="3715" t="str">
        <f>IF(((COUNTIF($W$5:W91,"x"))-(COUNTIF($W$5:W90,"x")))=0,"",COUNTIF($W$5:W91,"x"))</f>
        <v/>
      </c>
      <c r="X196" s="3715" t="str">
        <f>IF(((COUNTIF($X$5:X91,"x"))-(COUNTIF($X$5:X90,"x")))=0,"",COUNTIF($X$5:X91,"x"))</f>
        <v/>
      </c>
      <c r="Y196" s="3715" t="str">
        <f>IF(((COUNTIF($Y$5:Y91,"x"))-(COUNTIF($Y$5:Y90,"x")))=0,"",COUNTIF($Y$5:Y91,"x"))</f>
        <v/>
      </c>
      <c r="Z196" s="3715" t="str">
        <f>IF(((COUNTIF($Z$5:Z91,"x"))-(COUNTIF($Z$5:Z90,"x")))=0,"",COUNTIF($Z$5:Z91,"x"))</f>
        <v/>
      </c>
      <c r="AA196" s="3715" t="str">
        <f>IF(((COUNTIF($AA$5:AA91,"x"))-(COUNTIF($AA$5:AA90,"x")))=0,"",COUNTIF($AA$5:AA91,"x"))</f>
        <v/>
      </c>
      <c r="AB196" s="3715" t="str">
        <f>IF(((COUNTIF($AB$5:AB91,"x"))-(COUNTIF($AB$5:AB90,"x")))=0,"",COUNTIF($AB$5:AB91,"x"))</f>
        <v/>
      </c>
      <c r="AC196" s="3715" t="str">
        <f>IF(((COUNTIF($AC$5:AC91,"x"))-(COUNTIF($AC$5:AC90,"x")))=0,"",COUNTIF($AC$5:AC91,"x"))</f>
        <v/>
      </c>
      <c r="AD196" s="3707">
        <f>IF(((COUNTIF($AD$5:AD91,"x"))-(COUNTIF($AD$5:AD90,"x")))=0,"",COUNTIF($AD$5:AD91,"x"))</f>
        <v>81</v>
      </c>
      <c r="AE196" s="3715" t="str">
        <f>IF(((COUNTIF($AE$5:AE91,"x"))-(COUNTIF($AE$5:AE90,"x")))=0,"",COUNTIF($AE$5:AE91,"x"))</f>
        <v/>
      </c>
      <c r="AF196" s="3716" t="str">
        <f>IF(((COUNTIF($AF$5:AF91,"x"))-(COUNTIF($AF$5:AF90,"x")))=0,"",COUNTIF($AF$5:AF91,"x"))</f>
        <v/>
      </c>
      <c r="AG196" s="2120">
        <f t="shared" si="18"/>
        <v>0</v>
      </c>
    </row>
    <row r="197" spans="2:33" ht="18">
      <c r="B197" s="2136">
        <f t="shared" si="19"/>
        <v>88</v>
      </c>
      <c r="C197" s="3712">
        <f t="shared" si="17"/>
        <v>0</v>
      </c>
      <c r="D197" s="3713"/>
      <c r="E197" s="3717"/>
      <c r="F197" s="3706" t="str">
        <f>IF(((COUNTIF($F$5:$F92,"x"))-(COUNTIF($F$5:$F91,"x")))=0,"",COUNTIF($F$5:$F92,"x"))</f>
        <v/>
      </c>
      <c r="G197" s="3707" t="str">
        <f>IF(((COUNTIF($G$5:$G92,"x"))-(COUNTIF($G$5:$G91,"x")))=0,"",COUNTIF($G$5:$G92,"x"))</f>
        <v/>
      </c>
      <c r="H197" s="3707" t="str">
        <f>IF(((COUNTIF($H$5:$H92,"x"))-(COUNTIF($H$5:$H91,"x")))=0,"",COUNTIF($H$5:$H92,"x"))</f>
        <v/>
      </c>
      <c r="I197" s="3707" t="str">
        <f>IF(((COUNTIF($I$5:I92,"x"))-(COUNTIF($I$5:I91,"x")))=0,"",COUNTIF($I$5:I92,"x"))</f>
        <v/>
      </c>
      <c r="J197" s="3715" t="str">
        <f>IF(((COUNTIF($J$5:J92,"x"))-(COUNTIF($J$5:J91,"x")))=0,"",COUNTIF($J$5:J92,"x"))</f>
        <v/>
      </c>
      <c r="K197" s="3715" t="str">
        <f>IF(((COUNTIF($K$5:K92,"x"))-(COUNTIF($K$5:K91,"x")))=0,"",COUNTIF($K$5:K92,"x"))</f>
        <v/>
      </c>
      <c r="L197" s="3715" t="str">
        <f>IF(((COUNTIF($L$5:L92,"x"))-(COUNTIF($L$5:L91,"x")))=0,"",COUNTIF($L$5:L92,"x"))</f>
        <v/>
      </c>
      <c r="M197" s="3715" t="str">
        <f>IF(((COUNTIF($M$5:M92,"x"))-(COUNTIF($M$5:M91,"x")))=0,"",COUNTIF($M$5:M92,"x"))</f>
        <v/>
      </c>
      <c r="N197" s="3715" t="str">
        <f>IF(((COUNTIF($N$5:N92,"x"))-(COUNTIF($N$5:N91,"x")))=0,"",COUNTIF($N$5:N92,"x"))</f>
        <v/>
      </c>
      <c r="O197" s="3715" t="str">
        <f>IF(((COUNTIF($O$5:O92,"x"))-(COUNTIF($O$5:O91,"x")))=0,"",COUNTIF($O$5:O92,"x"))</f>
        <v/>
      </c>
      <c r="P197" s="3707" t="str">
        <f>IF(((COUNTIF($P$5:P92,"x"))-(COUNTIF($P$5:P91,"x")))=0,"",COUNTIF($P$5:P92,"x"))</f>
        <v/>
      </c>
      <c r="Q197" s="3715" t="str">
        <f>IF(((COUNTIF($Q$5:Q92,"x"))-(COUNTIF($Q$5:Q91,"x")))=0,"",COUNTIF($Q$5:Q92,"x"))</f>
        <v/>
      </c>
      <c r="R197" s="3715" t="str">
        <f>IF(((COUNTIF($R$5:R92,"x"))-(COUNTIF($R$5:R91,"x")))=0,"",COUNTIF($R$5:R92,"x"))</f>
        <v/>
      </c>
      <c r="S197" s="3715" t="str">
        <f>IF(((COUNTIF($S$5:S92,"x"))-(COUNTIF($S$5:S91,"x")))=0,"",COUNTIF($S$5:S92,"x"))</f>
        <v/>
      </c>
      <c r="T197" s="3715" t="str">
        <f>IF(((COUNTIF($T$5:T92,"x"))-(COUNTIF($T$5:T91,"x")))=0,"",COUNTIF($T$5:T92,"x"))</f>
        <v/>
      </c>
      <c r="U197" s="3715" t="str">
        <f>IF(((COUNTIF($U$5:U92,"x"))-(COUNTIF($U$5:U91,"x")))=0,"",COUNTIF($U$5:U92,"x"))</f>
        <v/>
      </c>
      <c r="V197" s="3715" t="str">
        <f>IF(((COUNTIF($V$5:V92,"x"))-(COUNTIF($V$5:V91,"x")))=0,"",COUNTIF($V$5:V92,"x"))</f>
        <v/>
      </c>
      <c r="W197" s="3715" t="str">
        <f>IF(((COUNTIF($W$5:W92,"x"))-(COUNTIF($W$5:W91,"x")))=0,"",COUNTIF($W$5:W92,"x"))</f>
        <v/>
      </c>
      <c r="X197" s="3715" t="str">
        <f>IF(((COUNTIF($X$5:X92,"x"))-(COUNTIF($X$5:X91,"x")))=0,"",COUNTIF($X$5:X92,"x"))</f>
        <v/>
      </c>
      <c r="Y197" s="3715" t="str">
        <f>IF(((COUNTIF($Y$5:Y92,"x"))-(COUNTIF($Y$5:Y91,"x")))=0,"",COUNTIF($Y$5:Y92,"x"))</f>
        <v/>
      </c>
      <c r="Z197" s="3715" t="str">
        <f>IF(((COUNTIF($Z$5:Z92,"x"))-(COUNTIF($Z$5:Z91,"x")))=0,"",COUNTIF($Z$5:Z92,"x"))</f>
        <v/>
      </c>
      <c r="AA197" s="3715" t="str">
        <f>IF(((COUNTIF($AA$5:AA92,"x"))-(COUNTIF($AA$5:AA91,"x")))=0,"",COUNTIF($AA$5:AA92,"x"))</f>
        <v/>
      </c>
      <c r="AB197" s="3715" t="str">
        <f>IF(((COUNTIF($AB$5:AB92,"x"))-(COUNTIF($AB$5:AB91,"x")))=0,"",COUNTIF($AB$5:AB92,"x"))</f>
        <v/>
      </c>
      <c r="AC197" s="3715" t="str">
        <f>IF(((COUNTIF($AC$5:AC92,"x"))-(COUNTIF($AC$5:AC91,"x")))=0,"",COUNTIF($AC$5:AC92,"x"))</f>
        <v/>
      </c>
      <c r="AD197" s="3707">
        <f>IF(((COUNTIF($AD$5:AD92,"x"))-(COUNTIF($AD$5:AD91,"x")))=0,"",COUNTIF($AD$5:AD92,"x"))</f>
        <v>82</v>
      </c>
      <c r="AE197" s="3715" t="str">
        <f>IF(((COUNTIF($AE$5:AE92,"x"))-(COUNTIF($AE$5:AE91,"x")))=0,"",COUNTIF($AE$5:AE92,"x"))</f>
        <v/>
      </c>
      <c r="AF197" s="3716" t="str">
        <f>IF(((COUNTIF($AF$5:AF92,"x"))-(COUNTIF($AF$5:AF91,"x")))=0,"",COUNTIF($AF$5:AF92,"x"))</f>
        <v/>
      </c>
      <c r="AG197" s="2120">
        <f t="shared" si="18"/>
        <v>0</v>
      </c>
    </row>
    <row r="198" spans="2:33" ht="18">
      <c r="B198" s="2136">
        <f t="shared" si="19"/>
        <v>89</v>
      </c>
      <c r="C198" s="3712">
        <f t="shared" si="17"/>
        <v>0</v>
      </c>
      <c r="D198" s="3718"/>
      <c r="E198" s="3719"/>
      <c r="F198" s="3706" t="str">
        <f>IF(((COUNTIF($F$5:$F93,"x"))-(COUNTIF($F$5:$F92,"x")))=0,"",COUNTIF($F$5:$F93,"x"))</f>
        <v/>
      </c>
      <c r="G198" s="3707" t="str">
        <f>IF(((COUNTIF($G$5:$G93,"x"))-(COUNTIF($G$5:$G92,"x")))=0,"",COUNTIF($G$5:$G93,"x"))</f>
        <v/>
      </c>
      <c r="H198" s="3707" t="str">
        <f>IF(((COUNTIF($H$5:$H93,"x"))-(COUNTIF($H$5:$H92,"x")))=0,"",COUNTIF($H$5:$H93,"x"))</f>
        <v/>
      </c>
      <c r="I198" s="3707" t="str">
        <f>IF(((COUNTIF($I$5:I93,"x"))-(COUNTIF($I$5:I92,"x")))=0,"",COUNTIF($I$5:I93,"x"))</f>
        <v/>
      </c>
      <c r="J198" s="3715" t="str">
        <f>IF(((COUNTIF($J$5:J93,"x"))-(COUNTIF($J$5:J92,"x")))=0,"",COUNTIF($J$5:J93,"x"))</f>
        <v/>
      </c>
      <c r="K198" s="3715" t="str">
        <f>IF(((COUNTIF($K$5:K93,"x"))-(COUNTIF($K$5:K92,"x")))=0,"",COUNTIF($K$5:K93,"x"))</f>
        <v/>
      </c>
      <c r="L198" s="3715" t="str">
        <f>IF(((COUNTIF($L$5:L93,"x"))-(COUNTIF($L$5:L92,"x")))=0,"",COUNTIF($L$5:L93,"x"))</f>
        <v/>
      </c>
      <c r="M198" s="3715" t="str">
        <f>IF(((COUNTIF($M$5:M93,"x"))-(COUNTIF($M$5:M92,"x")))=0,"",COUNTIF($M$5:M93,"x"))</f>
        <v/>
      </c>
      <c r="N198" s="3715" t="str">
        <f>IF(((COUNTIF($N$5:N93,"x"))-(COUNTIF($N$5:N92,"x")))=0,"",COUNTIF($N$5:N93,"x"))</f>
        <v/>
      </c>
      <c r="O198" s="3715" t="str">
        <f>IF(((COUNTIF($O$5:O93,"x"))-(COUNTIF($O$5:O92,"x")))=0,"",COUNTIF($O$5:O93,"x"))</f>
        <v/>
      </c>
      <c r="P198" s="3707" t="str">
        <f>IF(((COUNTIF($P$5:P93,"x"))-(COUNTIF($P$5:P92,"x")))=0,"",COUNTIF($P$5:P93,"x"))</f>
        <v/>
      </c>
      <c r="Q198" s="3715" t="str">
        <f>IF(((COUNTIF($Q$5:Q93,"x"))-(COUNTIF($Q$5:Q92,"x")))=0,"",COUNTIF($Q$5:Q93,"x"))</f>
        <v/>
      </c>
      <c r="R198" s="3715" t="str">
        <f>IF(((COUNTIF($R$5:R93,"x"))-(COUNTIF($R$5:R92,"x")))=0,"",COUNTIF($R$5:R93,"x"))</f>
        <v/>
      </c>
      <c r="S198" s="3715" t="str">
        <f>IF(((COUNTIF($S$5:S93,"x"))-(COUNTIF($S$5:S92,"x")))=0,"",COUNTIF($S$5:S93,"x"))</f>
        <v/>
      </c>
      <c r="T198" s="3715" t="str">
        <f>IF(((COUNTIF($T$5:T93,"x"))-(COUNTIF($T$5:T92,"x")))=0,"",COUNTIF($T$5:T93,"x"))</f>
        <v/>
      </c>
      <c r="U198" s="3715" t="str">
        <f>IF(((COUNTIF($U$5:U93,"x"))-(COUNTIF($U$5:U92,"x")))=0,"",COUNTIF($U$5:U93,"x"))</f>
        <v/>
      </c>
      <c r="V198" s="3715" t="str">
        <f>IF(((COUNTIF($V$5:V93,"x"))-(COUNTIF($V$5:V92,"x")))=0,"",COUNTIF($V$5:V93,"x"))</f>
        <v/>
      </c>
      <c r="W198" s="3715" t="str">
        <f>IF(((COUNTIF($W$5:W93,"x"))-(COUNTIF($W$5:W92,"x")))=0,"",COUNTIF($W$5:W93,"x"))</f>
        <v/>
      </c>
      <c r="X198" s="3715" t="str">
        <f>IF(((COUNTIF($X$5:X93,"x"))-(COUNTIF($X$5:X92,"x")))=0,"",COUNTIF($X$5:X93,"x"))</f>
        <v/>
      </c>
      <c r="Y198" s="3715" t="str">
        <f>IF(((COUNTIF($Y$5:Y93,"x"))-(COUNTIF($Y$5:Y92,"x")))=0,"",COUNTIF($Y$5:Y93,"x"))</f>
        <v/>
      </c>
      <c r="Z198" s="3715" t="str">
        <f>IF(((COUNTIF($Z$5:Z93,"x"))-(COUNTIF($Z$5:Z92,"x")))=0,"",COUNTIF($Z$5:Z93,"x"))</f>
        <v/>
      </c>
      <c r="AA198" s="3715" t="str">
        <f>IF(((COUNTIF($AA$5:AA93,"x"))-(COUNTIF($AA$5:AA92,"x")))=0,"",COUNTIF($AA$5:AA93,"x"))</f>
        <v/>
      </c>
      <c r="AB198" s="3715" t="str">
        <f>IF(((COUNTIF($AB$5:AB93,"x"))-(COUNTIF($AB$5:AB92,"x")))=0,"",COUNTIF($AB$5:AB93,"x"))</f>
        <v/>
      </c>
      <c r="AC198" s="3715" t="str">
        <f>IF(((COUNTIF($AC$5:AC93,"x"))-(COUNTIF($AC$5:AC92,"x")))=0,"",COUNTIF($AC$5:AC93,"x"))</f>
        <v/>
      </c>
      <c r="AD198" s="3707">
        <f>IF(((COUNTIF($AD$5:AD93,"x"))-(COUNTIF($AD$5:AD92,"x")))=0,"",COUNTIF($AD$5:AD93,"x"))</f>
        <v>83</v>
      </c>
      <c r="AE198" s="3715" t="str">
        <f>IF(((COUNTIF($AE$5:AE93,"x"))-(COUNTIF($AE$5:AE92,"x")))=0,"",COUNTIF($AE$5:AE93,"x"))</f>
        <v/>
      </c>
      <c r="AF198" s="3716" t="str">
        <f>IF(((COUNTIF($AF$5:AF93,"x"))-(COUNTIF($AF$5:AF92,"x")))=0,"",COUNTIF($AF$5:AF93,"x"))</f>
        <v/>
      </c>
      <c r="AG198" s="2120">
        <f t="shared" si="18"/>
        <v>0</v>
      </c>
    </row>
    <row r="199" spans="2:33" ht="18">
      <c r="B199" s="2136">
        <f t="shared" si="19"/>
        <v>90</v>
      </c>
      <c r="C199" s="3712">
        <f t="shared" si="17"/>
        <v>0</v>
      </c>
      <c r="D199" s="3718"/>
      <c r="E199" s="3719"/>
      <c r="F199" s="3706" t="str">
        <f>IF(((COUNTIF($F$5:$F94,"x"))-(COUNTIF($F$5:$F93,"x")))=0,"",COUNTIF($F$5:$F94,"x"))</f>
        <v/>
      </c>
      <c r="G199" s="3707" t="str">
        <f>IF(((COUNTIF($G$5:$G94,"x"))-(COUNTIF($G$5:$G93,"x")))=0,"",COUNTIF($G$5:$G94,"x"))</f>
        <v/>
      </c>
      <c r="H199" s="3707" t="str">
        <f>IF(((COUNTIF($H$5:$H94,"x"))-(COUNTIF($H$5:$H93,"x")))=0,"",COUNTIF($H$5:$H94,"x"))</f>
        <v/>
      </c>
      <c r="I199" s="3707" t="str">
        <f>IF(((COUNTIF($I$5:I94,"x"))-(COUNTIF($I$5:I93,"x")))=0,"",COUNTIF($I$5:I94,"x"))</f>
        <v/>
      </c>
      <c r="J199" s="3715" t="str">
        <f>IF(((COUNTIF($J$5:J94,"x"))-(COUNTIF($J$5:J93,"x")))=0,"",COUNTIF($J$5:J94,"x"))</f>
        <v/>
      </c>
      <c r="K199" s="3715" t="str">
        <f>IF(((COUNTIF($K$5:K94,"x"))-(COUNTIF($K$5:K93,"x")))=0,"",COUNTIF($K$5:K94,"x"))</f>
        <v/>
      </c>
      <c r="L199" s="3715" t="str">
        <f>IF(((COUNTIF($L$5:L94,"x"))-(COUNTIF($L$5:L93,"x")))=0,"",COUNTIF($L$5:L94,"x"))</f>
        <v/>
      </c>
      <c r="M199" s="3715" t="str">
        <f>IF(((COUNTIF($M$5:M94,"x"))-(COUNTIF($M$5:M93,"x")))=0,"",COUNTIF($M$5:M94,"x"))</f>
        <v/>
      </c>
      <c r="N199" s="3715" t="str">
        <f>IF(((COUNTIF($N$5:N94,"x"))-(COUNTIF($N$5:N93,"x")))=0,"",COUNTIF($N$5:N94,"x"))</f>
        <v/>
      </c>
      <c r="O199" s="3715" t="str">
        <f>IF(((COUNTIF($O$5:O94,"x"))-(COUNTIF($O$5:O93,"x")))=0,"",COUNTIF($O$5:O94,"x"))</f>
        <v/>
      </c>
      <c r="P199" s="3707" t="str">
        <f>IF(((COUNTIF($P$5:P94,"x"))-(COUNTIF($P$5:P93,"x")))=0,"",COUNTIF($P$5:P94,"x"))</f>
        <v/>
      </c>
      <c r="Q199" s="3715" t="str">
        <f>IF(((COUNTIF($Q$5:Q94,"x"))-(COUNTIF($Q$5:Q93,"x")))=0,"",COUNTIF($Q$5:Q94,"x"))</f>
        <v/>
      </c>
      <c r="R199" s="3715" t="str">
        <f>IF(((COUNTIF($R$5:R94,"x"))-(COUNTIF($R$5:R93,"x")))=0,"",COUNTIF($R$5:R94,"x"))</f>
        <v/>
      </c>
      <c r="S199" s="3715" t="str">
        <f>IF(((COUNTIF($S$5:S94,"x"))-(COUNTIF($S$5:S93,"x")))=0,"",COUNTIF($S$5:S94,"x"))</f>
        <v/>
      </c>
      <c r="T199" s="3715" t="str">
        <f>IF(((COUNTIF($T$5:T94,"x"))-(COUNTIF($T$5:T93,"x")))=0,"",COUNTIF($T$5:T94,"x"))</f>
        <v/>
      </c>
      <c r="U199" s="3715" t="str">
        <f>IF(((COUNTIF($U$5:U94,"x"))-(COUNTIF($U$5:U93,"x")))=0,"",COUNTIF($U$5:U94,"x"))</f>
        <v/>
      </c>
      <c r="V199" s="3715" t="str">
        <f>IF(((COUNTIF($V$5:V94,"x"))-(COUNTIF($V$5:V93,"x")))=0,"",COUNTIF($V$5:V94,"x"))</f>
        <v/>
      </c>
      <c r="W199" s="3715" t="str">
        <f>IF(((COUNTIF($W$5:W94,"x"))-(COUNTIF($W$5:W93,"x")))=0,"",COUNTIF($W$5:W94,"x"))</f>
        <v/>
      </c>
      <c r="X199" s="3715" t="str">
        <f>IF(((COUNTIF($X$5:X94,"x"))-(COUNTIF($X$5:X93,"x")))=0,"",COUNTIF($X$5:X94,"x"))</f>
        <v/>
      </c>
      <c r="Y199" s="3715" t="str">
        <f>IF(((COUNTIF($Y$5:Y94,"x"))-(COUNTIF($Y$5:Y93,"x")))=0,"",COUNTIF($Y$5:Y94,"x"))</f>
        <v/>
      </c>
      <c r="Z199" s="3715" t="str">
        <f>IF(((COUNTIF($Z$5:Z94,"x"))-(COUNTIF($Z$5:Z93,"x")))=0,"",COUNTIF($Z$5:Z94,"x"))</f>
        <v/>
      </c>
      <c r="AA199" s="3715" t="str">
        <f>IF(((COUNTIF($AA$5:AA94,"x"))-(COUNTIF($AA$5:AA93,"x")))=0,"",COUNTIF($AA$5:AA94,"x"))</f>
        <v/>
      </c>
      <c r="AB199" s="3715" t="str">
        <f>IF(((COUNTIF($AB$5:AB94,"x"))-(COUNTIF($AB$5:AB93,"x")))=0,"",COUNTIF($AB$5:AB94,"x"))</f>
        <v/>
      </c>
      <c r="AC199" s="3715" t="str">
        <f>IF(((COUNTIF($AC$5:AC94,"x"))-(COUNTIF($AC$5:AC93,"x")))=0,"",COUNTIF($AC$5:AC94,"x"))</f>
        <v/>
      </c>
      <c r="AD199" s="3707">
        <f>IF(((COUNTIF($AD$5:AD94,"x"))-(COUNTIF($AD$5:AD93,"x")))=0,"",COUNTIF($AD$5:AD94,"x"))</f>
        <v>84</v>
      </c>
      <c r="AE199" s="3715" t="str">
        <f>IF(((COUNTIF($AE$5:AE94,"x"))-(COUNTIF($AE$5:AE93,"x")))=0,"",COUNTIF($AE$5:AE94,"x"))</f>
        <v/>
      </c>
      <c r="AF199" s="3716" t="str">
        <f>IF(((COUNTIF($AF$5:AF94,"x"))-(COUNTIF($AF$5:AF93,"x")))=0,"",COUNTIF($AF$5:AF94,"x"))</f>
        <v/>
      </c>
      <c r="AG199" s="2120">
        <f t="shared" si="18"/>
        <v>0</v>
      </c>
    </row>
    <row r="200" spans="2:33" ht="18">
      <c r="B200" s="2136">
        <f t="shared" si="19"/>
        <v>91</v>
      </c>
      <c r="C200" s="3712">
        <f t="shared" si="17"/>
        <v>0</v>
      </c>
      <c r="D200" s="3718"/>
      <c r="E200" s="3719"/>
      <c r="F200" s="3706" t="str">
        <f>IF(((COUNTIF($F$5:$F95,"x"))-(COUNTIF($F$5:$F94,"x")))=0,"",COUNTIF($F$5:$F95,"x"))</f>
        <v/>
      </c>
      <c r="G200" s="3707" t="str">
        <f>IF(((COUNTIF($G$5:$G95,"x"))-(COUNTIF($G$5:$G94,"x")))=0,"",COUNTIF($G$5:$G95,"x"))</f>
        <v/>
      </c>
      <c r="H200" s="3707" t="str">
        <f>IF(((COUNTIF($H$5:$H95,"x"))-(COUNTIF($H$5:$H94,"x")))=0,"",COUNTIF($H$5:$H95,"x"))</f>
        <v/>
      </c>
      <c r="I200" s="3707" t="str">
        <f>IF(((COUNTIF($I$5:I95,"x"))-(COUNTIF($I$5:I94,"x")))=0,"",COUNTIF($I$5:I95,"x"))</f>
        <v/>
      </c>
      <c r="J200" s="3715" t="str">
        <f>IF(((COUNTIF($J$5:J95,"x"))-(COUNTIF($J$5:J94,"x")))=0,"",COUNTIF($J$5:J95,"x"))</f>
        <v/>
      </c>
      <c r="K200" s="3715" t="str">
        <f>IF(((COUNTIF($K$5:K95,"x"))-(COUNTIF($K$5:K94,"x")))=0,"",COUNTIF($K$5:K95,"x"))</f>
        <v/>
      </c>
      <c r="L200" s="3715" t="str">
        <f>IF(((COUNTIF($L$5:L95,"x"))-(COUNTIF($L$5:L94,"x")))=0,"",COUNTIF($L$5:L95,"x"))</f>
        <v/>
      </c>
      <c r="M200" s="3715" t="str">
        <f>IF(((COUNTIF($M$5:M95,"x"))-(COUNTIF($M$5:M94,"x")))=0,"",COUNTIF($M$5:M95,"x"))</f>
        <v/>
      </c>
      <c r="N200" s="3715" t="str">
        <f>IF(((COUNTIF($N$5:N95,"x"))-(COUNTIF($N$5:N94,"x")))=0,"",COUNTIF($N$5:N95,"x"))</f>
        <v/>
      </c>
      <c r="O200" s="3715" t="str">
        <f>IF(((COUNTIF($O$5:O95,"x"))-(COUNTIF($O$5:O94,"x")))=0,"",COUNTIF($O$5:O95,"x"))</f>
        <v/>
      </c>
      <c r="P200" s="3707" t="str">
        <f>IF(((COUNTIF($P$5:P95,"x"))-(COUNTIF($P$5:P94,"x")))=0,"",COUNTIF($P$5:P95,"x"))</f>
        <v/>
      </c>
      <c r="Q200" s="3715" t="str">
        <f>IF(((COUNTIF($Q$5:Q95,"x"))-(COUNTIF($Q$5:Q94,"x")))=0,"",COUNTIF($Q$5:Q95,"x"))</f>
        <v/>
      </c>
      <c r="R200" s="3715" t="str">
        <f>IF(((COUNTIF($R$5:R95,"x"))-(COUNTIF($R$5:R94,"x")))=0,"",COUNTIF($R$5:R95,"x"))</f>
        <v/>
      </c>
      <c r="S200" s="3715" t="str">
        <f>IF(((COUNTIF($S$5:S95,"x"))-(COUNTIF($S$5:S94,"x")))=0,"",COUNTIF($S$5:S95,"x"))</f>
        <v/>
      </c>
      <c r="T200" s="3715" t="str">
        <f>IF(((COUNTIF($T$5:T95,"x"))-(COUNTIF($T$5:T94,"x")))=0,"",COUNTIF($T$5:T95,"x"))</f>
        <v/>
      </c>
      <c r="U200" s="3715" t="str">
        <f>IF(((COUNTIF($U$5:U95,"x"))-(COUNTIF($U$5:U94,"x")))=0,"",COUNTIF($U$5:U95,"x"))</f>
        <v/>
      </c>
      <c r="V200" s="3715" t="str">
        <f>IF(((COUNTIF($V$5:V95,"x"))-(COUNTIF($V$5:V94,"x")))=0,"",COUNTIF($V$5:V95,"x"))</f>
        <v/>
      </c>
      <c r="W200" s="3715" t="str">
        <f>IF(((COUNTIF($W$5:W95,"x"))-(COUNTIF($W$5:W94,"x")))=0,"",COUNTIF($W$5:W95,"x"))</f>
        <v/>
      </c>
      <c r="X200" s="3715" t="str">
        <f>IF(((COUNTIF($X$5:X95,"x"))-(COUNTIF($X$5:X94,"x")))=0,"",COUNTIF($X$5:X95,"x"))</f>
        <v/>
      </c>
      <c r="Y200" s="3715" t="str">
        <f>IF(((COUNTIF($Y$5:Y95,"x"))-(COUNTIF($Y$5:Y94,"x")))=0,"",COUNTIF($Y$5:Y95,"x"))</f>
        <v/>
      </c>
      <c r="Z200" s="3715" t="str">
        <f>IF(((COUNTIF($Z$5:Z95,"x"))-(COUNTIF($Z$5:Z94,"x")))=0,"",COUNTIF($Z$5:Z95,"x"))</f>
        <v/>
      </c>
      <c r="AA200" s="3715" t="str">
        <f>IF(((COUNTIF($AA$5:AA95,"x"))-(COUNTIF($AA$5:AA94,"x")))=0,"",COUNTIF($AA$5:AA95,"x"))</f>
        <v/>
      </c>
      <c r="AB200" s="3715" t="str">
        <f>IF(((COUNTIF($AB$5:AB95,"x"))-(COUNTIF($AB$5:AB94,"x")))=0,"",COUNTIF($AB$5:AB95,"x"))</f>
        <v/>
      </c>
      <c r="AC200" s="3715" t="str">
        <f>IF(((COUNTIF($AC$5:AC95,"x"))-(COUNTIF($AC$5:AC94,"x")))=0,"",COUNTIF($AC$5:AC95,"x"))</f>
        <v/>
      </c>
      <c r="AD200" s="3707">
        <f>IF(((COUNTIF($AD$5:AD95,"x"))-(COUNTIF($AD$5:AD94,"x")))=0,"",COUNTIF($AD$5:AD95,"x"))</f>
        <v>85</v>
      </c>
      <c r="AE200" s="3715" t="str">
        <f>IF(((COUNTIF($AE$5:AE95,"x"))-(COUNTIF($AE$5:AE94,"x")))=0,"",COUNTIF($AE$5:AE95,"x"))</f>
        <v/>
      </c>
      <c r="AF200" s="3716" t="str">
        <f>IF(((COUNTIF($AF$5:AF95,"x"))-(COUNTIF($AF$5:AF94,"x")))=0,"",COUNTIF($AF$5:AF95,"x"))</f>
        <v/>
      </c>
      <c r="AG200" s="2120">
        <f t="shared" si="18"/>
        <v>0</v>
      </c>
    </row>
    <row r="201" spans="2:33" ht="18">
      <c r="B201" s="2136">
        <f t="shared" si="19"/>
        <v>92</v>
      </c>
      <c r="C201" s="3712">
        <f t="shared" si="17"/>
        <v>0</v>
      </c>
      <c r="D201" s="3718"/>
      <c r="E201" s="3719"/>
      <c r="F201" s="3706" t="str">
        <f>IF(((COUNTIF($F$5:$F96,"x"))-(COUNTIF($F$5:$F95,"x")))=0,"",COUNTIF($F$5:$F96,"x"))</f>
        <v/>
      </c>
      <c r="G201" s="3707" t="str">
        <f>IF(((COUNTIF($G$5:$G96,"x"))-(COUNTIF($G$5:$G95,"x")))=0,"",COUNTIF($G$5:$G96,"x"))</f>
        <v/>
      </c>
      <c r="H201" s="3707" t="str">
        <f>IF(((COUNTIF($H$5:$H96,"x"))-(COUNTIF($H$5:$H95,"x")))=0,"",COUNTIF($H$5:$H96,"x"))</f>
        <v/>
      </c>
      <c r="I201" s="3707" t="str">
        <f>IF(((COUNTIF($I$5:I96,"x"))-(COUNTIF($I$5:I95,"x")))=0,"",COUNTIF($I$5:I96,"x"))</f>
        <v/>
      </c>
      <c r="J201" s="3715" t="str">
        <f>IF(((COUNTIF($J$5:J96,"x"))-(COUNTIF($J$5:J95,"x")))=0,"",COUNTIF($J$5:J96,"x"))</f>
        <v/>
      </c>
      <c r="K201" s="3715" t="str">
        <f>IF(((COUNTIF($K$5:K96,"x"))-(COUNTIF($K$5:K95,"x")))=0,"",COUNTIF($K$5:K96,"x"))</f>
        <v/>
      </c>
      <c r="L201" s="3715" t="str">
        <f>IF(((COUNTIF($L$5:L96,"x"))-(COUNTIF($L$5:L95,"x")))=0,"",COUNTIF($L$5:L96,"x"))</f>
        <v/>
      </c>
      <c r="M201" s="3715" t="str">
        <f>IF(((COUNTIF($M$5:M96,"x"))-(COUNTIF($M$5:M95,"x")))=0,"",COUNTIF($M$5:M96,"x"))</f>
        <v/>
      </c>
      <c r="N201" s="3715" t="str">
        <f>IF(((COUNTIF($N$5:N96,"x"))-(COUNTIF($N$5:N95,"x")))=0,"",COUNTIF($N$5:N96,"x"))</f>
        <v/>
      </c>
      <c r="O201" s="3715" t="str">
        <f>IF(((COUNTIF($O$5:O96,"x"))-(COUNTIF($O$5:O95,"x")))=0,"",COUNTIF($O$5:O96,"x"))</f>
        <v/>
      </c>
      <c r="P201" s="3707" t="str">
        <f>IF(((COUNTIF($P$5:P96,"x"))-(COUNTIF($P$5:P95,"x")))=0,"",COUNTIF($P$5:P96,"x"))</f>
        <v/>
      </c>
      <c r="Q201" s="3715" t="str">
        <f>IF(((COUNTIF($Q$5:Q96,"x"))-(COUNTIF($Q$5:Q95,"x")))=0,"",COUNTIF($Q$5:Q96,"x"))</f>
        <v/>
      </c>
      <c r="R201" s="3715" t="str">
        <f>IF(((COUNTIF($R$5:R96,"x"))-(COUNTIF($R$5:R95,"x")))=0,"",COUNTIF($R$5:R96,"x"))</f>
        <v/>
      </c>
      <c r="S201" s="3715" t="str">
        <f>IF(((COUNTIF($S$5:S96,"x"))-(COUNTIF($S$5:S95,"x")))=0,"",COUNTIF($S$5:S96,"x"))</f>
        <v/>
      </c>
      <c r="T201" s="3715" t="str">
        <f>IF(((COUNTIF($T$5:T96,"x"))-(COUNTIF($T$5:T95,"x")))=0,"",COUNTIF($T$5:T96,"x"))</f>
        <v/>
      </c>
      <c r="U201" s="3715" t="str">
        <f>IF(((COUNTIF($U$5:U96,"x"))-(COUNTIF($U$5:U95,"x")))=0,"",COUNTIF($U$5:U96,"x"))</f>
        <v/>
      </c>
      <c r="V201" s="3715" t="str">
        <f>IF(((COUNTIF($V$5:V96,"x"))-(COUNTIF($V$5:V95,"x")))=0,"",COUNTIF($V$5:V96,"x"))</f>
        <v/>
      </c>
      <c r="W201" s="3715" t="str">
        <f>IF(((COUNTIF($W$5:W96,"x"))-(COUNTIF($W$5:W95,"x")))=0,"",COUNTIF($W$5:W96,"x"))</f>
        <v/>
      </c>
      <c r="X201" s="3715" t="str">
        <f>IF(((COUNTIF($X$5:X96,"x"))-(COUNTIF($X$5:X95,"x")))=0,"",COUNTIF($X$5:X96,"x"))</f>
        <v/>
      </c>
      <c r="Y201" s="3715" t="str">
        <f>IF(((COUNTIF($Y$5:Y96,"x"))-(COUNTIF($Y$5:Y95,"x")))=0,"",COUNTIF($Y$5:Y96,"x"))</f>
        <v/>
      </c>
      <c r="Z201" s="3715" t="str">
        <f>IF(((COUNTIF($Z$5:Z96,"x"))-(COUNTIF($Z$5:Z95,"x")))=0,"",COUNTIF($Z$5:Z96,"x"))</f>
        <v/>
      </c>
      <c r="AA201" s="3715" t="str">
        <f>IF(((COUNTIF($AA$5:AA96,"x"))-(COUNTIF($AA$5:AA95,"x")))=0,"",COUNTIF($AA$5:AA96,"x"))</f>
        <v/>
      </c>
      <c r="AB201" s="3715" t="str">
        <f>IF(((COUNTIF($AB$5:AB96,"x"))-(COUNTIF($AB$5:AB95,"x")))=0,"",COUNTIF($AB$5:AB96,"x"))</f>
        <v/>
      </c>
      <c r="AC201" s="3715" t="str">
        <f>IF(((COUNTIF($AC$5:AC96,"x"))-(COUNTIF($AC$5:AC95,"x")))=0,"",COUNTIF($AC$5:AC96,"x"))</f>
        <v/>
      </c>
      <c r="AD201" s="3707">
        <f>IF(((COUNTIF($AD$5:AD96,"x"))-(COUNTIF($AD$5:AD95,"x")))=0,"",COUNTIF($AD$5:AD96,"x"))</f>
        <v>86</v>
      </c>
      <c r="AE201" s="3715" t="str">
        <f>IF(((COUNTIF($AE$5:AE96,"x"))-(COUNTIF($AE$5:AE95,"x")))=0,"",COUNTIF($AE$5:AE96,"x"))</f>
        <v/>
      </c>
      <c r="AF201" s="3716" t="str">
        <f>IF(((COUNTIF($AF$5:AF96,"x"))-(COUNTIF($AF$5:AF95,"x")))=0,"",COUNTIF($AF$5:AF96,"x"))</f>
        <v/>
      </c>
      <c r="AG201" s="2120">
        <f t="shared" si="18"/>
        <v>0</v>
      </c>
    </row>
    <row r="202" spans="2:33" ht="18">
      <c r="B202" s="2136">
        <f t="shared" si="19"/>
        <v>93</v>
      </c>
      <c r="C202" s="3712">
        <f t="shared" si="17"/>
        <v>0</v>
      </c>
      <c r="D202" s="3718"/>
      <c r="E202" s="3719"/>
      <c r="F202" s="3706" t="str">
        <f>IF(((COUNTIF($F$5:$F97,"x"))-(COUNTIF($F$5:$F96,"x")))=0,"",COUNTIF($F$5:$F97,"x"))</f>
        <v/>
      </c>
      <c r="G202" s="3707" t="str">
        <f>IF(((COUNTIF($G$5:$G97,"x"))-(COUNTIF($G$5:$G96,"x")))=0,"",COUNTIF($G$5:$G97,"x"))</f>
        <v/>
      </c>
      <c r="H202" s="3707" t="str">
        <f>IF(((COUNTIF($H$5:$H97,"x"))-(COUNTIF($H$5:$H96,"x")))=0,"",COUNTIF($H$5:$H97,"x"))</f>
        <v/>
      </c>
      <c r="I202" s="3707" t="str">
        <f>IF(((COUNTIF($I$5:I97,"x"))-(COUNTIF($I$5:I96,"x")))=0,"",COUNTIF($I$5:I97,"x"))</f>
        <v/>
      </c>
      <c r="J202" s="3715" t="str">
        <f>IF(((COUNTIF($J$5:J97,"x"))-(COUNTIF($J$5:J96,"x")))=0,"",COUNTIF($J$5:J97,"x"))</f>
        <v/>
      </c>
      <c r="K202" s="3715" t="str">
        <f>IF(((COUNTIF($K$5:K97,"x"))-(COUNTIF($K$5:K96,"x")))=0,"",COUNTIF($K$5:K97,"x"))</f>
        <v/>
      </c>
      <c r="L202" s="3715" t="str">
        <f>IF(((COUNTIF($L$5:L97,"x"))-(COUNTIF($L$5:L96,"x")))=0,"",COUNTIF($L$5:L97,"x"))</f>
        <v/>
      </c>
      <c r="M202" s="3715" t="str">
        <f>IF(((COUNTIF($M$5:M97,"x"))-(COUNTIF($M$5:M96,"x")))=0,"",COUNTIF($M$5:M97,"x"))</f>
        <v/>
      </c>
      <c r="N202" s="3715" t="str">
        <f>IF(((COUNTIF($N$5:N97,"x"))-(COUNTIF($N$5:N96,"x")))=0,"",COUNTIF($N$5:N97,"x"))</f>
        <v/>
      </c>
      <c r="O202" s="3715" t="str">
        <f>IF(((COUNTIF($O$5:O97,"x"))-(COUNTIF($O$5:O96,"x")))=0,"",COUNTIF($O$5:O97,"x"))</f>
        <v/>
      </c>
      <c r="P202" s="3707" t="str">
        <f>IF(((COUNTIF($P$5:P97,"x"))-(COUNTIF($P$5:P96,"x")))=0,"",COUNTIF($P$5:P97,"x"))</f>
        <v/>
      </c>
      <c r="Q202" s="3715" t="str">
        <f>IF(((COUNTIF($Q$5:Q97,"x"))-(COUNTIF($Q$5:Q96,"x")))=0,"",COUNTIF($Q$5:Q97,"x"))</f>
        <v/>
      </c>
      <c r="R202" s="3715" t="str">
        <f>IF(((COUNTIF($R$5:R97,"x"))-(COUNTIF($R$5:R96,"x")))=0,"",COUNTIF($R$5:R97,"x"))</f>
        <v/>
      </c>
      <c r="S202" s="3715" t="str">
        <f>IF(((COUNTIF($S$5:S97,"x"))-(COUNTIF($S$5:S96,"x")))=0,"",COUNTIF($S$5:S97,"x"))</f>
        <v/>
      </c>
      <c r="T202" s="3715" t="str">
        <f>IF(((COUNTIF($T$5:T97,"x"))-(COUNTIF($T$5:T96,"x")))=0,"",COUNTIF($T$5:T97,"x"))</f>
        <v/>
      </c>
      <c r="U202" s="3715" t="str">
        <f>IF(((COUNTIF($U$5:U97,"x"))-(COUNTIF($U$5:U96,"x")))=0,"",COUNTIF($U$5:U97,"x"))</f>
        <v/>
      </c>
      <c r="V202" s="3715" t="str">
        <f>IF(((COUNTIF($V$5:V97,"x"))-(COUNTIF($V$5:V96,"x")))=0,"",COUNTIF($V$5:V97,"x"))</f>
        <v/>
      </c>
      <c r="W202" s="3715" t="str">
        <f>IF(((COUNTIF($W$5:W97,"x"))-(COUNTIF($W$5:W96,"x")))=0,"",COUNTIF($W$5:W97,"x"))</f>
        <v/>
      </c>
      <c r="X202" s="3715" t="str">
        <f>IF(((COUNTIF($X$5:X97,"x"))-(COUNTIF($X$5:X96,"x")))=0,"",COUNTIF($X$5:X97,"x"))</f>
        <v/>
      </c>
      <c r="Y202" s="3715" t="str">
        <f>IF(((COUNTIF($Y$5:Y97,"x"))-(COUNTIF($Y$5:Y96,"x")))=0,"",COUNTIF($Y$5:Y97,"x"))</f>
        <v/>
      </c>
      <c r="Z202" s="3715" t="str">
        <f>IF(((COUNTIF($Z$5:Z97,"x"))-(COUNTIF($Z$5:Z96,"x")))=0,"",COUNTIF($Z$5:Z97,"x"))</f>
        <v/>
      </c>
      <c r="AA202" s="3715" t="str">
        <f>IF(((COUNTIF($AA$5:AA97,"x"))-(COUNTIF($AA$5:AA96,"x")))=0,"",COUNTIF($AA$5:AA97,"x"))</f>
        <v/>
      </c>
      <c r="AB202" s="3715" t="str">
        <f>IF(((COUNTIF($AB$5:AB97,"x"))-(COUNTIF($AB$5:AB96,"x")))=0,"",COUNTIF($AB$5:AB97,"x"))</f>
        <v/>
      </c>
      <c r="AC202" s="3715" t="str">
        <f>IF(((COUNTIF($AC$5:AC97,"x"))-(COUNTIF($AC$5:AC96,"x")))=0,"",COUNTIF($AC$5:AC97,"x"))</f>
        <v/>
      </c>
      <c r="AD202" s="3707">
        <f>IF(((COUNTIF($AD$5:AD97,"x"))-(COUNTIF($AD$5:AD96,"x")))=0,"",COUNTIF($AD$5:AD97,"x"))</f>
        <v>87</v>
      </c>
      <c r="AE202" s="3715" t="str">
        <f>IF(((COUNTIF($AE$5:AE97,"x"))-(COUNTIF($AE$5:AE96,"x")))=0,"",COUNTIF($AE$5:AE97,"x"))</f>
        <v/>
      </c>
      <c r="AF202" s="3716" t="str">
        <f>IF(((COUNTIF($AF$5:AF97,"x"))-(COUNTIF($AF$5:AF96,"x")))=0,"",COUNTIF($AF$5:AF97,"x"))</f>
        <v/>
      </c>
      <c r="AG202" s="2120">
        <f t="shared" si="18"/>
        <v>0</v>
      </c>
    </row>
    <row r="203" spans="2:33" ht="18">
      <c r="B203" s="2136">
        <f t="shared" si="19"/>
        <v>94</v>
      </c>
      <c r="C203" s="3712">
        <f t="shared" si="17"/>
        <v>0</v>
      </c>
      <c r="D203" s="3718"/>
      <c r="E203" s="3719"/>
      <c r="F203" s="3706" t="str">
        <f>IF(((COUNTIF($F$5:$F98,"x"))-(COUNTIF($F$5:$F97,"x")))=0,"",COUNTIF($F$5:$F98,"x"))</f>
        <v/>
      </c>
      <c r="G203" s="3707" t="str">
        <f>IF(((COUNTIF($G$5:$G98,"x"))-(COUNTIF($G$5:$G97,"x")))=0,"",COUNTIF($G$5:$G98,"x"))</f>
        <v/>
      </c>
      <c r="H203" s="3707" t="str">
        <f>IF(((COUNTIF($H$5:$H98,"x"))-(COUNTIF($H$5:$H97,"x")))=0,"",COUNTIF($H$5:$H98,"x"))</f>
        <v/>
      </c>
      <c r="I203" s="3707" t="str">
        <f>IF(((COUNTIF($I$5:I98,"x"))-(COUNTIF($I$5:I97,"x")))=0,"",COUNTIF($I$5:I98,"x"))</f>
        <v/>
      </c>
      <c r="J203" s="3715" t="str">
        <f>IF(((COUNTIF($J$5:J98,"x"))-(COUNTIF($J$5:J97,"x")))=0,"",COUNTIF($J$5:J98,"x"))</f>
        <v/>
      </c>
      <c r="K203" s="3715" t="str">
        <f>IF(((COUNTIF($K$5:K98,"x"))-(COUNTIF($K$5:K97,"x")))=0,"",COUNTIF($K$5:K98,"x"))</f>
        <v/>
      </c>
      <c r="L203" s="3715" t="str">
        <f>IF(((COUNTIF($L$5:L98,"x"))-(COUNTIF($L$5:L97,"x")))=0,"",COUNTIF($L$5:L98,"x"))</f>
        <v/>
      </c>
      <c r="M203" s="3715" t="str">
        <f>IF(((COUNTIF($M$5:M98,"x"))-(COUNTIF($M$5:M97,"x")))=0,"",COUNTIF($M$5:M98,"x"))</f>
        <v/>
      </c>
      <c r="N203" s="3715" t="str">
        <f>IF(((COUNTIF($N$5:N98,"x"))-(COUNTIF($N$5:N97,"x")))=0,"",COUNTIF($N$5:N98,"x"))</f>
        <v/>
      </c>
      <c r="O203" s="3715" t="str">
        <f>IF(((COUNTIF($O$5:O98,"x"))-(COUNTIF($O$5:O97,"x")))=0,"",COUNTIF($O$5:O98,"x"))</f>
        <v/>
      </c>
      <c r="P203" s="3707" t="str">
        <f>IF(((COUNTIF($P$5:P98,"x"))-(COUNTIF($P$5:P97,"x")))=0,"",COUNTIF($P$5:P98,"x"))</f>
        <v/>
      </c>
      <c r="Q203" s="3715" t="str">
        <f>IF(((COUNTIF($Q$5:Q98,"x"))-(COUNTIF($Q$5:Q97,"x")))=0,"",COUNTIF($Q$5:Q98,"x"))</f>
        <v/>
      </c>
      <c r="R203" s="3715" t="str">
        <f>IF(((COUNTIF($R$5:R98,"x"))-(COUNTIF($R$5:R97,"x")))=0,"",COUNTIF($R$5:R98,"x"))</f>
        <v/>
      </c>
      <c r="S203" s="3715" t="str">
        <f>IF(((COUNTIF($S$5:S98,"x"))-(COUNTIF($S$5:S97,"x")))=0,"",COUNTIF($S$5:S98,"x"))</f>
        <v/>
      </c>
      <c r="T203" s="3715" t="str">
        <f>IF(((COUNTIF($T$5:T98,"x"))-(COUNTIF($T$5:T97,"x")))=0,"",COUNTIF($T$5:T98,"x"))</f>
        <v/>
      </c>
      <c r="U203" s="3715" t="str">
        <f>IF(((COUNTIF($U$5:U98,"x"))-(COUNTIF($U$5:U97,"x")))=0,"",COUNTIF($U$5:U98,"x"))</f>
        <v/>
      </c>
      <c r="V203" s="3715" t="str">
        <f>IF(((COUNTIF($V$5:V98,"x"))-(COUNTIF($V$5:V97,"x")))=0,"",COUNTIF($V$5:V98,"x"))</f>
        <v/>
      </c>
      <c r="W203" s="3715" t="str">
        <f>IF(((COUNTIF($W$5:W98,"x"))-(COUNTIF($W$5:W97,"x")))=0,"",COUNTIF($W$5:W98,"x"))</f>
        <v/>
      </c>
      <c r="X203" s="3715" t="str">
        <f>IF(((COUNTIF($X$5:X98,"x"))-(COUNTIF($X$5:X97,"x")))=0,"",COUNTIF($X$5:X98,"x"))</f>
        <v/>
      </c>
      <c r="Y203" s="3715" t="str">
        <f>IF(((COUNTIF($Y$5:Y98,"x"))-(COUNTIF($Y$5:Y97,"x")))=0,"",COUNTIF($Y$5:Y98,"x"))</f>
        <v/>
      </c>
      <c r="Z203" s="3715" t="str">
        <f>IF(((COUNTIF($Z$5:Z98,"x"))-(COUNTIF($Z$5:Z97,"x")))=0,"",COUNTIF($Z$5:Z98,"x"))</f>
        <v/>
      </c>
      <c r="AA203" s="3715" t="str">
        <f>IF(((COUNTIF($AA$5:AA98,"x"))-(COUNTIF($AA$5:AA97,"x")))=0,"",COUNTIF($AA$5:AA98,"x"))</f>
        <v/>
      </c>
      <c r="AB203" s="3715" t="str">
        <f>IF(((COUNTIF($AB$5:AB98,"x"))-(COUNTIF($AB$5:AB97,"x")))=0,"",COUNTIF($AB$5:AB98,"x"))</f>
        <v/>
      </c>
      <c r="AC203" s="3715" t="str">
        <f>IF(((COUNTIF($AC$5:AC98,"x"))-(COUNTIF($AC$5:AC97,"x")))=0,"",COUNTIF($AC$5:AC98,"x"))</f>
        <v/>
      </c>
      <c r="AD203" s="3707">
        <f>IF(((COUNTIF($AD$5:AD98,"x"))-(COUNTIF($AD$5:AD97,"x")))=0,"",COUNTIF($AD$5:AD98,"x"))</f>
        <v>88</v>
      </c>
      <c r="AE203" s="3715" t="str">
        <f>IF(((COUNTIF($AE$5:AE98,"x"))-(COUNTIF($AE$5:AE97,"x")))=0,"",COUNTIF($AE$5:AE98,"x"))</f>
        <v/>
      </c>
      <c r="AF203" s="3716" t="str">
        <f>IF(((COUNTIF($AF$5:AF98,"x"))-(COUNTIF($AF$5:AF97,"x")))=0,"",COUNTIF($AF$5:AF98,"x"))</f>
        <v/>
      </c>
      <c r="AG203" s="2120">
        <f t="shared" si="18"/>
        <v>0</v>
      </c>
    </row>
    <row r="204" spans="2:33" ht="18">
      <c r="B204" s="2136">
        <f t="shared" si="19"/>
        <v>95</v>
      </c>
      <c r="C204" s="3712">
        <f t="shared" si="17"/>
        <v>0</v>
      </c>
      <c r="D204" s="3718"/>
      <c r="E204" s="3719"/>
      <c r="F204" s="3706" t="str">
        <f>IF(((COUNTIF($F$5:$F99,"x"))-(COUNTIF($F$5:$F98,"x")))=0,"",COUNTIF($F$5:$F99,"x"))</f>
        <v/>
      </c>
      <c r="G204" s="3707" t="str">
        <f>IF(((COUNTIF($G$5:$G99,"x"))-(COUNTIF($G$5:$G98,"x")))=0,"",COUNTIF($G$5:$G99,"x"))</f>
        <v/>
      </c>
      <c r="H204" s="3707" t="str">
        <f>IF(((COUNTIF($H$5:$H99,"x"))-(COUNTIF($H$5:$H98,"x")))=0,"",COUNTIF($H$5:$H99,"x"))</f>
        <v/>
      </c>
      <c r="I204" s="3707" t="str">
        <f>IF(((COUNTIF($I$5:I99,"x"))-(COUNTIF($I$5:I98,"x")))=0,"",COUNTIF($I$5:I99,"x"))</f>
        <v/>
      </c>
      <c r="J204" s="3715" t="str">
        <f>IF(((COUNTIF($J$5:J99,"x"))-(COUNTIF($J$5:J98,"x")))=0,"",COUNTIF($J$5:J99,"x"))</f>
        <v/>
      </c>
      <c r="K204" s="3715" t="str">
        <f>IF(((COUNTIF($K$5:K99,"x"))-(COUNTIF($K$5:K98,"x")))=0,"",COUNTIF($K$5:K99,"x"))</f>
        <v/>
      </c>
      <c r="L204" s="3715" t="str">
        <f>IF(((COUNTIF($L$5:L99,"x"))-(COUNTIF($L$5:L98,"x")))=0,"",COUNTIF($L$5:L99,"x"))</f>
        <v/>
      </c>
      <c r="M204" s="3715" t="str">
        <f>IF(((COUNTIF($M$5:M99,"x"))-(COUNTIF($M$5:M98,"x")))=0,"",COUNTIF($M$5:M99,"x"))</f>
        <v/>
      </c>
      <c r="N204" s="3715" t="str">
        <f>IF(((COUNTIF($N$5:N99,"x"))-(COUNTIF($N$5:N98,"x")))=0,"",COUNTIF($N$5:N99,"x"))</f>
        <v/>
      </c>
      <c r="O204" s="3715" t="str">
        <f>IF(((COUNTIF($O$5:O99,"x"))-(COUNTIF($O$5:O98,"x")))=0,"",COUNTIF($O$5:O99,"x"))</f>
        <v/>
      </c>
      <c r="P204" s="3707" t="str">
        <f>IF(((COUNTIF($P$5:P99,"x"))-(COUNTIF($P$5:P98,"x")))=0,"",COUNTIF($P$5:P99,"x"))</f>
        <v/>
      </c>
      <c r="Q204" s="3715" t="str">
        <f>IF(((COUNTIF($Q$5:Q99,"x"))-(COUNTIF($Q$5:Q98,"x")))=0,"",COUNTIF($Q$5:Q99,"x"))</f>
        <v/>
      </c>
      <c r="R204" s="3715" t="str">
        <f>IF(((COUNTIF($R$5:R99,"x"))-(COUNTIF($R$5:R98,"x")))=0,"",COUNTIF($R$5:R99,"x"))</f>
        <v/>
      </c>
      <c r="S204" s="3715" t="str">
        <f>IF(((COUNTIF($S$5:S99,"x"))-(COUNTIF($S$5:S98,"x")))=0,"",COUNTIF($S$5:S99,"x"))</f>
        <v/>
      </c>
      <c r="T204" s="3715" t="str">
        <f>IF(((COUNTIF($T$5:T99,"x"))-(COUNTIF($T$5:T98,"x")))=0,"",COUNTIF($T$5:T99,"x"))</f>
        <v/>
      </c>
      <c r="U204" s="3715" t="str">
        <f>IF(((COUNTIF($U$5:U99,"x"))-(COUNTIF($U$5:U98,"x")))=0,"",COUNTIF($U$5:U99,"x"))</f>
        <v/>
      </c>
      <c r="V204" s="3715" t="str">
        <f>IF(((COUNTIF($V$5:V99,"x"))-(COUNTIF($V$5:V98,"x")))=0,"",COUNTIF($V$5:V99,"x"))</f>
        <v/>
      </c>
      <c r="W204" s="3715" t="str">
        <f>IF(((COUNTIF($W$5:W99,"x"))-(COUNTIF($W$5:W98,"x")))=0,"",COUNTIF($W$5:W99,"x"))</f>
        <v/>
      </c>
      <c r="X204" s="3715" t="str">
        <f>IF(((COUNTIF($X$5:X99,"x"))-(COUNTIF($X$5:X98,"x")))=0,"",COUNTIF($X$5:X99,"x"))</f>
        <v/>
      </c>
      <c r="Y204" s="3715" t="str">
        <f>IF(((COUNTIF($Y$5:Y99,"x"))-(COUNTIF($Y$5:Y98,"x")))=0,"",COUNTIF($Y$5:Y99,"x"))</f>
        <v/>
      </c>
      <c r="Z204" s="3715" t="str">
        <f>IF(((COUNTIF($Z$5:Z99,"x"))-(COUNTIF($Z$5:Z98,"x")))=0,"",COUNTIF($Z$5:Z99,"x"))</f>
        <v/>
      </c>
      <c r="AA204" s="3715" t="str">
        <f>IF(((COUNTIF($AA$5:AA99,"x"))-(COUNTIF($AA$5:AA98,"x")))=0,"",COUNTIF($AA$5:AA99,"x"))</f>
        <v/>
      </c>
      <c r="AB204" s="3715" t="str">
        <f>IF(((COUNTIF($AB$5:AB99,"x"))-(COUNTIF($AB$5:AB98,"x")))=0,"",COUNTIF($AB$5:AB99,"x"))</f>
        <v/>
      </c>
      <c r="AC204" s="3715" t="str">
        <f>IF(((COUNTIF($AC$5:AC99,"x"))-(COUNTIF($AC$5:AC98,"x")))=0,"",COUNTIF($AC$5:AC99,"x"))</f>
        <v/>
      </c>
      <c r="AD204" s="3707">
        <f>IF(((COUNTIF($AD$5:AD99,"x"))-(COUNTIF($AD$5:AD98,"x")))=0,"",COUNTIF($AD$5:AD99,"x"))</f>
        <v>89</v>
      </c>
      <c r="AE204" s="3715" t="str">
        <f>IF(((COUNTIF($AE$5:AE99,"x"))-(COUNTIF($AE$5:AE98,"x")))=0,"",COUNTIF($AE$5:AE99,"x"))</f>
        <v/>
      </c>
      <c r="AF204" s="3716" t="str">
        <f>IF(((COUNTIF($AF$5:AF99,"x"))-(COUNTIF($AF$5:AF98,"x")))=0,"",COUNTIF($AF$5:AF99,"x"))</f>
        <v/>
      </c>
      <c r="AG204" s="2120">
        <f t="shared" si="18"/>
        <v>0</v>
      </c>
    </row>
    <row r="205" spans="2:33" ht="18">
      <c r="B205" s="2136">
        <f t="shared" si="19"/>
        <v>96</v>
      </c>
      <c r="C205" s="3712">
        <f t="shared" si="17"/>
        <v>0</v>
      </c>
      <c r="D205" s="3718"/>
      <c r="E205" s="3719"/>
      <c r="F205" s="3706" t="str">
        <f>IF(((COUNTIF($F$5:$F100,"x"))-(COUNTIF($F$5:$F99,"x")))=0,"",COUNTIF($F$5:$F100,"x"))</f>
        <v/>
      </c>
      <c r="G205" s="3707" t="str">
        <f>IF(((COUNTIF($G$5:$G100,"x"))-(COUNTIF($G$5:$G99,"x")))=0,"",COUNTIF($G$5:$G100,"x"))</f>
        <v/>
      </c>
      <c r="H205" s="3707" t="str">
        <f>IF(((COUNTIF($H$5:$H100,"x"))-(COUNTIF($H$5:$H99,"x")))=0,"",COUNTIF($H$5:$H100,"x"))</f>
        <v/>
      </c>
      <c r="I205" s="3707" t="str">
        <f>IF(((COUNTIF($I$5:I100,"x"))-(COUNTIF($I$5:I99,"x")))=0,"",COUNTIF($I$5:I100,"x"))</f>
        <v/>
      </c>
      <c r="J205" s="3715" t="str">
        <f>IF(((COUNTIF($J$5:J100,"x"))-(COUNTIF($J$5:J99,"x")))=0,"",COUNTIF($J$5:J100,"x"))</f>
        <v/>
      </c>
      <c r="K205" s="3715" t="str">
        <f>IF(((COUNTIF($K$5:K100,"x"))-(COUNTIF($K$5:K99,"x")))=0,"",COUNTIF($K$5:K100,"x"))</f>
        <v/>
      </c>
      <c r="L205" s="3715" t="str">
        <f>IF(((COUNTIF($L$5:L100,"x"))-(COUNTIF($L$5:L99,"x")))=0,"",COUNTIF($L$5:L100,"x"))</f>
        <v/>
      </c>
      <c r="M205" s="3715" t="str">
        <f>IF(((COUNTIF($M$5:M100,"x"))-(COUNTIF($M$5:M99,"x")))=0,"",COUNTIF($M$5:M100,"x"))</f>
        <v/>
      </c>
      <c r="N205" s="3715" t="str">
        <f>IF(((COUNTIF($N$5:N100,"x"))-(COUNTIF($N$5:N99,"x")))=0,"",COUNTIF($N$5:N100,"x"))</f>
        <v/>
      </c>
      <c r="O205" s="3715" t="str">
        <f>IF(((COUNTIF($O$5:O100,"x"))-(COUNTIF($O$5:O99,"x")))=0,"",COUNTIF($O$5:O100,"x"))</f>
        <v/>
      </c>
      <c r="P205" s="3707" t="str">
        <f>IF(((COUNTIF($P$5:P100,"x"))-(COUNTIF($P$5:P99,"x")))=0,"",COUNTIF($P$5:P100,"x"))</f>
        <v/>
      </c>
      <c r="Q205" s="3715" t="str">
        <f>IF(((COUNTIF($Q$5:Q100,"x"))-(COUNTIF($Q$5:Q99,"x")))=0,"",COUNTIF($Q$5:Q100,"x"))</f>
        <v/>
      </c>
      <c r="R205" s="3715" t="str">
        <f>IF(((COUNTIF($R$5:R100,"x"))-(COUNTIF($R$5:R99,"x")))=0,"",COUNTIF($R$5:R100,"x"))</f>
        <v/>
      </c>
      <c r="S205" s="3715" t="str">
        <f>IF(((COUNTIF($S$5:S100,"x"))-(COUNTIF($S$5:S99,"x")))=0,"",COUNTIF($S$5:S100,"x"))</f>
        <v/>
      </c>
      <c r="T205" s="3715" t="str">
        <f>IF(((COUNTIF($T$5:T100,"x"))-(COUNTIF($T$5:T99,"x")))=0,"",COUNTIF($T$5:T100,"x"))</f>
        <v/>
      </c>
      <c r="U205" s="3715" t="str">
        <f>IF(((COUNTIF($U$5:U100,"x"))-(COUNTIF($U$5:U99,"x")))=0,"",COUNTIF($U$5:U100,"x"))</f>
        <v/>
      </c>
      <c r="V205" s="3715" t="str">
        <f>IF(((COUNTIF($V$5:V100,"x"))-(COUNTIF($V$5:V99,"x")))=0,"",COUNTIF($V$5:V100,"x"))</f>
        <v/>
      </c>
      <c r="W205" s="3715" t="str">
        <f>IF(((COUNTIF($W$5:W100,"x"))-(COUNTIF($W$5:W99,"x")))=0,"",COUNTIF($W$5:W100,"x"))</f>
        <v/>
      </c>
      <c r="X205" s="3715" t="str">
        <f>IF(((COUNTIF($X$5:X100,"x"))-(COUNTIF($X$5:X99,"x")))=0,"",COUNTIF($X$5:X100,"x"))</f>
        <v/>
      </c>
      <c r="Y205" s="3715" t="str">
        <f>IF(((COUNTIF($Y$5:Y100,"x"))-(COUNTIF($Y$5:Y99,"x")))=0,"",COUNTIF($Y$5:Y100,"x"))</f>
        <v/>
      </c>
      <c r="Z205" s="3715" t="str">
        <f>IF(((COUNTIF($Z$5:Z100,"x"))-(COUNTIF($Z$5:Z99,"x")))=0,"",COUNTIF($Z$5:Z100,"x"))</f>
        <v/>
      </c>
      <c r="AA205" s="3715" t="str">
        <f>IF(((COUNTIF($AA$5:AA100,"x"))-(COUNTIF($AA$5:AA99,"x")))=0,"",COUNTIF($AA$5:AA100,"x"))</f>
        <v/>
      </c>
      <c r="AB205" s="3715" t="str">
        <f>IF(((COUNTIF($AB$5:AB100,"x"))-(COUNTIF($AB$5:AB99,"x")))=0,"",COUNTIF($AB$5:AB100,"x"))</f>
        <v/>
      </c>
      <c r="AC205" s="3715" t="str">
        <f>IF(((COUNTIF($AC$5:AC100,"x"))-(COUNTIF($AC$5:AC99,"x")))=0,"",COUNTIF($AC$5:AC100,"x"))</f>
        <v/>
      </c>
      <c r="AD205" s="3707">
        <f>IF(((COUNTIF($AD$5:AD100,"x"))-(COUNTIF($AD$5:AD99,"x")))=0,"",COUNTIF($AD$5:AD100,"x"))</f>
        <v>90</v>
      </c>
      <c r="AE205" s="3715" t="str">
        <f>IF(((COUNTIF($AE$5:AE100,"x"))-(COUNTIF($AE$5:AE99,"x")))=0,"",COUNTIF($AE$5:AE100,"x"))</f>
        <v/>
      </c>
      <c r="AF205" s="3716" t="str">
        <f>IF(((COUNTIF($AF$5:AF100,"x"))-(COUNTIF($AF$5:AF99,"x")))=0,"",COUNTIF($AF$5:AF100,"x"))</f>
        <v/>
      </c>
      <c r="AG205" s="2120">
        <f t="shared" si="18"/>
        <v>0</v>
      </c>
    </row>
    <row r="206" spans="2:33" ht="18">
      <c r="B206" s="2136">
        <f t="shared" si="19"/>
        <v>97</v>
      </c>
      <c r="C206" s="3712">
        <f t="shared" si="17"/>
        <v>0</v>
      </c>
      <c r="D206" s="3718"/>
      <c r="E206" s="3719"/>
      <c r="F206" s="3706" t="str">
        <f>IF(((COUNTIF($F$5:$F101,"x"))-(COUNTIF($F$5:$F100,"x")))=0,"",COUNTIF($F$5:$F101,"x"))</f>
        <v/>
      </c>
      <c r="G206" s="3707" t="str">
        <f>IF(((COUNTIF($G$5:$G101,"x"))-(COUNTIF($G$5:$G100,"x")))=0,"",COUNTIF($G$5:$G101,"x"))</f>
        <v/>
      </c>
      <c r="H206" s="3707" t="str">
        <f>IF(((COUNTIF($H$5:$H101,"x"))-(COUNTIF($H$5:$H100,"x")))=0,"",COUNTIF($H$5:$H101,"x"))</f>
        <v/>
      </c>
      <c r="I206" s="3707" t="str">
        <f>IF(((COUNTIF($I$5:I101,"x"))-(COUNTIF($I$5:I100,"x")))=0,"",COUNTIF($I$5:I101,"x"))</f>
        <v/>
      </c>
      <c r="J206" s="3715" t="str">
        <f>IF(((COUNTIF($J$5:J101,"x"))-(COUNTIF($J$5:J100,"x")))=0,"",COUNTIF($J$5:J101,"x"))</f>
        <v/>
      </c>
      <c r="K206" s="3715" t="str">
        <f>IF(((COUNTIF($K$5:K101,"x"))-(COUNTIF($K$5:K100,"x")))=0,"",COUNTIF($K$5:K101,"x"))</f>
        <v/>
      </c>
      <c r="L206" s="3715" t="str">
        <f>IF(((COUNTIF($L$5:L101,"x"))-(COUNTIF($L$5:L100,"x")))=0,"",COUNTIF($L$5:L101,"x"))</f>
        <v/>
      </c>
      <c r="M206" s="3715" t="str">
        <f>IF(((COUNTIF($M$5:M101,"x"))-(COUNTIF($M$5:M100,"x")))=0,"",COUNTIF($M$5:M101,"x"))</f>
        <v/>
      </c>
      <c r="N206" s="3715" t="str">
        <f>IF(((COUNTIF($N$5:N101,"x"))-(COUNTIF($N$5:N100,"x")))=0,"",COUNTIF($N$5:N101,"x"))</f>
        <v/>
      </c>
      <c r="O206" s="3715" t="str">
        <f>IF(((COUNTIF($O$5:O101,"x"))-(COUNTIF($O$5:O100,"x")))=0,"",COUNTIF($O$5:O101,"x"))</f>
        <v/>
      </c>
      <c r="P206" s="3707" t="str">
        <f>IF(((COUNTIF($P$5:P101,"x"))-(COUNTIF($P$5:P100,"x")))=0,"",COUNTIF($P$5:P101,"x"))</f>
        <v/>
      </c>
      <c r="Q206" s="3715" t="str">
        <f>IF(((COUNTIF($Q$5:Q101,"x"))-(COUNTIF($Q$5:Q100,"x")))=0,"",COUNTIF($Q$5:Q101,"x"))</f>
        <v/>
      </c>
      <c r="R206" s="3715" t="str">
        <f>IF(((COUNTIF($R$5:R101,"x"))-(COUNTIF($R$5:R100,"x")))=0,"",COUNTIF($R$5:R101,"x"))</f>
        <v/>
      </c>
      <c r="S206" s="3715" t="str">
        <f>IF(((COUNTIF($S$5:S101,"x"))-(COUNTIF($S$5:S100,"x")))=0,"",COUNTIF($S$5:S101,"x"))</f>
        <v/>
      </c>
      <c r="T206" s="3715" t="str">
        <f>IF(((COUNTIF($T$5:T101,"x"))-(COUNTIF($T$5:T100,"x")))=0,"",COUNTIF($T$5:T101,"x"))</f>
        <v/>
      </c>
      <c r="U206" s="3715" t="str">
        <f>IF(((COUNTIF($U$5:U101,"x"))-(COUNTIF($U$5:U100,"x")))=0,"",COUNTIF($U$5:U101,"x"))</f>
        <v/>
      </c>
      <c r="V206" s="3715" t="str">
        <f>IF(((COUNTIF($V$5:V101,"x"))-(COUNTIF($V$5:V100,"x")))=0,"",COUNTIF($V$5:V101,"x"))</f>
        <v/>
      </c>
      <c r="W206" s="3715" t="str">
        <f>IF(((COUNTIF($W$5:W101,"x"))-(COUNTIF($W$5:W100,"x")))=0,"",COUNTIF($W$5:W101,"x"))</f>
        <v/>
      </c>
      <c r="X206" s="3715" t="str">
        <f>IF(((COUNTIF($X$5:X101,"x"))-(COUNTIF($X$5:X100,"x")))=0,"",COUNTIF($X$5:X101,"x"))</f>
        <v/>
      </c>
      <c r="Y206" s="3715" t="str">
        <f>IF(((COUNTIF($Y$5:Y101,"x"))-(COUNTIF($Y$5:Y100,"x")))=0,"",COUNTIF($Y$5:Y101,"x"))</f>
        <v/>
      </c>
      <c r="Z206" s="3715" t="str">
        <f>IF(((COUNTIF($Z$5:Z101,"x"))-(COUNTIF($Z$5:Z100,"x")))=0,"",COUNTIF($Z$5:Z101,"x"))</f>
        <v/>
      </c>
      <c r="AA206" s="3715" t="str">
        <f>IF(((COUNTIF($AA$5:AA101,"x"))-(COUNTIF($AA$5:AA100,"x")))=0,"",COUNTIF($AA$5:AA101,"x"))</f>
        <v/>
      </c>
      <c r="AB206" s="3715" t="str">
        <f>IF(((COUNTIF($AB$5:AB101,"x"))-(COUNTIF($AB$5:AB100,"x")))=0,"",COUNTIF($AB$5:AB101,"x"))</f>
        <v/>
      </c>
      <c r="AC206" s="3715" t="str">
        <f>IF(((COUNTIF($AC$5:AC101,"x"))-(COUNTIF($AC$5:AC100,"x")))=0,"",COUNTIF($AC$5:AC101,"x"))</f>
        <v/>
      </c>
      <c r="AD206" s="3707">
        <f>IF(((COUNTIF($AD$5:AD101,"x"))-(COUNTIF($AD$5:AD100,"x")))=0,"",COUNTIF($AD$5:AD101,"x"))</f>
        <v>91</v>
      </c>
      <c r="AE206" s="3715" t="str">
        <f>IF(((COUNTIF($AE$5:AE101,"x"))-(COUNTIF($AE$5:AE100,"x")))=0,"",COUNTIF($AE$5:AE101,"x"))</f>
        <v/>
      </c>
      <c r="AF206" s="3716" t="str">
        <f>IF(((COUNTIF($AF$5:AF101,"x"))-(COUNTIF($AF$5:AF100,"x")))=0,"",COUNTIF($AF$5:AF101,"x"))</f>
        <v/>
      </c>
      <c r="AG206" s="2120">
        <f t="shared" si="18"/>
        <v>0</v>
      </c>
    </row>
    <row r="207" spans="2:33" ht="18">
      <c r="B207" s="2136">
        <f t="shared" si="19"/>
        <v>98</v>
      </c>
      <c r="C207" s="3712">
        <f t="shared" si="17"/>
        <v>0</v>
      </c>
      <c r="D207" s="3718"/>
      <c r="E207" s="3719"/>
      <c r="F207" s="3706" t="str">
        <f>IF(((COUNTIF($F$5:$F102,"x"))-(COUNTIF($F$5:$F101,"x")))=0,"",COUNTIF($F$5:$F102,"x"))</f>
        <v/>
      </c>
      <c r="G207" s="3707" t="str">
        <f>IF(((COUNTIF($G$5:$G102,"x"))-(COUNTIF($G$5:$G101,"x")))=0,"",COUNTIF($G$5:$G102,"x"))</f>
        <v/>
      </c>
      <c r="H207" s="3707" t="str">
        <f>IF(((COUNTIF($H$5:$H102,"x"))-(COUNTIF($H$5:$H101,"x")))=0,"",COUNTIF($H$5:$H102,"x"))</f>
        <v/>
      </c>
      <c r="I207" s="3707" t="str">
        <f>IF(((COUNTIF($I$5:I102,"x"))-(COUNTIF($I$5:I101,"x")))=0,"",COUNTIF($I$5:I102,"x"))</f>
        <v/>
      </c>
      <c r="J207" s="3715" t="str">
        <f>IF(((COUNTIF($J$5:J102,"x"))-(COUNTIF($J$5:J101,"x")))=0,"",COUNTIF($J$5:J102,"x"))</f>
        <v/>
      </c>
      <c r="K207" s="3715" t="str">
        <f>IF(((COUNTIF($K$5:K102,"x"))-(COUNTIF($K$5:K101,"x")))=0,"",COUNTIF($K$5:K102,"x"))</f>
        <v/>
      </c>
      <c r="L207" s="3715" t="str">
        <f>IF(((COUNTIF($L$5:L102,"x"))-(COUNTIF($L$5:L101,"x")))=0,"",COUNTIF($L$5:L102,"x"))</f>
        <v/>
      </c>
      <c r="M207" s="3715" t="str">
        <f>IF(((COUNTIF($M$5:M102,"x"))-(COUNTIF($M$5:M101,"x")))=0,"",COUNTIF($M$5:M102,"x"))</f>
        <v/>
      </c>
      <c r="N207" s="3715" t="str">
        <f>IF(((COUNTIF($N$5:N102,"x"))-(COUNTIF($N$5:N101,"x")))=0,"",COUNTIF($N$5:N102,"x"))</f>
        <v/>
      </c>
      <c r="O207" s="3715" t="str">
        <f>IF(((COUNTIF($O$5:O102,"x"))-(COUNTIF($O$5:O101,"x")))=0,"",COUNTIF($O$5:O102,"x"))</f>
        <v/>
      </c>
      <c r="P207" s="3707" t="str">
        <f>IF(((COUNTIF($P$5:P102,"x"))-(COUNTIF($P$5:P101,"x")))=0,"",COUNTIF($P$5:P102,"x"))</f>
        <v/>
      </c>
      <c r="Q207" s="3715" t="str">
        <f>IF(((COUNTIF($Q$5:Q102,"x"))-(COUNTIF($Q$5:Q101,"x")))=0,"",COUNTIF($Q$5:Q102,"x"))</f>
        <v/>
      </c>
      <c r="R207" s="3715" t="str">
        <f>IF(((COUNTIF($R$5:R102,"x"))-(COUNTIF($R$5:R101,"x")))=0,"",COUNTIF($R$5:R102,"x"))</f>
        <v/>
      </c>
      <c r="S207" s="3715" t="str">
        <f>IF(((COUNTIF($S$5:S102,"x"))-(COUNTIF($S$5:S101,"x")))=0,"",COUNTIF($S$5:S102,"x"))</f>
        <v/>
      </c>
      <c r="T207" s="3715" t="str">
        <f>IF(((COUNTIF($T$5:T102,"x"))-(COUNTIF($T$5:T101,"x")))=0,"",COUNTIF($T$5:T102,"x"))</f>
        <v/>
      </c>
      <c r="U207" s="3715" t="str">
        <f>IF(((COUNTIF($U$5:U102,"x"))-(COUNTIF($U$5:U101,"x")))=0,"",COUNTIF($U$5:U102,"x"))</f>
        <v/>
      </c>
      <c r="V207" s="3715" t="str">
        <f>IF(((COUNTIF($V$5:V102,"x"))-(COUNTIF($V$5:V101,"x")))=0,"",COUNTIF($V$5:V102,"x"))</f>
        <v/>
      </c>
      <c r="W207" s="3715" t="str">
        <f>IF(((COUNTIF($W$5:W102,"x"))-(COUNTIF($W$5:W101,"x")))=0,"",COUNTIF($W$5:W102,"x"))</f>
        <v/>
      </c>
      <c r="X207" s="3715" t="str">
        <f>IF(((COUNTIF($X$5:X102,"x"))-(COUNTIF($X$5:X101,"x")))=0,"",COUNTIF($X$5:X102,"x"))</f>
        <v/>
      </c>
      <c r="Y207" s="3715" t="str">
        <f>IF(((COUNTIF($Y$5:Y102,"x"))-(COUNTIF($Y$5:Y101,"x")))=0,"",COUNTIF($Y$5:Y102,"x"))</f>
        <v/>
      </c>
      <c r="Z207" s="3715" t="str">
        <f>IF(((COUNTIF($Z$5:Z102,"x"))-(COUNTIF($Z$5:Z101,"x")))=0,"",COUNTIF($Z$5:Z102,"x"))</f>
        <v/>
      </c>
      <c r="AA207" s="3715" t="str">
        <f>IF(((COUNTIF($AA$5:AA102,"x"))-(COUNTIF($AA$5:AA101,"x")))=0,"",COUNTIF($AA$5:AA102,"x"))</f>
        <v/>
      </c>
      <c r="AB207" s="3715" t="str">
        <f>IF(((COUNTIF($AB$5:AB102,"x"))-(COUNTIF($AB$5:AB101,"x")))=0,"",COUNTIF($AB$5:AB102,"x"))</f>
        <v/>
      </c>
      <c r="AC207" s="3715" t="str">
        <f>IF(((COUNTIF($AC$5:AC102,"x"))-(COUNTIF($AC$5:AC101,"x")))=0,"",COUNTIF($AC$5:AC102,"x"))</f>
        <v/>
      </c>
      <c r="AD207" s="3707">
        <f>IF(((COUNTIF($AD$5:AD102,"x"))-(COUNTIF($AD$5:AD101,"x")))=0,"",COUNTIF($AD$5:AD102,"x"))</f>
        <v>92</v>
      </c>
      <c r="AE207" s="3715" t="str">
        <f>IF(((COUNTIF($AE$5:AE102,"x"))-(COUNTIF($AE$5:AE101,"x")))=0,"",COUNTIF($AE$5:AE102,"x"))</f>
        <v/>
      </c>
      <c r="AF207" s="3716" t="str">
        <f>IF(((COUNTIF($AF$5:AF102,"x"))-(COUNTIF($AF$5:AF101,"x")))=0,"",COUNTIF($AF$5:AF102,"x"))</f>
        <v/>
      </c>
      <c r="AG207" s="2120">
        <f t="shared" si="18"/>
        <v>0</v>
      </c>
    </row>
    <row r="208" spans="2:33" ht="18.75" thickBot="1">
      <c r="B208" s="2129">
        <f t="shared" si="19"/>
        <v>99</v>
      </c>
      <c r="C208" s="3720">
        <f t="shared" si="17"/>
        <v>0</v>
      </c>
      <c r="D208" s="3721"/>
      <c r="E208" s="3700"/>
      <c r="F208" s="3722" t="str">
        <f>IF(((COUNTIF($F$5:$F103,"x"))-(COUNTIF($F$5:$F102,"x")))=0,"",COUNTIF($F$5:$F103,"x"))</f>
        <v/>
      </c>
      <c r="G208" s="3723" t="str">
        <f>IF(((COUNTIF($G$5:$G103,"x"))-(COUNTIF($G$5:$G102,"x")))=0,"",COUNTIF($G$5:$G103,"x"))</f>
        <v/>
      </c>
      <c r="H208" s="3723" t="str">
        <f>IF(((COUNTIF($H$5:$H103,"x"))-(COUNTIF($H$5:$H102,"x")))=0,"",COUNTIF($H$5:$H103,"x"))</f>
        <v/>
      </c>
      <c r="I208" s="3723" t="str">
        <f>IF(((COUNTIF($I$5:I103,"x"))-(COUNTIF($I$5:I102,"x")))=0,"",COUNTIF($I$5:I103,"x"))</f>
        <v/>
      </c>
      <c r="J208" s="3724" t="str">
        <f>IF(((COUNTIF($J$5:J103,"x"))-(COUNTIF($J$5:J102,"x")))=0,"",COUNTIF($J$5:J103,"x"))</f>
        <v/>
      </c>
      <c r="K208" s="3724" t="str">
        <f>IF(((COUNTIF($K$5:K103,"x"))-(COUNTIF($K$5:K102,"x")))=0,"",COUNTIF($K$5:K103,"x"))</f>
        <v/>
      </c>
      <c r="L208" s="3724" t="str">
        <f>IF(((COUNTIF($L$5:L103,"x"))-(COUNTIF($L$5:L102,"x")))=0,"",COUNTIF($L$5:L103,"x"))</f>
        <v/>
      </c>
      <c r="M208" s="3724" t="str">
        <f>IF(((COUNTIF($M$5:M103,"x"))-(COUNTIF($M$5:M102,"x")))=0,"",COUNTIF($M$5:M103,"x"))</f>
        <v/>
      </c>
      <c r="N208" s="3724" t="str">
        <f>IF(((COUNTIF($N$5:N103,"x"))-(COUNTIF($N$5:N102,"x")))=0,"",COUNTIF($N$5:N103,"x"))</f>
        <v/>
      </c>
      <c r="O208" s="3724" t="str">
        <f>IF(((COUNTIF($O$5:O103,"x"))-(COUNTIF($O$5:O102,"x")))=0,"",COUNTIF($O$5:O103,"x"))</f>
        <v/>
      </c>
      <c r="P208" s="3723" t="str">
        <f>IF(((COUNTIF($P$5:P103,"x"))-(COUNTIF($P$5:P102,"x")))=0,"",COUNTIF($P$5:P103,"x"))</f>
        <v/>
      </c>
      <c r="Q208" s="3724" t="str">
        <f>IF(((COUNTIF($Q$5:Q103,"x"))-(COUNTIF($Q$5:Q102,"x")))=0,"",COUNTIF($Q$5:Q103,"x"))</f>
        <v/>
      </c>
      <c r="R208" s="3724" t="str">
        <f>IF(((COUNTIF($R$5:R103,"x"))-(COUNTIF($R$5:R102,"x")))=0,"",COUNTIF($R$5:R103,"x"))</f>
        <v/>
      </c>
      <c r="S208" s="3724" t="str">
        <f>IF(((COUNTIF($S$5:S103,"x"))-(COUNTIF($S$5:S102,"x")))=0,"",COUNTIF($S$5:S103,"x"))</f>
        <v/>
      </c>
      <c r="T208" s="3724" t="str">
        <f>IF(((COUNTIF($T$5:T103,"x"))-(COUNTIF($T$5:T102,"x")))=0,"",COUNTIF($T$5:T103,"x"))</f>
        <v/>
      </c>
      <c r="U208" s="3724" t="str">
        <f>IF(((COUNTIF($U$5:U103,"x"))-(COUNTIF($U$5:U102,"x")))=0,"",COUNTIF($U$5:U103,"x"))</f>
        <v/>
      </c>
      <c r="V208" s="3724" t="str">
        <f>IF(((COUNTIF($V$5:V103,"x"))-(COUNTIF($V$5:V102,"x")))=0,"",COUNTIF($V$5:V103,"x"))</f>
        <v/>
      </c>
      <c r="W208" s="3724" t="str">
        <f>IF(((COUNTIF($W$5:W103,"x"))-(COUNTIF($W$5:W102,"x")))=0,"",COUNTIF($W$5:W103,"x"))</f>
        <v/>
      </c>
      <c r="X208" s="3724" t="str">
        <f>IF(((COUNTIF($X$5:X103,"x"))-(COUNTIF($X$5:X102,"x")))=0,"",COUNTIF($X$5:X103,"x"))</f>
        <v/>
      </c>
      <c r="Y208" s="3724" t="str">
        <f>IF(((COUNTIF($Y$5:Y103,"x"))-(COUNTIF($Y$5:Y102,"x")))=0,"",COUNTIF($Y$5:Y103,"x"))</f>
        <v/>
      </c>
      <c r="Z208" s="3724" t="str">
        <f>IF(((COUNTIF($Z$5:Z103,"x"))-(COUNTIF($Z$5:Z102,"x")))=0,"",COUNTIF($Z$5:Z103,"x"))</f>
        <v/>
      </c>
      <c r="AA208" s="3724" t="str">
        <f>IF(((COUNTIF($AA$5:AA103,"x"))-(COUNTIF($AA$5:AA102,"x")))=0,"",COUNTIF($AA$5:AA103,"x"))</f>
        <v/>
      </c>
      <c r="AB208" s="3724" t="str">
        <f>IF(((COUNTIF($AB$5:AB103,"x"))-(COUNTIF($AB$5:AB102,"x")))=0,"",COUNTIF($AB$5:AB103,"x"))</f>
        <v/>
      </c>
      <c r="AC208" s="3724" t="str">
        <f>IF(((COUNTIF($AC$5:AC103,"x"))-(COUNTIF($AC$5:AC102,"x")))=0,"",COUNTIF($AC$5:AC103,"x"))</f>
        <v/>
      </c>
      <c r="AD208" s="3723">
        <f>IF(((COUNTIF($AD$5:AD103,"x"))-(COUNTIF($AD$5:AD102,"x")))=0,"",COUNTIF($AD$5:AD103,"x"))</f>
        <v>93</v>
      </c>
      <c r="AE208" s="3724" t="str">
        <f>IF(((COUNTIF($AE$5:AE103,"x"))-(COUNTIF($AE$5:AE102,"x")))=0,"",COUNTIF($AE$5:AE103,"x"))</f>
        <v/>
      </c>
      <c r="AF208" s="3725" t="str">
        <f>IF(((COUNTIF($AF$5:AF103,"x"))-(COUNTIF($AF$5:AF102,"x")))=0,"",COUNTIF($AF$5:AF103,"x"))</f>
        <v/>
      </c>
      <c r="AG208" s="2120">
        <f t="shared" si="18"/>
        <v>0</v>
      </c>
    </row>
    <row r="212" spans="2:32" ht="15.75" thickBot="1"/>
    <row r="213" spans="2:32" ht="16.5" thickBot="1">
      <c r="F213" s="3649" t="s">
        <v>588</v>
      </c>
      <c r="G213" s="3650" t="s">
        <v>84</v>
      </c>
      <c r="H213" s="3650" t="s">
        <v>587</v>
      </c>
      <c r="I213" s="3650" t="s">
        <v>586</v>
      </c>
      <c r="J213" s="3650" t="s">
        <v>585</v>
      </c>
      <c r="K213" s="3650" t="s">
        <v>584</v>
      </c>
      <c r="L213" s="3650" t="s">
        <v>583</v>
      </c>
      <c r="M213" s="3650" t="s">
        <v>582</v>
      </c>
      <c r="N213" s="3650" t="s">
        <v>75</v>
      </c>
      <c r="O213" s="3650" t="s">
        <v>73</v>
      </c>
      <c r="P213" s="3650" t="s">
        <v>581</v>
      </c>
      <c r="Q213" s="3650" t="s">
        <v>580</v>
      </c>
      <c r="R213" s="3650" t="s">
        <v>579</v>
      </c>
      <c r="S213" s="3650" t="s">
        <v>578</v>
      </c>
      <c r="T213" s="3650" t="s">
        <v>577</v>
      </c>
      <c r="U213" s="3650" t="s">
        <v>576</v>
      </c>
      <c r="V213" s="3650" t="s">
        <v>58</v>
      </c>
      <c r="W213" s="3650" t="s">
        <v>57</v>
      </c>
      <c r="X213" s="3650" t="s">
        <v>575</v>
      </c>
      <c r="Y213" s="3650" t="s">
        <v>574</v>
      </c>
      <c r="Z213" s="3650" t="s">
        <v>50</v>
      </c>
      <c r="AA213" s="3650" t="s">
        <v>573</v>
      </c>
      <c r="AB213" s="3650" t="s">
        <v>572</v>
      </c>
      <c r="AC213" s="3650" t="s">
        <v>571</v>
      </c>
      <c r="AD213" s="3650" t="s">
        <v>570</v>
      </c>
      <c r="AE213" s="3650" t="s">
        <v>569</v>
      </c>
      <c r="AF213" s="3651" t="s">
        <v>568</v>
      </c>
    </row>
    <row r="214" spans="2:32">
      <c r="B214" s="2136">
        <v>0</v>
      </c>
      <c r="F214" s="2120" t="str">
        <f>IFERROR(VLOOKUP($B214,F$109:$AG$208,F$107,FALSE),"")</f>
        <v/>
      </c>
      <c r="G214" s="2120" t="str">
        <f>IFERROR(VLOOKUP($B214,G$109:$AG$208,G$107,FALSE),"")</f>
        <v/>
      </c>
      <c r="H214" s="2120" t="str">
        <f>IFERROR(VLOOKUP($B214,H$109:$AG$208,H$107,FALSE),"")</f>
        <v/>
      </c>
      <c r="I214" s="2120" t="str">
        <f>IFERROR(VLOOKUP($B214,I$109:$AG$208,I$107,FALSE),"")</f>
        <v/>
      </c>
      <c r="J214" s="2120" t="str">
        <f>IFERROR(VLOOKUP($B214,J$109:$AG$208,J$107,FALSE),"")</f>
        <v/>
      </c>
      <c r="K214" s="2120" t="str">
        <f>IFERROR(VLOOKUP($B214,K$109:$AG$208,K$107,FALSE),"")</f>
        <v/>
      </c>
      <c r="L214" s="2120" t="str">
        <f>IFERROR(VLOOKUP($B214,L$109:$AG$208,L$107,FALSE),"")</f>
        <v/>
      </c>
      <c r="M214" s="2120" t="str">
        <f>IFERROR(VLOOKUP($B214,M$109:$AG$208,M$107,FALSE),"")</f>
        <v/>
      </c>
      <c r="N214" s="2120" t="str">
        <f>IFERROR(VLOOKUP($B214,N$109:$AG$208,N$107,FALSE),"")</f>
        <v/>
      </c>
      <c r="O214" s="2120" t="str">
        <f>IFERROR(VLOOKUP($B214,O$109:$AG$208,O$107,FALSE),"")</f>
        <v/>
      </c>
      <c r="P214" s="2120" t="str">
        <f>IFERROR(VLOOKUP($B214,P$109:$AG$208,P$107,FALSE),"")</f>
        <v/>
      </c>
      <c r="Q214" s="2120" t="str">
        <f>IFERROR(VLOOKUP($B214,Q$109:$AG$208,Q$107,FALSE),"")</f>
        <v/>
      </c>
      <c r="R214" s="2120" t="str">
        <f>IFERROR(VLOOKUP($B214,R$109:$AG$208,R$107,FALSE),"")</f>
        <v/>
      </c>
      <c r="S214" s="2120" t="str">
        <f>IFERROR(VLOOKUP($B214,S$109:$AG$208,S$107,FALSE),"")</f>
        <v/>
      </c>
      <c r="T214" s="2120" t="str">
        <f>IFERROR(VLOOKUP($B214,T$109:$AG$208,T$107,FALSE),"")</f>
        <v/>
      </c>
      <c r="U214" s="2120" t="str">
        <f>IFERROR(VLOOKUP($B214,U$109:$AG$208,U$107,FALSE),"")</f>
        <v/>
      </c>
      <c r="V214" s="2120" t="str">
        <f>IFERROR(VLOOKUP($B214,V$109:$AG$208,V$107,FALSE),"")</f>
        <v/>
      </c>
      <c r="W214" s="2120" t="str">
        <f>IFERROR(VLOOKUP($B214,W$109:$AG$208,W$107,FALSE),"")</f>
        <v/>
      </c>
      <c r="X214" s="2120" t="str">
        <f>IFERROR(VLOOKUP($B214,X$109:$AG$208,X$107,FALSE),"")</f>
        <v/>
      </c>
      <c r="Y214" s="2120" t="str">
        <f>IFERROR(VLOOKUP($B214,Y$109:$AG$208,Y$107,FALSE),"")</f>
        <v/>
      </c>
      <c r="Z214" s="2120" t="str">
        <f>IFERROR(VLOOKUP($B214,Z$109:$AG$208,Z$107,FALSE),"")</f>
        <v/>
      </c>
      <c r="AA214" s="2120" t="str">
        <f>IFERROR(VLOOKUP($B214,AA$109:$AG$208,AA$107,FALSE),"")</f>
        <v/>
      </c>
      <c r="AB214" s="2120" t="str">
        <f>IFERROR(VLOOKUP($B214,AB$109:$AG$208,AB$107,FALSE),"")</f>
        <v/>
      </c>
      <c r="AC214" s="2120" t="str">
        <f>IFERROR(VLOOKUP($B214,AC$109:$AG$208,AC$107,FALSE),"")</f>
        <v/>
      </c>
      <c r="AD214" s="2120" t="str">
        <f>IFERROR(VLOOKUP($B214,AD$109:$AG$208,AD$107,FALSE),"")</f>
        <v/>
      </c>
      <c r="AE214" s="2120" t="str">
        <f>IFERROR(VLOOKUP($B214,AE$109:$AG$208,AE$107,FALSE),"")</f>
        <v/>
      </c>
      <c r="AF214" s="2120" t="str">
        <f>IFERROR(VLOOKUP($B214,AF$109:$AG$208,AF$107,FALSE),"")</f>
        <v/>
      </c>
    </row>
    <row r="215" spans="2:32">
      <c r="B215" s="2136">
        <f t="shared" ref="B215:B278" si="20">B214+1</f>
        <v>1</v>
      </c>
      <c r="F215" s="2120" t="str">
        <f>IFERROR(VLOOKUP($B215,F$109:$AG$208,F$107,FALSE),"")</f>
        <v>Ariane C</v>
      </c>
      <c r="G215" s="2120" t="str">
        <f>IFERROR(VLOOKUP($B215,G$109:$AG$208,G$107,FALSE),"")</f>
        <v>Ariane C</v>
      </c>
      <c r="H215" s="2120" t="str">
        <f>IFERROR(VLOOKUP($B215,H$109:$AG$208,H$107,FALSE),"")</f>
        <v>Ariane C</v>
      </c>
      <c r="I215" s="2120" t="str">
        <f>IFERROR(VLOOKUP($B215,I$109:$AG$208,I$107,FALSE),"")</f>
        <v>Ariane C</v>
      </c>
      <c r="J215" s="2120" t="str">
        <f>IFERROR(VLOOKUP($B215,J$109:$AG$208,J$107,FALSE),"")</f>
        <v>Ariane C</v>
      </c>
      <c r="K215" s="2120" t="str">
        <f>IFERROR(VLOOKUP($B215,K$109:$AG$208,K$107,FALSE),"")</f>
        <v>Ariane C</v>
      </c>
      <c r="L215" s="2120" t="str">
        <f>IFERROR(VLOOKUP($B215,L$109:$AG$208,L$107,FALSE),"")</f>
        <v>Ariane C</v>
      </c>
      <c r="M215" s="2120" t="str">
        <f>IFERROR(VLOOKUP($B215,M$109:$AG$208,M$107,FALSE),"")</f>
        <v>Ariane C</v>
      </c>
      <c r="N215" s="2120" t="str">
        <f>IFERROR(VLOOKUP($B215,N$109:$AG$208,N$107,FALSE),"")</f>
        <v>Ariane C</v>
      </c>
      <c r="O215" s="2120" t="str">
        <f>IFERROR(VLOOKUP($B215,O$109:$AG$208,O$107,FALSE),"")</f>
        <v>Ascra Xpro</v>
      </c>
      <c r="P215" s="2120" t="str">
        <f>IFERROR(VLOOKUP($B215,P$109:$AG$208,P$107,FALSE),"")</f>
        <v>Arrat + Dash</v>
      </c>
      <c r="Q215" s="2120" t="str">
        <f>IFERROR(VLOOKUP($B215,Q$109:$AG$208,Q$107,FALSE),"")</f>
        <v>Arrat + Dash</v>
      </c>
      <c r="R215" s="2120" t="str">
        <f>IFERROR(VLOOKUP($B215,R$109:$AG$208,R$107,FALSE),"")</f>
        <v>Arrat + Dash</v>
      </c>
      <c r="S215" s="2120" t="str">
        <f>IFERROR(VLOOKUP($B215,S$109:$AG$208,S$107,FALSE),"")</f>
        <v>Agil-S</v>
      </c>
      <c r="T215" s="2120" t="str">
        <f>IFERROR(VLOOKUP($B215,T$109:$AG$208,T$107,FALSE),"")</f>
        <v xml:space="preserve">Butisan </v>
      </c>
      <c r="U215" s="2120" t="str">
        <f>IFERROR(VLOOKUP($B215,U$109:$AG$208,U$107,FALSE),"")</f>
        <v>Agil-S</v>
      </c>
      <c r="V215" s="2120" t="str">
        <f>IFERROR(VLOOKUP($B215,V$109:$AG$208,V$107,FALSE),"")</f>
        <v>Artist</v>
      </c>
      <c r="W215" s="2120" t="str">
        <f>IFERROR(VLOOKUP($B215,W$109:$AG$208,W$107,FALSE),"")</f>
        <v>Callisto</v>
      </c>
      <c r="X215" s="2120" t="str">
        <f>IFERROR(VLOOKUP($B215,X$109:$AG$208,X$107,FALSE),"")</f>
        <v>Agil-S</v>
      </c>
      <c r="Y215" s="2120" t="str">
        <f>IFERROR(VLOOKUP($B215,Y$109:$AG$208,Y$107,FALSE),"")</f>
        <v>Agil-S</v>
      </c>
      <c r="Z215" s="2120" t="str">
        <f>IFERROR(VLOOKUP($B215,Z$109:$AG$208,Z$107,FALSE),"")</f>
        <v>Boxer</v>
      </c>
      <c r="AA215" s="2120" t="str">
        <f>IFERROR(VLOOKUP($B215,AA$109:$AG$208,AA$107,FALSE),"")</f>
        <v>Agil-S</v>
      </c>
      <c r="AB215" s="2120" t="str">
        <f>IFERROR(VLOOKUP($B215,AB$109:$AG$208,AB$107,FALSE),"")</f>
        <v>Agil-S</v>
      </c>
      <c r="AC215" s="2120" t="str">
        <f>IFERROR(VLOOKUP($B215,AC$109:$AG$208,AC$107,FALSE),"")</f>
        <v/>
      </c>
      <c r="AD215" s="2120" t="str">
        <f>IFERROR(VLOOKUP($B215,AD$109:$AG$208,AD$107,FALSE),"")</f>
        <v>Arrat + Dash</v>
      </c>
      <c r="AE215" s="2120" t="str">
        <f>IFERROR(VLOOKUP($B215,AE$109:$AG$208,AE$107,FALSE),"")</f>
        <v>Pointer Plus</v>
      </c>
      <c r="AF215" s="2120" t="str">
        <f>IFERROR(VLOOKUP($B215,AF$109:$AG$208,AF$107,FALSE),"")</f>
        <v/>
      </c>
    </row>
    <row r="216" spans="2:32">
      <c r="B216" s="2136">
        <f t="shared" si="20"/>
        <v>2</v>
      </c>
      <c r="F216" s="2120" t="str">
        <f>IFERROR(VLOOKUP($B216,F$109:$AG$208,F$107,FALSE),"")</f>
        <v>Artus</v>
      </c>
      <c r="G216" s="2120" t="str">
        <f>IFERROR(VLOOKUP($B216,G$109:$AG$208,G$107,FALSE),"")</f>
        <v>Ascra Xpro</v>
      </c>
      <c r="H216" s="2120" t="str">
        <f>IFERROR(VLOOKUP($B216,H$109:$AG$208,H$107,FALSE),"")</f>
        <v>Artus</v>
      </c>
      <c r="I216" s="2120" t="str">
        <f>IFERROR(VLOOKUP($B216,I$109:$AG$208,I$107,FALSE),"")</f>
        <v>Artus</v>
      </c>
      <c r="J216" s="2120" t="str">
        <f>IFERROR(VLOOKUP($B216,J$109:$AG$208,J$107,FALSE),"")</f>
        <v>Artus</v>
      </c>
      <c r="K216" s="2120" t="str">
        <f>IFERROR(VLOOKUP($B216,K$109:$AG$208,K$107,FALSE),"")</f>
        <v>Artus</v>
      </c>
      <c r="L216" s="2120" t="str">
        <f>IFERROR(VLOOKUP($B216,L$109:$AG$208,L$107,FALSE),"")</f>
        <v>Artus</v>
      </c>
      <c r="M216" s="2120" t="str">
        <f>IFERROR(VLOOKUP($B216,M$109:$AG$208,M$107,FALSE),"")</f>
        <v>Artus</v>
      </c>
      <c r="N216" s="2120" t="str">
        <f>IFERROR(VLOOKUP($B216,N$109:$AG$208,N$107,FALSE),"")</f>
        <v>Artus</v>
      </c>
      <c r="O216" s="2120" t="str">
        <f>IFERROR(VLOOKUP($B216,O$109:$AG$208,O$107,FALSE),"")</f>
        <v>Atlantis Flex + Biopower</v>
      </c>
      <c r="P216" s="2120" t="str">
        <f>IFERROR(VLOOKUP($B216,P$109:$AG$208,P$107,FALSE),"")</f>
        <v>Biathlon 4D +Dash</v>
      </c>
      <c r="Q216" s="2120" t="str">
        <f>IFERROR(VLOOKUP($B216,Q$109:$AG$208,Q$107,FALSE),"")</f>
        <v>Mais Banvel WG</v>
      </c>
      <c r="R216" s="2120" t="str">
        <f>IFERROR(VLOOKUP($B216,R$109:$AG$208,R$107,FALSE),"")</f>
        <v>Callisto</v>
      </c>
      <c r="S216" s="2120" t="str">
        <f>IFERROR(VLOOKUP($B216,S$109:$AG$208,S$107,FALSE),"")</f>
        <v>Amistar Gold</v>
      </c>
      <c r="T216" s="2120" t="str">
        <f>IFERROR(VLOOKUP($B216,T$109:$AG$208,T$107,FALSE),"")</f>
        <v>Carax</v>
      </c>
      <c r="U216" s="2120" t="str">
        <f>IFERROR(VLOOKUP($B216,U$109:$AG$208,U$107,FALSE),"")</f>
        <v>Bandur</v>
      </c>
      <c r="V216" s="2120" t="str">
        <f>IFERROR(VLOOKUP($B216,V$109:$AG$208,V$107,FALSE),"")</f>
        <v>Centium 36 CS</v>
      </c>
      <c r="W216" s="2120" t="str">
        <f>IFERROR(VLOOKUP($B216,W$109:$AG$208,W$107,FALSE),"")</f>
        <v>Focus Aktiv Pack, Focus Ultra</v>
      </c>
      <c r="X216" s="2120" t="str">
        <f>IFERROR(VLOOKUP($B216,X$109:$AG$208,X$107,FALSE),"")</f>
        <v>Bandur</v>
      </c>
      <c r="Y216" s="2120" t="str">
        <f>IFERROR(VLOOKUP($B216,Y$109:$AG$208,Y$107,FALSE),"")</f>
        <v>Bandur</v>
      </c>
      <c r="Z216" s="2120" t="str">
        <f>IFERROR(VLOOKUP($B216,Z$109:$AG$208,Z$107,FALSE),"")</f>
        <v>Fusilade MAX</v>
      </c>
      <c r="AA216" s="2120" t="str">
        <f>IFERROR(VLOOKUP($B216,AA$109:$AG$208,AA$107,FALSE),"")</f>
        <v>Betanal Tandem + Mero</v>
      </c>
      <c r="AB216" s="2120" t="str">
        <f>IFERROR(VLOOKUP($B216,AB$109:$AG$208,AB$107,FALSE),"")</f>
        <v>Artist</v>
      </c>
      <c r="AC216" s="2120" t="str">
        <f>IFERROR(VLOOKUP($B216,AC$109:$AG$208,AC$107,FALSE),"")</f>
        <v/>
      </c>
      <c r="AD216" s="2120" t="str">
        <f>IFERROR(VLOOKUP($B216,AD$109:$AG$208,AD$107,FALSE),"")</f>
        <v>Agil-S</v>
      </c>
      <c r="AE216" s="2120">
        <f>IFERROR(VLOOKUP($B216,AE$109:$AG$208,AE$107,FALSE),"")</f>
        <v>0</v>
      </c>
      <c r="AF216" s="2120" t="str">
        <f>IFERROR(VLOOKUP($B216,AF$109:$AG$208,AF$107,FALSE),"")</f>
        <v/>
      </c>
    </row>
    <row r="217" spans="2:32">
      <c r="B217" s="2136">
        <f t="shared" si="20"/>
        <v>3</v>
      </c>
      <c r="F217" s="2120" t="str">
        <f>IFERROR(VLOOKUP($B217,F$109:$AG$208,F$107,FALSE),"")</f>
        <v>Ascra Xpro</v>
      </c>
      <c r="G217" s="2120" t="str">
        <f>IFERROR(VLOOKUP($B217,G$109:$AG$208,G$107,FALSE),"")</f>
        <v>Atlantis Flex + Biopower</v>
      </c>
      <c r="H217" s="2120" t="str">
        <f>IFERROR(VLOOKUP($B217,H$109:$AG$208,H$107,FALSE),"")</f>
        <v>Ascra Xpro</v>
      </c>
      <c r="I217" s="2120" t="str">
        <f>IFERROR(VLOOKUP($B217,I$109:$AG$208,I$107,FALSE),"")</f>
        <v>Ascra Xpro</v>
      </c>
      <c r="J217" s="2120" t="str">
        <f>IFERROR(VLOOKUP($B217,J$109:$AG$208,J$107,FALSE),"")</f>
        <v>Ascra Xpro</v>
      </c>
      <c r="K217" s="2120" t="str">
        <f>IFERROR(VLOOKUP($B217,K$109:$AG$208,K$107,FALSE),"")</f>
        <v>Ascra Xpro</v>
      </c>
      <c r="L217" s="2120" t="str">
        <f>IFERROR(VLOOKUP($B217,L$109:$AG$208,L$107,FALSE),"")</f>
        <v>Ascra Xpro</v>
      </c>
      <c r="M217" s="2120" t="str">
        <f>IFERROR(VLOOKUP($B217,M$109:$AG$208,M$107,FALSE),"")</f>
        <v>Ascra Xpro</v>
      </c>
      <c r="N217" s="2120" t="str">
        <f>IFERROR(VLOOKUP($B217,N$109:$AG$208,N$107,FALSE),"")</f>
        <v>Ascra Xpro</v>
      </c>
      <c r="O217" s="2120" t="str">
        <f>IFERROR(VLOOKUP($B217,O$109:$AG$208,O$107,FALSE),"")</f>
        <v>Aviator Xpro</v>
      </c>
      <c r="P217" s="2120" t="str">
        <f>IFERROR(VLOOKUP($B217,P$109:$AG$208,P$107,FALSE),"")</f>
        <v>Amistar Gold</v>
      </c>
      <c r="Q217" s="2120" t="str">
        <f>IFERROR(VLOOKUP($B217,Q$109:$AG$208,Q$107,FALSE),"")</f>
        <v>Stomp Aqua</v>
      </c>
      <c r="R217" s="2120" t="str">
        <f>IFERROR(VLOOKUP($B217,R$109:$AG$208,R$107,FALSE),"")</f>
        <v>Coragen</v>
      </c>
      <c r="S217" s="2120" t="str">
        <f>IFERROR(VLOOKUP($B217,S$109:$AG$208,S$107,FALSE),"")</f>
        <v xml:space="preserve">Butisan </v>
      </c>
      <c r="T217" s="2120" t="str">
        <f>IFERROR(VLOOKUP($B217,T$109:$AG$208,T$107,FALSE),"")</f>
        <v>Focus Aktiv Pack, Focus Ultra</v>
      </c>
      <c r="U217" s="2120" t="str">
        <f>IFERROR(VLOOKUP($B217,U$109:$AG$208,U$107,FALSE),"")</f>
        <v>Boxer</v>
      </c>
      <c r="V217" s="2120" t="str">
        <f>IFERROR(VLOOKUP($B217,V$109:$AG$208,V$107,FALSE),"")</f>
        <v>Focus Aktiv Pack, Focus Ultra</v>
      </c>
      <c r="W217" s="2120" t="str">
        <f>IFERROR(VLOOKUP($B217,W$109:$AG$208,W$107,FALSE),"")</f>
        <v>Fusilade MAX</v>
      </c>
      <c r="X217" s="2120" t="str">
        <f>IFERROR(VLOOKUP($B217,X$109:$AG$208,X$107,FALSE),"")</f>
        <v>Boxer</v>
      </c>
      <c r="Y217" s="2120" t="str">
        <f>IFERROR(VLOOKUP($B217,Y$109:$AG$208,Y$107,FALSE),"")</f>
        <v>Boxer</v>
      </c>
      <c r="Z217" s="2120" t="str">
        <f>IFERROR(VLOOKUP($B217,Z$109:$AG$208,Z$107,FALSE),"")</f>
        <v>Spectrum Plus</v>
      </c>
      <c r="AA217" s="2120" t="str">
        <f>IFERROR(VLOOKUP($B217,AA$109:$AG$208,AA$107,FALSE),"")</f>
        <v>Amistar Gold</v>
      </c>
      <c r="AB217" s="2120" t="str">
        <f>IFERROR(VLOOKUP($B217,AB$109:$AG$208,AB$107,FALSE),"")</f>
        <v>Bandur</v>
      </c>
      <c r="AC217" s="2120" t="str">
        <f>IFERROR(VLOOKUP($B217,AC$109:$AG$208,AC$107,FALSE),"")</f>
        <v/>
      </c>
      <c r="AD217" s="2120" t="str">
        <f>IFERROR(VLOOKUP($B217,AD$109:$AG$208,AD$107,FALSE),"")</f>
        <v>Ariane C</v>
      </c>
      <c r="AE217" s="2120" t="str">
        <f>IFERROR(VLOOKUP($B217,AE$109:$AG$208,AE$107,FALSE),"")</f>
        <v/>
      </c>
      <c r="AF217" s="2120" t="str">
        <f>IFERROR(VLOOKUP($B217,AF$109:$AG$208,AF$107,FALSE),"")</f>
        <v/>
      </c>
    </row>
    <row r="218" spans="2:32">
      <c r="B218" s="2136">
        <f t="shared" si="20"/>
        <v>4</v>
      </c>
      <c r="F218" s="2120" t="str">
        <f>IFERROR(VLOOKUP($B218,F$109:$AG$208,F$107,FALSE),"")</f>
        <v>Atlantis Flex + Biopower</v>
      </c>
      <c r="G218" s="2120" t="str">
        <f>IFERROR(VLOOKUP($B218,G$109:$AG$208,G$107,FALSE),"")</f>
        <v>Aviator Xpro</v>
      </c>
      <c r="H218" s="2120" t="str">
        <f>IFERROR(VLOOKUP($B218,H$109:$AG$208,H$107,FALSE),"")</f>
        <v>Atlantis Flex + Biopower</v>
      </c>
      <c r="I218" s="2120" t="str">
        <f>IFERROR(VLOOKUP($B218,I$109:$AG$208,I$107,FALSE),"")</f>
        <v>Atlantis Flex + Biopower</v>
      </c>
      <c r="J218" s="2120" t="str">
        <f>IFERROR(VLOOKUP($B218,J$109:$AG$208,J$107,FALSE),"")</f>
        <v>Aviator Xpro</v>
      </c>
      <c r="K218" s="2120" t="str">
        <f>IFERROR(VLOOKUP($B218,K$109:$AG$208,K$107,FALSE),"")</f>
        <v>Aviator Xpro</v>
      </c>
      <c r="L218" s="2120" t="str">
        <f>IFERROR(VLOOKUP($B218,L$109:$AG$208,L$107,FALSE),"")</f>
        <v>Aviator Xpro</v>
      </c>
      <c r="M218" s="2120" t="str">
        <f>IFERROR(VLOOKUP($B218,M$109:$AG$208,M$107,FALSE),"")</f>
        <v>Aviator Xpro</v>
      </c>
      <c r="N218" s="2120" t="str">
        <f>IFERROR(VLOOKUP($B218,N$109:$AG$208,N$107,FALSE),"")</f>
        <v>Biathlon 4D +Dash</v>
      </c>
      <c r="O218" s="2120" t="str">
        <f>IFERROR(VLOOKUP($B218,O$109:$AG$208,O$107,FALSE),"")</f>
        <v>Axial 50</v>
      </c>
      <c r="P218" s="2120" t="str">
        <f>IFERROR(VLOOKUP($B218,P$109:$AG$208,P$107,FALSE),"")</f>
        <v>Broadway</v>
      </c>
      <c r="Q218" s="2120" t="str">
        <f>IFERROR(VLOOKUP($B218,Q$109:$AG$208,Q$107,FALSE),"")</f>
        <v>Spectrum</v>
      </c>
      <c r="R218" s="2120" t="str">
        <f>IFERROR(VLOOKUP($B218,R$109:$AG$208,R$107,FALSE),"")</f>
        <v>Effigo</v>
      </c>
      <c r="S218" s="2120" t="str">
        <f>IFERROR(VLOOKUP($B218,S$109:$AG$208,S$107,FALSE),"")</f>
        <v>Cantus Gold</v>
      </c>
      <c r="T218" s="2120" t="str">
        <f>IFERROR(VLOOKUP($B218,T$109:$AG$208,T$107,FALSE),"")</f>
        <v>Folicur</v>
      </c>
      <c r="U218" s="2120" t="str">
        <f>IFERROR(VLOOKUP($B218,U$109:$AG$208,U$107,FALSE),"")</f>
        <v>Cantus Gold</v>
      </c>
      <c r="V218" s="2120" t="str">
        <f>IFERROR(VLOOKUP($B218,V$109:$AG$208,V$107,FALSE),"")</f>
        <v>Fusilade MAX</v>
      </c>
      <c r="W218" s="2120" t="str">
        <f>IFERROR(VLOOKUP($B218,W$109:$AG$208,W$107,FALSE),"")</f>
        <v/>
      </c>
      <c r="X218" s="2120" t="str">
        <f>IFERROR(VLOOKUP($B218,X$109:$AG$208,X$107,FALSE),"")</f>
        <v>Centium 36 CS</v>
      </c>
      <c r="Y218" s="2120" t="str">
        <f>IFERROR(VLOOKUP($B218,Y$109:$AG$208,Y$107,FALSE),"")</f>
        <v>Centium 36 CS</v>
      </c>
      <c r="Z218" s="2120" t="str">
        <f>IFERROR(VLOOKUP($B218,Z$109:$AG$208,Z$107,FALSE),"")</f>
        <v>Stomp Aqua</v>
      </c>
      <c r="AA218" s="2120" t="str">
        <f>IFERROR(VLOOKUP($B218,AA$109:$AG$208,AA$107,FALSE),"")</f>
        <v xml:space="preserve">Debut </v>
      </c>
      <c r="AB218" s="2120" t="str">
        <f>IFERROR(VLOOKUP($B218,AB$109:$AG$208,AB$107,FALSE),"")</f>
        <v>Boxer</v>
      </c>
      <c r="AC218" s="2120" t="str">
        <f>IFERROR(VLOOKUP($B218,AC$109:$AG$208,AC$107,FALSE),"")</f>
        <v/>
      </c>
      <c r="AD218" s="2120" t="str">
        <f>IFERROR(VLOOKUP($B218,AD$109:$AG$208,AD$107,FALSE),"")</f>
        <v>Artist</v>
      </c>
      <c r="AE218" s="2120" t="str">
        <f>IFERROR(VLOOKUP($B218,AE$109:$AG$208,AE$107,FALSE),"")</f>
        <v/>
      </c>
      <c r="AF218" s="2120" t="str">
        <f>IFERROR(VLOOKUP($B218,AF$109:$AG$208,AF$107,FALSE),"")</f>
        <v/>
      </c>
    </row>
    <row r="219" spans="2:32">
      <c r="B219" s="2136">
        <f t="shared" si="20"/>
        <v>5</v>
      </c>
      <c r="F219" s="2120" t="str">
        <f>IFERROR(VLOOKUP($B219,F$109:$AG$208,F$107,FALSE),"")</f>
        <v>Aviator Xpro</v>
      </c>
      <c r="G219" s="2120" t="str">
        <f>IFERROR(VLOOKUP($B219,G$109:$AG$208,G$107,FALSE),"")</f>
        <v>Axial 50</v>
      </c>
      <c r="H219" s="2120" t="str">
        <f>IFERROR(VLOOKUP($B219,H$109:$AG$208,H$107,FALSE),"")</f>
        <v>Aviator Xpro</v>
      </c>
      <c r="I219" s="2120" t="str">
        <f>IFERROR(VLOOKUP($B219,I$109:$AG$208,I$107,FALSE),"")</f>
        <v>Aviator Xpro</v>
      </c>
      <c r="J219" s="2120" t="str">
        <f>IFERROR(VLOOKUP($B219,J$109:$AG$208,J$107,FALSE),"")</f>
        <v>Axial 50</v>
      </c>
      <c r="K219" s="2120" t="str">
        <f>IFERROR(VLOOKUP($B219,K$109:$AG$208,K$107,FALSE),"")</f>
        <v>Axial 50</v>
      </c>
      <c r="L219" s="2120" t="str">
        <f>IFERROR(VLOOKUP($B219,L$109:$AG$208,L$107,FALSE),"")</f>
        <v>Axial 50</v>
      </c>
      <c r="M219" s="2120" t="str">
        <f>IFERROR(VLOOKUP($B219,M$109:$AG$208,M$107,FALSE),"")</f>
        <v>Axial 50</v>
      </c>
      <c r="N219" s="2120" t="str">
        <f>IFERROR(VLOOKUP($B219,N$109:$AG$208,N$107,FALSE),"")</f>
        <v>CCC 720</v>
      </c>
      <c r="O219" s="2120" t="str">
        <f>IFERROR(VLOOKUP($B219,O$109:$AG$208,O$107,FALSE),"")</f>
        <v>Biathlon 4D +Dash</v>
      </c>
      <c r="P219" s="2120" t="str">
        <f>IFERROR(VLOOKUP($B219,P$109:$AG$208,P$107,FALSE),"")</f>
        <v>Goltix Titan</v>
      </c>
      <c r="Q219" s="2120" t="str">
        <f>IFERROR(VLOOKUP($B219,Q$109:$AG$208,Q$107,FALSE),"")</f>
        <v/>
      </c>
      <c r="R219" s="2120" t="str">
        <f>IFERROR(VLOOKUP($B219,R$109:$AG$208,R$107,FALSE),"")</f>
        <v>Elumis P Dual Pack, Dual Gold</v>
      </c>
      <c r="S219" s="2120" t="str">
        <f>IFERROR(VLOOKUP($B219,S$109:$AG$208,S$107,FALSE),"")</f>
        <v>Carax</v>
      </c>
      <c r="T219" s="2120" t="str">
        <f>IFERROR(VLOOKUP($B219,T$109:$AG$208,T$107,FALSE),"")</f>
        <v>Karate Zeon</v>
      </c>
      <c r="U219" s="2120" t="str">
        <f>IFERROR(VLOOKUP($B219,U$109:$AG$208,U$107,FALSE),"")</f>
        <v>Focus Aktiv Pack, Focus Ultra</v>
      </c>
      <c r="V219" s="2120" t="str">
        <f>IFERROR(VLOOKUP($B219,V$109:$AG$208,V$107,FALSE),"")</f>
        <v xml:space="preserve">Harmony SX </v>
      </c>
      <c r="W219" s="2120" t="str">
        <f>IFERROR(VLOOKUP($B219,W$109:$AG$208,W$107,FALSE),"")</f>
        <v/>
      </c>
      <c r="X219" s="2120" t="str">
        <f>IFERROR(VLOOKUP($B219,X$109:$AG$208,X$107,FALSE),"")</f>
        <v>Focus Aktiv Pack, Focus Ultra</v>
      </c>
      <c r="Y219" s="2120" t="str">
        <f>IFERROR(VLOOKUP($B219,Y$109:$AG$208,Y$107,FALSE),"")</f>
        <v>Focus Aktiv Pack, Focus Ultra</v>
      </c>
      <c r="Z219" s="2120" t="str">
        <f>IFERROR(VLOOKUP($B219,Z$109:$AG$208,Z$107,FALSE),"")</f>
        <v/>
      </c>
      <c r="AA219" s="2120" t="str">
        <f>IFERROR(VLOOKUP($B219,AA$109:$AG$208,AA$107,FALSE),"")</f>
        <v>Focus Aktiv Pack, Focus Ultra</v>
      </c>
      <c r="AB219" s="2120" t="str">
        <f>IFERROR(VLOOKUP($B219,AB$109:$AG$208,AB$107,FALSE),"")</f>
        <v>Centium 36 CS</v>
      </c>
      <c r="AC219" s="2120" t="str">
        <f>IFERROR(VLOOKUP($B219,AC$109:$AG$208,AC$107,FALSE),"")</f>
        <v/>
      </c>
      <c r="AD219" s="2120" t="str">
        <f>IFERROR(VLOOKUP($B219,AD$109:$AG$208,AD$107,FALSE),"")</f>
        <v>Artus</v>
      </c>
      <c r="AE219" s="2120" t="str">
        <f>IFERROR(VLOOKUP($B219,AE$109:$AG$208,AE$107,FALSE),"")</f>
        <v/>
      </c>
      <c r="AF219" s="2120" t="str">
        <f>IFERROR(VLOOKUP($B219,AF$109:$AG$208,AF$107,FALSE),"")</f>
        <v/>
      </c>
    </row>
    <row r="220" spans="2:32">
      <c r="B220" s="2136">
        <f t="shared" si="20"/>
        <v>6</v>
      </c>
      <c r="F220" s="2120" t="str">
        <f>IFERROR(VLOOKUP($B220,F$109:$AG$208,F$107,FALSE),"")</f>
        <v>Axial 50</v>
      </c>
      <c r="G220" s="2120" t="str">
        <f>IFERROR(VLOOKUP($B220,G$109:$AG$208,G$107,FALSE),"")</f>
        <v>Biathlon 4D +Dash</v>
      </c>
      <c r="H220" s="2120" t="str">
        <f>IFERROR(VLOOKUP($B220,H$109:$AG$208,H$107,FALSE),"")</f>
        <v>Axial 50</v>
      </c>
      <c r="I220" s="2120" t="str">
        <f>IFERROR(VLOOKUP($B220,I$109:$AG$208,I$107,FALSE),"")</f>
        <v>Axial 50</v>
      </c>
      <c r="J220" s="2120" t="str">
        <f>IFERROR(VLOOKUP($B220,J$109:$AG$208,J$107,FALSE),"")</f>
        <v>Biathlon 4D +Dash</v>
      </c>
      <c r="K220" s="2120" t="str">
        <f>IFERROR(VLOOKUP($B220,K$109:$AG$208,K$107,FALSE),"")</f>
        <v>Biathlon 4D +Dash</v>
      </c>
      <c r="L220" s="2120" t="str">
        <f>IFERROR(VLOOKUP($B220,L$109:$AG$208,L$107,FALSE),"")</f>
        <v>Biathlon 4D +Dash</v>
      </c>
      <c r="M220" s="2120" t="str">
        <f>IFERROR(VLOOKUP($B220,M$109:$AG$208,M$107,FALSE),"")</f>
        <v>Biathlon 4D +Dash</v>
      </c>
      <c r="N220" s="2120" t="str">
        <f>IFERROR(VLOOKUP($B220,N$109:$AG$208,N$107,FALSE),"")</f>
        <v>Karate Zeon</v>
      </c>
      <c r="O220" s="2120" t="str">
        <f>IFERROR(VLOOKUP($B220,O$109:$AG$208,O$107,FALSE),"")</f>
        <v>Broadway</v>
      </c>
      <c r="P220" s="2120" t="str">
        <f>IFERROR(VLOOKUP($B220,P$109:$AG$208,P$107,FALSE),"")</f>
        <v>Hoestar Super</v>
      </c>
      <c r="Q220" s="2120" t="str">
        <f>IFERROR(VLOOKUP($B220,Q$109:$AG$208,Q$107,FALSE),"")</f>
        <v/>
      </c>
      <c r="R220" s="2120" t="str">
        <f>IFERROR(VLOOKUP($B220,R$109:$AG$208,R$107,FALSE),"")</f>
        <v>Elumis P Dual Pack, Elumis</v>
      </c>
      <c r="S220" s="2120" t="str">
        <f>IFERROR(VLOOKUP($B220,S$109:$AG$208,S$107,FALSE),"")</f>
        <v>Centium 36 CS</v>
      </c>
      <c r="T220" s="2120" t="str">
        <f>IFERROR(VLOOKUP($B220,T$109:$AG$208,T$107,FALSE),"")</f>
        <v>Ortiva</v>
      </c>
      <c r="U220" s="2120" t="str">
        <f>IFERROR(VLOOKUP($B220,U$109:$AG$208,U$107,FALSE),"")</f>
        <v>Fusilade MAX</v>
      </c>
      <c r="V220" s="2120" t="str">
        <f>IFERROR(VLOOKUP($B220,V$109:$AG$208,V$107,FALSE),"")</f>
        <v>Roundup Power Flex</v>
      </c>
      <c r="W220" s="2120" t="str">
        <f>IFERROR(VLOOKUP($B220,W$109:$AG$208,W$107,FALSE),"")</f>
        <v/>
      </c>
      <c r="X220" s="2120" t="str">
        <f>IFERROR(VLOOKUP($B220,X$109:$AG$208,X$107,FALSE),"")</f>
        <v>Fusilade MAX</v>
      </c>
      <c r="Y220" s="2120" t="str">
        <f>IFERROR(VLOOKUP($B220,Y$109:$AG$208,Y$107,FALSE),"")</f>
        <v>Fusilade MAX</v>
      </c>
      <c r="Z220" s="2120" t="str">
        <f>IFERROR(VLOOKUP($B220,Z$109:$AG$208,Z$107,FALSE),"")</f>
        <v/>
      </c>
      <c r="AA220" s="2120" t="str">
        <f>IFERROR(VLOOKUP($B220,AA$109:$AG$208,AA$107,FALSE),"")</f>
        <v>Fusilade MAX</v>
      </c>
      <c r="AB220" s="2120" t="str">
        <f>IFERROR(VLOOKUP($B220,AB$109:$AG$208,AB$107,FALSE),"")</f>
        <v>Coragen</v>
      </c>
      <c r="AC220" s="2120" t="str">
        <f>IFERROR(VLOOKUP($B220,AC$109:$AG$208,AC$107,FALSE),"")</f>
        <v/>
      </c>
      <c r="AD220" s="2120" t="str">
        <f>IFERROR(VLOOKUP($B220,AD$109:$AG$208,AD$107,FALSE),"")</f>
        <v>Ascra Xpro</v>
      </c>
      <c r="AE220" s="2120" t="str">
        <f>IFERROR(VLOOKUP($B220,AE$109:$AG$208,AE$107,FALSE),"")</f>
        <v/>
      </c>
      <c r="AF220" s="2120" t="str">
        <f>IFERROR(VLOOKUP($B220,AF$109:$AG$208,AF$107,FALSE),"")</f>
        <v/>
      </c>
    </row>
    <row r="221" spans="2:32">
      <c r="B221" s="2136">
        <f t="shared" si="20"/>
        <v>7</v>
      </c>
      <c r="F221" s="2120" t="str">
        <f>IFERROR(VLOOKUP($B221,F$109:$AG$208,F$107,FALSE),"")</f>
        <v>Biathlon 4D +Dash</v>
      </c>
      <c r="G221" s="2120" t="str">
        <f>IFERROR(VLOOKUP($B221,G$109:$AG$208,G$107,FALSE),"")</f>
        <v>Boxer</v>
      </c>
      <c r="H221" s="2120" t="str">
        <f>IFERROR(VLOOKUP($B221,H$109:$AG$208,H$107,FALSE),"")</f>
        <v>Biathlon 4D +Dash</v>
      </c>
      <c r="I221" s="2120" t="str">
        <f>IFERROR(VLOOKUP($B221,I$109:$AG$208,I$107,FALSE),"")</f>
        <v>Biathlon 4D +Dash</v>
      </c>
      <c r="J221" s="2120" t="str">
        <f>IFERROR(VLOOKUP($B221,J$109:$AG$208,J$107,FALSE),"")</f>
        <v>Boxer</v>
      </c>
      <c r="K221" s="2120" t="str">
        <f>IFERROR(VLOOKUP($B221,K$109:$AG$208,K$107,FALSE),"")</f>
        <v>CCC 720</v>
      </c>
      <c r="L221" s="2120" t="str">
        <f>IFERROR(VLOOKUP($B221,L$109:$AG$208,L$107,FALSE),"")</f>
        <v>Boxer</v>
      </c>
      <c r="M221" s="2120" t="str">
        <f>IFERROR(VLOOKUP($B221,M$109:$AG$208,M$107,FALSE),"")</f>
        <v>Boxer</v>
      </c>
      <c r="N221" s="2120" t="str">
        <f>IFERROR(VLOOKUP($B221,N$109:$AG$208,N$107,FALSE),"")</f>
        <v>Moddus</v>
      </c>
      <c r="O221" s="2120" t="str">
        <f>IFERROR(VLOOKUP($B221,O$109:$AG$208,O$107,FALSE),"")</f>
        <v>Fandango</v>
      </c>
      <c r="P221" s="2120" t="str">
        <f>IFERROR(VLOOKUP($B221,P$109:$AG$208,P$107,FALSE),"")</f>
        <v>Input Classic</v>
      </c>
      <c r="Q221" s="2120" t="str">
        <f>IFERROR(VLOOKUP($B221,Q$109:$AG$208,Q$107,FALSE),"")</f>
        <v/>
      </c>
      <c r="R221" s="2120" t="str">
        <f>IFERROR(VLOOKUP($B221,R$109:$AG$208,R$107,FALSE),"")</f>
        <v>Elumis P Dual Pack, Peak</v>
      </c>
      <c r="S221" s="2120" t="str">
        <f>IFERROR(VLOOKUP($B221,S$109:$AG$208,S$107,FALSE),"")</f>
        <v>Fuego Top</v>
      </c>
      <c r="T221" s="2120" t="str">
        <f>IFERROR(VLOOKUP($B221,T$109:$AG$208,T$107,FALSE),"")</f>
        <v>Mospilan SG</v>
      </c>
      <c r="U221" s="2120" t="str">
        <f>IFERROR(VLOOKUP($B221,U$109:$AG$208,U$107,FALSE),"")</f>
        <v>Karate Zeon</v>
      </c>
      <c r="V221" s="2120" t="str">
        <f>IFERROR(VLOOKUP($B221,V$109:$AG$208,V$107,FALSE),"")</f>
        <v>Sencor Liquid</v>
      </c>
      <c r="W221" s="2120" t="str">
        <f>IFERROR(VLOOKUP($B221,W$109:$AG$208,W$107,FALSE),"")</f>
        <v/>
      </c>
      <c r="X221" s="2120" t="str">
        <f>IFERROR(VLOOKUP($B221,X$109:$AG$208,X$107,FALSE),"")</f>
        <v>Karate Zeon</v>
      </c>
      <c r="Y221" s="2120" t="str">
        <f>IFERROR(VLOOKUP($B221,Y$109:$AG$208,Y$107,FALSE),"")</f>
        <v>Karate Zeon</v>
      </c>
      <c r="Z221" s="2120" t="str">
        <f>IFERROR(VLOOKUP($B221,Z$109:$AG$208,Z$107,FALSE),"")</f>
        <v/>
      </c>
      <c r="AA221" s="2120" t="str">
        <f>IFERROR(VLOOKUP($B221,AA$109:$AG$208,AA$107,FALSE),"")</f>
        <v>Goltix Gold</v>
      </c>
      <c r="AB221" s="2120" t="str">
        <f>IFERROR(VLOOKUP($B221,AB$109:$AG$208,AB$107,FALSE),"")</f>
        <v>Focus Aktiv Pack, Focus Ultra</v>
      </c>
      <c r="AC221" s="2120" t="str">
        <f>IFERROR(VLOOKUP($B221,AC$109:$AG$208,AC$107,FALSE),"")</f>
        <v/>
      </c>
      <c r="AD221" s="2120" t="str">
        <f>IFERROR(VLOOKUP($B221,AD$109:$AG$208,AD$107,FALSE),"")</f>
        <v>Atlantis Flex + Biopower</v>
      </c>
      <c r="AE221" s="2120" t="str">
        <f>IFERROR(VLOOKUP($B221,AE$109:$AG$208,AE$107,FALSE),"")</f>
        <v/>
      </c>
      <c r="AF221" s="2120" t="str">
        <f>IFERROR(VLOOKUP($B221,AF$109:$AG$208,AF$107,FALSE),"")</f>
        <v/>
      </c>
    </row>
    <row r="222" spans="2:32">
      <c r="B222" s="2136">
        <f t="shared" si="20"/>
        <v>8</v>
      </c>
      <c r="F222" s="2120" t="str">
        <f>IFERROR(VLOOKUP($B222,F$109:$AG$208,F$107,FALSE),"")</f>
        <v>Boxer</v>
      </c>
      <c r="G222" s="2120" t="str">
        <f>IFERROR(VLOOKUP($B222,G$109:$AG$208,G$107,FALSE),"")</f>
        <v>Broadway</v>
      </c>
      <c r="H222" s="2120" t="str">
        <f>IFERROR(VLOOKUP($B222,H$109:$AG$208,H$107,FALSE),"")</f>
        <v>Boxer</v>
      </c>
      <c r="I222" s="2120" t="str">
        <f>IFERROR(VLOOKUP($B222,I$109:$AG$208,I$107,FALSE),"")</f>
        <v>Broadway</v>
      </c>
      <c r="J222" s="2120" t="str">
        <f>IFERROR(VLOOKUP($B222,J$109:$AG$208,J$107,FALSE),"")</f>
        <v>Cerone 660</v>
      </c>
      <c r="K222" s="2120" t="str">
        <f>IFERROR(VLOOKUP($B222,K$109:$AG$208,K$107,FALSE),"")</f>
        <v>Cerone 660</v>
      </c>
      <c r="L222" s="2120" t="str">
        <f>IFERROR(VLOOKUP($B222,L$109:$AG$208,L$107,FALSE),"")</f>
        <v>Cerone 660</v>
      </c>
      <c r="M222" s="2120" t="str">
        <f>IFERROR(VLOOKUP($B222,M$109:$AG$208,M$107,FALSE),"")</f>
        <v>Cerone 660</v>
      </c>
      <c r="N222" s="2120" t="str">
        <f>IFERROR(VLOOKUP($B222,N$109:$AG$208,N$107,FALSE),"")</f>
        <v>Pointer Plus</v>
      </c>
      <c r="O222" s="2120" t="str">
        <f>IFERROR(VLOOKUP($B222,O$109:$AG$208,O$107,FALSE),"")</f>
        <v>Hoestar Super</v>
      </c>
      <c r="P222" s="2120" t="str">
        <f>IFERROR(VLOOKUP($B222,P$109:$AG$208,P$107,FALSE),"")</f>
        <v>Input Xpro</v>
      </c>
      <c r="Q222" s="2120" t="str">
        <f>IFERROR(VLOOKUP($B222,Q$109:$AG$208,Q$107,FALSE),"")</f>
        <v/>
      </c>
      <c r="R222" s="2120" t="str">
        <f>IFERROR(VLOOKUP($B222,R$109:$AG$208,R$107,FALSE),"")</f>
        <v xml:space="preserve">Harmony SX </v>
      </c>
      <c r="S222" s="2120" t="str">
        <f>IFERROR(VLOOKUP($B222,S$109:$AG$208,S$107,FALSE),"")</f>
        <v>Effigo</v>
      </c>
      <c r="T222" s="2120" t="str">
        <f>IFERROR(VLOOKUP($B222,T$109:$AG$208,T$107,FALSE),"")</f>
        <v>Proline</v>
      </c>
      <c r="U222" s="2120" t="str">
        <f>IFERROR(VLOOKUP($B222,U$109:$AG$208,U$107,FALSE),"")</f>
        <v>Spectrum Plus</v>
      </c>
      <c r="V222" s="2120" t="str">
        <f>IFERROR(VLOOKUP($B222,V$109:$AG$208,V$107,FALSE),"")</f>
        <v>Spectrum Plus</v>
      </c>
      <c r="W222" s="2120" t="str">
        <f>IFERROR(VLOOKUP($B222,W$109:$AG$208,W$107,FALSE),"")</f>
        <v/>
      </c>
      <c r="X222" s="2120" t="str">
        <f>IFERROR(VLOOKUP($B222,X$109:$AG$208,X$107,FALSE),"")</f>
        <v>Select 240 EC</v>
      </c>
      <c r="Y222" s="2120" t="str">
        <f>IFERROR(VLOOKUP($B222,Y$109:$AG$208,Y$107,FALSE),"")</f>
        <v>Revus</v>
      </c>
      <c r="Z222" s="2120" t="str">
        <f>IFERROR(VLOOKUP($B222,Z$109:$AG$208,Z$107,FALSE),"")</f>
        <v/>
      </c>
      <c r="AA222" s="2120" t="str">
        <f>IFERROR(VLOOKUP($B222,AA$109:$AG$208,AA$107,FALSE),"")</f>
        <v>Goltix Titan</v>
      </c>
      <c r="AB222" s="2120" t="str">
        <f>IFERROR(VLOOKUP($B222,AB$109:$AG$208,AB$107,FALSE),"")</f>
        <v>Fusilade MAX</v>
      </c>
      <c r="AC222" s="2120" t="str">
        <f>IFERROR(VLOOKUP($B222,AC$109:$AG$208,AC$107,FALSE),"")</f>
        <v/>
      </c>
      <c r="AD222" s="2120" t="str">
        <f>IFERROR(VLOOKUP($B222,AD$109:$AG$208,AD$107,FALSE),"")</f>
        <v>Aviator Xpro</v>
      </c>
      <c r="AE222" s="2120" t="str">
        <f>IFERROR(VLOOKUP($B222,AE$109:$AG$208,AE$107,FALSE),"")</f>
        <v/>
      </c>
      <c r="AF222" s="2120" t="str">
        <f>IFERROR(VLOOKUP($B222,AF$109:$AG$208,AF$107,FALSE),"")</f>
        <v/>
      </c>
    </row>
    <row r="223" spans="2:32">
      <c r="B223" s="2136">
        <f t="shared" si="20"/>
        <v>9</v>
      </c>
      <c r="F223" s="2120" t="str">
        <f>IFERROR(VLOOKUP($B223,F$109:$AG$208,F$107,FALSE),"")</f>
        <v>Broadway</v>
      </c>
      <c r="G223" s="2120" t="str">
        <f>IFERROR(VLOOKUP($B223,G$109:$AG$208,G$107,FALSE),"")</f>
        <v>Elatus Era</v>
      </c>
      <c r="H223" s="2120" t="str">
        <f>IFERROR(VLOOKUP($B223,H$109:$AG$208,H$107,FALSE),"")</f>
        <v>Broadway</v>
      </c>
      <c r="I223" s="2120" t="str">
        <f>IFERROR(VLOOKUP($B223,I$109:$AG$208,I$107,FALSE),"")</f>
        <v>CCC 720</v>
      </c>
      <c r="J223" s="2120" t="str">
        <f>IFERROR(VLOOKUP($B223,J$109:$AG$208,J$107,FALSE),"")</f>
        <v>Elatus Era</v>
      </c>
      <c r="K223" s="2120" t="str">
        <f>IFERROR(VLOOKUP($B223,K$109:$AG$208,K$107,FALSE),"")</f>
        <v>Elatus Era</v>
      </c>
      <c r="L223" s="2120" t="str">
        <f>IFERROR(VLOOKUP($B223,L$109:$AG$208,L$107,FALSE),"")</f>
        <v>Elatus Era</v>
      </c>
      <c r="M223" s="2120" t="str">
        <f>IFERROR(VLOOKUP($B223,M$109:$AG$208,M$107,FALSE),"")</f>
        <v>Elatus Era</v>
      </c>
      <c r="N223" s="2120" t="str">
        <f>IFERROR(VLOOKUP($B223,N$109:$AG$208,N$107,FALSE),"")</f>
        <v>Primus Perfect</v>
      </c>
      <c r="O223" s="2120" t="str">
        <f>IFERROR(VLOOKUP($B223,O$109:$AG$208,O$107,FALSE),"")</f>
        <v>Input Classic</v>
      </c>
      <c r="P223" s="2120" t="str">
        <f>IFERROR(VLOOKUP($B223,P$109:$AG$208,P$107,FALSE),"")</f>
        <v>Karate Zeon</v>
      </c>
      <c r="Q223" s="2120" t="str">
        <f>IFERROR(VLOOKUP($B223,Q$109:$AG$208,Q$107,FALSE),"")</f>
        <v/>
      </c>
      <c r="R223" s="2120" t="str">
        <f>IFERROR(VLOOKUP($B223,R$109:$AG$208,R$107,FALSE),"")</f>
        <v>Karate Zeon</v>
      </c>
      <c r="S223" s="2120" t="str">
        <f>IFERROR(VLOOKUP($B223,S$109:$AG$208,S$107,FALSE),"")</f>
        <v>Focus Aktiv Pack, Focus Ultra</v>
      </c>
      <c r="T223" s="2120" t="str">
        <f>IFERROR(VLOOKUP($B223,T$109:$AG$208,T$107,FALSE),"")</f>
        <v>Propulse</v>
      </c>
      <c r="U223" s="2120" t="str">
        <f>IFERROR(VLOOKUP($B223,U$109:$AG$208,U$107,FALSE),"")</f>
        <v>Stomp Aqua</v>
      </c>
      <c r="V223" s="2120" t="str">
        <f>IFERROR(VLOOKUP($B223,V$109:$AG$208,V$107,FALSE),"")</f>
        <v>Stomp Aqua</v>
      </c>
      <c r="W223" s="2120" t="str">
        <f>IFERROR(VLOOKUP($B223,W$109:$AG$208,W$107,FALSE),"")</f>
        <v/>
      </c>
      <c r="X223" s="2120" t="str">
        <f>IFERROR(VLOOKUP($B223,X$109:$AG$208,X$107,FALSE),"")</f>
        <v>Spectrum Plus</v>
      </c>
      <c r="Y223" s="2120" t="str">
        <f>IFERROR(VLOOKUP($B223,Y$109:$AG$208,Y$107,FALSE),"")</f>
        <v>Roundup Power Flex</v>
      </c>
      <c r="Z223" s="2120" t="str">
        <f>IFERROR(VLOOKUP($B223,Z$109:$AG$208,Z$107,FALSE),"")</f>
        <v/>
      </c>
      <c r="AA223" s="2120" t="str">
        <f>IFERROR(VLOOKUP($B223,AA$109:$AG$208,AA$107,FALSE),"")</f>
        <v>Metafol SC</v>
      </c>
      <c r="AB223" s="2120" t="str">
        <f>IFERROR(VLOOKUP($B223,AB$109:$AG$208,AB$107,FALSE),"")</f>
        <v>Infinito</v>
      </c>
      <c r="AC223" s="2120" t="str">
        <f>IFERROR(VLOOKUP($B223,AC$109:$AG$208,AC$107,FALSE),"")</f>
        <v/>
      </c>
      <c r="AD223" s="2120" t="str">
        <f>IFERROR(VLOOKUP($B223,AD$109:$AG$208,AD$107,FALSE),"")</f>
        <v>Axial 50</v>
      </c>
      <c r="AE223" s="2120" t="str">
        <f>IFERROR(VLOOKUP($B223,AE$109:$AG$208,AE$107,FALSE),"")</f>
        <v/>
      </c>
      <c r="AF223" s="2120" t="str">
        <f>IFERROR(VLOOKUP($B223,AF$109:$AG$208,AF$107,FALSE),"")</f>
        <v/>
      </c>
    </row>
    <row r="224" spans="2:32">
      <c r="B224" s="2136">
        <f t="shared" si="20"/>
        <v>10</v>
      </c>
      <c r="F224" s="2120" t="str">
        <f>IFERROR(VLOOKUP($B224,F$109:$AG$208,F$107,FALSE),"")</f>
        <v>CCC 720</v>
      </c>
      <c r="G224" s="2120" t="str">
        <f>IFERROR(VLOOKUP($B224,G$109:$AG$208,G$107,FALSE),"")</f>
        <v>Fandango</v>
      </c>
      <c r="H224" s="2120" t="str">
        <f>IFERROR(VLOOKUP($B224,H$109:$AG$208,H$107,FALSE),"")</f>
        <v>CCC 720</v>
      </c>
      <c r="I224" s="2120" t="str">
        <f>IFERROR(VLOOKUP($B224,I$109:$AG$208,I$107,FALSE),"")</f>
        <v>Cerone 660</v>
      </c>
      <c r="J224" s="2120" t="str">
        <f>IFERROR(VLOOKUP($B224,J$109:$AG$208,J$107,FALSE),"")</f>
        <v>Fandango</v>
      </c>
      <c r="K224" s="2120" t="str">
        <f>IFERROR(VLOOKUP($B224,K$109:$AG$208,K$107,FALSE),"")</f>
        <v>Fandango</v>
      </c>
      <c r="L224" s="2120" t="str">
        <f>IFERROR(VLOOKUP($B224,L$109:$AG$208,L$107,FALSE),"")</f>
        <v>Fandango</v>
      </c>
      <c r="M224" s="2120" t="str">
        <f>IFERROR(VLOOKUP($B224,M$109:$AG$208,M$107,FALSE),"")</f>
        <v>Fandango</v>
      </c>
      <c r="N224" s="2120" t="str">
        <f>IFERROR(VLOOKUP($B224,N$109:$AG$208,N$107,FALSE),"")</f>
        <v>Revytrex</v>
      </c>
      <c r="O224" s="2120" t="str">
        <f>IFERROR(VLOOKUP($B224,O$109:$AG$208,O$107,FALSE),"")</f>
        <v>Input Xpro</v>
      </c>
      <c r="P224" s="2120" t="str">
        <f>IFERROR(VLOOKUP($B224,P$109:$AG$208,P$107,FALSE),"")</f>
        <v>Mospilan SG</v>
      </c>
      <c r="Q224" s="2120" t="str">
        <f>IFERROR(VLOOKUP($B224,Q$109:$AG$208,Q$107,FALSE),"")</f>
        <v/>
      </c>
      <c r="R224" s="2120" t="str">
        <f>IFERROR(VLOOKUP($B224,R$109:$AG$208,R$107,FALSE),"")</f>
        <v>Mais Banvel WG</v>
      </c>
      <c r="S224" s="2120" t="str">
        <f>IFERROR(VLOOKUP($B224,S$109:$AG$208,S$107,FALSE),"")</f>
        <v>Folicur</v>
      </c>
      <c r="T224" s="2120" t="str">
        <f>IFERROR(VLOOKUP($B224,T$109:$AG$208,T$107,FALSE),"")</f>
        <v>Prosaro</v>
      </c>
      <c r="U224" s="2120" t="str">
        <f>IFERROR(VLOOKUP($B224,U$109:$AG$208,U$107,FALSE),"")</f>
        <v/>
      </c>
      <c r="V224" s="2120" t="str">
        <f>IFERROR(VLOOKUP($B224,V$109:$AG$208,V$107,FALSE),"")</f>
        <v>Spectrum</v>
      </c>
      <c r="W224" s="2120" t="str">
        <f>IFERROR(VLOOKUP($B224,W$109:$AG$208,W$107,FALSE),"")</f>
        <v/>
      </c>
      <c r="X224" s="2120" t="str">
        <f>IFERROR(VLOOKUP($B224,X$109:$AG$208,X$107,FALSE),"")</f>
        <v>Stomp Aqua</v>
      </c>
      <c r="Y224" s="2120" t="str">
        <f>IFERROR(VLOOKUP($B224,Y$109:$AG$208,Y$107,FALSE),"")</f>
        <v>Spectrum Plus</v>
      </c>
      <c r="Z224" s="2120" t="str">
        <f>IFERROR(VLOOKUP($B224,Z$109:$AG$208,Z$107,FALSE),"")</f>
        <v/>
      </c>
      <c r="AA224" s="2120" t="str">
        <f>IFERROR(VLOOKUP($B224,AA$109:$AG$208,AA$107,FALSE),"")</f>
        <v>Karate Zeon</v>
      </c>
      <c r="AB224" s="2120" t="str">
        <f>IFERROR(VLOOKUP($B224,AB$109:$AG$208,AB$107,FALSE),"")</f>
        <v>Karate Zeon</v>
      </c>
      <c r="AC224" s="2120" t="str">
        <f>IFERROR(VLOOKUP($B224,AC$109:$AG$208,AC$107,FALSE),"")</f>
        <v/>
      </c>
      <c r="AD224" s="2120" t="str">
        <f>IFERROR(VLOOKUP($B224,AD$109:$AG$208,AD$107,FALSE),"")</f>
        <v>Bandur</v>
      </c>
      <c r="AE224" s="2120" t="str">
        <f>IFERROR(VLOOKUP($B224,AE$109:$AG$208,AE$107,FALSE),"")</f>
        <v/>
      </c>
      <c r="AF224" s="2120" t="str">
        <f>IFERROR(VLOOKUP($B224,AF$109:$AG$208,AF$107,FALSE),"")</f>
        <v/>
      </c>
    </row>
    <row r="225" spans="2:32">
      <c r="B225" s="2136">
        <f t="shared" si="20"/>
        <v>11</v>
      </c>
      <c r="F225" s="2120" t="str">
        <f>IFERROR(VLOOKUP($B225,F$109:$AG$208,F$107,FALSE),"")</f>
        <v>Cerone 660</v>
      </c>
      <c r="G225" s="2120" t="str">
        <f>IFERROR(VLOOKUP($B225,G$109:$AG$208,G$107,FALSE),"")</f>
        <v>Folicur</v>
      </c>
      <c r="H225" s="2120" t="str">
        <f>IFERROR(VLOOKUP($B225,H$109:$AG$208,H$107,FALSE),"")</f>
        <v>Cerone 660</v>
      </c>
      <c r="I225" s="2120" t="str">
        <f>IFERROR(VLOOKUP($B225,I$109:$AG$208,I$107,FALSE),"")</f>
        <v>Elatus Era</v>
      </c>
      <c r="J225" s="2120" t="str">
        <f>IFERROR(VLOOKUP($B225,J$109:$AG$208,J$107,FALSE),"")</f>
        <v>Folicur</v>
      </c>
      <c r="K225" s="2120" t="str">
        <f>IFERROR(VLOOKUP($B225,K$109:$AG$208,K$107,FALSE),"")</f>
        <v>Folicur</v>
      </c>
      <c r="L225" s="2120" t="str">
        <f>IFERROR(VLOOKUP($B225,L$109:$AG$208,L$107,FALSE),"")</f>
        <v>Folicur</v>
      </c>
      <c r="M225" s="2120" t="str">
        <f>IFERROR(VLOOKUP($B225,M$109:$AG$208,M$107,FALSE),"")</f>
        <v>Folicur</v>
      </c>
      <c r="N225" s="2120" t="str">
        <f>IFERROR(VLOOKUP($B225,N$109:$AG$208,N$107,FALSE),"")</f>
        <v>Starane XL</v>
      </c>
      <c r="O225" s="2120" t="str">
        <f>IFERROR(VLOOKUP($B225,O$109:$AG$208,O$107,FALSE),"")</f>
        <v>Karate Zeon</v>
      </c>
      <c r="P225" s="2120" t="str">
        <f>IFERROR(VLOOKUP($B225,P$109:$AG$208,P$107,FALSE),"")</f>
        <v>Prosaro</v>
      </c>
      <c r="Q225" s="2120" t="str">
        <f>IFERROR(VLOOKUP($B225,Q$109:$AG$208,Q$107,FALSE),"")</f>
        <v/>
      </c>
      <c r="R225" s="2120" t="str">
        <f>IFERROR(VLOOKUP($B225,R$109:$AG$208,R$107,FALSE),"")</f>
        <v>MaisTer Power</v>
      </c>
      <c r="S225" s="2120" t="str">
        <f>IFERROR(VLOOKUP($B225,S$109:$AG$208,S$107,FALSE),"")</f>
        <v>Fusilade MAX</v>
      </c>
      <c r="T225" s="2120" t="str">
        <f>IFERROR(VLOOKUP($B225,T$109:$AG$208,T$107,FALSE),"")</f>
        <v>Stomp Aqua</v>
      </c>
      <c r="U225" s="2120" t="str">
        <f>IFERROR(VLOOKUP($B225,U$109:$AG$208,U$107,FALSE),"")</f>
        <v/>
      </c>
      <c r="V225" s="2120" t="str">
        <f>IFERROR(VLOOKUP($B225,V$109:$AG$208,V$107,FALSE),"")</f>
        <v/>
      </c>
      <c r="W225" s="2120" t="str">
        <f>IFERROR(VLOOKUP($B225,W$109:$AG$208,W$107,FALSE),"")</f>
        <v/>
      </c>
      <c r="X225" s="2120" t="str">
        <f>IFERROR(VLOOKUP($B225,X$109:$AG$208,X$107,FALSE),"")</f>
        <v/>
      </c>
      <c r="Y225" s="2120" t="str">
        <f>IFERROR(VLOOKUP($B225,Y$109:$AG$208,Y$107,FALSE),"")</f>
        <v>Stomp Aqua</v>
      </c>
      <c r="Z225" s="2120" t="str">
        <f>IFERROR(VLOOKUP($B225,Z$109:$AG$208,Z$107,FALSE),"")</f>
        <v/>
      </c>
      <c r="AA225" s="2120" t="str">
        <f>IFERROR(VLOOKUP($B225,AA$109:$AG$208,AA$107,FALSE),"")</f>
        <v>Ortiva</v>
      </c>
      <c r="AB225" s="2120" t="str">
        <f>IFERROR(VLOOKUP($B225,AB$109:$AG$208,AB$107,FALSE),"")</f>
        <v>Ortiva</v>
      </c>
      <c r="AC225" s="2120" t="str">
        <f>IFERROR(VLOOKUP($B225,AC$109:$AG$208,AC$107,FALSE),"")</f>
        <v/>
      </c>
      <c r="AD225" s="2120" t="str">
        <f>IFERROR(VLOOKUP($B225,AD$109:$AG$208,AD$107,FALSE),"")</f>
        <v>Betanal Tandem + Mero</v>
      </c>
      <c r="AE225" s="2120" t="str">
        <f>IFERROR(VLOOKUP($B225,AE$109:$AG$208,AE$107,FALSE),"")</f>
        <v/>
      </c>
      <c r="AF225" s="2120" t="str">
        <f>IFERROR(VLOOKUP($B225,AF$109:$AG$208,AF$107,FALSE),"")</f>
        <v/>
      </c>
    </row>
    <row r="226" spans="2:32">
      <c r="B226" s="2136">
        <f t="shared" si="20"/>
        <v>12</v>
      </c>
      <c r="F226" s="2120" t="str">
        <f>IFERROR(VLOOKUP($B226,F$109:$AG$208,F$107,FALSE),"")</f>
        <v>Elatus Era</v>
      </c>
      <c r="G226" s="2120" t="str">
        <f>IFERROR(VLOOKUP($B226,G$109:$AG$208,G$107,FALSE),"")</f>
        <v>Herold SC</v>
      </c>
      <c r="H226" s="2120" t="str">
        <f>IFERROR(VLOOKUP($B226,H$109:$AG$208,H$107,FALSE),"")</f>
        <v>Elatus Era</v>
      </c>
      <c r="I226" s="2120" t="str">
        <f>IFERROR(VLOOKUP($B226,I$109:$AG$208,I$107,FALSE),"")</f>
        <v>Fandango</v>
      </c>
      <c r="J226" s="2120" t="str">
        <f>IFERROR(VLOOKUP($B226,J$109:$AG$208,J$107,FALSE),"")</f>
        <v>Herold SC</v>
      </c>
      <c r="K226" s="2120" t="str">
        <f>IFERROR(VLOOKUP($B226,K$109:$AG$208,K$107,FALSE),"")</f>
        <v>Hoestar Super</v>
      </c>
      <c r="L226" s="2120" t="str">
        <f>IFERROR(VLOOKUP($B226,L$109:$AG$208,L$107,FALSE),"")</f>
        <v>Hoestar Super</v>
      </c>
      <c r="M226" s="2120" t="str">
        <f>IFERROR(VLOOKUP($B226,M$109:$AG$208,M$107,FALSE),"")</f>
        <v>Hoestar Super</v>
      </c>
      <c r="N226" s="2120" t="str">
        <f>IFERROR(VLOOKUP($B226,N$109:$AG$208,N$107,FALSE),"")</f>
        <v/>
      </c>
      <c r="O226" s="2120" t="str">
        <f>IFERROR(VLOOKUP($B226,O$109:$AG$208,O$107,FALSE),"")</f>
        <v>Primus Perfect</v>
      </c>
      <c r="P226" s="2120" t="str">
        <f>IFERROR(VLOOKUP($B226,P$109:$AG$208,P$107,FALSE),"")</f>
        <v>Starane XL</v>
      </c>
      <c r="Q226" s="2120" t="str">
        <f>IFERROR(VLOOKUP($B226,Q$109:$AG$208,Q$107,FALSE),"")</f>
        <v/>
      </c>
      <c r="R226" s="2120" t="str">
        <f>IFERROR(VLOOKUP($B226,R$109:$AG$208,R$107,FALSE),"")</f>
        <v>Spectrum Plus</v>
      </c>
      <c r="S226" s="2120" t="str">
        <f>IFERROR(VLOOKUP($B226,S$109:$AG$208,S$107,FALSE),"")</f>
        <v>Karate Zeon</v>
      </c>
      <c r="T226" s="2120" t="str">
        <f>IFERROR(VLOOKUP($B226,T$109:$AG$208,T$107,FALSE),"")</f>
        <v>Trebon 30 EC</v>
      </c>
      <c r="U226" s="2120" t="str">
        <f>IFERROR(VLOOKUP($B226,U$109:$AG$208,U$107,FALSE),"")</f>
        <v/>
      </c>
      <c r="V226" s="2120" t="str">
        <f>IFERROR(VLOOKUP($B226,V$109:$AG$208,V$107,FALSE),"")</f>
        <v/>
      </c>
      <c r="W226" s="2120" t="str">
        <f>IFERROR(VLOOKUP($B226,W$109:$AG$208,W$107,FALSE),"")</f>
        <v/>
      </c>
      <c r="X226" s="2120" t="str">
        <f>IFERROR(VLOOKUP($B226,X$109:$AG$208,X$107,FALSE),"")</f>
        <v/>
      </c>
      <c r="Y226" s="2120" t="str">
        <f>IFERROR(VLOOKUP($B226,Y$109:$AG$208,Y$107,FALSE),"")</f>
        <v/>
      </c>
      <c r="Z226" s="2120" t="str">
        <f>IFERROR(VLOOKUP($B226,Z$109:$AG$208,Z$107,FALSE),"")</f>
        <v/>
      </c>
      <c r="AA226" s="2120" t="str">
        <f>IFERROR(VLOOKUP($B226,AA$109:$AG$208,AA$107,FALSE),"")</f>
        <v>Spectrum</v>
      </c>
      <c r="AB226" s="2120" t="str">
        <f>IFERROR(VLOOKUP($B226,AB$109:$AG$208,AB$107,FALSE),"")</f>
        <v>Polyram WG</v>
      </c>
      <c r="AC226" s="2120" t="str">
        <f>IFERROR(VLOOKUP($B226,AC$109:$AG$208,AC$107,FALSE),"")</f>
        <v/>
      </c>
      <c r="AD226" s="2120" t="str">
        <f>IFERROR(VLOOKUP($B226,AD$109:$AG$208,AD$107,FALSE),"")</f>
        <v>Biathlon 4D +Dash</v>
      </c>
      <c r="AE226" s="2120" t="str">
        <f>IFERROR(VLOOKUP($B226,AE$109:$AG$208,AE$107,FALSE),"")</f>
        <v/>
      </c>
      <c r="AF226" s="2120" t="str">
        <f>IFERROR(VLOOKUP($B226,AF$109:$AG$208,AF$107,FALSE),"")</f>
        <v/>
      </c>
    </row>
    <row r="227" spans="2:32">
      <c r="B227" s="2136">
        <f t="shared" si="20"/>
        <v>13</v>
      </c>
      <c r="F227" s="2120" t="str">
        <f>IFERROR(VLOOKUP($B227,F$109:$AG$208,F$107,FALSE),"")</f>
        <v>Fandango</v>
      </c>
      <c r="G227" s="2120" t="str">
        <f>IFERROR(VLOOKUP($B227,G$109:$AG$208,G$107,FALSE),"")</f>
        <v>Input Classic</v>
      </c>
      <c r="H227" s="2120" t="str">
        <f>IFERROR(VLOOKUP($B227,H$109:$AG$208,H$107,FALSE),"")</f>
        <v>Fandango</v>
      </c>
      <c r="I227" s="2120" t="str">
        <f>IFERROR(VLOOKUP($B227,I$109:$AG$208,I$107,FALSE),"")</f>
        <v>Herold SC</v>
      </c>
      <c r="J227" s="2120" t="str">
        <f>IFERROR(VLOOKUP($B227,J$109:$AG$208,J$107,FALSE),"")</f>
        <v>Hoestar Super</v>
      </c>
      <c r="K227" s="2120" t="str">
        <f>IFERROR(VLOOKUP($B227,K$109:$AG$208,K$107,FALSE),"")</f>
        <v>Input Classic</v>
      </c>
      <c r="L227" s="2120" t="str">
        <f>IFERROR(VLOOKUP($B227,L$109:$AG$208,L$107,FALSE),"")</f>
        <v>Input Classic</v>
      </c>
      <c r="M227" s="2120" t="str">
        <f>IFERROR(VLOOKUP($B227,M$109:$AG$208,M$107,FALSE),"")</f>
        <v>Input Classic</v>
      </c>
      <c r="N227" s="2120" t="str">
        <f>IFERROR(VLOOKUP($B227,N$109:$AG$208,N$107,FALSE),"")</f>
        <v/>
      </c>
      <c r="O227" s="2120" t="str">
        <f>IFERROR(VLOOKUP($B227,O$109:$AG$208,O$107,FALSE),"")</f>
        <v>Prosaro</v>
      </c>
      <c r="P227" s="2120" t="str">
        <f>IFERROR(VLOOKUP($B227,P$109:$AG$208,P$107,FALSE),"")</f>
        <v>Spectrum</v>
      </c>
      <c r="Q227" s="2120" t="str">
        <f>IFERROR(VLOOKUP($B227,Q$109:$AG$208,Q$107,FALSE),"")</f>
        <v/>
      </c>
      <c r="R227" s="2120" t="str">
        <f>IFERROR(VLOOKUP($B227,R$109:$AG$208,R$107,FALSE),"")</f>
        <v>Stomp Aqua</v>
      </c>
      <c r="S227" s="2120" t="str">
        <f>IFERROR(VLOOKUP($B227,S$109:$AG$208,S$107,FALSE),"")</f>
        <v>Ortiva</v>
      </c>
      <c r="T227" s="2120" t="str">
        <f>IFERROR(VLOOKUP($B227,T$109:$AG$208,T$107,FALSE),"")</f>
        <v/>
      </c>
      <c r="U227" s="2120" t="str">
        <f>IFERROR(VLOOKUP($B227,U$109:$AG$208,U$107,FALSE),"")</f>
        <v/>
      </c>
      <c r="V227" s="2120" t="str">
        <f>IFERROR(VLOOKUP($B227,V$109:$AG$208,V$107,FALSE),"")</f>
        <v/>
      </c>
      <c r="W227" s="2120" t="str">
        <f>IFERROR(VLOOKUP($B227,W$109:$AG$208,W$107,FALSE),"")</f>
        <v/>
      </c>
      <c r="X227" s="2120" t="str">
        <f>IFERROR(VLOOKUP($B227,X$109:$AG$208,X$107,FALSE),"")</f>
        <v/>
      </c>
      <c r="Y227" s="2120" t="str">
        <f>IFERROR(VLOOKUP($B227,Y$109:$AG$208,Y$107,FALSE),"")</f>
        <v/>
      </c>
      <c r="Z227" s="2120" t="str">
        <f>IFERROR(VLOOKUP($B227,Z$109:$AG$208,Z$107,FALSE),"")</f>
        <v/>
      </c>
      <c r="AA227" s="2120" t="str">
        <f>IFERROR(VLOOKUP($B227,AA$109:$AG$208,AA$107,FALSE),"")</f>
        <v/>
      </c>
      <c r="AB227" s="2120" t="str">
        <f>IFERROR(VLOOKUP($B227,AB$109:$AG$208,AB$107,FALSE),"")</f>
        <v>Ranman Top</v>
      </c>
      <c r="AC227" s="2120" t="str">
        <f>IFERROR(VLOOKUP($B227,AC$109:$AG$208,AC$107,FALSE),"")</f>
        <v/>
      </c>
      <c r="AD227" s="2120" t="str">
        <f>IFERROR(VLOOKUP($B227,AD$109:$AG$208,AD$107,FALSE),"")</f>
        <v>Amistar Gold</v>
      </c>
      <c r="AE227" s="2120" t="str">
        <f>IFERROR(VLOOKUP($B227,AE$109:$AG$208,AE$107,FALSE),"")</f>
        <v/>
      </c>
      <c r="AF227" s="2120" t="str">
        <f>IFERROR(VLOOKUP($B227,AF$109:$AG$208,AF$107,FALSE),"")</f>
        <v/>
      </c>
    </row>
    <row r="228" spans="2:32">
      <c r="B228" s="2136">
        <f t="shared" si="20"/>
        <v>14</v>
      </c>
      <c r="F228" s="2120" t="str">
        <f>IFERROR(VLOOKUP($B228,F$109:$AG$208,F$107,FALSE),"")</f>
        <v>Folicur</v>
      </c>
      <c r="G228" s="2120" t="str">
        <f>IFERROR(VLOOKUP($B228,G$109:$AG$208,G$107,FALSE),"")</f>
        <v>Input Xpro</v>
      </c>
      <c r="H228" s="2120" t="str">
        <f>IFERROR(VLOOKUP($B228,H$109:$AG$208,H$107,FALSE),"")</f>
        <v>Folicur</v>
      </c>
      <c r="I228" s="2120" t="str">
        <f>IFERROR(VLOOKUP($B228,I$109:$AG$208,I$107,FALSE),"")</f>
        <v>Hoestar Super</v>
      </c>
      <c r="J228" s="2120" t="str">
        <f>IFERROR(VLOOKUP($B228,J$109:$AG$208,J$107,FALSE),"")</f>
        <v>Input Classic</v>
      </c>
      <c r="K228" s="2120" t="str">
        <f>IFERROR(VLOOKUP($B228,K$109:$AG$208,K$107,FALSE),"")</f>
        <v>Input Xpro</v>
      </c>
      <c r="L228" s="2120" t="str">
        <f>IFERROR(VLOOKUP($B228,L$109:$AG$208,L$107,FALSE),"")</f>
        <v>Input Xpro</v>
      </c>
      <c r="M228" s="2120" t="str">
        <f>IFERROR(VLOOKUP($B228,M$109:$AG$208,M$107,FALSE),"")</f>
        <v>Input Xpro</v>
      </c>
      <c r="N228" s="2120" t="str">
        <f>IFERROR(VLOOKUP($B228,N$109:$AG$208,N$107,FALSE),"")</f>
        <v/>
      </c>
      <c r="O228" s="2120" t="str">
        <f>IFERROR(VLOOKUP($B228,O$109:$AG$208,O$107,FALSE),"")</f>
        <v>Revytrex</v>
      </c>
      <c r="P228" s="2120">
        <f>IFERROR(VLOOKUP($B228,P$109:$AG$208,P$107,FALSE),"")</f>
        <v>0</v>
      </c>
      <c r="Q228" s="2120" t="str">
        <f>IFERROR(VLOOKUP($B228,Q$109:$AG$208,Q$107,FALSE),"")</f>
        <v/>
      </c>
      <c r="R228" s="2120" t="str">
        <f>IFERROR(VLOOKUP($B228,R$109:$AG$208,R$107,FALSE),"")</f>
        <v>TRICHOGRAMMA</v>
      </c>
      <c r="S228" s="2120" t="str">
        <f>IFERROR(VLOOKUP($B228,S$109:$AG$208,S$107,FALSE),"")</f>
        <v>Mospilan SG</v>
      </c>
      <c r="T228" s="2120" t="str">
        <f>IFERROR(VLOOKUP($B228,T$109:$AG$208,T$107,FALSE),"")</f>
        <v/>
      </c>
      <c r="U228" s="2120" t="str">
        <f>IFERROR(VLOOKUP($B228,U$109:$AG$208,U$107,FALSE),"")</f>
        <v/>
      </c>
      <c r="V228" s="2120" t="str">
        <f>IFERROR(VLOOKUP($B228,V$109:$AG$208,V$107,FALSE),"")</f>
        <v/>
      </c>
      <c r="W228" s="2120" t="str">
        <f>IFERROR(VLOOKUP($B228,W$109:$AG$208,W$107,FALSE),"")</f>
        <v/>
      </c>
      <c r="X228" s="2120" t="str">
        <f>IFERROR(VLOOKUP($B228,X$109:$AG$208,X$107,FALSE),"")</f>
        <v/>
      </c>
      <c r="Y228" s="2120" t="str">
        <f>IFERROR(VLOOKUP($B228,Y$109:$AG$208,Y$107,FALSE),"")</f>
        <v/>
      </c>
      <c r="Z228" s="2120" t="str">
        <f>IFERROR(VLOOKUP($B228,Z$109:$AG$208,Z$107,FALSE),"")</f>
        <v/>
      </c>
      <c r="AA228" s="2120" t="str">
        <f>IFERROR(VLOOKUP($B228,AA$109:$AG$208,AA$107,FALSE),"")</f>
        <v/>
      </c>
      <c r="AB228" s="2120" t="str">
        <f>IFERROR(VLOOKUP($B228,AB$109:$AG$208,AB$107,FALSE),"")</f>
        <v>Revus</v>
      </c>
      <c r="AC228" s="2120" t="str">
        <f>IFERROR(VLOOKUP($B228,AC$109:$AG$208,AC$107,FALSE),"")</f>
        <v/>
      </c>
      <c r="AD228" s="2120" t="str">
        <f>IFERROR(VLOOKUP($B228,AD$109:$AG$208,AD$107,FALSE),"")</f>
        <v>Boxer</v>
      </c>
      <c r="AE228" s="2120" t="str">
        <f>IFERROR(VLOOKUP($B228,AE$109:$AG$208,AE$107,FALSE),"")</f>
        <v/>
      </c>
      <c r="AF228" s="2120" t="str">
        <f>IFERROR(VLOOKUP($B228,AF$109:$AG$208,AF$107,FALSE),"")</f>
        <v/>
      </c>
    </row>
    <row r="229" spans="2:32">
      <c r="B229" s="2136">
        <f t="shared" si="20"/>
        <v>15</v>
      </c>
      <c r="F229" s="2120" t="str">
        <f>IFERROR(VLOOKUP($B229,F$109:$AG$208,F$107,FALSE),"")</f>
        <v>Herold SC</v>
      </c>
      <c r="G229" s="2120" t="str">
        <f>IFERROR(VLOOKUP($B229,G$109:$AG$208,G$107,FALSE),"")</f>
        <v>Karate Zeon</v>
      </c>
      <c r="H229" s="2120" t="str">
        <f>IFERROR(VLOOKUP($B229,H$109:$AG$208,H$107,FALSE),"")</f>
        <v>Herold SC</v>
      </c>
      <c r="I229" s="2120" t="str">
        <f>IFERROR(VLOOKUP($B229,I$109:$AG$208,I$107,FALSE),"")</f>
        <v>Input Classic</v>
      </c>
      <c r="J229" s="2120" t="str">
        <f>IFERROR(VLOOKUP($B229,J$109:$AG$208,J$107,FALSE),"")</f>
        <v>Input Xpro</v>
      </c>
      <c r="K229" s="2120" t="str">
        <f>IFERROR(VLOOKUP($B229,K$109:$AG$208,K$107,FALSE),"")</f>
        <v>Karate Zeon</v>
      </c>
      <c r="L229" s="2120" t="str">
        <f>IFERROR(VLOOKUP($B229,L$109:$AG$208,L$107,FALSE),"")</f>
        <v>Karate Zeon</v>
      </c>
      <c r="M229" s="2120" t="str">
        <f>IFERROR(VLOOKUP($B229,M$109:$AG$208,M$107,FALSE),"")</f>
        <v>Karate Zeon</v>
      </c>
      <c r="N229" s="2120" t="str">
        <f>IFERROR(VLOOKUP($B229,N$109:$AG$208,N$107,FALSE),"")</f>
        <v/>
      </c>
      <c r="O229" s="2120" t="str">
        <f>IFERROR(VLOOKUP($B229,O$109:$AG$208,O$107,FALSE),"")</f>
        <v>Comet</v>
      </c>
      <c r="P229" s="2120" t="str">
        <f>IFERROR(VLOOKUP($B229,P$109:$AG$208,P$107,FALSE),"")</f>
        <v>Univoq</v>
      </c>
      <c r="Q229" s="2120" t="str">
        <f>IFERROR(VLOOKUP($B229,Q$109:$AG$208,Q$107,FALSE),"")</f>
        <v/>
      </c>
      <c r="R229" s="2120" t="str">
        <f>IFERROR(VLOOKUP($B229,R$109:$AG$208,R$107,FALSE),"")</f>
        <v>Spectrum</v>
      </c>
      <c r="S229" s="2120" t="str">
        <f>IFERROR(VLOOKUP($B229,S$109:$AG$208,S$107,FALSE),"")</f>
        <v>Proline</v>
      </c>
      <c r="T229" s="2120" t="str">
        <f>IFERROR(VLOOKUP($B229,T$109:$AG$208,T$107,FALSE),"")</f>
        <v/>
      </c>
      <c r="U229" s="2120" t="str">
        <f>IFERROR(VLOOKUP($B229,U$109:$AG$208,U$107,FALSE),"")</f>
        <v/>
      </c>
      <c r="V229" s="2120" t="str">
        <f>IFERROR(VLOOKUP($B229,V$109:$AG$208,V$107,FALSE),"")</f>
        <v/>
      </c>
      <c r="W229" s="2120" t="str">
        <f>IFERROR(VLOOKUP($B229,W$109:$AG$208,W$107,FALSE),"")</f>
        <v/>
      </c>
      <c r="X229" s="2120" t="str">
        <f>IFERROR(VLOOKUP($B229,X$109:$AG$208,X$107,FALSE),"")</f>
        <v/>
      </c>
      <c r="Y229" s="2120" t="str">
        <f>IFERROR(VLOOKUP($B229,Y$109:$AG$208,Y$107,FALSE),"")</f>
        <v/>
      </c>
      <c r="Z229" s="2120" t="str">
        <f>IFERROR(VLOOKUP($B229,Z$109:$AG$208,Z$107,FALSE),"")</f>
        <v/>
      </c>
      <c r="AA229" s="2120" t="str">
        <f>IFERROR(VLOOKUP($B229,AA$109:$AG$208,AA$107,FALSE),"")</f>
        <v/>
      </c>
      <c r="AB229" s="2120" t="str">
        <f>IFERROR(VLOOKUP($B229,AB$109:$AG$208,AB$107,FALSE),"")</f>
        <v>Sencor Liquid</v>
      </c>
      <c r="AC229" s="2120" t="str">
        <f>IFERROR(VLOOKUP($B229,AC$109:$AG$208,AC$107,FALSE),"")</f>
        <v/>
      </c>
      <c r="AD229" s="2120" t="str">
        <f>IFERROR(VLOOKUP($B229,AD$109:$AG$208,AD$107,FALSE),"")</f>
        <v>Broadway</v>
      </c>
      <c r="AE229" s="2120" t="str">
        <f>IFERROR(VLOOKUP($B229,AE$109:$AG$208,AE$107,FALSE),"")</f>
        <v/>
      </c>
      <c r="AF229" s="2120" t="str">
        <f>IFERROR(VLOOKUP($B229,AF$109:$AG$208,AF$107,FALSE),"")</f>
        <v/>
      </c>
    </row>
    <row r="230" spans="2:32">
      <c r="B230" s="2136">
        <f t="shared" si="20"/>
        <v>16</v>
      </c>
      <c r="F230" s="2120" t="str">
        <f>IFERROR(VLOOKUP($B230,F$109:$AG$208,F$107,FALSE),"")</f>
        <v>Hoestar Super</v>
      </c>
      <c r="G230" s="2120" t="str">
        <f>IFERROR(VLOOKUP($B230,G$109:$AG$208,G$107,FALSE),"")</f>
        <v>Moddus</v>
      </c>
      <c r="H230" s="2120" t="str">
        <f>IFERROR(VLOOKUP($B230,H$109:$AG$208,H$107,FALSE),"")</f>
        <v>Hoestar Super</v>
      </c>
      <c r="I230" s="2120" t="str">
        <f>IFERROR(VLOOKUP($B230,I$109:$AG$208,I$107,FALSE),"")</f>
        <v>Input Xpro</v>
      </c>
      <c r="J230" s="2120" t="str">
        <f>IFERROR(VLOOKUP($B230,J$109:$AG$208,J$107,FALSE),"")</f>
        <v>Karate Zeon</v>
      </c>
      <c r="K230" s="2120" t="str">
        <f>IFERROR(VLOOKUP($B230,K$109:$AG$208,K$107,FALSE),"")</f>
        <v>Pointer Plus</v>
      </c>
      <c r="L230" s="2120" t="str">
        <f>IFERROR(VLOOKUP($B230,L$109:$AG$208,L$107,FALSE),"")</f>
        <v>Moddus</v>
      </c>
      <c r="M230" s="2120" t="str">
        <f>IFERROR(VLOOKUP($B230,M$109:$AG$208,M$107,FALSE),"")</f>
        <v>Moddus</v>
      </c>
      <c r="N230" s="2120" t="str">
        <f>IFERROR(VLOOKUP($B230,N$109:$AG$208,N$107,FALSE),"")</f>
        <v/>
      </c>
      <c r="O230" s="2120" t="str">
        <f>IFERROR(VLOOKUP($B230,O$109:$AG$208,O$107,FALSE),"")</f>
        <v>Starane XL</v>
      </c>
      <c r="P230" s="2120">
        <f>IFERROR(VLOOKUP($B230,P$109:$AG$208,P$107,FALSE),"")</f>
        <v>0</v>
      </c>
      <c r="Q230" s="2120" t="str">
        <f>IFERROR(VLOOKUP($B230,Q$109:$AG$208,Q$107,FALSE),"")</f>
        <v/>
      </c>
      <c r="R230" s="2120" t="str">
        <f>IFERROR(VLOOKUP($B230,R$109:$AG$208,R$107,FALSE),"")</f>
        <v/>
      </c>
      <c r="S230" s="2120" t="str">
        <f>IFERROR(VLOOKUP($B230,S$109:$AG$208,S$107,FALSE),"")</f>
        <v>Propulse</v>
      </c>
      <c r="T230" s="2120" t="str">
        <f>IFERROR(VLOOKUP($B230,T$109:$AG$208,T$107,FALSE),"")</f>
        <v/>
      </c>
      <c r="U230" s="2120" t="str">
        <f>IFERROR(VLOOKUP($B230,U$109:$AG$208,U$107,FALSE),"")</f>
        <v/>
      </c>
      <c r="V230" s="2120" t="str">
        <f>IFERROR(VLOOKUP($B230,V$109:$AG$208,V$107,FALSE),"")</f>
        <v/>
      </c>
      <c r="W230" s="2120" t="str">
        <f>IFERROR(VLOOKUP($B230,W$109:$AG$208,W$107,FALSE),"")</f>
        <v/>
      </c>
      <c r="X230" s="2120" t="str">
        <f>IFERROR(VLOOKUP($B230,X$109:$AG$208,X$107,FALSE),"")</f>
        <v/>
      </c>
      <c r="Y230" s="2120" t="str">
        <f>IFERROR(VLOOKUP($B230,Y$109:$AG$208,Y$107,FALSE),"")</f>
        <v/>
      </c>
      <c r="Z230" s="2120" t="str">
        <f>IFERROR(VLOOKUP($B230,Z$109:$AG$208,Z$107,FALSE),"")</f>
        <v/>
      </c>
      <c r="AA230" s="2120" t="str">
        <f>IFERROR(VLOOKUP($B230,AA$109:$AG$208,AA$107,FALSE),"")</f>
        <v/>
      </c>
      <c r="AB230" s="2120" t="str">
        <f>IFERROR(VLOOKUP($B230,AB$109:$AG$208,AB$107,FALSE),"")</f>
        <v>Shirlan</v>
      </c>
      <c r="AC230" s="2120" t="str">
        <f>IFERROR(VLOOKUP($B230,AC$109:$AG$208,AC$107,FALSE),"")</f>
        <v/>
      </c>
      <c r="AD230" s="2120" t="str">
        <f>IFERROR(VLOOKUP($B230,AD$109:$AG$208,AD$107,FALSE),"")</f>
        <v xml:space="preserve">Butisan </v>
      </c>
      <c r="AE230" s="2120" t="str">
        <f>IFERROR(VLOOKUP($B230,AE$109:$AG$208,AE$107,FALSE),"")</f>
        <v/>
      </c>
      <c r="AF230" s="2120" t="str">
        <f>IFERROR(VLOOKUP($B230,AF$109:$AG$208,AF$107,FALSE),"")</f>
        <v/>
      </c>
    </row>
    <row r="231" spans="2:32">
      <c r="B231" s="2136">
        <f t="shared" si="20"/>
        <v>17</v>
      </c>
      <c r="F231" s="2120" t="str">
        <f>IFERROR(VLOOKUP($B231,F$109:$AG$208,F$107,FALSE),"")</f>
        <v>Input Classic</v>
      </c>
      <c r="G231" s="2120" t="str">
        <f>IFERROR(VLOOKUP($B231,G$109:$AG$208,G$107,FALSE),"")</f>
        <v>Primus Perfect</v>
      </c>
      <c r="H231" s="2120" t="str">
        <f>IFERROR(VLOOKUP($B231,H$109:$AG$208,H$107,FALSE),"")</f>
        <v>Input Classic</v>
      </c>
      <c r="I231" s="2120" t="str">
        <f>IFERROR(VLOOKUP($B231,I$109:$AG$208,I$107,FALSE),"")</f>
        <v>Karate Zeon</v>
      </c>
      <c r="J231" s="2120" t="str">
        <f>IFERROR(VLOOKUP($B231,J$109:$AG$208,J$107,FALSE),"")</f>
        <v>Malibu</v>
      </c>
      <c r="K231" s="2120" t="str">
        <f>IFERROR(VLOOKUP($B231,K$109:$AG$208,K$107,FALSE),"")</f>
        <v>Primus Perfect</v>
      </c>
      <c r="L231" s="2120" t="str">
        <f>IFERROR(VLOOKUP($B231,L$109:$AG$208,L$107,FALSE),"")</f>
        <v>Pointer Plus</v>
      </c>
      <c r="M231" s="2120" t="str">
        <f>IFERROR(VLOOKUP($B231,M$109:$AG$208,M$107,FALSE),"")</f>
        <v>Pointer Plus</v>
      </c>
      <c r="N231" s="2120" t="str">
        <f>IFERROR(VLOOKUP($B231,N$109:$AG$208,N$107,FALSE),"")</f>
        <v/>
      </c>
      <c r="O231" s="2120" t="str">
        <f>IFERROR(VLOOKUP($B231,O$109:$AG$208,O$107,FALSE),"")</f>
        <v>Zypar</v>
      </c>
      <c r="P231" s="2120" t="str">
        <f>IFERROR(VLOOKUP($B231,P$109:$AG$208,P$107,FALSE),"")</f>
        <v/>
      </c>
      <c r="Q231" s="2120" t="str">
        <f>IFERROR(VLOOKUP($B231,Q$109:$AG$208,Q$107,FALSE),"")</f>
        <v/>
      </c>
      <c r="R231" s="2120" t="str">
        <f>IFERROR(VLOOKUP($B231,R$109:$AG$208,R$107,FALSE),"")</f>
        <v/>
      </c>
      <c r="S231" s="2120" t="str">
        <f>IFERROR(VLOOKUP($B231,S$109:$AG$208,S$107,FALSE),"")</f>
        <v>Prosaro</v>
      </c>
      <c r="T231" s="2120" t="str">
        <f>IFERROR(VLOOKUP($B231,T$109:$AG$208,T$107,FALSE),"")</f>
        <v/>
      </c>
      <c r="U231" s="2120" t="str">
        <f>IFERROR(VLOOKUP($B231,U$109:$AG$208,U$107,FALSE),"")</f>
        <v/>
      </c>
      <c r="V231" s="2120" t="str">
        <f>IFERROR(VLOOKUP($B231,V$109:$AG$208,V$107,FALSE),"")</f>
        <v/>
      </c>
      <c r="W231" s="2120" t="str">
        <f>IFERROR(VLOOKUP($B231,W$109:$AG$208,W$107,FALSE),"")</f>
        <v/>
      </c>
      <c r="X231" s="2120" t="str">
        <f>IFERROR(VLOOKUP($B231,X$109:$AG$208,X$107,FALSE),"")</f>
        <v/>
      </c>
      <c r="Y231" s="2120" t="str">
        <f>IFERROR(VLOOKUP($B231,Y$109:$AG$208,Y$107,FALSE),"")</f>
        <v/>
      </c>
      <c r="Z231" s="2120" t="str">
        <f>IFERROR(VLOOKUP($B231,Z$109:$AG$208,Z$107,FALSE),"")</f>
        <v/>
      </c>
      <c r="AA231" s="2120" t="str">
        <f>IFERROR(VLOOKUP($B231,AA$109:$AG$208,AA$107,FALSE),"")</f>
        <v/>
      </c>
      <c r="AB231" s="2120" t="str">
        <f>IFERROR(VLOOKUP($B231,AB$109:$AG$208,AB$107,FALSE),"")</f>
        <v>Teppeki</v>
      </c>
      <c r="AC231" s="2120" t="str">
        <f>IFERROR(VLOOKUP($B231,AC$109:$AG$208,AC$107,FALSE),"")</f>
        <v/>
      </c>
      <c r="AD231" s="2120" t="str">
        <f>IFERROR(VLOOKUP($B231,AD$109:$AG$208,AD$107,FALSE),"")</f>
        <v>Callisto</v>
      </c>
      <c r="AE231" s="2120" t="str">
        <f>IFERROR(VLOOKUP($B231,AE$109:$AG$208,AE$107,FALSE),"")</f>
        <v/>
      </c>
      <c r="AF231" s="2120" t="str">
        <f>IFERROR(VLOOKUP($B231,AF$109:$AG$208,AF$107,FALSE),"")</f>
        <v/>
      </c>
    </row>
    <row r="232" spans="2:32">
      <c r="B232" s="2136">
        <f t="shared" si="20"/>
        <v>18</v>
      </c>
      <c r="F232" s="2120" t="str">
        <f>IFERROR(VLOOKUP($B232,F$109:$AG$208,F$107,FALSE),"")</f>
        <v>Input Xpro</v>
      </c>
      <c r="G232" s="2120" t="str">
        <f>IFERROR(VLOOKUP($B232,G$109:$AG$208,G$107,FALSE),"")</f>
        <v>Prosaro</v>
      </c>
      <c r="H232" s="2120" t="str">
        <f>IFERROR(VLOOKUP($B232,H$109:$AG$208,H$107,FALSE),"")</f>
        <v>Input Xpro</v>
      </c>
      <c r="I232" s="2120" t="str">
        <f>IFERROR(VLOOKUP($B232,I$109:$AG$208,I$107,FALSE),"")</f>
        <v>Malibu</v>
      </c>
      <c r="J232" s="2120" t="str">
        <f>IFERROR(VLOOKUP($B232,J$109:$AG$208,J$107,FALSE),"")</f>
        <v>Moddus</v>
      </c>
      <c r="K232" s="2120" t="str">
        <f>IFERROR(VLOOKUP($B232,K$109:$AG$208,K$107,FALSE),"")</f>
        <v>Prosaro</v>
      </c>
      <c r="L232" s="2120" t="str">
        <f>IFERROR(VLOOKUP($B232,L$109:$AG$208,L$107,FALSE),"")</f>
        <v>Primus Perfect</v>
      </c>
      <c r="M232" s="2120" t="str">
        <f>IFERROR(VLOOKUP($B232,M$109:$AG$208,M$107,FALSE),"")</f>
        <v>Primus Perfect</v>
      </c>
      <c r="N232" s="2120" t="str">
        <f>IFERROR(VLOOKUP($B232,N$109:$AG$208,N$107,FALSE),"")</f>
        <v/>
      </c>
      <c r="O232" s="2120" t="str">
        <f>IFERROR(VLOOKUP($B232,O$109:$AG$208,O$107,FALSE),"")</f>
        <v/>
      </c>
      <c r="P232" s="2120" t="str">
        <f>IFERROR(VLOOKUP($B232,P$109:$AG$208,P$107,FALSE),"")</f>
        <v/>
      </c>
      <c r="Q232" s="2120" t="str">
        <f>IFERROR(VLOOKUP($B232,Q$109:$AG$208,Q$107,FALSE),"")</f>
        <v/>
      </c>
      <c r="R232" s="2120" t="str">
        <f>IFERROR(VLOOKUP($B232,R$109:$AG$208,R$107,FALSE),"")</f>
        <v/>
      </c>
      <c r="S232" s="2120" t="str">
        <f>IFERROR(VLOOKUP($B232,S$109:$AG$208,S$107,FALSE),"")</f>
        <v>Select 240 EC</v>
      </c>
      <c r="T232" s="2120" t="str">
        <f>IFERROR(VLOOKUP($B232,T$109:$AG$208,T$107,FALSE),"")</f>
        <v/>
      </c>
      <c r="U232" s="2120" t="str">
        <f>IFERROR(VLOOKUP($B232,U$109:$AG$208,U$107,FALSE),"")</f>
        <v/>
      </c>
      <c r="V232" s="2120" t="str">
        <f>IFERROR(VLOOKUP($B232,V$109:$AG$208,V$107,FALSE),"")</f>
        <v/>
      </c>
      <c r="W232" s="2120" t="str">
        <f>IFERROR(VLOOKUP($B232,W$109:$AG$208,W$107,FALSE),"")</f>
        <v/>
      </c>
      <c r="X232" s="2120" t="str">
        <f>IFERROR(VLOOKUP($B232,X$109:$AG$208,X$107,FALSE),"")</f>
        <v/>
      </c>
      <c r="Y232" s="2120" t="str">
        <f>IFERROR(VLOOKUP($B232,Y$109:$AG$208,Y$107,FALSE),"")</f>
        <v/>
      </c>
      <c r="Z232" s="2120" t="str">
        <f>IFERROR(VLOOKUP($B232,Z$109:$AG$208,Z$107,FALSE),"")</f>
        <v/>
      </c>
      <c r="AA232" s="2120" t="str">
        <f>IFERROR(VLOOKUP($B232,AA$109:$AG$208,AA$107,FALSE),"")</f>
        <v/>
      </c>
      <c r="AB232" s="2120" t="str">
        <f>IFERROR(VLOOKUP($B232,AB$109:$AG$208,AB$107,FALSE),"")</f>
        <v>Spectrum</v>
      </c>
      <c r="AC232" s="2120" t="str">
        <f>IFERROR(VLOOKUP($B232,AC$109:$AG$208,AC$107,FALSE),"")</f>
        <v/>
      </c>
      <c r="AD232" s="2120" t="str">
        <f>IFERROR(VLOOKUP($B232,AD$109:$AG$208,AD$107,FALSE),"")</f>
        <v>Cantus Gold</v>
      </c>
      <c r="AE232" s="2120" t="str">
        <f>IFERROR(VLOOKUP($B232,AE$109:$AG$208,AE$107,FALSE),"")</f>
        <v/>
      </c>
      <c r="AF232" s="2120" t="str">
        <f>IFERROR(VLOOKUP($B232,AF$109:$AG$208,AF$107,FALSE),"")</f>
        <v/>
      </c>
    </row>
    <row r="233" spans="2:32">
      <c r="B233" s="2136">
        <f t="shared" si="20"/>
        <v>19</v>
      </c>
      <c r="F233" s="2120" t="str">
        <f>IFERROR(VLOOKUP($B233,F$109:$AG$208,F$107,FALSE),"")</f>
        <v>Karate Zeon</v>
      </c>
      <c r="G233" s="2120" t="str">
        <f>IFERROR(VLOOKUP($B233,G$109:$AG$208,G$107,FALSE),"")</f>
        <v>Revytrex</v>
      </c>
      <c r="H233" s="2120" t="str">
        <f>IFERROR(VLOOKUP($B233,H$109:$AG$208,H$107,FALSE),"")</f>
        <v>Karate Zeon</v>
      </c>
      <c r="I233" s="2120" t="str">
        <f>IFERROR(VLOOKUP($B233,I$109:$AG$208,I$107,FALSE),"")</f>
        <v>Moddus</v>
      </c>
      <c r="J233" s="2120" t="str">
        <f>IFERROR(VLOOKUP($B233,J$109:$AG$208,J$107,FALSE),"")</f>
        <v>Pointer Plus</v>
      </c>
      <c r="K233" s="2120" t="str">
        <f>IFERROR(VLOOKUP($B233,K$109:$AG$208,K$107,FALSE),"")</f>
        <v>Revytrex</v>
      </c>
      <c r="L233" s="2120" t="str">
        <f>IFERROR(VLOOKUP($B233,L$109:$AG$208,L$107,FALSE),"")</f>
        <v>Prosaro</v>
      </c>
      <c r="M233" s="2120" t="str">
        <f>IFERROR(VLOOKUP($B233,M$109:$AG$208,M$107,FALSE),"")</f>
        <v>Prosaro</v>
      </c>
      <c r="N233" s="2120" t="str">
        <f>IFERROR(VLOOKUP($B233,N$109:$AG$208,N$107,FALSE),"")</f>
        <v/>
      </c>
      <c r="O233" s="2120" t="str">
        <f>IFERROR(VLOOKUP($B233,O$109:$AG$208,O$107,FALSE),"")</f>
        <v/>
      </c>
      <c r="P233" s="2120" t="str">
        <f>IFERROR(VLOOKUP($B233,P$109:$AG$208,P$107,FALSE),"")</f>
        <v/>
      </c>
      <c r="Q233" s="2120" t="str">
        <f>IFERROR(VLOOKUP($B233,Q$109:$AG$208,Q$107,FALSE),"")</f>
        <v/>
      </c>
      <c r="R233" s="2120" t="str">
        <f>IFERROR(VLOOKUP($B233,R$109:$AG$208,R$107,FALSE),"")</f>
        <v/>
      </c>
      <c r="S233" s="2120" t="str">
        <f>IFERROR(VLOOKUP($B233,S$109:$AG$208,S$107,FALSE),"")</f>
        <v>Stomp Aqua</v>
      </c>
      <c r="T233" s="2120" t="str">
        <f>IFERROR(VLOOKUP($B233,T$109:$AG$208,T$107,FALSE),"")</f>
        <v/>
      </c>
      <c r="U233" s="2120" t="str">
        <f>IFERROR(VLOOKUP($B233,U$109:$AG$208,U$107,FALSE),"")</f>
        <v/>
      </c>
      <c r="V233" s="2120" t="str">
        <f>IFERROR(VLOOKUP($B233,V$109:$AG$208,V$107,FALSE),"")</f>
        <v/>
      </c>
      <c r="W233" s="2120" t="str">
        <f>IFERROR(VLOOKUP($B233,W$109:$AG$208,W$107,FALSE),"")</f>
        <v/>
      </c>
      <c r="X233" s="2120" t="str">
        <f>IFERROR(VLOOKUP($B233,X$109:$AG$208,X$107,FALSE),"")</f>
        <v/>
      </c>
      <c r="Y233" s="2120" t="str">
        <f>IFERROR(VLOOKUP($B233,Y$109:$AG$208,Y$107,FALSE),"")</f>
        <v/>
      </c>
      <c r="Z233" s="2120" t="str">
        <f>IFERROR(VLOOKUP($B233,Z$109:$AG$208,Z$107,FALSE),"")</f>
        <v/>
      </c>
      <c r="AA233" s="2120" t="str">
        <f>IFERROR(VLOOKUP($B233,AA$109:$AG$208,AA$107,FALSE),"")</f>
        <v/>
      </c>
      <c r="AB233" s="2120" t="str">
        <f>IFERROR(VLOOKUP($B233,AB$109:$AG$208,AB$107,FALSE),"")</f>
        <v/>
      </c>
      <c r="AC233" s="2120" t="str">
        <f>IFERROR(VLOOKUP($B233,AC$109:$AG$208,AC$107,FALSE),"")</f>
        <v/>
      </c>
      <c r="AD233" s="2120" t="str">
        <f>IFERROR(VLOOKUP($B233,AD$109:$AG$208,AD$107,FALSE),"")</f>
        <v>Carax</v>
      </c>
      <c r="AE233" s="2120" t="str">
        <f>IFERROR(VLOOKUP($B233,AE$109:$AG$208,AE$107,FALSE),"")</f>
        <v/>
      </c>
      <c r="AF233" s="2120" t="str">
        <f>IFERROR(VLOOKUP($B233,AF$109:$AG$208,AF$107,FALSE),"")</f>
        <v/>
      </c>
    </row>
    <row r="234" spans="2:32">
      <c r="B234" s="2136">
        <f t="shared" si="20"/>
        <v>20</v>
      </c>
      <c r="F234" s="2120" t="str">
        <f>IFERROR(VLOOKUP($B234,F$109:$AG$208,F$107,FALSE),"")</f>
        <v>Malibu</v>
      </c>
      <c r="G234" s="2120" t="str">
        <f>IFERROR(VLOOKUP($B234,G$109:$AG$208,G$107,FALSE),"")</f>
        <v>Comet</v>
      </c>
      <c r="H234" s="2120" t="str">
        <f>IFERROR(VLOOKUP($B234,H$109:$AG$208,H$107,FALSE),"")</f>
        <v>Malibu</v>
      </c>
      <c r="I234" s="2120" t="str">
        <f>IFERROR(VLOOKUP($B234,I$109:$AG$208,I$107,FALSE),"")</f>
        <v>Pointer Plus</v>
      </c>
      <c r="J234" s="2120" t="str">
        <f>IFERROR(VLOOKUP($B234,J$109:$AG$208,J$107,FALSE),"")</f>
        <v>Primus Perfect</v>
      </c>
      <c r="K234" s="2120" t="str">
        <f>IFERROR(VLOOKUP($B234,K$109:$AG$208,K$107,FALSE),"")</f>
        <v>Comet</v>
      </c>
      <c r="L234" s="2120" t="str">
        <f>IFERROR(VLOOKUP($B234,L$109:$AG$208,L$107,FALSE),"")</f>
        <v>Revytrex</v>
      </c>
      <c r="M234" s="2120" t="str">
        <f>IFERROR(VLOOKUP($B234,M$109:$AG$208,M$107,FALSE),"")</f>
        <v>Revytrex</v>
      </c>
      <c r="N234" s="2120" t="str">
        <f>IFERROR(VLOOKUP($B234,N$109:$AG$208,N$107,FALSE),"")</f>
        <v/>
      </c>
      <c r="O234" s="2120" t="str">
        <f>IFERROR(VLOOKUP($B234,O$109:$AG$208,O$107,FALSE),"")</f>
        <v/>
      </c>
      <c r="P234" s="2120" t="str">
        <f>IFERROR(VLOOKUP($B234,P$109:$AG$208,P$107,FALSE),"")</f>
        <v/>
      </c>
      <c r="Q234" s="2120" t="str">
        <f>IFERROR(VLOOKUP($B234,Q$109:$AG$208,Q$107,FALSE),"")</f>
        <v/>
      </c>
      <c r="R234" s="2120" t="str">
        <f>IFERROR(VLOOKUP($B234,R$109:$AG$208,R$107,FALSE),"")</f>
        <v/>
      </c>
      <c r="S234" s="2120" t="str">
        <f>IFERROR(VLOOKUP($B234,S$109:$AG$208,S$107,FALSE),"")</f>
        <v>Tilmor</v>
      </c>
      <c r="T234" s="2120" t="str">
        <f>IFERROR(VLOOKUP($B234,T$109:$AG$208,T$107,FALSE),"")</f>
        <v/>
      </c>
      <c r="U234" s="2120" t="str">
        <f>IFERROR(VLOOKUP($B234,U$109:$AG$208,U$107,FALSE),"")</f>
        <v/>
      </c>
      <c r="V234" s="2120" t="str">
        <f>IFERROR(VLOOKUP($B234,V$109:$AG$208,V$107,FALSE),"")</f>
        <v/>
      </c>
      <c r="W234" s="2120" t="str">
        <f>IFERROR(VLOOKUP($B234,W$109:$AG$208,W$107,FALSE),"")</f>
        <v/>
      </c>
      <c r="X234" s="2120" t="str">
        <f>IFERROR(VLOOKUP($B234,X$109:$AG$208,X$107,FALSE),"")</f>
        <v/>
      </c>
      <c r="Y234" s="2120" t="str">
        <f>IFERROR(VLOOKUP($B234,Y$109:$AG$208,Y$107,FALSE),"")</f>
        <v/>
      </c>
      <c r="Z234" s="2120" t="str">
        <f>IFERROR(VLOOKUP($B234,Z$109:$AG$208,Z$107,FALSE),"")</f>
        <v/>
      </c>
      <c r="AA234" s="2120" t="str">
        <f>IFERROR(VLOOKUP($B234,AA$109:$AG$208,AA$107,FALSE),"")</f>
        <v/>
      </c>
      <c r="AB234" s="2120" t="str">
        <f>IFERROR(VLOOKUP($B234,AB$109:$AG$208,AB$107,FALSE),"")</f>
        <v/>
      </c>
      <c r="AC234" s="2120" t="str">
        <f>IFERROR(VLOOKUP($B234,AC$109:$AG$208,AC$107,FALSE),"")</f>
        <v/>
      </c>
      <c r="AD234" s="2120" t="str">
        <f>IFERROR(VLOOKUP($B234,AD$109:$AG$208,AD$107,FALSE),"")</f>
        <v>CCC 720</v>
      </c>
      <c r="AE234" s="2120" t="str">
        <f>IFERROR(VLOOKUP($B234,AE$109:$AG$208,AE$107,FALSE),"")</f>
        <v/>
      </c>
      <c r="AF234" s="2120" t="str">
        <f>IFERROR(VLOOKUP($B234,AF$109:$AG$208,AF$107,FALSE),"")</f>
        <v/>
      </c>
    </row>
    <row r="235" spans="2:32">
      <c r="B235" s="2136">
        <f t="shared" si="20"/>
        <v>21</v>
      </c>
      <c r="F235" s="2120" t="str">
        <f>IFERROR(VLOOKUP($B235,F$109:$AG$208,F$107,FALSE),"")</f>
        <v>Moddus</v>
      </c>
      <c r="G235" s="2120" t="str">
        <f>IFERROR(VLOOKUP($B235,G$109:$AG$208,G$107,FALSE),"")</f>
        <v>Stomp Aqua</v>
      </c>
      <c r="H235" s="2120" t="str">
        <f>IFERROR(VLOOKUP($B235,H$109:$AG$208,H$107,FALSE),"")</f>
        <v>Moddus</v>
      </c>
      <c r="I235" s="2120" t="str">
        <f>IFERROR(VLOOKUP($B235,I$109:$AG$208,I$107,FALSE),"")</f>
        <v>Primus Perfect</v>
      </c>
      <c r="J235" s="2120" t="str">
        <f>IFERROR(VLOOKUP($B235,J$109:$AG$208,J$107,FALSE),"")</f>
        <v>Prosaro</v>
      </c>
      <c r="K235" s="2120" t="str">
        <f>IFERROR(VLOOKUP($B235,K$109:$AG$208,K$107,FALSE),"")</f>
        <v>Starane XL</v>
      </c>
      <c r="L235" s="2120" t="str">
        <f>IFERROR(VLOOKUP($B235,L$109:$AG$208,L$107,FALSE),"")</f>
        <v>Comet</v>
      </c>
      <c r="M235" s="2120" t="str">
        <f>IFERROR(VLOOKUP($B235,M$109:$AG$208,M$107,FALSE),"")</f>
        <v>Comet</v>
      </c>
      <c r="N235" s="2120" t="str">
        <f>IFERROR(VLOOKUP($B235,N$109:$AG$208,N$107,FALSE),"")</f>
        <v/>
      </c>
      <c r="O235" s="2120" t="str">
        <f>IFERROR(VLOOKUP($B235,O$109:$AG$208,O$107,FALSE),"")</f>
        <v/>
      </c>
      <c r="P235" s="2120" t="str">
        <f>IFERROR(VLOOKUP($B235,P$109:$AG$208,P$107,FALSE),"")</f>
        <v/>
      </c>
      <c r="Q235" s="2120" t="str">
        <f>IFERROR(VLOOKUP($B235,Q$109:$AG$208,Q$107,FALSE),"")</f>
        <v/>
      </c>
      <c r="R235" s="2120" t="str">
        <f>IFERROR(VLOOKUP($B235,R$109:$AG$208,R$107,FALSE),"")</f>
        <v/>
      </c>
      <c r="S235" s="2120" t="str">
        <f>IFERROR(VLOOKUP($B235,S$109:$AG$208,S$107,FALSE),"")</f>
        <v>Trebon 30 EC</v>
      </c>
      <c r="T235" s="2120" t="str">
        <f>IFERROR(VLOOKUP($B235,T$109:$AG$208,T$107,FALSE),"")</f>
        <v/>
      </c>
      <c r="U235" s="2120" t="str">
        <f>IFERROR(VLOOKUP($B235,U$109:$AG$208,U$107,FALSE),"")</f>
        <v/>
      </c>
      <c r="V235" s="2120" t="str">
        <f>IFERROR(VLOOKUP($B235,V$109:$AG$208,V$107,FALSE),"")</f>
        <v/>
      </c>
      <c r="W235" s="2120" t="str">
        <f>IFERROR(VLOOKUP($B235,W$109:$AG$208,W$107,FALSE),"")</f>
        <v/>
      </c>
      <c r="X235" s="2120" t="str">
        <f>IFERROR(VLOOKUP($B235,X$109:$AG$208,X$107,FALSE),"")</f>
        <v/>
      </c>
      <c r="Y235" s="2120" t="str">
        <f>IFERROR(VLOOKUP($B235,Y$109:$AG$208,Y$107,FALSE),"")</f>
        <v/>
      </c>
      <c r="Z235" s="2120" t="str">
        <f>IFERROR(VLOOKUP($B235,Z$109:$AG$208,Z$107,FALSE),"")</f>
        <v/>
      </c>
      <c r="AA235" s="2120" t="str">
        <f>IFERROR(VLOOKUP($B235,AA$109:$AG$208,AA$107,FALSE),"")</f>
        <v/>
      </c>
      <c r="AB235" s="2120" t="str">
        <f>IFERROR(VLOOKUP($B235,AB$109:$AG$208,AB$107,FALSE),"")</f>
        <v/>
      </c>
      <c r="AC235" s="2120" t="str">
        <f>IFERROR(VLOOKUP($B235,AC$109:$AG$208,AC$107,FALSE),"")</f>
        <v/>
      </c>
      <c r="AD235" s="2120" t="str">
        <f>IFERROR(VLOOKUP($B235,AD$109:$AG$208,AD$107,FALSE),"")</f>
        <v>Centium 36 CS</v>
      </c>
      <c r="AE235" s="2120" t="str">
        <f>IFERROR(VLOOKUP($B235,AE$109:$AG$208,AE$107,FALSE),"")</f>
        <v/>
      </c>
      <c r="AF235" s="2120" t="str">
        <f>IFERROR(VLOOKUP($B235,AF$109:$AG$208,AF$107,FALSE),"")</f>
        <v/>
      </c>
    </row>
    <row r="236" spans="2:32">
      <c r="B236" s="2136">
        <f t="shared" si="20"/>
        <v>22</v>
      </c>
      <c r="F236" s="2120" t="str">
        <f>IFERROR(VLOOKUP($B236,F$109:$AG$208,F$107,FALSE),"")</f>
        <v>Pointer Plus</v>
      </c>
      <c r="G236" s="2120" t="str">
        <f>IFERROR(VLOOKUP($B236,G$109:$AG$208,G$107,FALSE),"")</f>
        <v>Zypar</v>
      </c>
      <c r="H236" s="2120" t="str">
        <f>IFERROR(VLOOKUP($B236,H$109:$AG$208,H$107,FALSE),"")</f>
        <v>Pointer Plus</v>
      </c>
      <c r="I236" s="2120" t="str">
        <f>IFERROR(VLOOKUP($B236,I$109:$AG$208,I$107,FALSE),"")</f>
        <v>Prosaro</v>
      </c>
      <c r="J236" s="2120" t="str">
        <f>IFERROR(VLOOKUP($B236,J$109:$AG$208,J$107,FALSE),"")</f>
        <v>Revytrex</v>
      </c>
      <c r="K236" s="2120" t="str">
        <f>IFERROR(VLOOKUP($B236,K$109:$AG$208,K$107,FALSE),"")</f>
        <v>Zypar</v>
      </c>
      <c r="L236" s="2120" t="str">
        <f>IFERROR(VLOOKUP($B236,L$109:$AG$208,L$107,FALSE),"")</f>
        <v>Starane XL</v>
      </c>
      <c r="M236" s="2120" t="str">
        <f>IFERROR(VLOOKUP($B236,M$109:$AG$208,M$107,FALSE),"")</f>
        <v>Starane XL</v>
      </c>
      <c r="N236" s="2120" t="str">
        <f>IFERROR(VLOOKUP($B236,N$109:$AG$208,N$107,FALSE),"")</f>
        <v/>
      </c>
      <c r="O236" s="2120" t="str">
        <f>IFERROR(VLOOKUP($B236,O$109:$AG$208,O$107,FALSE),"")</f>
        <v/>
      </c>
      <c r="P236" s="2120" t="str">
        <f>IFERROR(VLOOKUP($B236,P$109:$AG$208,P$107,FALSE),"")</f>
        <v/>
      </c>
      <c r="Q236" s="2120" t="str">
        <f>IFERROR(VLOOKUP($B236,Q$109:$AG$208,Q$107,FALSE),"")</f>
        <v/>
      </c>
      <c r="R236" s="2120" t="str">
        <f>IFERROR(VLOOKUP($B236,R$109:$AG$208,R$107,FALSE),"")</f>
        <v/>
      </c>
      <c r="S236" s="2120" t="str">
        <f>IFERROR(VLOOKUP($B236,S$109:$AG$208,S$107,FALSE),"")</f>
        <v/>
      </c>
      <c r="T236" s="2120" t="str">
        <f>IFERROR(VLOOKUP($B236,T$109:$AG$208,T$107,FALSE),"")</f>
        <v/>
      </c>
      <c r="U236" s="2120" t="str">
        <f>IFERROR(VLOOKUP($B236,U$109:$AG$208,U$107,FALSE),"")</f>
        <v/>
      </c>
      <c r="V236" s="2120" t="str">
        <f>IFERROR(VLOOKUP($B236,V$109:$AG$208,V$107,FALSE),"")</f>
        <v/>
      </c>
      <c r="W236" s="2120" t="str">
        <f>IFERROR(VLOOKUP($B236,W$109:$AG$208,W$107,FALSE),"")</f>
        <v/>
      </c>
      <c r="X236" s="2120" t="str">
        <f>IFERROR(VLOOKUP($B236,X$109:$AG$208,X$107,FALSE),"")</f>
        <v/>
      </c>
      <c r="Y236" s="2120" t="str">
        <f>IFERROR(VLOOKUP($B236,Y$109:$AG$208,Y$107,FALSE),"")</f>
        <v/>
      </c>
      <c r="Z236" s="2120" t="str">
        <f>IFERROR(VLOOKUP($B236,Z$109:$AG$208,Z$107,FALSE),"")</f>
        <v/>
      </c>
      <c r="AA236" s="2120" t="str">
        <f>IFERROR(VLOOKUP($B236,AA$109:$AG$208,AA$107,FALSE),"")</f>
        <v/>
      </c>
      <c r="AB236" s="2120" t="str">
        <f>IFERROR(VLOOKUP($B236,AB$109:$AG$208,AB$107,FALSE),"")</f>
        <v/>
      </c>
      <c r="AC236" s="2120" t="str">
        <f>IFERROR(VLOOKUP($B236,AC$109:$AG$208,AC$107,FALSE),"")</f>
        <v/>
      </c>
      <c r="AD236" s="2120" t="str">
        <f>IFERROR(VLOOKUP($B236,AD$109:$AG$208,AD$107,FALSE),"")</f>
        <v>Cerone 660</v>
      </c>
      <c r="AE236" s="2120" t="str">
        <f>IFERROR(VLOOKUP($B236,AE$109:$AG$208,AE$107,FALSE),"")</f>
        <v/>
      </c>
      <c r="AF236" s="2120" t="str">
        <f>IFERROR(VLOOKUP($B236,AF$109:$AG$208,AF$107,FALSE),"")</f>
        <v/>
      </c>
    </row>
    <row r="237" spans="2:32">
      <c r="B237" s="2136">
        <f t="shared" si="20"/>
        <v>23</v>
      </c>
      <c r="F237" s="2120" t="str">
        <f>IFERROR(VLOOKUP($B237,F$109:$AG$208,F$107,FALSE),"")</f>
        <v>Primus Perfect</v>
      </c>
      <c r="G237" s="2120" t="str">
        <f>IFERROR(VLOOKUP($B237,G$109:$AG$208,G$107,FALSE),"")</f>
        <v>Univoq</v>
      </c>
      <c r="H237" s="2120" t="str">
        <f>IFERROR(VLOOKUP($B237,H$109:$AG$208,H$107,FALSE),"")</f>
        <v>Primus Perfect</v>
      </c>
      <c r="I237" s="2120" t="str">
        <f>IFERROR(VLOOKUP($B237,I$109:$AG$208,I$107,FALSE),"")</f>
        <v>Revytrex</v>
      </c>
      <c r="J237" s="2120" t="str">
        <f>IFERROR(VLOOKUP($B237,J$109:$AG$208,J$107,FALSE),"")</f>
        <v>Comet</v>
      </c>
      <c r="K237" s="2120" t="str">
        <f>IFERROR(VLOOKUP($B237,K$109:$AG$208,K$107,FALSE),"")</f>
        <v>Univoq</v>
      </c>
      <c r="L237" s="2120" t="str">
        <f>IFERROR(VLOOKUP($B237,L$109:$AG$208,L$107,FALSE),"")</f>
        <v>Zypar</v>
      </c>
      <c r="M237" s="2120" t="str">
        <f>IFERROR(VLOOKUP($B237,M$109:$AG$208,M$107,FALSE),"")</f>
        <v>Zypar</v>
      </c>
      <c r="N237" s="2120" t="str">
        <f>IFERROR(VLOOKUP($B237,N$109:$AG$208,N$107,FALSE),"")</f>
        <v/>
      </c>
      <c r="O237" s="2120" t="str">
        <f>IFERROR(VLOOKUP($B237,O$109:$AG$208,O$107,FALSE),"")</f>
        <v/>
      </c>
      <c r="P237" s="2120" t="str">
        <f>IFERROR(VLOOKUP($B237,P$109:$AG$208,P$107,FALSE),"")</f>
        <v/>
      </c>
      <c r="Q237" s="2120" t="str">
        <f>IFERROR(VLOOKUP($B237,Q$109:$AG$208,Q$107,FALSE),"")</f>
        <v/>
      </c>
      <c r="R237" s="2120" t="str">
        <f>IFERROR(VLOOKUP($B237,R$109:$AG$208,R$107,FALSE),"")</f>
        <v/>
      </c>
      <c r="S237" s="2120" t="str">
        <f>IFERROR(VLOOKUP($B237,S$109:$AG$208,S$107,FALSE),"")</f>
        <v/>
      </c>
      <c r="T237" s="2120" t="str">
        <f>IFERROR(VLOOKUP($B237,T$109:$AG$208,T$107,FALSE),"")</f>
        <v/>
      </c>
      <c r="U237" s="2120" t="str">
        <f>IFERROR(VLOOKUP($B237,U$109:$AG$208,U$107,FALSE),"")</f>
        <v/>
      </c>
      <c r="V237" s="2120" t="str">
        <f>IFERROR(VLOOKUP($B237,V$109:$AG$208,V$107,FALSE),"")</f>
        <v/>
      </c>
      <c r="W237" s="2120" t="str">
        <f>IFERROR(VLOOKUP($B237,W$109:$AG$208,W$107,FALSE),"")</f>
        <v/>
      </c>
      <c r="X237" s="2120" t="str">
        <f>IFERROR(VLOOKUP($B237,X$109:$AG$208,X$107,FALSE),"")</f>
        <v/>
      </c>
      <c r="Y237" s="2120" t="str">
        <f>IFERROR(VLOOKUP($B237,Y$109:$AG$208,Y$107,FALSE),"")</f>
        <v/>
      </c>
      <c r="Z237" s="2120" t="str">
        <f>IFERROR(VLOOKUP($B237,Z$109:$AG$208,Z$107,FALSE),"")</f>
        <v/>
      </c>
      <c r="AA237" s="2120" t="str">
        <f>IFERROR(VLOOKUP($B237,AA$109:$AG$208,AA$107,FALSE),"")</f>
        <v/>
      </c>
      <c r="AB237" s="2120" t="str">
        <f>IFERROR(VLOOKUP($B237,AB$109:$AG$208,AB$107,FALSE),"")</f>
        <v/>
      </c>
      <c r="AC237" s="2120" t="str">
        <f>IFERROR(VLOOKUP($B237,AC$109:$AG$208,AC$107,FALSE),"")</f>
        <v/>
      </c>
      <c r="AD237" s="2120" t="str">
        <f>IFERROR(VLOOKUP($B237,AD$109:$AG$208,AD$107,FALSE),"")</f>
        <v>Coragen</v>
      </c>
      <c r="AE237" s="2120" t="str">
        <f>IFERROR(VLOOKUP($B237,AE$109:$AG$208,AE$107,FALSE),"")</f>
        <v/>
      </c>
      <c r="AF237" s="2120" t="str">
        <f>IFERROR(VLOOKUP($B237,AF$109:$AG$208,AF$107,FALSE),"")</f>
        <v/>
      </c>
    </row>
    <row r="238" spans="2:32">
      <c r="B238" s="2136">
        <f t="shared" si="20"/>
        <v>24</v>
      </c>
      <c r="F238" s="2120" t="str">
        <f>IFERROR(VLOOKUP($B238,F$109:$AG$208,F$107,FALSE),"")</f>
        <v>Prosaro</v>
      </c>
      <c r="G238" s="2120" t="str">
        <f>IFERROR(VLOOKUP($B238,G$109:$AG$208,G$107,FALSE),"")</f>
        <v/>
      </c>
      <c r="H238" s="2120" t="str">
        <f>IFERROR(VLOOKUP($B238,H$109:$AG$208,H$107,FALSE),"")</f>
        <v>Prosaro</v>
      </c>
      <c r="I238" s="2120" t="str">
        <f>IFERROR(VLOOKUP($B238,I$109:$AG$208,I$107,FALSE),"")</f>
        <v>Comet</v>
      </c>
      <c r="J238" s="2120" t="str">
        <f>IFERROR(VLOOKUP($B238,J$109:$AG$208,J$107,FALSE),"")</f>
        <v>Starane XL</v>
      </c>
      <c r="K238" s="2120" t="str">
        <f>IFERROR(VLOOKUP($B238,K$109:$AG$208,K$107,FALSE),"")</f>
        <v/>
      </c>
      <c r="L238" s="2120" t="str">
        <f>IFERROR(VLOOKUP($B238,L$109:$AG$208,L$107,FALSE),"")</f>
        <v/>
      </c>
      <c r="M238" s="2120" t="str">
        <f>IFERROR(VLOOKUP($B238,M$109:$AG$208,M$107,FALSE),"")</f>
        <v/>
      </c>
      <c r="N238" s="2120" t="str">
        <f>IFERROR(VLOOKUP($B238,N$109:$AG$208,N$107,FALSE),"")</f>
        <v/>
      </c>
      <c r="O238" s="2120" t="str">
        <f>IFERROR(VLOOKUP($B238,O$109:$AG$208,O$107,FALSE),"")</f>
        <v/>
      </c>
      <c r="P238" s="2120" t="str">
        <f>IFERROR(VLOOKUP($B238,P$109:$AG$208,P$107,FALSE),"")</f>
        <v/>
      </c>
      <c r="Q238" s="2120" t="str">
        <f>IFERROR(VLOOKUP($B238,Q$109:$AG$208,Q$107,FALSE),"")</f>
        <v/>
      </c>
      <c r="R238" s="2120" t="str">
        <f>IFERROR(VLOOKUP($B238,R$109:$AG$208,R$107,FALSE),"")</f>
        <v/>
      </c>
      <c r="S238" s="2120" t="str">
        <f>IFERROR(VLOOKUP($B238,S$109:$AG$208,S$107,FALSE),"")</f>
        <v/>
      </c>
      <c r="T238" s="2120" t="str">
        <f>IFERROR(VLOOKUP($B238,T$109:$AG$208,T$107,FALSE),"")</f>
        <v/>
      </c>
      <c r="U238" s="2120" t="str">
        <f>IFERROR(VLOOKUP($B238,U$109:$AG$208,U$107,FALSE),"")</f>
        <v/>
      </c>
      <c r="V238" s="2120" t="str">
        <f>IFERROR(VLOOKUP($B238,V$109:$AG$208,V$107,FALSE),"")</f>
        <v/>
      </c>
      <c r="W238" s="2120" t="str">
        <f>IFERROR(VLOOKUP($B238,W$109:$AG$208,W$107,FALSE),"")</f>
        <v/>
      </c>
      <c r="X238" s="2120" t="str">
        <f>IFERROR(VLOOKUP($B238,X$109:$AG$208,X$107,FALSE),"")</f>
        <v/>
      </c>
      <c r="Y238" s="2120" t="str">
        <f>IFERROR(VLOOKUP($B238,Y$109:$AG$208,Y$107,FALSE),"")</f>
        <v/>
      </c>
      <c r="Z238" s="2120" t="str">
        <f>IFERROR(VLOOKUP($B238,Z$109:$AG$208,Z$107,FALSE),"")</f>
        <v/>
      </c>
      <c r="AA238" s="2120" t="str">
        <f>IFERROR(VLOOKUP($B238,AA$109:$AG$208,AA$107,FALSE),"")</f>
        <v/>
      </c>
      <c r="AB238" s="2120" t="str">
        <f>IFERROR(VLOOKUP($B238,AB$109:$AG$208,AB$107,FALSE),"")</f>
        <v/>
      </c>
      <c r="AC238" s="2120" t="str">
        <f>IFERROR(VLOOKUP($B238,AC$109:$AG$208,AC$107,FALSE),"")</f>
        <v/>
      </c>
      <c r="AD238" s="2120" t="str">
        <f>IFERROR(VLOOKUP($B238,AD$109:$AG$208,AD$107,FALSE),"")</f>
        <v xml:space="preserve">Debut </v>
      </c>
      <c r="AE238" s="2120" t="str">
        <f>IFERROR(VLOOKUP($B238,AE$109:$AG$208,AE$107,FALSE),"")</f>
        <v/>
      </c>
      <c r="AF238" s="2120" t="str">
        <f>IFERROR(VLOOKUP($B238,AF$109:$AG$208,AF$107,FALSE),"")</f>
        <v/>
      </c>
    </row>
    <row r="239" spans="2:32">
      <c r="B239" s="2136">
        <f t="shared" si="20"/>
        <v>25</v>
      </c>
      <c r="F239" s="2120" t="str">
        <f>IFERROR(VLOOKUP($B239,F$109:$AG$208,F$107,FALSE),"")</f>
        <v>Revytrex</v>
      </c>
      <c r="G239" s="2120" t="str">
        <f>IFERROR(VLOOKUP($B239,G$109:$AG$208,G$107,FALSE),"")</f>
        <v/>
      </c>
      <c r="H239" s="2120" t="str">
        <f>IFERROR(VLOOKUP($B239,H$109:$AG$208,H$107,FALSE),"")</f>
        <v>Revytrex</v>
      </c>
      <c r="I239" s="2120" t="str">
        <f>IFERROR(VLOOKUP($B239,I$109:$AG$208,I$107,FALSE),"")</f>
        <v>Starane XL</v>
      </c>
      <c r="J239" s="2120" t="str">
        <f>IFERROR(VLOOKUP($B239,J$109:$AG$208,J$107,FALSE),"")</f>
        <v>Stomp Aqua</v>
      </c>
      <c r="K239" s="2120" t="str">
        <f>IFERROR(VLOOKUP($B239,K$109:$AG$208,K$107,FALSE),"")</f>
        <v/>
      </c>
      <c r="L239" s="2120" t="str">
        <f>IFERROR(VLOOKUP($B239,L$109:$AG$208,L$107,FALSE),"")</f>
        <v/>
      </c>
      <c r="M239" s="2120" t="str">
        <f>IFERROR(VLOOKUP($B239,M$109:$AG$208,M$107,FALSE),"")</f>
        <v/>
      </c>
      <c r="N239" s="2120" t="str">
        <f>IFERROR(VLOOKUP($B239,N$109:$AG$208,N$107,FALSE),"")</f>
        <v/>
      </c>
      <c r="O239" s="2120" t="str">
        <f>IFERROR(VLOOKUP($B239,O$109:$AG$208,O$107,FALSE),"")</f>
        <v/>
      </c>
      <c r="P239" s="2120" t="str">
        <f>IFERROR(VLOOKUP($B239,P$109:$AG$208,P$107,FALSE),"")</f>
        <v/>
      </c>
      <c r="Q239" s="2120" t="str">
        <f>IFERROR(VLOOKUP($B239,Q$109:$AG$208,Q$107,FALSE),"")</f>
        <v/>
      </c>
      <c r="R239" s="2120" t="str">
        <f>IFERROR(VLOOKUP($B239,R$109:$AG$208,R$107,FALSE),"")</f>
        <v/>
      </c>
      <c r="S239" s="2120" t="str">
        <f>IFERROR(VLOOKUP($B239,S$109:$AG$208,S$107,FALSE),"")</f>
        <v/>
      </c>
      <c r="T239" s="2120" t="str">
        <f>IFERROR(VLOOKUP($B239,T$109:$AG$208,T$107,FALSE),"")</f>
        <v/>
      </c>
      <c r="U239" s="2120" t="str">
        <f>IFERROR(VLOOKUP($B239,U$109:$AG$208,U$107,FALSE),"")</f>
        <v/>
      </c>
      <c r="V239" s="2120" t="str">
        <f>IFERROR(VLOOKUP($B239,V$109:$AG$208,V$107,FALSE),"")</f>
        <v/>
      </c>
      <c r="W239" s="2120" t="str">
        <f>IFERROR(VLOOKUP($B239,W$109:$AG$208,W$107,FALSE),"")</f>
        <v/>
      </c>
      <c r="X239" s="2120" t="str">
        <f>IFERROR(VLOOKUP($B239,X$109:$AG$208,X$107,FALSE),"")</f>
        <v/>
      </c>
      <c r="Y239" s="2120" t="str">
        <f>IFERROR(VLOOKUP($B239,Y$109:$AG$208,Y$107,FALSE),"")</f>
        <v/>
      </c>
      <c r="Z239" s="2120" t="str">
        <f>IFERROR(VLOOKUP($B239,Z$109:$AG$208,Z$107,FALSE),"")</f>
        <v/>
      </c>
      <c r="AA239" s="2120" t="str">
        <f>IFERROR(VLOOKUP($B239,AA$109:$AG$208,AA$107,FALSE),"")</f>
        <v/>
      </c>
      <c r="AB239" s="2120" t="str">
        <f>IFERROR(VLOOKUP($B239,AB$109:$AG$208,AB$107,FALSE),"")</f>
        <v/>
      </c>
      <c r="AC239" s="2120" t="str">
        <f>IFERROR(VLOOKUP($B239,AC$109:$AG$208,AC$107,FALSE),"")</f>
        <v/>
      </c>
      <c r="AD239" s="2120" t="str">
        <f>IFERROR(VLOOKUP($B239,AD$109:$AG$208,AD$107,FALSE),"")</f>
        <v>Effigo</v>
      </c>
      <c r="AE239" s="2120" t="str">
        <f>IFERROR(VLOOKUP($B239,AE$109:$AG$208,AE$107,FALSE),"")</f>
        <v/>
      </c>
      <c r="AF239" s="2120" t="str">
        <f>IFERROR(VLOOKUP($B239,AF$109:$AG$208,AF$107,FALSE),"")</f>
        <v/>
      </c>
    </row>
    <row r="240" spans="2:32">
      <c r="B240" s="2136">
        <f t="shared" si="20"/>
        <v>26</v>
      </c>
      <c r="F240" s="2120" t="str">
        <f>IFERROR(VLOOKUP($B240,F$109:$AG$208,F$107,FALSE),"")</f>
        <v>Comet</v>
      </c>
      <c r="G240" s="2120" t="str">
        <f>IFERROR(VLOOKUP($B240,G$109:$AG$208,G$107,FALSE),"")</f>
        <v/>
      </c>
      <c r="H240" s="2120" t="str">
        <f>IFERROR(VLOOKUP($B240,H$109:$AG$208,H$107,FALSE),"")</f>
        <v>Comet</v>
      </c>
      <c r="I240" s="2120" t="str">
        <f>IFERROR(VLOOKUP($B240,I$109:$AG$208,I$107,FALSE),"")</f>
        <v>Stomp Aqua</v>
      </c>
      <c r="J240" s="2120" t="str">
        <f>IFERROR(VLOOKUP($B240,J$109:$AG$208,J$107,FALSE),"")</f>
        <v>Zypar</v>
      </c>
      <c r="K240" s="2120" t="str">
        <f>IFERROR(VLOOKUP($B240,K$109:$AG$208,K$107,FALSE),"")</f>
        <v/>
      </c>
      <c r="L240" s="2120" t="str">
        <f>IFERROR(VLOOKUP($B240,L$109:$AG$208,L$107,FALSE),"")</f>
        <v/>
      </c>
      <c r="M240" s="2120" t="str">
        <f>IFERROR(VLOOKUP($B240,M$109:$AG$208,M$107,FALSE),"")</f>
        <v/>
      </c>
      <c r="N240" s="2120" t="str">
        <f>IFERROR(VLOOKUP($B240,N$109:$AG$208,N$107,FALSE),"")</f>
        <v/>
      </c>
      <c r="O240" s="2120" t="str">
        <f>IFERROR(VLOOKUP($B240,O$109:$AG$208,O$107,FALSE),"")</f>
        <v/>
      </c>
      <c r="P240" s="2120" t="str">
        <f>IFERROR(VLOOKUP($B240,P$109:$AG$208,P$107,FALSE),"")</f>
        <v/>
      </c>
      <c r="Q240" s="2120" t="str">
        <f>IFERROR(VLOOKUP($B240,Q$109:$AG$208,Q$107,FALSE),"")</f>
        <v/>
      </c>
      <c r="R240" s="2120" t="str">
        <f>IFERROR(VLOOKUP($B240,R$109:$AG$208,R$107,FALSE),"")</f>
        <v/>
      </c>
      <c r="S240" s="2120" t="str">
        <f>IFERROR(VLOOKUP($B240,S$109:$AG$208,S$107,FALSE),"")</f>
        <v/>
      </c>
      <c r="T240" s="2120" t="str">
        <f>IFERROR(VLOOKUP($B240,T$109:$AG$208,T$107,FALSE),"")</f>
        <v/>
      </c>
      <c r="U240" s="2120" t="str">
        <f>IFERROR(VLOOKUP($B240,U$109:$AG$208,U$107,FALSE),"")</f>
        <v/>
      </c>
      <c r="V240" s="2120" t="str">
        <f>IFERROR(VLOOKUP($B240,V$109:$AG$208,V$107,FALSE),"")</f>
        <v/>
      </c>
      <c r="W240" s="2120" t="str">
        <f>IFERROR(VLOOKUP($B240,W$109:$AG$208,W$107,FALSE),"")</f>
        <v/>
      </c>
      <c r="X240" s="2120" t="str">
        <f>IFERROR(VLOOKUP($B240,X$109:$AG$208,X$107,FALSE),"")</f>
        <v/>
      </c>
      <c r="Y240" s="2120" t="str">
        <f>IFERROR(VLOOKUP($B240,Y$109:$AG$208,Y$107,FALSE),"")</f>
        <v/>
      </c>
      <c r="Z240" s="2120" t="str">
        <f>IFERROR(VLOOKUP($B240,Z$109:$AG$208,Z$107,FALSE),"")</f>
        <v/>
      </c>
      <c r="AA240" s="2120" t="str">
        <f>IFERROR(VLOOKUP($B240,AA$109:$AG$208,AA$107,FALSE),"")</f>
        <v/>
      </c>
      <c r="AB240" s="2120" t="str">
        <f>IFERROR(VLOOKUP($B240,AB$109:$AG$208,AB$107,FALSE),"")</f>
        <v/>
      </c>
      <c r="AC240" s="2120" t="str">
        <f>IFERROR(VLOOKUP($B240,AC$109:$AG$208,AC$107,FALSE),"")</f>
        <v/>
      </c>
      <c r="AD240" s="2120" t="str">
        <f>IFERROR(VLOOKUP($B240,AD$109:$AG$208,AD$107,FALSE),"")</f>
        <v>Elatus Era</v>
      </c>
      <c r="AE240" s="2120" t="str">
        <f>IFERROR(VLOOKUP($B240,AE$109:$AG$208,AE$107,FALSE),"")</f>
        <v/>
      </c>
      <c r="AF240" s="2120" t="str">
        <f>IFERROR(VLOOKUP($B240,AF$109:$AG$208,AF$107,FALSE),"")</f>
        <v/>
      </c>
    </row>
    <row r="241" spans="2:32">
      <c r="B241" s="2136">
        <f t="shared" si="20"/>
        <v>27</v>
      </c>
      <c r="F241" s="2120" t="str">
        <f>IFERROR(VLOOKUP($B241,F$109:$AG$208,F$107,FALSE),"")</f>
        <v>Starane XL</v>
      </c>
      <c r="G241" s="2120" t="str">
        <f>IFERROR(VLOOKUP($B241,G$109:$AG$208,G$107,FALSE),"")</f>
        <v/>
      </c>
      <c r="H241" s="2120" t="str">
        <f>IFERROR(VLOOKUP($B241,H$109:$AG$208,H$107,FALSE),"")</f>
        <v>Starane XL</v>
      </c>
      <c r="I241" s="2120" t="str">
        <f>IFERROR(VLOOKUP($B241,I$109:$AG$208,I$107,FALSE),"")</f>
        <v>Traxos</v>
      </c>
      <c r="J241" s="2120" t="str">
        <f>IFERROR(VLOOKUP($B241,J$109:$AG$208,J$107,FALSE),"")</f>
        <v/>
      </c>
      <c r="K241" s="2120" t="str">
        <f>IFERROR(VLOOKUP($B241,K$109:$AG$208,K$107,FALSE),"")</f>
        <v/>
      </c>
      <c r="L241" s="2120" t="str">
        <f>IFERROR(VLOOKUP($B241,L$109:$AG$208,L$107,FALSE),"")</f>
        <v/>
      </c>
      <c r="M241" s="2120" t="str">
        <f>IFERROR(VLOOKUP($B241,M$109:$AG$208,M$107,FALSE),"")</f>
        <v/>
      </c>
      <c r="N241" s="2120" t="str">
        <f>IFERROR(VLOOKUP($B241,N$109:$AG$208,N$107,FALSE),"")</f>
        <v/>
      </c>
      <c r="O241" s="2120" t="str">
        <f>IFERROR(VLOOKUP($B241,O$109:$AG$208,O$107,FALSE),"")</f>
        <v/>
      </c>
      <c r="P241" s="2120" t="str">
        <f>IFERROR(VLOOKUP($B241,P$109:$AG$208,P$107,FALSE),"")</f>
        <v/>
      </c>
      <c r="Q241" s="2120" t="str">
        <f>IFERROR(VLOOKUP($B241,Q$109:$AG$208,Q$107,FALSE),"")</f>
        <v/>
      </c>
      <c r="R241" s="2120" t="str">
        <f>IFERROR(VLOOKUP($B241,R$109:$AG$208,R$107,FALSE),"")</f>
        <v/>
      </c>
      <c r="S241" s="2120" t="str">
        <f>IFERROR(VLOOKUP($B241,S$109:$AG$208,S$107,FALSE),"")</f>
        <v/>
      </c>
      <c r="T241" s="2120" t="str">
        <f>IFERROR(VLOOKUP($B241,T$109:$AG$208,T$107,FALSE),"")</f>
        <v/>
      </c>
      <c r="U241" s="2120" t="str">
        <f>IFERROR(VLOOKUP($B241,U$109:$AG$208,U$107,FALSE),"")</f>
        <v/>
      </c>
      <c r="V241" s="2120" t="str">
        <f>IFERROR(VLOOKUP($B241,V$109:$AG$208,V$107,FALSE),"")</f>
        <v/>
      </c>
      <c r="W241" s="2120" t="str">
        <f>IFERROR(VLOOKUP($B241,W$109:$AG$208,W$107,FALSE),"")</f>
        <v/>
      </c>
      <c r="X241" s="2120" t="str">
        <f>IFERROR(VLOOKUP($B241,X$109:$AG$208,X$107,FALSE),"")</f>
        <v/>
      </c>
      <c r="Y241" s="2120" t="str">
        <f>IFERROR(VLOOKUP($B241,Y$109:$AG$208,Y$107,FALSE),"")</f>
        <v/>
      </c>
      <c r="Z241" s="2120" t="str">
        <f>IFERROR(VLOOKUP($B241,Z$109:$AG$208,Z$107,FALSE),"")</f>
        <v/>
      </c>
      <c r="AA241" s="2120" t="str">
        <f>IFERROR(VLOOKUP($B241,AA$109:$AG$208,AA$107,FALSE),"")</f>
        <v/>
      </c>
      <c r="AB241" s="2120" t="str">
        <f>IFERROR(VLOOKUP($B241,AB$109:$AG$208,AB$107,FALSE),"")</f>
        <v/>
      </c>
      <c r="AC241" s="2120" t="str">
        <f>IFERROR(VLOOKUP($B241,AC$109:$AG$208,AC$107,FALSE),"")</f>
        <v/>
      </c>
      <c r="AD241" s="2120" t="str">
        <f>IFERROR(VLOOKUP($B241,AD$109:$AG$208,AD$107,FALSE),"")</f>
        <v>Elumis P Dual Pack, Dual Gold</v>
      </c>
      <c r="AE241" s="2120" t="str">
        <f>IFERROR(VLOOKUP($B241,AE$109:$AG$208,AE$107,FALSE),"")</f>
        <v/>
      </c>
      <c r="AF241" s="2120" t="str">
        <f>IFERROR(VLOOKUP($B241,AF$109:$AG$208,AF$107,FALSE),"")</f>
        <v/>
      </c>
    </row>
    <row r="242" spans="2:32">
      <c r="B242" s="2136">
        <f t="shared" si="20"/>
        <v>28</v>
      </c>
      <c r="F242" s="2120" t="str">
        <f>IFERROR(VLOOKUP($B242,F$109:$AG$208,F$107,FALSE),"")</f>
        <v>Stomp Aqua</v>
      </c>
      <c r="G242" s="2120" t="str">
        <f>IFERROR(VLOOKUP($B242,G$109:$AG$208,G$107,FALSE),"")</f>
        <v/>
      </c>
      <c r="H242" s="2120" t="str">
        <f>IFERROR(VLOOKUP($B242,H$109:$AG$208,H$107,FALSE),"")</f>
        <v>Stomp Aqua</v>
      </c>
      <c r="I242" s="2120" t="str">
        <f>IFERROR(VLOOKUP($B242,I$109:$AG$208,I$107,FALSE),"")</f>
        <v>Zypar</v>
      </c>
      <c r="J242" s="2120" t="str">
        <f>IFERROR(VLOOKUP($B242,J$109:$AG$208,J$107,FALSE),"")</f>
        <v/>
      </c>
      <c r="K242" s="2120" t="str">
        <f>IFERROR(VLOOKUP($B242,K$109:$AG$208,K$107,FALSE),"")</f>
        <v/>
      </c>
      <c r="L242" s="2120" t="str">
        <f>IFERROR(VLOOKUP($B242,L$109:$AG$208,L$107,FALSE),"")</f>
        <v/>
      </c>
      <c r="M242" s="2120" t="str">
        <f>IFERROR(VLOOKUP($B242,M$109:$AG$208,M$107,FALSE),"")</f>
        <v/>
      </c>
      <c r="N242" s="2120" t="str">
        <f>IFERROR(VLOOKUP($B242,N$109:$AG$208,N$107,FALSE),"")</f>
        <v/>
      </c>
      <c r="O242" s="2120" t="str">
        <f>IFERROR(VLOOKUP($B242,O$109:$AG$208,O$107,FALSE),"")</f>
        <v/>
      </c>
      <c r="P242" s="2120" t="str">
        <f>IFERROR(VLOOKUP($B242,P$109:$AG$208,P$107,FALSE),"")</f>
        <v/>
      </c>
      <c r="Q242" s="2120" t="str">
        <f>IFERROR(VLOOKUP($B242,Q$109:$AG$208,Q$107,FALSE),"")</f>
        <v/>
      </c>
      <c r="R242" s="2120" t="str">
        <f>IFERROR(VLOOKUP($B242,R$109:$AG$208,R$107,FALSE),"")</f>
        <v/>
      </c>
      <c r="S242" s="2120" t="str">
        <f>IFERROR(VLOOKUP($B242,S$109:$AG$208,S$107,FALSE),"")</f>
        <v/>
      </c>
      <c r="T242" s="2120" t="str">
        <f>IFERROR(VLOOKUP($B242,T$109:$AG$208,T$107,FALSE),"")</f>
        <v/>
      </c>
      <c r="U242" s="2120" t="str">
        <f>IFERROR(VLOOKUP($B242,U$109:$AG$208,U$107,FALSE),"")</f>
        <v/>
      </c>
      <c r="V242" s="2120" t="str">
        <f>IFERROR(VLOOKUP($B242,V$109:$AG$208,V$107,FALSE),"")</f>
        <v/>
      </c>
      <c r="W242" s="2120" t="str">
        <f>IFERROR(VLOOKUP($B242,W$109:$AG$208,W$107,FALSE),"")</f>
        <v/>
      </c>
      <c r="X242" s="2120" t="str">
        <f>IFERROR(VLOOKUP($B242,X$109:$AG$208,X$107,FALSE),"")</f>
        <v/>
      </c>
      <c r="Y242" s="2120" t="str">
        <f>IFERROR(VLOOKUP($B242,Y$109:$AG$208,Y$107,FALSE),"")</f>
        <v/>
      </c>
      <c r="Z242" s="2120" t="str">
        <f>IFERROR(VLOOKUP($B242,Z$109:$AG$208,Z$107,FALSE),"")</f>
        <v/>
      </c>
      <c r="AA242" s="2120" t="str">
        <f>IFERROR(VLOOKUP($B242,AA$109:$AG$208,AA$107,FALSE),"")</f>
        <v/>
      </c>
      <c r="AB242" s="2120" t="str">
        <f>IFERROR(VLOOKUP($B242,AB$109:$AG$208,AB$107,FALSE),"")</f>
        <v/>
      </c>
      <c r="AC242" s="2120" t="str">
        <f>IFERROR(VLOOKUP($B242,AC$109:$AG$208,AC$107,FALSE),"")</f>
        <v/>
      </c>
      <c r="AD242" s="2120" t="str">
        <f>IFERROR(VLOOKUP($B242,AD$109:$AG$208,AD$107,FALSE),"")</f>
        <v>Elumis P Dual Pack, Elumis</v>
      </c>
      <c r="AE242" s="2120" t="str">
        <f>IFERROR(VLOOKUP($B242,AE$109:$AG$208,AE$107,FALSE),"")</f>
        <v/>
      </c>
      <c r="AF242" s="2120" t="str">
        <f>IFERROR(VLOOKUP($B242,AF$109:$AG$208,AF$107,FALSE),"")</f>
        <v/>
      </c>
    </row>
    <row r="243" spans="2:32">
      <c r="B243" s="2136">
        <f t="shared" si="20"/>
        <v>29</v>
      </c>
      <c r="F243" s="2120" t="str">
        <f>IFERROR(VLOOKUP($B243,F$109:$AG$208,F$107,FALSE),"")</f>
        <v>Teppeki</v>
      </c>
      <c r="G243" s="2120" t="str">
        <f>IFERROR(VLOOKUP($B243,G$109:$AG$208,G$107,FALSE),"")</f>
        <v/>
      </c>
      <c r="H243" s="2120" t="str">
        <f>IFERROR(VLOOKUP($B243,H$109:$AG$208,H$107,FALSE),"")</f>
        <v>Traxos</v>
      </c>
      <c r="I243" s="2120" t="str">
        <f>IFERROR(VLOOKUP($B243,I$109:$AG$208,I$107,FALSE),"")</f>
        <v>Univoq</v>
      </c>
      <c r="J243" s="2120" t="str">
        <f>IFERROR(VLOOKUP($B243,J$109:$AG$208,J$107,FALSE),"")</f>
        <v/>
      </c>
      <c r="K243" s="2120" t="str">
        <f>IFERROR(VLOOKUP($B243,K$109:$AG$208,K$107,FALSE),"")</f>
        <v/>
      </c>
      <c r="L243" s="2120" t="str">
        <f>IFERROR(VLOOKUP($B243,L$109:$AG$208,L$107,FALSE),"")</f>
        <v/>
      </c>
      <c r="M243" s="2120" t="str">
        <f>IFERROR(VLOOKUP($B243,M$109:$AG$208,M$107,FALSE),"")</f>
        <v/>
      </c>
      <c r="N243" s="2120" t="str">
        <f>IFERROR(VLOOKUP($B243,N$109:$AG$208,N$107,FALSE),"")</f>
        <v/>
      </c>
      <c r="O243" s="2120" t="str">
        <f>IFERROR(VLOOKUP($B243,O$109:$AG$208,O$107,FALSE),"")</f>
        <v/>
      </c>
      <c r="P243" s="2120" t="str">
        <f>IFERROR(VLOOKUP($B243,P$109:$AG$208,P$107,FALSE),"")</f>
        <v/>
      </c>
      <c r="Q243" s="2120" t="str">
        <f>IFERROR(VLOOKUP($B243,Q$109:$AG$208,Q$107,FALSE),"")</f>
        <v/>
      </c>
      <c r="R243" s="2120" t="str">
        <f>IFERROR(VLOOKUP($B243,R$109:$AG$208,R$107,FALSE),"")</f>
        <v/>
      </c>
      <c r="S243" s="2120" t="str">
        <f>IFERROR(VLOOKUP($B243,S$109:$AG$208,S$107,FALSE),"")</f>
        <v/>
      </c>
      <c r="T243" s="2120" t="str">
        <f>IFERROR(VLOOKUP($B243,T$109:$AG$208,T$107,FALSE),"")</f>
        <v/>
      </c>
      <c r="U243" s="2120" t="str">
        <f>IFERROR(VLOOKUP($B243,U$109:$AG$208,U$107,FALSE),"")</f>
        <v/>
      </c>
      <c r="V243" s="2120" t="str">
        <f>IFERROR(VLOOKUP($B243,V$109:$AG$208,V$107,FALSE),"")</f>
        <v/>
      </c>
      <c r="W243" s="2120" t="str">
        <f>IFERROR(VLOOKUP($B243,W$109:$AG$208,W$107,FALSE),"")</f>
        <v/>
      </c>
      <c r="X243" s="2120" t="str">
        <f>IFERROR(VLOOKUP($B243,X$109:$AG$208,X$107,FALSE),"")</f>
        <v/>
      </c>
      <c r="Y243" s="2120" t="str">
        <f>IFERROR(VLOOKUP($B243,Y$109:$AG$208,Y$107,FALSE),"")</f>
        <v/>
      </c>
      <c r="Z243" s="2120" t="str">
        <f>IFERROR(VLOOKUP($B243,Z$109:$AG$208,Z$107,FALSE),"")</f>
        <v/>
      </c>
      <c r="AA243" s="2120" t="str">
        <f>IFERROR(VLOOKUP($B243,AA$109:$AG$208,AA$107,FALSE),"")</f>
        <v/>
      </c>
      <c r="AB243" s="2120" t="str">
        <f>IFERROR(VLOOKUP($B243,AB$109:$AG$208,AB$107,FALSE),"")</f>
        <v/>
      </c>
      <c r="AC243" s="2120" t="str">
        <f>IFERROR(VLOOKUP($B243,AC$109:$AG$208,AC$107,FALSE),"")</f>
        <v/>
      </c>
      <c r="AD243" s="2120" t="str">
        <f>IFERROR(VLOOKUP($B243,AD$109:$AG$208,AD$107,FALSE),"")</f>
        <v>Elumis P Dual Pack, Peak</v>
      </c>
      <c r="AE243" s="2120" t="str">
        <f>IFERROR(VLOOKUP($B243,AE$109:$AG$208,AE$107,FALSE),"")</f>
        <v/>
      </c>
      <c r="AF243" s="2120" t="str">
        <f>IFERROR(VLOOKUP($B243,AF$109:$AG$208,AF$107,FALSE),"")</f>
        <v/>
      </c>
    </row>
    <row r="244" spans="2:32">
      <c r="B244" s="2136">
        <f t="shared" si="20"/>
        <v>30</v>
      </c>
      <c r="F244" s="2120" t="str">
        <f>IFERROR(VLOOKUP($B244,F$109:$AG$208,F$107,FALSE),"")</f>
        <v>Traxos</v>
      </c>
      <c r="G244" s="2120" t="str">
        <f>IFERROR(VLOOKUP($B244,G$109:$AG$208,G$107,FALSE),"")</f>
        <v/>
      </c>
      <c r="H244" s="2120" t="str">
        <f>IFERROR(VLOOKUP($B244,H$109:$AG$208,H$107,FALSE),"")</f>
        <v>Zypar</v>
      </c>
      <c r="I244" s="2120" t="str">
        <f>IFERROR(VLOOKUP($B244,I$109:$AG$208,I$107,FALSE),"")</f>
        <v/>
      </c>
      <c r="J244" s="2120" t="str">
        <f>IFERROR(VLOOKUP($B244,J$109:$AG$208,J$107,FALSE),"")</f>
        <v/>
      </c>
      <c r="K244" s="2120" t="str">
        <f>IFERROR(VLOOKUP($B244,K$109:$AG$208,K$107,FALSE),"")</f>
        <v/>
      </c>
      <c r="L244" s="2120" t="str">
        <f>IFERROR(VLOOKUP($B244,L$109:$AG$208,L$107,FALSE),"")</f>
        <v/>
      </c>
      <c r="M244" s="2120" t="str">
        <f>IFERROR(VLOOKUP($B244,M$109:$AG$208,M$107,FALSE),"")</f>
        <v/>
      </c>
      <c r="N244" s="2120" t="str">
        <f>IFERROR(VLOOKUP($B244,N$109:$AG$208,N$107,FALSE),"")</f>
        <v/>
      </c>
      <c r="O244" s="2120" t="str">
        <f>IFERROR(VLOOKUP($B244,O$109:$AG$208,O$107,FALSE),"")</f>
        <v/>
      </c>
      <c r="P244" s="2120" t="str">
        <f>IFERROR(VLOOKUP($B244,P$109:$AG$208,P$107,FALSE),"")</f>
        <v/>
      </c>
      <c r="Q244" s="2120" t="str">
        <f>IFERROR(VLOOKUP($B244,Q$109:$AG$208,Q$107,FALSE),"")</f>
        <v/>
      </c>
      <c r="R244" s="2120" t="str">
        <f>IFERROR(VLOOKUP($B244,R$109:$AG$208,R$107,FALSE),"")</f>
        <v/>
      </c>
      <c r="S244" s="2120" t="str">
        <f>IFERROR(VLOOKUP($B244,S$109:$AG$208,S$107,FALSE),"")</f>
        <v/>
      </c>
      <c r="T244" s="2120" t="str">
        <f>IFERROR(VLOOKUP($B244,T$109:$AG$208,T$107,FALSE),"")</f>
        <v/>
      </c>
      <c r="U244" s="2120" t="str">
        <f>IFERROR(VLOOKUP($B244,U$109:$AG$208,U$107,FALSE),"")</f>
        <v/>
      </c>
      <c r="V244" s="2120" t="str">
        <f>IFERROR(VLOOKUP($B244,V$109:$AG$208,V$107,FALSE),"")</f>
        <v/>
      </c>
      <c r="W244" s="2120" t="str">
        <f>IFERROR(VLOOKUP($B244,W$109:$AG$208,W$107,FALSE),"")</f>
        <v/>
      </c>
      <c r="X244" s="2120" t="str">
        <f>IFERROR(VLOOKUP($B244,X$109:$AG$208,X$107,FALSE),"")</f>
        <v/>
      </c>
      <c r="Y244" s="2120" t="str">
        <f>IFERROR(VLOOKUP($B244,Y$109:$AG$208,Y$107,FALSE),"")</f>
        <v/>
      </c>
      <c r="Z244" s="2120" t="str">
        <f>IFERROR(VLOOKUP($B244,Z$109:$AG$208,Z$107,FALSE),"")</f>
        <v/>
      </c>
      <c r="AA244" s="2120" t="str">
        <f>IFERROR(VLOOKUP($B244,AA$109:$AG$208,AA$107,FALSE),"")</f>
        <v/>
      </c>
      <c r="AB244" s="2120" t="str">
        <f>IFERROR(VLOOKUP($B244,AB$109:$AG$208,AB$107,FALSE),"")</f>
        <v/>
      </c>
      <c r="AC244" s="2120" t="str">
        <f>IFERROR(VLOOKUP($B244,AC$109:$AG$208,AC$107,FALSE),"")</f>
        <v/>
      </c>
      <c r="AD244" s="2120" t="str">
        <f>IFERROR(VLOOKUP($B244,AD$109:$AG$208,AD$107,FALSE),"")</f>
        <v>Fandango</v>
      </c>
      <c r="AE244" s="2120" t="str">
        <f>IFERROR(VLOOKUP($B244,AE$109:$AG$208,AE$107,FALSE),"")</f>
        <v/>
      </c>
      <c r="AF244" s="2120" t="str">
        <f>IFERROR(VLOOKUP($B244,AF$109:$AG$208,AF$107,FALSE),"")</f>
        <v/>
      </c>
    </row>
    <row r="245" spans="2:32">
      <c r="B245" s="2136">
        <f t="shared" si="20"/>
        <v>31</v>
      </c>
      <c r="F245" s="2120" t="str">
        <f>IFERROR(VLOOKUP($B245,F$109:$AG$208,F$107,FALSE),"")</f>
        <v>Zypar</v>
      </c>
      <c r="G245" s="2120" t="str">
        <f>IFERROR(VLOOKUP($B245,G$109:$AG$208,G$107,FALSE),"")</f>
        <v/>
      </c>
      <c r="H245" s="2120" t="str">
        <f>IFERROR(VLOOKUP($B245,H$109:$AG$208,H$107,FALSE),"")</f>
        <v>Univoq</v>
      </c>
      <c r="I245" s="2120" t="str">
        <f>IFERROR(VLOOKUP($B245,I$109:$AG$208,I$107,FALSE),"")</f>
        <v/>
      </c>
      <c r="J245" s="2120" t="str">
        <f>IFERROR(VLOOKUP($B245,J$109:$AG$208,J$107,FALSE),"")</f>
        <v/>
      </c>
      <c r="K245" s="2120" t="str">
        <f>IFERROR(VLOOKUP($B245,K$109:$AG$208,K$107,FALSE),"")</f>
        <v/>
      </c>
      <c r="L245" s="2120" t="str">
        <f>IFERROR(VLOOKUP($B245,L$109:$AG$208,L$107,FALSE),"")</f>
        <v/>
      </c>
      <c r="M245" s="2120" t="str">
        <f>IFERROR(VLOOKUP($B245,M$109:$AG$208,M$107,FALSE),"")</f>
        <v/>
      </c>
      <c r="N245" s="2120" t="str">
        <f>IFERROR(VLOOKUP($B245,N$109:$AG$208,N$107,FALSE),"")</f>
        <v/>
      </c>
      <c r="O245" s="2120" t="str">
        <f>IFERROR(VLOOKUP($B245,O$109:$AG$208,O$107,FALSE),"")</f>
        <v/>
      </c>
      <c r="P245" s="2120" t="str">
        <f>IFERROR(VLOOKUP($B245,P$109:$AG$208,P$107,FALSE),"")</f>
        <v/>
      </c>
      <c r="Q245" s="2120" t="str">
        <f>IFERROR(VLOOKUP($B245,Q$109:$AG$208,Q$107,FALSE),"")</f>
        <v/>
      </c>
      <c r="R245" s="2120" t="str">
        <f>IFERROR(VLOOKUP($B245,R$109:$AG$208,R$107,FALSE),"")</f>
        <v/>
      </c>
      <c r="S245" s="2120" t="str">
        <f>IFERROR(VLOOKUP($B245,S$109:$AG$208,S$107,FALSE),"")</f>
        <v/>
      </c>
      <c r="T245" s="2120" t="str">
        <f>IFERROR(VLOOKUP($B245,T$109:$AG$208,T$107,FALSE),"")</f>
        <v/>
      </c>
      <c r="U245" s="2120" t="str">
        <f>IFERROR(VLOOKUP($B245,U$109:$AG$208,U$107,FALSE),"")</f>
        <v/>
      </c>
      <c r="V245" s="2120" t="str">
        <f>IFERROR(VLOOKUP($B245,V$109:$AG$208,V$107,FALSE),"")</f>
        <v/>
      </c>
      <c r="W245" s="2120" t="str">
        <f>IFERROR(VLOOKUP($B245,W$109:$AG$208,W$107,FALSE),"")</f>
        <v/>
      </c>
      <c r="X245" s="2120" t="str">
        <f>IFERROR(VLOOKUP($B245,X$109:$AG$208,X$107,FALSE),"")</f>
        <v/>
      </c>
      <c r="Y245" s="2120" t="str">
        <f>IFERROR(VLOOKUP($B245,Y$109:$AG$208,Y$107,FALSE),"")</f>
        <v/>
      </c>
      <c r="Z245" s="2120" t="str">
        <f>IFERROR(VLOOKUP($B245,Z$109:$AG$208,Z$107,FALSE),"")</f>
        <v/>
      </c>
      <c r="AA245" s="2120" t="str">
        <f>IFERROR(VLOOKUP($B245,AA$109:$AG$208,AA$107,FALSE),"")</f>
        <v/>
      </c>
      <c r="AB245" s="2120" t="str">
        <f>IFERROR(VLOOKUP($B245,AB$109:$AG$208,AB$107,FALSE),"")</f>
        <v/>
      </c>
      <c r="AC245" s="2120" t="str">
        <f>IFERROR(VLOOKUP($B245,AC$109:$AG$208,AC$107,FALSE),"")</f>
        <v/>
      </c>
      <c r="AD245" s="2120" t="str">
        <f>IFERROR(VLOOKUP($B245,AD$109:$AG$208,AD$107,FALSE),"")</f>
        <v>Focus Aktiv Pack, Focus Ultra</v>
      </c>
      <c r="AE245" s="2120" t="str">
        <f>IFERROR(VLOOKUP($B245,AE$109:$AG$208,AE$107,FALSE),"")</f>
        <v/>
      </c>
      <c r="AF245" s="2120" t="str">
        <f>IFERROR(VLOOKUP($B245,AF$109:$AG$208,AF$107,FALSE),"")</f>
        <v/>
      </c>
    </row>
    <row r="246" spans="2:32">
      <c r="B246" s="2136">
        <f t="shared" si="20"/>
        <v>32</v>
      </c>
      <c r="F246" s="2120" t="str">
        <f>IFERROR(VLOOKUP($B246,F$109:$AG$208,F$107,FALSE),"")</f>
        <v>Univoq</v>
      </c>
      <c r="G246" s="2120" t="str">
        <f>IFERROR(VLOOKUP($B246,G$109:$AG$208,G$107,FALSE),"")</f>
        <v/>
      </c>
      <c r="H246" s="2120" t="str">
        <f>IFERROR(VLOOKUP($B246,H$109:$AG$208,H$107,FALSE),"")</f>
        <v/>
      </c>
      <c r="I246" s="2120" t="str">
        <f>IFERROR(VLOOKUP($B246,I$109:$AG$208,I$107,FALSE),"")</f>
        <v/>
      </c>
      <c r="J246" s="2120" t="str">
        <f>IFERROR(VLOOKUP($B246,J$109:$AG$208,J$107,FALSE),"")</f>
        <v/>
      </c>
      <c r="K246" s="2120" t="str">
        <f>IFERROR(VLOOKUP($B246,K$109:$AG$208,K$107,FALSE),"")</f>
        <v/>
      </c>
      <c r="L246" s="2120" t="str">
        <f>IFERROR(VLOOKUP($B246,L$109:$AG$208,L$107,FALSE),"")</f>
        <v/>
      </c>
      <c r="M246" s="2120" t="str">
        <f>IFERROR(VLOOKUP($B246,M$109:$AG$208,M$107,FALSE),"")</f>
        <v/>
      </c>
      <c r="N246" s="2120" t="str">
        <f>IFERROR(VLOOKUP($B246,N$109:$AG$208,N$107,FALSE),"")</f>
        <v/>
      </c>
      <c r="O246" s="2120" t="str">
        <f>IFERROR(VLOOKUP($B246,O$109:$AG$208,O$107,FALSE),"")</f>
        <v/>
      </c>
      <c r="P246" s="2120" t="str">
        <f>IFERROR(VLOOKUP($B246,P$109:$AG$208,P$107,FALSE),"")</f>
        <v/>
      </c>
      <c r="Q246" s="2120" t="str">
        <f>IFERROR(VLOOKUP($B246,Q$109:$AG$208,Q$107,FALSE),"")</f>
        <v/>
      </c>
      <c r="R246" s="2120" t="str">
        <f>IFERROR(VLOOKUP($B246,R$109:$AG$208,R$107,FALSE),"")</f>
        <v/>
      </c>
      <c r="S246" s="2120" t="str">
        <f>IFERROR(VLOOKUP($B246,S$109:$AG$208,S$107,FALSE),"")</f>
        <v/>
      </c>
      <c r="T246" s="2120" t="str">
        <f>IFERROR(VLOOKUP($B246,T$109:$AG$208,T$107,FALSE),"")</f>
        <v/>
      </c>
      <c r="U246" s="2120" t="str">
        <f>IFERROR(VLOOKUP($B246,U$109:$AG$208,U$107,FALSE),"")</f>
        <v/>
      </c>
      <c r="V246" s="2120" t="str">
        <f>IFERROR(VLOOKUP($B246,V$109:$AG$208,V$107,FALSE),"")</f>
        <v/>
      </c>
      <c r="W246" s="2120" t="str">
        <f>IFERROR(VLOOKUP($B246,W$109:$AG$208,W$107,FALSE),"")</f>
        <v/>
      </c>
      <c r="X246" s="2120" t="str">
        <f>IFERROR(VLOOKUP($B246,X$109:$AG$208,X$107,FALSE),"")</f>
        <v/>
      </c>
      <c r="Y246" s="2120" t="str">
        <f>IFERROR(VLOOKUP($B246,Y$109:$AG$208,Y$107,FALSE),"")</f>
        <v/>
      </c>
      <c r="Z246" s="2120" t="str">
        <f>IFERROR(VLOOKUP($B246,Z$109:$AG$208,Z$107,FALSE),"")</f>
        <v/>
      </c>
      <c r="AA246" s="2120" t="str">
        <f>IFERROR(VLOOKUP($B246,AA$109:$AG$208,AA$107,FALSE),"")</f>
        <v/>
      </c>
      <c r="AB246" s="2120" t="str">
        <f>IFERROR(VLOOKUP($B246,AB$109:$AG$208,AB$107,FALSE),"")</f>
        <v/>
      </c>
      <c r="AC246" s="2120" t="str">
        <f>IFERROR(VLOOKUP($B246,AC$109:$AG$208,AC$107,FALSE),"")</f>
        <v/>
      </c>
      <c r="AD246" s="2120" t="str">
        <f>IFERROR(VLOOKUP($B246,AD$109:$AG$208,AD$107,FALSE),"")</f>
        <v>Folicur</v>
      </c>
      <c r="AE246" s="2120" t="str">
        <f>IFERROR(VLOOKUP($B246,AE$109:$AG$208,AE$107,FALSE),"")</f>
        <v/>
      </c>
      <c r="AF246" s="2120" t="str">
        <f>IFERROR(VLOOKUP($B246,AF$109:$AG$208,AF$107,FALSE),"")</f>
        <v/>
      </c>
    </row>
    <row r="247" spans="2:32">
      <c r="B247" s="2136">
        <f t="shared" si="20"/>
        <v>33</v>
      </c>
      <c r="F247" s="2120" t="str">
        <f>IFERROR(VLOOKUP($B247,F$109:$AG$208,F$107,FALSE),"")</f>
        <v/>
      </c>
      <c r="G247" s="2120" t="str">
        <f>IFERROR(VLOOKUP($B247,G$109:$AG$208,G$107,FALSE),"")</f>
        <v/>
      </c>
      <c r="H247" s="2120" t="str">
        <f>IFERROR(VLOOKUP($B247,H$109:$AG$208,H$107,FALSE),"")</f>
        <v/>
      </c>
      <c r="I247" s="2120" t="str">
        <f>IFERROR(VLOOKUP($B247,I$109:$AG$208,I$107,FALSE),"")</f>
        <v/>
      </c>
      <c r="J247" s="2120" t="str">
        <f>IFERROR(VLOOKUP($B247,J$109:$AG$208,J$107,FALSE),"")</f>
        <v/>
      </c>
      <c r="K247" s="2120" t="str">
        <f>IFERROR(VLOOKUP($B247,K$109:$AG$208,K$107,FALSE),"")</f>
        <v/>
      </c>
      <c r="L247" s="2120" t="str">
        <f>IFERROR(VLOOKUP($B247,L$109:$AG$208,L$107,FALSE),"")</f>
        <v/>
      </c>
      <c r="M247" s="2120" t="str">
        <f>IFERROR(VLOOKUP($B247,M$109:$AG$208,M$107,FALSE),"")</f>
        <v/>
      </c>
      <c r="N247" s="2120" t="str">
        <f>IFERROR(VLOOKUP($B247,N$109:$AG$208,N$107,FALSE),"")</f>
        <v/>
      </c>
      <c r="O247" s="2120" t="str">
        <f>IFERROR(VLOOKUP($B247,O$109:$AG$208,O$107,FALSE),"")</f>
        <v/>
      </c>
      <c r="P247" s="2120" t="str">
        <f>IFERROR(VLOOKUP($B247,P$109:$AG$208,P$107,FALSE),"")</f>
        <v/>
      </c>
      <c r="Q247" s="2120" t="str">
        <f>IFERROR(VLOOKUP($B247,Q$109:$AG$208,Q$107,FALSE),"")</f>
        <v/>
      </c>
      <c r="R247" s="2120" t="str">
        <f>IFERROR(VLOOKUP($B247,R$109:$AG$208,R$107,FALSE),"")</f>
        <v/>
      </c>
      <c r="S247" s="2120" t="str">
        <f>IFERROR(VLOOKUP($B247,S$109:$AG$208,S$107,FALSE),"")</f>
        <v/>
      </c>
      <c r="T247" s="2120" t="str">
        <f>IFERROR(VLOOKUP($B247,T$109:$AG$208,T$107,FALSE),"")</f>
        <v/>
      </c>
      <c r="U247" s="2120" t="str">
        <f>IFERROR(VLOOKUP($B247,U$109:$AG$208,U$107,FALSE),"")</f>
        <v/>
      </c>
      <c r="V247" s="2120" t="str">
        <f>IFERROR(VLOOKUP($B247,V$109:$AG$208,V$107,FALSE),"")</f>
        <v/>
      </c>
      <c r="W247" s="2120" t="str">
        <f>IFERROR(VLOOKUP($B247,W$109:$AG$208,W$107,FALSE),"")</f>
        <v/>
      </c>
      <c r="X247" s="2120" t="str">
        <f>IFERROR(VLOOKUP($B247,X$109:$AG$208,X$107,FALSE),"")</f>
        <v/>
      </c>
      <c r="Y247" s="2120" t="str">
        <f>IFERROR(VLOOKUP($B247,Y$109:$AG$208,Y$107,FALSE),"")</f>
        <v/>
      </c>
      <c r="Z247" s="2120" t="str">
        <f>IFERROR(VLOOKUP($B247,Z$109:$AG$208,Z$107,FALSE),"")</f>
        <v/>
      </c>
      <c r="AA247" s="2120" t="str">
        <f>IFERROR(VLOOKUP($B247,AA$109:$AG$208,AA$107,FALSE),"")</f>
        <v/>
      </c>
      <c r="AB247" s="2120" t="str">
        <f>IFERROR(VLOOKUP($B247,AB$109:$AG$208,AB$107,FALSE),"")</f>
        <v/>
      </c>
      <c r="AC247" s="2120" t="str">
        <f>IFERROR(VLOOKUP($B247,AC$109:$AG$208,AC$107,FALSE),"")</f>
        <v/>
      </c>
      <c r="AD247" s="2120" t="str">
        <f>IFERROR(VLOOKUP($B247,AD$109:$AG$208,AD$107,FALSE),"")</f>
        <v>Fusilade MAX</v>
      </c>
      <c r="AE247" s="2120" t="str">
        <f>IFERROR(VLOOKUP($B247,AE$109:$AG$208,AE$107,FALSE),"")</f>
        <v/>
      </c>
      <c r="AF247" s="2120" t="str">
        <f>IFERROR(VLOOKUP($B247,AF$109:$AG$208,AF$107,FALSE),"")</f>
        <v/>
      </c>
    </row>
    <row r="248" spans="2:32">
      <c r="B248" s="2136">
        <f t="shared" si="20"/>
        <v>34</v>
      </c>
      <c r="F248" s="2120" t="str">
        <f>IFERROR(VLOOKUP($B248,F$109:$AG$208,F$107,FALSE),"")</f>
        <v/>
      </c>
      <c r="G248" s="2120" t="str">
        <f>IFERROR(VLOOKUP($B248,G$109:$AG$208,G$107,FALSE),"")</f>
        <v/>
      </c>
      <c r="H248" s="2120" t="str">
        <f>IFERROR(VLOOKUP($B248,H$109:$AG$208,H$107,FALSE),"")</f>
        <v/>
      </c>
      <c r="I248" s="2120" t="str">
        <f>IFERROR(VLOOKUP($B248,I$109:$AG$208,I$107,FALSE),"")</f>
        <v/>
      </c>
      <c r="J248" s="2120" t="str">
        <f>IFERROR(VLOOKUP($B248,J$109:$AG$208,J$107,FALSE),"")</f>
        <v/>
      </c>
      <c r="K248" s="2120" t="str">
        <f>IFERROR(VLOOKUP($B248,K$109:$AG$208,K$107,FALSE),"")</f>
        <v/>
      </c>
      <c r="L248" s="2120" t="str">
        <f>IFERROR(VLOOKUP($B248,L$109:$AG$208,L$107,FALSE),"")</f>
        <v/>
      </c>
      <c r="M248" s="2120" t="str">
        <f>IFERROR(VLOOKUP($B248,M$109:$AG$208,M$107,FALSE),"")</f>
        <v/>
      </c>
      <c r="N248" s="2120" t="str">
        <f>IFERROR(VLOOKUP($B248,N$109:$AG$208,N$107,FALSE),"")</f>
        <v/>
      </c>
      <c r="O248" s="2120" t="str">
        <f>IFERROR(VLOOKUP($B248,O$109:$AG$208,O$107,FALSE),"")</f>
        <v/>
      </c>
      <c r="P248" s="2120" t="str">
        <f>IFERROR(VLOOKUP($B248,P$109:$AG$208,P$107,FALSE),"")</f>
        <v/>
      </c>
      <c r="Q248" s="2120" t="str">
        <f>IFERROR(VLOOKUP($B248,Q$109:$AG$208,Q$107,FALSE),"")</f>
        <v/>
      </c>
      <c r="R248" s="2120" t="str">
        <f>IFERROR(VLOOKUP($B248,R$109:$AG$208,R$107,FALSE),"")</f>
        <v/>
      </c>
      <c r="S248" s="2120" t="str">
        <f>IFERROR(VLOOKUP($B248,S$109:$AG$208,S$107,FALSE),"")</f>
        <v/>
      </c>
      <c r="T248" s="2120" t="str">
        <f>IFERROR(VLOOKUP($B248,T$109:$AG$208,T$107,FALSE),"")</f>
        <v/>
      </c>
      <c r="U248" s="2120" t="str">
        <f>IFERROR(VLOOKUP($B248,U$109:$AG$208,U$107,FALSE),"")</f>
        <v/>
      </c>
      <c r="V248" s="2120" t="str">
        <f>IFERROR(VLOOKUP($B248,V$109:$AG$208,V$107,FALSE),"")</f>
        <v/>
      </c>
      <c r="W248" s="2120" t="str">
        <f>IFERROR(VLOOKUP($B248,W$109:$AG$208,W$107,FALSE),"")</f>
        <v/>
      </c>
      <c r="X248" s="2120" t="str">
        <f>IFERROR(VLOOKUP($B248,X$109:$AG$208,X$107,FALSE),"")</f>
        <v/>
      </c>
      <c r="Y248" s="2120" t="str">
        <f>IFERROR(VLOOKUP($B248,Y$109:$AG$208,Y$107,FALSE),"")</f>
        <v/>
      </c>
      <c r="Z248" s="2120" t="str">
        <f>IFERROR(VLOOKUP($B248,Z$109:$AG$208,Z$107,FALSE),"")</f>
        <v/>
      </c>
      <c r="AA248" s="2120" t="str">
        <f>IFERROR(VLOOKUP($B248,AA$109:$AG$208,AA$107,FALSE),"")</f>
        <v/>
      </c>
      <c r="AB248" s="2120" t="str">
        <f>IFERROR(VLOOKUP($B248,AB$109:$AG$208,AB$107,FALSE),"")</f>
        <v/>
      </c>
      <c r="AC248" s="2120" t="str">
        <f>IFERROR(VLOOKUP($B248,AC$109:$AG$208,AC$107,FALSE),"")</f>
        <v/>
      </c>
      <c r="AD248" s="2120" t="str">
        <f>IFERROR(VLOOKUP($B248,AD$109:$AG$208,AD$107,FALSE),"")</f>
        <v>Goltix Gold</v>
      </c>
      <c r="AE248" s="2120" t="str">
        <f>IFERROR(VLOOKUP($B248,AE$109:$AG$208,AE$107,FALSE),"")</f>
        <v/>
      </c>
      <c r="AF248" s="2120" t="str">
        <f>IFERROR(VLOOKUP($B248,AF$109:$AG$208,AF$107,FALSE),"")</f>
        <v/>
      </c>
    </row>
    <row r="249" spans="2:32">
      <c r="B249" s="2136">
        <f t="shared" si="20"/>
        <v>35</v>
      </c>
      <c r="F249" s="2120" t="str">
        <f>IFERROR(VLOOKUP($B249,F$109:$AG$208,F$107,FALSE),"")</f>
        <v/>
      </c>
      <c r="G249" s="2120" t="str">
        <f>IFERROR(VLOOKUP($B249,G$109:$AG$208,G$107,FALSE),"")</f>
        <v/>
      </c>
      <c r="H249" s="2120" t="str">
        <f>IFERROR(VLOOKUP($B249,H$109:$AG$208,H$107,FALSE),"")</f>
        <v/>
      </c>
      <c r="I249" s="2120" t="str">
        <f>IFERROR(VLOOKUP($B249,I$109:$AG$208,I$107,FALSE),"")</f>
        <v/>
      </c>
      <c r="J249" s="2120" t="str">
        <f>IFERROR(VLOOKUP($B249,J$109:$AG$208,J$107,FALSE),"")</f>
        <v/>
      </c>
      <c r="K249" s="2120" t="str">
        <f>IFERROR(VLOOKUP($B249,K$109:$AG$208,K$107,FALSE),"")</f>
        <v/>
      </c>
      <c r="L249" s="2120" t="str">
        <f>IFERROR(VLOOKUP($B249,L$109:$AG$208,L$107,FALSE),"")</f>
        <v/>
      </c>
      <c r="M249" s="2120" t="str">
        <f>IFERROR(VLOOKUP($B249,M$109:$AG$208,M$107,FALSE),"")</f>
        <v/>
      </c>
      <c r="N249" s="2120" t="str">
        <f>IFERROR(VLOOKUP($B249,N$109:$AG$208,N$107,FALSE),"")</f>
        <v/>
      </c>
      <c r="O249" s="2120" t="str">
        <f>IFERROR(VLOOKUP($B249,O$109:$AG$208,O$107,FALSE),"")</f>
        <v/>
      </c>
      <c r="P249" s="2120" t="str">
        <f>IFERROR(VLOOKUP($B249,P$109:$AG$208,P$107,FALSE),"")</f>
        <v/>
      </c>
      <c r="Q249" s="2120" t="str">
        <f>IFERROR(VLOOKUP($B249,Q$109:$AG$208,Q$107,FALSE),"")</f>
        <v/>
      </c>
      <c r="R249" s="2120" t="str">
        <f>IFERROR(VLOOKUP($B249,R$109:$AG$208,R$107,FALSE),"")</f>
        <v/>
      </c>
      <c r="S249" s="2120" t="str">
        <f>IFERROR(VLOOKUP($B249,S$109:$AG$208,S$107,FALSE),"")</f>
        <v/>
      </c>
      <c r="T249" s="2120" t="str">
        <f>IFERROR(VLOOKUP($B249,T$109:$AG$208,T$107,FALSE),"")</f>
        <v/>
      </c>
      <c r="U249" s="2120" t="str">
        <f>IFERROR(VLOOKUP($B249,U$109:$AG$208,U$107,FALSE),"")</f>
        <v/>
      </c>
      <c r="V249" s="2120" t="str">
        <f>IFERROR(VLOOKUP($B249,V$109:$AG$208,V$107,FALSE),"")</f>
        <v/>
      </c>
      <c r="W249" s="2120" t="str">
        <f>IFERROR(VLOOKUP($B249,W$109:$AG$208,W$107,FALSE),"")</f>
        <v/>
      </c>
      <c r="X249" s="2120" t="str">
        <f>IFERROR(VLOOKUP($B249,X$109:$AG$208,X$107,FALSE),"")</f>
        <v/>
      </c>
      <c r="Y249" s="2120" t="str">
        <f>IFERROR(VLOOKUP($B249,Y$109:$AG$208,Y$107,FALSE),"")</f>
        <v/>
      </c>
      <c r="Z249" s="2120" t="str">
        <f>IFERROR(VLOOKUP($B249,Z$109:$AG$208,Z$107,FALSE),"")</f>
        <v/>
      </c>
      <c r="AA249" s="2120" t="str">
        <f>IFERROR(VLOOKUP($B249,AA$109:$AG$208,AA$107,FALSE),"")</f>
        <v/>
      </c>
      <c r="AB249" s="2120" t="str">
        <f>IFERROR(VLOOKUP($B249,AB$109:$AG$208,AB$107,FALSE),"")</f>
        <v/>
      </c>
      <c r="AC249" s="2120" t="str">
        <f>IFERROR(VLOOKUP($B249,AC$109:$AG$208,AC$107,FALSE),"")</f>
        <v/>
      </c>
      <c r="AD249" s="2120" t="str">
        <f>IFERROR(VLOOKUP($B249,AD$109:$AG$208,AD$107,FALSE),"")</f>
        <v>Goltix Titan</v>
      </c>
      <c r="AE249" s="2120" t="str">
        <f>IFERROR(VLOOKUP($B249,AE$109:$AG$208,AE$107,FALSE),"")</f>
        <v/>
      </c>
      <c r="AF249" s="2120" t="str">
        <f>IFERROR(VLOOKUP($B249,AF$109:$AG$208,AF$107,FALSE),"")</f>
        <v/>
      </c>
    </row>
    <row r="250" spans="2:32">
      <c r="B250" s="2136">
        <f t="shared" si="20"/>
        <v>36</v>
      </c>
      <c r="F250" s="2120" t="str">
        <f>IFERROR(VLOOKUP($B250,F$109:$AG$208,F$107,FALSE),"")</f>
        <v/>
      </c>
      <c r="G250" s="2120" t="str">
        <f>IFERROR(VLOOKUP($B250,G$109:$AG$208,G$107,FALSE),"")</f>
        <v/>
      </c>
      <c r="H250" s="2120" t="str">
        <f>IFERROR(VLOOKUP($B250,H$109:$AG$208,H$107,FALSE),"")</f>
        <v/>
      </c>
      <c r="I250" s="2120" t="str">
        <f>IFERROR(VLOOKUP($B250,I$109:$AG$208,I$107,FALSE),"")</f>
        <v/>
      </c>
      <c r="J250" s="2120" t="str">
        <f>IFERROR(VLOOKUP($B250,J$109:$AG$208,J$107,FALSE),"")</f>
        <v/>
      </c>
      <c r="K250" s="2120" t="str">
        <f>IFERROR(VLOOKUP($B250,K$109:$AG$208,K$107,FALSE),"")</f>
        <v/>
      </c>
      <c r="L250" s="2120" t="str">
        <f>IFERROR(VLOOKUP($B250,L$109:$AG$208,L$107,FALSE),"")</f>
        <v/>
      </c>
      <c r="M250" s="2120" t="str">
        <f>IFERROR(VLOOKUP($B250,M$109:$AG$208,M$107,FALSE),"")</f>
        <v/>
      </c>
      <c r="N250" s="2120" t="str">
        <f>IFERROR(VLOOKUP($B250,N$109:$AG$208,N$107,FALSE),"")</f>
        <v/>
      </c>
      <c r="O250" s="2120" t="str">
        <f>IFERROR(VLOOKUP($B250,O$109:$AG$208,O$107,FALSE),"")</f>
        <v/>
      </c>
      <c r="P250" s="2120" t="str">
        <f>IFERROR(VLOOKUP($B250,P$109:$AG$208,P$107,FALSE),"")</f>
        <v/>
      </c>
      <c r="Q250" s="2120" t="str">
        <f>IFERROR(VLOOKUP($B250,Q$109:$AG$208,Q$107,FALSE),"")</f>
        <v/>
      </c>
      <c r="R250" s="2120" t="str">
        <f>IFERROR(VLOOKUP($B250,R$109:$AG$208,R$107,FALSE),"")</f>
        <v/>
      </c>
      <c r="S250" s="2120" t="str">
        <f>IFERROR(VLOOKUP($B250,S$109:$AG$208,S$107,FALSE),"")</f>
        <v/>
      </c>
      <c r="T250" s="2120" t="str">
        <f>IFERROR(VLOOKUP($B250,T$109:$AG$208,T$107,FALSE),"")</f>
        <v/>
      </c>
      <c r="U250" s="2120" t="str">
        <f>IFERROR(VLOOKUP($B250,U$109:$AG$208,U$107,FALSE),"")</f>
        <v/>
      </c>
      <c r="V250" s="2120" t="str">
        <f>IFERROR(VLOOKUP($B250,V$109:$AG$208,V$107,FALSE),"")</f>
        <v/>
      </c>
      <c r="W250" s="2120" t="str">
        <f>IFERROR(VLOOKUP($B250,W$109:$AG$208,W$107,FALSE),"")</f>
        <v/>
      </c>
      <c r="X250" s="2120" t="str">
        <f>IFERROR(VLOOKUP($B250,X$109:$AG$208,X$107,FALSE),"")</f>
        <v/>
      </c>
      <c r="Y250" s="2120" t="str">
        <f>IFERROR(VLOOKUP($B250,Y$109:$AG$208,Y$107,FALSE),"")</f>
        <v/>
      </c>
      <c r="Z250" s="2120" t="str">
        <f>IFERROR(VLOOKUP($B250,Z$109:$AG$208,Z$107,FALSE),"")</f>
        <v/>
      </c>
      <c r="AA250" s="2120" t="str">
        <f>IFERROR(VLOOKUP($B250,AA$109:$AG$208,AA$107,FALSE),"")</f>
        <v/>
      </c>
      <c r="AB250" s="2120" t="str">
        <f>IFERROR(VLOOKUP($B250,AB$109:$AG$208,AB$107,FALSE),"")</f>
        <v/>
      </c>
      <c r="AC250" s="2120" t="str">
        <f>IFERROR(VLOOKUP($B250,AC$109:$AG$208,AC$107,FALSE),"")</f>
        <v/>
      </c>
      <c r="AD250" s="2120" t="str">
        <f>IFERROR(VLOOKUP($B250,AD$109:$AG$208,AD$107,FALSE),"")</f>
        <v xml:space="preserve">Harmony SX </v>
      </c>
      <c r="AE250" s="2120" t="str">
        <f>IFERROR(VLOOKUP($B250,AE$109:$AG$208,AE$107,FALSE),"")</f>
        <v/>
      </c>
      <c r="AF250" s="2120" t="str">
        <f>IFERROR(VLOOKUP($B250,AF$109:$AG$208,AF$107,FALSE),"")</f>
        <v/>
      </c>
    </row>
    <row r="251" spans="2:32">
      <c r="B251" s="2136">
        <f t="shared" si="20"/>
        <v>37</v>
      </c>
      <c r="F251" s="2120" t="str">
        <f>IFERROR(VLOOKUP($B251,F$109:$AG$208,F$107,FALSE),"")</f>
        <v/>
      </c>
      <c r="G251" s="2120" t="str">
        <f>IFERROR(VLOOKUP($B251,G$109:$AG$208,G$107,FALSE),"")</f>
        <v/>
      </c>
      <c r="H251" s="2120" t="str">
        <f>IFERROR(VLOOKUP($B251,H$109:$AG$208,H$107,FALSE),"")</f>
        <v/>
      </c>
      <c r="I251" s="2120" t="str">
        <f>IFERROR(VLOOKUP($B251,I$109:$AG$208,I$107,FALSE),"")</f>
        <v/>
      </c>
      <c r="J251" s="2120" t="str">
        <f>IFERROR(VLOOKUP($B251,J$109:$AG$208,J$107,FALSE),"")</f>
        <v/>
      </c>
      <c r="K251" s="2120" t="str">
        <f>IFERROR(VLOOKUP($B251,K$109:$AG$208,K$107,FALSE),"")</f>
        <v/>
      </c>
      <c r="L251" s="2120" t="str">
        <f>IFERROR(VLOOKUP($B251,L$109:$AG$208,L$107,FALSE),"")</f>
        <v/>
      </c>
      <c r="M251" s="2120" t="str">
        <f>IFERROR(VLOOKUP($B251,M$109:$AG$208,M$107,FALSE),"")</f>
        <v/>
      </c>
      <c r="N251" s="2120" t="str">
        <f>IFERROR(VLOOKUP($B251,N$109:$AG$208,N$107,FALSE),"")</f>
        <v/>
      </c>
      <c r="O251" s="2120" t="str">
        <f>IFERROR(VLOOKUP($B251,O$109:$AG$208,O$107,FALSE),"")</f>
        <v/>
      </c>
      <c r="P251" s="2120" t="str">
        <f>IFERROR(VLOOKUP($B251,P$109:$AG$208,P$107,FALSE),"")</f>
        <v/>
      </c>
      <c r="Q251" s="2120" t="str">
        <f>IFERROR(VLOOKUP($B251,Q$109:$AG$208,Q$107,FALSE),"")</f>
        <v/>
      </c>
      <c r="R251" s="2120" t="str">
        <f>IFERROR(VLOOKUP($B251,R$109:$AG$208,R$107,FALSE),"")</f>
        <v/>
      </c>
      <c r="S251" s="2120" t="str">
        <f>IFERROR(VLOOKUP($B251,S$109:$AG$208,S$107,FALSE),"")</f>
        <v/>
      </c>
      <c r="T251" s="2120" t="str">
        <f>IFERROR(VLOOKUP($B251,T$109:$AG$208,T$107,FALSE),"")</f>
        <v/>
      </c>
      <c r="U251" s="2120" t="str">
        <f>IFERROR(VLOOKUP($B251,U$109:$AG$208,U$107,FALSE),"")</f>
        <v/>
      </c>
      <c r="V251" s="2120" t="str">
        <f>IFERROR(VLOOKUP($B251,V$109:$AG$208,V$107,FALSE),"")</f>
        <v/>
      </c>
      <c r="W251" s="2120" t="str">
        <f>IFERROR(VLOOKUP($B251,W$109:$AG$208,W$107,FALSE),"")</f>
        <v/>
      </c>
      <c r="X251" s="2120" t="str">
        <f>IFERROR(VLOOKUP($B251,X$109:$AG$208,X$107,FALSE),"")</f>
        <v/>
      </c>
      <c r="Y251" s="2120" t="str">
        <f>IFERROR(VLOOKUP($B251,Y$109:$AG$208,Y$107,FALSE),"")</f>
        <v/>
      </c>
      <c r="Z251" s="2120" t="str">
        <f>IFERROR(VLOOKUP($B251,Z$109:$AG$208,Z$107,FALSE),"")</f>
        <v/>
      </c>
      <c r="AA251" s="2120" t="str">
        <f>IFERROR(VLOOKUP($B251,AA$109:$AG$208,AA$107,FALSE),"")</f>
        <v/>
      </c>
      <c r="AB251" s="2120" t="str">
        <f>IFERROR(VLOOKUP($B251,AB$109:$AG$208,AB$107,FALSE),"")</f>
        <v/>
      </c>
      <c r="AC251" s="2120" t="str">
        <f>IFERROR(VLOOKUP($B251,AC$109:$AG$208,AC$107,FALSE),"")</f>
        <v/>
      </c>
      <c r="AD251" s="2120" t="str">
        <f>IFERROR(VLOOKUP($B251,AD$109:$AG$208,AD$107,FALSE),"")</f>
        <v>Herold SC</v>
      </c>
      <c r="AE251" s="2120" t="str">
        <f>IFERROR(VLOOKUP($B251,AE$109:$AG$208,AE$107,FALSE),"")</f>
        <v/>
      </c>
      <c r="AF251" s="2120" t="str">
        <f>IFERROR(VLOOKUP($B251,AF$109:$AG$208,AF$107,FALSE),"")</f>
        <v/>
      </c>
    </row>
    <row r="252" spans="2:32">
      <c r="B252" s="2136">
        <f t="shared" si="20"/>
        <v>38</v>
      </c>
      <c r="F252" s="2120" t="str">
        <f>IFERROR(VLOOKUP($B252,F$109:$AG$208,F$107,FALSE),"")</f>
        <v/>
      </c>
      <c r="G252" s="2120" t="str">
        <f>IFERROR(VLOOKUP($B252,G$109:$AG$208,G$107,FALSE),"")</f>
        <v/>
      </c>
      <c r="H252" s="2120" t="str">
        <f>IFERROR(VLOOKUP($B252,H$109:$AG$208,H$107,FALSE),"")</f>
        <v/>
      </c>
      <c r="I252" s="2120" t="str">
        <f>IFERROR(VLOOKUP($B252,I$109:$AG$208,I$107,FALSE),"")</f>
        <v/>
      </c>
      <c r="J252" s="2120" t="str">
        <f>IFERROR(VLOOKUP($B252,J$109:$AG$208,J$107,FALSE),"")</f>
        <v/>
      </c>
      <c r="K252" s="2120" t="str">
        <f>IFERROR(VLOOKUP($B252,K$109:$AG$208,K$107,FALSE),"")</f>
        <v/>
      </c>
      <c r="L252" s="2120" t="str">
        <f>IFERROR(VLOOKUP($B252,L$109:$AG$208,L$107,FALSE),"")</f>
        <v/>
      </c>
      <c r="M252" s="2120" t="str">
        <f>IFERROR(VLOOKUP($B252,M$109:$AG$208,M$107,FALSE),"")</f>
        <v/>
      </c>
      <c r="N252" s="2120" t="str">
        <f>IFERROR(VLOOKUP($B252,N$109:$AG$208,N$107,FALSE),"")</f>
        <v/>
      </c>
      <c r="O252" s="2120" t="str">
        <f>IFERROR(VLOOKUP($B252,O$109:$AG$208,O$107,FALSE),"")</f>
        <v/>
      </c>
      <c r="P252" s="2120" t="str">
        <f>IFERROR(VLOOKUP($B252,P$109:$AG$208,P$107,FALSE),"")</f>
        <v/>
      </c>
      <c r="Q252" s="2120" t="str">
        <f>IFERROR(VLOOKUP($B252,Q$109:$AG$208,Q$107,FALSE),"")</f>
        <v/>
      </c>
      <c r="R252" s="2120" t="str">
        <f>IFERROR(VLOOKUP($B252,R$109:$AG$208,R$107,FALSE),"")</f>
        <v/>
      </c>
      <c r="S252" s="2120" t="str">
        <f>IFERROR(VLOOKUP($B252,S$109:$AG$208,S$107,FALSE),"")</f>
        <v/>
      </c>
      <c r="T252" s="2120" t="str">
        <f>IFERROR(VLOOKUP($B252,T$109:$AG$208,T$107,FALSE),"")</f>
        <v/>
      </c>
      <c r="U252" s="2120" t="str">
        <f>IFERROR(VLOOKUP($B252,U$109:$AG$208,U$107,FALSE),"")</f>
        <v/>
      </c>
      <c r="V252" s="2120" t="str">
        <f>IFERROR(VLOOKUP($B252,V$109:$AG$208,V$107,FALSE),"")</f>
        <v/>
      </c>
      <c r="W252" s="2120" t="str">
        <f>IFERROR(VLOOKUP($B252,W$109:$AG$208,W$107,FALSE),"")</f>
        <v/>
      </c>
      <c r="X252" s="2120" t="str">
        <f>IFERROR(VLOOKUP($B252,X$109:$AG$208,X$107,FALSE),"")</f>
        <v/>
      </c>
      <c r="Y252" s="2120" t="str">
        <f>IFERROR(VLOOKUP($B252,Y$109:$AG$208,Y$107,FALSE),"")</f>
        <v/>
      </c>
      <c r="Z252" s="2120" t="str">
        <f>IFERROR(VLOOKUP($B252,Z$109:$AG$208,Z$107,FALSE),"")</f>
        <v/>
      </c>
      <c r="AA252" s="2120" t="str">
        <f>IFERROR(VLOOKUP($B252,AA$109:$AG$208,AA$107,FALSE),"")</f>
        <v/>
      </c>
      <c r="AB252" s="2120" t="str">
        <f>IFERROR(VLOOKUP($B252,AB$109:$AG$208,AB$107,FALSE),"")</f>
        <v/>
      </c>
      <c r="AC252" s="2120" t="str">
        <f>IFERROR(VLOOKUP($B252,AC$109:$AG$208,AC$107,FALSE),"")</f>
        <v/>
      </c>
      <c r="AD252" s="2120" t="str">
        <f>IFERROR(VLOOKUP($B252,AD$109:$AG$208,AD$107,FALSE),"")</f>
        <v>Hoestar Super</v>
      </c>
      <c r="AE252" s="2120" t="str">
        <f>IFERROR(VLOOKUP($B252,AE$109:$AG$208,AE$107,FALSE),"")</f>
        <v/>
      </c>
      <c r="AF252" s="2120" t="str">
        <f>IFERROR(VLOOKUP($B252,AF$109:$AG$208,AF$107,FALSE),"")</f>
        <v/>
      </c>
    </row>
    <row r="253" spans="2:32">
      <c r="B253" s="2136">
        <f t="shared" si="20"/>
        <v>39</v>
      </c>
      <c r="F253" s="2120" t="str">
        <f>IFERROR(VLOOKUP($B253,F$109:$AG$208,F$107,FALSE),"")</f>
        <v/>
      </c>
      <c r="G253" s="2120" t="str">
        <f>IFERROR(VLOOKUP($B253,G$109:$AG$208,G$107,FALSE),"")</f>
        <v/>
      </c>
      <c r="H253" s="2120" t="str">
        <f>IFERROR(VLOOKUP($B253,H$109:$AG$208,H$107,FALSE),"")</f>
        <v/>
      </c>
      <c r="I253" s="2120" t="str">
        <f>IFERROR(VLOOKUP($B253,I$109:$AG$208,I$107,FALSE),"")</f>
        <v/>
      </c>
      <c r="J253" s="2120" t="str">
        <f>IFERROR(VLOOKUP($B253,J$109:$AG$208,J$107,FALSE),"")</f>
        <v/>
      </c>
      <c r="K253" s="2120" t="str">
        <f>IFERROR(VLOOKUP($B253,K$109:$AG$208,K$107,FALSE),"")</f>
        <v/>
      </c>
      <c r="L253" s="2120" t="str">
        <f>IFERROR(VLOOKUP($B253,L$109:$AG$208,L$107,FALSE),"")</f>
        <v/>
      </c>
      <c r="M253" s="2120" t="str">
        <f>IFERROR(VLOOKUP($B253,M$109:$AG$208,M$107,FALSE),"")</f>
        <v/>
      </c>
      <c r="N253" s="2120" t="str">
        <f>IFERROR(VLOOKUP($B253,N$109:$AG$208,N$107,FALSE),"")</f>
        <v/>
      </c>
      <c r="O253" s="2120" t="str">
        <f>IFERROR(VLOOKUP($B253,O$109:$AG$208,O$107,FALSE),"")</f>
        <v/>
      </c>
      <c r="P253" s="2120" t="str">
        <f>IFERROR(VLOOKUP($B253,P$109:$AG$208,P$107,FALSE),"")</f>
        <v/>
      </c>
      <c r="Q253" s="2120" t="str">
        <f>IFERROR(VLOOKUP($B253,Q$109:$AG$208,Q$107,FALSE),"")</f>
        <v/>
      </c>
      <c r="R253" s="2120" t="str">
        <f>IFERROR(VLOOKUP($B253,R$109:$AG$208,R$107,FALSE),"")</f>
        <v/>
      </c>
      <c r="S253" s="2120" t="str">
        <f>IFERROR(VLOOKUP($B253,S$109:$AG$208,S$107,FALSE),"")</f>
        <v/>
      </c>
      <c r="T253" s="2120" t="str">
        <f>IFERROR(VLOOKUP($B253,T$109:$AG$208,T$107,FALSE),"")</f>
        <v/>
      </c>
      <c r="U253" s="2120" t="str">
        <f>IFERROR(VLOOKUP($B253,U$109:$AG$208,U$107,FALSE),"")</f>
        <v/>
      </c>
      <c r="V253" s="2120" t="str">
        <f>IFERROR(VLOOKUP($B253,V$109:$AG$208,V$107,FALSE),"")</f>
        <v/>
      </c>
      <c r="W253" s="2120" t="str">
        <f>IFERROR(VLOOKUP($B253,W$109:$AG$208,W$107,FALSE),"")</f>
        <v/>
      </c>
      <c r="X253" s="2120" t="str">
        <f>IFERROR(VLOOKUP($B253,X$109:$AG$208,X$107,FALSE),"")</f>
        <v/>
      </c>
      <c r="Y253" s="2120" t="str">
        <f>IFERROR(VLOOKUP($B253,Y$109:$AG$208,Y$107,FALSE),"")</f>
        <v/>
      </c>
      <c r="Z253" s="2120" t="str">
        <f>IFERROR(VLOOKUP($B253,Z$109:$AG$208,Z$107,FALSE),"")</f>
        <v/>
      </c>
      <c r="AA253" s="2120" t="str">
        <f>IFERROR(VLOOKUP($B253,AA$109:$AG$208,AA$107,FALSE),"")</f>
        <v/>
      </c>
      <c r="AB253" s="2120" t="str">
        <f>IFERROR(VLOOKUP($B253,AB$109:$AG$208,AB$107,FALSE),"")</f>
        <v/>
      </c>
      <c r="AC253" s="2120" t="str">
        <f>IFERROR(VLOOKUP($B253,AC$109:$AG$208,AC$107,FALSE),"")</f>
        <v/>
      </c>
      <c r="AD253" s="2120" t="str">
        <f>IFERROR(VLOOKUP($B253,AD$109:$AG$208,AD$107,FALSE),"")</f>
        <v>Infinito</v>
      </c>
      <c r="AE253" s="2120" t="str">
        <f>IFERROR(VLOOKUP($B253,AE$109:$AG$208,AE$107,FALSE),"")</f>
        <v/>
      </c>
      <c r="AF253" s="2120" t="str">
        <f>IFERROR(VLOOKUP($B253,AF$109:$AG$208,AF$107,FALSE),"")</f>
        <v/>
      </c>
    </row>
    <row r="254" spans="2:32">
      <c r="B254" s="2136">
        <f t="shared" si="20"/>
        <v>40</v>
      </c>
      <c r="F254" s="2120" t="str">
        <f>IFERROR(VLOOKUP($B254,F$109:$AG$208,F$107,FALSE),"")</f>
        <v/>
      </c>
      <c r="G254" s="2120" t="str">
        <f>IFERROR(VLOOKUP($B254,G$109:$AG$208,G$107,FALSE),"")</f>
        <v/>
      </c>
      <c r="H254" s="2120" t="str">
        <f>IFERROR(VLOOKUP($B254,H$109:$AG$208,H$107,FALSE),"")</f>
        <v/>
      </c>
      <c r="I254" s="2120" t="str">
        <f>IFERROR(VLOOKUP($B254,I$109:$AG$208,I$107,FALSE),"")</f>
        <v/>
      </c>
      <c r="J254" s="2120" t="str">
        <f>IFERROR(VLOOKUP($B254,J$109:$AG$208,J$107,FALSE),"")</f>
        <v/>
      </c>
      <c r="K254" s="2120" t="str">
        <f>IFERROR(VLOOKUP($B254,K$109:$AG$208,K$107,FALSE),"")</f>
        <v/>
      </c>
      <c r="L254" s="2120" t="str">
        <f>IFERROR(VLOOKUP($B254,L$109:$AG$208,L$107,FALSE),"")</f>
        <v/>
      </c>
      <c r="M254" s="2120" t="str">
        <f>IFERROR(VLOOKUP($B254,M$109:$AG$208,M$107,FALSE),"")</f>
        <v/>
      </c>
      <c r="N254" s="2120" t="str">
        <f>IFERROR(VLOOKUP($B254,N$109:$AG$208,N$107,FALSE),"")</f>
        <v/>
      </c>
      <c r="O254" s="2120" t="str">
        <f>IFERROR(VLOOKUP($B254,O$109:$AG$208,O$107,FALSE),"")</f>
        <v/>
      </c>
      <c r="P254" s="2120" t="str">
        <f>IFERROR(VLOOKUP($B254,P$109:$AG$208,P$107,FALSE),"")</f>
        <v/>
      </c>
      <c r="Q254" s="2120" t="str">
        <f>IFERROR(VLOOKUP($B254,Q$109:$AG$208,Q$107,FALSE),"")</f>
        <v/>
      </c>
      <c r="R254" s="2120" t="str">
        <f>IFERROR(VLOOKUP($B254,R$109:$AG$208,R$107,FALSE),"")</f>
        <v/>
      </c>
      <c r="S254" s="2120" t="str">
        <f>IFERROR(VLOOKUP($B254,S$109:$AG$208,S$107,FALSE),"")</f>
        <v/>
      </c>
      <c r="T254" s="2120" t="str">
        <f>IFERROR(VLOOKUP($B254,T$109:$AG$208,T$107,FALSE),"")</f>
        <v/>
      </c>
      <c r="U254" s="2120" t="str">
        <f>IFERROR(VLOOKUP($B254,U$109:$AG$208,U$107,FALSE),"")</f>
        <v/>
      </c>
      <c r="V254" s="2120" t="str">
        <f>IFERROR(VLOOKUP($B254,V$109:$AG$208,V$107,FALSE),"")</f>
        <v/>
      </c>
      <c r="W254" s="2120" t="str">
        <f>IFERROR(VLOOKUP($B254,W$109:$AG$208,W$107,FALSE),"")</f>
        <v/>
      </c>
      <c r="X254" s="2120" t="str">
        <f>IFERROR(VLOOKUP($B254,X$109:$AG$208,X$107,FALSE),"")</f>
        <v/>
      </c>
      <c r="Y254" s="2120" t="str">
        <f>IFERROR(VLOOKUP($B254,Y$109:$AG$208,Y$107,FALSE),"")</f>
        <v/>
      </c>
      <c r="Z254" s="2120" t="str">
        <f>IFERROR(VLOOKUP($B254,Z$109:$AG$208,Z$107,FALSE),"")</f>
        <v/>
      </c>
      <c r="AA254" s="2120" t="str">
        <f>IFERROR(VLOOKUP($B254,AA$109:$AG$208,AA$107,FALSE),"")</f>
        <v/>
      </c>
      <c r="AB254" s="2120" t="str">
        <f>IFERROR(VLOOKUP($B254,AB$109:$AG$208,AB$107,FALSE),"")</f>
        <v/>
      </c>
      <c r="AC254" s="2120" t="str">
        <f>IFERROR(VLOOKUP($B254,AC$109:$AG$208,AC$107,FALSE),"")</f>
        <v/>
      </c>
      <c r="AD254" s="2120" t="str">
        <f>IFERROR(VLOOKUP($B254,AD$109:$AG$208,AD$107,FALSE),"")</f>
        <v>Input Classic</v>
      </c>
      <c r="AE254" s="2120" t="str">
        <f>IFERROR(VLOOKUP($B254,AE$109:$AG$208,AE$107,FALSE),"")</f>
        <v/>
      </c>
      <c r="AF254" s="2120" t="str">
        <f>IFERROR(VLOOKUP($B254,AF$109:$AG$208,AF$107,FALSE),"")</f>
        <v/>
      </c>
    </row>
    <row r="255" spans="2:32">
      <c r="B255" s="2136">
        <f t="shared" si="20"/>
        <v>41</v>
      </c>
      <c r="F255" s="2120" t="str">
        <f>IFERROR(VLOOKUP($B255,F$109:$AG$208,F$107,FALSE),"")</f>
        <v/>
      </c>
      <c r="G255" s="2120" t="str">
        <f>IFERROR(VLOOKUP($B255,G$109:$AG$208,G$107,FALSE),"")</f>
        <v/>
      </c>
      <c r="H255" s="2120" t="str">
        <f>IFERROR(VLOOKUP($B255,H$109:$AG$208,H$107,FALSE),"")</f>
        <v/>
      </c>
      <c r="I255" s="2120" t="str">
        <f>IFERROR(VLOOKUP($B255,I$109:$AG$208,I$107,FALSE),"")</f>
        <v/>
      </c>
      <c r="J255" s="2120" t="str">
        <f>IFERROR(VLOOKUP($B255,J$109:$AG$208,J$107,FALSE),"")</f>
        <v/>
      </c>
      <c r="K255" s="2120" t="str">
        <f>IFERROR(VLOOKUP($B255,K$109:$AG$208,K$107,FALSE),"")</f>
        <v/>
      </c>
      <c r="L255" s="2120" t="str">
        <f>IFERROR(VLOOKUP($B255,L$109:$AG$208,L$107,FALSE),"")</f>
        <v/>
      </c>
      <c r="M255" s="2120" t="str">
        <f>IFERROR(VLOOKUP($B255,M$109:$AG$208,M$107,FALSE),"")</f>
        <v/>
      </c>
      <c r="N255" s="2120" t="str">
        <f>IFERROR(VLOOKUP($B255,N$109:$AG$208,N$107,FALSE),"")</f>
        <v/>
      </c>
      <c r="O255" s="2120" t="str">
        <f>IFERROR(VLOOKUP($B255,O$109:$AG$208,O$107,FALSE),"")</f>
        <v/>
      </c>
      <c r="P255" s="2120" t="str">
        <f>IFERROR(VLOOKUP($B255,P$109:$AG$208,P$107,FALSE),"")</f>
        <v/>
      </c>
      <c r="Q255" s="2120" t="str">
        <f>IFERROR(VLOOKUP($B255,Q$109:$AG$208,Q$107,FALSE),"")</f>
        <v/>
      </c>
      <c r="R255" s="2120" t="str">
        <f>IFERROR(VLOOKUP($B255,R$109:$AG$208,R$107,FALSE),"")</f>
        <v/>
      </c>
      <c r="S255" s="2120" t="str">
        <f>IFERROR(VLOOKUP($B255,S$109:$AG$208,S$107,FALSE),"")</f>
        <v/>
      </c>
      <c r="T255" s="2120" t="str">
        <f>IFERROR(VLOOKUP($B255,T$109:$AG$208,T$107,FALSE),"")</f>
        <v/>
      </c>
      <c r="U255" s="2120" t="str">
        <f>IFERROR(VLOOKUP($B255,U$109:$AG$208,U$107,FALSE),"")</f>
        <v/>
      </c>
      <c r="V255" s="2120" t="str">
        <f>IFERROR(VLOOKUP($B255,V$109:$AG$208,V$107,FALSE),"")</f>
        <v/>
      </c>
      <c r="W255" s="2120" t="str">
        <f>IFERROR(VLOOKUP($B255,W$109:$AG$208,W$107,FALSE),"")</f>
        <v/>
      </c>
      <c r="X255" s="2120" t="str">
        <f>IFERROR(VLOOKUP($B255,X$109:$AG$208,X$107,FALSE),"")</f>
        <v/>
      </c>
      <c r="Y255" s="2120" t="str">
        <f>IFERROR(VLOOKUP($B255,Y$109:$AG$208,Y$107,FALSE),"")</f>
        <v/>
      </c>
      <c r="Z255" s="2120" t="str">
        <f>IFERROR(VLOOKUP($B255,Z$109:$AG$208,Z$107,FALSE),"")</f>
        <v/>
      </c>
      <c r="AA255" s="2120" t="str">
        <f>IFERROR(VLOOKUP($B255,AA$109:$AG$208,AA$107,FALSE),"")</f>
        <v/>
      </c>
      <c r="AB255" s="2120" t="str">
        <f>IFERROR(VLOOKUP($B255,AB$109:$AG$208,AB$107,FALSE),"")</f>
        <v/>
      </c>
      <c r="AC255" s="2120" t="str">
        <f>IFERROR(VLOOKUP($B255,AC$109:$AG$208,AC$107,FALSE),"")</f>
        <v/>
      </c>
      <c r="AD255" s="2120" t="str">
        <f>IFERROR(VLOOKUP($B255,AD$109:$AG$208,AD$107,FALSE),"")</f>
        <v>Input Xpro</v>
      </c>
      <c r="AE255" s="2120" t="str">
        <f>IFERROR(VLOOKUP($B255,AE$109:$AG$208,AE$107,FALSE),"")</f>
        <v/>
      </c>
      <c r="AF255" s="2120" t="str">
        <f>IFERROR(VLOOKUP($B255,AF$109:$AG$208,AF$107,FALSE),"")</f>
        <v/>
      </c>
    </row>
    <row r="256" spans="2:32">
      <c r="B256" s="2136">
        <f t="shared" si="20"/>
        <v>42</v>
      </c>
      <c r="F256" s="2120" t="str">
        <f>IFERROR(VLOOKUP($B256,F$109:$AG$208,F$107,FALSE),"")</f>
        <v/>
      </c>
      <c r="G256" s="2120" t="str">
        <f>IFERROR(VLOOKUP($B256,G$109:$AG$208,G$107,FALSE),"")</f>
        <v/>
      </c>
      <c r="H256" s="2120" t="str">
        <f>IFERROR(VLOOKUP($B256,H$109:$AG$208,H$107,FALSE),"")</f>
        <v/>
      </c>
      <c r="I256" s="2120" t="str">
        <f>IFERROR(VLOOKUP($B256,I$109:$AG$208,I$107,FALSE),"")</f>
        <v/>
      </c>
      <c r="J256" s="2120" t="str">
        <f>IFERROR(VLOOKUP($B256,J$109:$AG$208,J$107,FALSE),"")</f>
        <v/>
      </c>
      <c r="K256" s="2120" t="str">
        <f>IFERROR(VLOOKUP($B256,K$109:$AG$208,K$107,FALSE),"")</f>
        <v/>
      </c>
      <c r="L256" s="2120" t="str">
        <f>IFERROR(VLOOKUP($B256,L$109:$AG$208,L$107,FALSE),"")</f>
        <v/>
      </c>
      <c r="M256" s="2120" t="str">
        <f>IFERROR(VLOOKUP($B256,M$109:$AG$208,M$107,FALSE),"")</f>
        <v/>
      </c>
      <c r="N256" s="2120" t="str">
        <f>IFERROR(VLOOKUP($B256,N$109:$AG$208,N$107,FALSE),"")</f>
        <v/>
      </c>
      <c r="O256" s="2120" t="str">
        <f>IFERROR(VLOOKUP($B256,O$109:$AG$208,O$107,FALSE),"")</f>
        <v/>
      </c>
      <c r="P256" s="2120" t="str">
        <f>IFERROR(VLOOKUP($B256,P$109:$AG$208,P$107,FALSE),"")</f>
        <v/>
      </c>
      <c r="Q256" s="2120" t="str">
        <f>IFERROR(VLOOKUP($B256,Q$109:$AG$208,Q$107,FALSE),"")</f>
        <v/>
      </c>
      <c r="R256" s="2120" t="str">
        <f>IFERROR(VLOOKUP($B256,R$109:$AG$208,R$107,FALSE),"")</f>
        <v/>
      </c>
      <c r="S256" s="2120" t="str">
        <f>IFERROR(VLOOKUP($B256,S$109:$AG$208,S$107,FALSE),"")</f>
        <v/>
      </c>
      <c r="T256" s="2120" t="str">
        <f>IFERROR(VLOOKUP($B256,T$109:$AG$208,T$107,FALSE),"")</f>
        <v/>
      </c>
      <c r="U256" s="2120" t="str">
        <f>IFERROR(VLOOKUP($B256,U$109:$AG$208,U$107,FALSE),"")</f>
        <v/>
      </c>
      <c r="V256" s="2120" t="str">
        <f>IFERROR(VLOOKUP($B256,V$109:$AG$208,V$107,FALSE),"")</f>
        <v/>
      </c>
      <c r="W256" s="2120" t="str">
        <f>IFERROR(VLOOKUP($B256,W$109:$AG$208,W$107,FALSE),"")</f>
        <v/>
      </c>
      <c r="X256" s="2120" t="str">
        <f>IFERROR(VLOOKUP($B256,X$109:$AG$208,X$107,FALSE),"")</f>
        <v/>
      </c>
      <c r="Y256" s="2120" t="str">
        <f>IFERROR(VLOOKUP($B256,Y$109:$AG$208,Y$107,FALSE),"")</f>
        <v/>
      </c>
      <c r="Z256" s="2120" t="str">
        <f>IFERROR(VLOOKUP($B256,Z$109:$AG$208,Z$107,FALSE),"")</f>
        <v/>
      </c>
      <c r="AA256" s="2120" t="str">
        <f>IFERROR(VLOOKUP($B256,AA$109:$AG$208,AA$107,FALSE),"")</f>
        <v/>
      </c>
      <c r="AB256" s="2120" t="str">
        <f>IFERROR(VLOOKUP($B256,AB$109:$AG$208,AB$107,FALSE),"")</f>
        <v/>
      </c>
      <c r="AC256" s="2120" t="str">
        <f>IFERROR(VLOOKUP($B256,AC$109:$AG$208,AC$107,FALSE),"")</f>
        <v/>
      </c>
      <c r="AD256" s="2120" t="str">
        <f>IFERROR(VLOOKUP($B256,AD$109:$AG$208,AD$107,FALSE),"")</f>
        <v>Metafol SC</v>
      </c>
      <c r="AE256" s="2120" t="str">
        <f>IFERROR(VLOOKUP($B256,AE$109:$AG$208,AE$107,FALSE),"")</f>
        <v/>
      </c>
      <c r="AF256" s="2120" t="str">
        <f>IFERROR(VLOOKUP($B256,AF$109:$AG$208,AF$107,FALSE),"")</f>
        <v/>
      </c>
    </row>
    <row r="257" spans="2:32">
      <c r="B257" s="2136">
        <f t="shared" si="20"/>
        <v>43</v>
      </c>
      <c r="F257" s="2120" t="str">
        <f>IFERROR(VLOOKUP($B257,F$109:$AG$208,F$107,FALSE),"")</f>
        <v/>
      </c>
      <c r="G257" s="2120" t="str">
        <f>IFERROR(VLOOKUP($B257,G$109:$AG$208,G$107,FALSE),"")</f>
        <v/>
      </c>
      <c r="H257" s="2120" t="str">
        <f>IFERROR(VLOOKUP($B257,H$109:$AG$208,H$107,FALSE),"")</f>
        <v/>
      </c>
      <c r="I257" s="2120" t="str">
        <f>IFERROR(VLOOKUP($B257,I$109:$AG$208,I$107,FALSE),"")</f>
        <v/>
      </c>
      <c r="J257" s="2120" t="str">
        <f>IFERROR(VLOOKUP($B257,J$109:$AG$208,J$107,FALSE),"")</f>
        <v/>
      </c>
      <c r="K257" s="2120" t="str">
        <f>IFERROR(VLOOKUP($B257,K$109:$AG$208,K$107,FALSE),"")</f>
        <v/>
      </c>
      <c r="L257" s="2120" t="str">
        <f>IFERROR(VLOOKUP($B257,L$109:$AG$208,L$107,FALSE),"")</f>
        <v/>
      </c>
      <c r="M257" s="2120" t="str">
        <f>IFERROR(VLOOKUP($B257,M$109:$AG$208,M$107,FALSE),"")</f>
        <v/>
      </c>
      <c r="N257" s="2120" t="str">
        <f>IFERROR(VLOOKUP($B257,N$109:$AG$208,N$107,FALSE),"")</f>
        <v/>
      </c>
      <c r="O257" s="2120" t="str">
        <f>IFERROR(VLOOKUP($B257,O$109:$AG$208,O$107,FALSE),"")</f>
        <v/>
      </c>
      <c r="P257" s="2120" t="str">
        <f>IFERROR(VLOOKUP($B257,P$109:$AG$208,P$107,FALSE),"")</f>
        <v/>
      </c>
      <c r="Q257" s="2120" t="str">
        <f>IFERROR(VLOOKUP($B257,Q$109:$AG$208,Q$107,FALSE),"")</f>
        <v/>
      </c>
      <c r="R257" s="2120" t="str">
        <f>IFERROR(VLOOKUP($B257,R$109:$AG$208,R$107,FALSE),"")</f>
        <v/>
      </c>
      <c r="S257" s="2120" t="str">
        <f>IFERROR(VLOOKUP($B257,S$109:$AG$208,S$107,FALSE),"")</f>
        <v/>
      </c>
      <c r="T257" s="2120" t="str">
        <f>IFERROR(VLOOKUP($B257,T$109:$AG$208,T$107,FALSE),"")</f>
        <v/>
      </c>
      <c r="U257" s="2120" t="str">
        <f>IFERROR(VLOOKUP($B257,U$109:$AG$208,U$107,FALSE),"")</f>
        <v/>
      </c>
      <c r="V257" s="2120" t="str">
        <f>IFERROR(VLOOKUP($B257,V$109:$AG$208,V$107,FALSE),"")</f>
        <v/>
      </c>
      <c r="W257" s="2120" t="str">
        <f>IFERROR(VLOOKUP($B257,W$109:$AG$208,W$107,FALSE),"")</f>
        <v/>
      </c>
      <c r="X257" s="2120" t="str">
        <f>IFERROR(VLOOKUP($B257,X$109:$AG$208,X$107,FALSE),"")</f>
        <v/>
      </c>
      <c r="Y257" s="2120" t="str">
        <f>IFERROR(VLOOKUP($B257,Y$109:$AG$208,Y$107,FALSE),"")</f>
        <v/>
      </c>
      <c r="Z257" s="2120" t="str">
        <f>IFERROR(VLOOKUP($B257,Z$109:$AG$208,Z$107,FALSE),"")</f>
        <v/>
      </c>
      <c r="AA257" s="2120" t="str">
        <f>IFERROR(VLOOKUP($B257,AA$109:$AG$208,AA$107,FALSE),"")</f>
        <v/>
      </c>
      <c r="AB257" s="2120" t="str">
        <f>IFERROR(VLOOKUP($B257,AB$109:$AG$208,AB$107,FALSE),"")</f>
        <v/>
      </c>
      <c r="AC257" s="2120" t="str">
        <f>IFERROR(VLOOKUP($B257,AC$109:$AG$208,AC$107,FALSE),"")</f>
        <v/>
      </c>
      <c r="AD257" s="2120" t="str">
        <f>IFERROR(VLOOKUP($B257,AD$109:$AG$208,AD$107,FALSE),"")</f>
        <v>Karate Zeon</v>
      </c>
      <c r="AE257" s="2120" t="str">
        <f>IFERROR(VLOOKUP($B257,AE$109:$AG$208,AE$107,FALSE),"")</f>
        <v/>
      </c>
      <c r="AF257" s="2120" t="str">
        <f>IFERROR(VLOOKUP($B257,AF$109:$AG$208,AF$107,FALSE),"")</f>
        <v/>
      </c>
    </row>
    <row r="258" spans="2:32">
      <c r="B258" s="2136">
        <f t="shared" si="20"/>
        <v>44</v>
      </c>
      <c r="F258" s="2120" t="str">
        <f>IFERROR(VLOOKUP($B258,F$109:$AG$208,F$107,FALSE),"")</f>
        <v/>
      </c>
      <c r="G258" s="2120" t="str">
        <f>IFERROR(VLOOKUP($B258,G$109:$AG$208,G$107,FALSE),"")</f>
        <v/>
      </c>
      <c r="H258" s="2120" t="str">
        <f>IFERROR(VLOOKUP($B258,H$109:$AG$208,H$107,FALSE),"")</f>
        <v/>
      </c>
      <c r="I258" s="2120" t="str">
        <f>IFERROR(VLOOKUP($B258,I$109:$AG$208,I$107,FALSE),"")</f>
        <v/>
      </c>
      <c r="J258" s="2120" t="str">
        <f>IFERROR(VLOOKUP($B258,J$109:$AG$208,J$107,FALSE),"")</f>
        <v/>
      </c>
      <c r="K258" s="2120" t="str">
        <f>IFERROR(VLOOKUP($B258,K$109:$AG$208,K$107,FALSE),"")</f>
        <v/>
      </c>
      <c r="L258" s="2120" t="str">
        <f>IFERROR(VLOOKUP($B258,L$109:$AG$208,L$107,FALSE),"")</f>
        <v/>
      </c>
      <c r="M258" s="2120" t="str">
        <f>IFERROR(VLOOKUP($B258,M$109:$AG$208,M$107,FALSE),"")</f>
        <v/>
      </c>
      <c r="N258" s="2120" t="str">
        <f>IFERROR(VLOOKUP($B258,N$109:$AG$208,N$107,FALSE),"")</f>
        <v/>
      </c>
      <c r="O258" s="2120" t="str">
        <f>IFERROR(VLOOKUP($B258,O$109:$AG$208,O$107,FALSE),"")</f>
        <v/>
      </c>
      <c r="P258" s="2120" t="str">
        <f>IFERROR(VLOOKUP($B258,P$109:$AG$208,P$107,FALSE),"")</f>
        <v/>
      </c>
      <c r="Q258" s="2120" t="str">
        <f>IFERROR(VLOOKUP($B258,Q$109:$AG$208,Q$107,FALSE),"")</f>
        <v/>
      </c>
      <c r="R258" s="2120" t="str">
        <f>IFERROR(VLOOKUP($B258,R$109:$AG$208,R$107,FALSE),"")</f>
        <v/>
      </c>
      <c r="S258" s="2120" t="str">
        <f>IFERROR(VLOOKUP($B258,S$109:$AG$208,S$107,FALSE),"")</f>
        <v/>
      </c>
      <c r="T258" s="2120" t="str">
        <f>IFERROR(VLOOKUP($B258,T$109:$AG$208,T$107,FALSE),"")</f>
        <v/>
      </c>
      <c r="U258" s="2120" t="str">
        <f>IFERROR(VLOOKUP($B258,U$109:$AG$208,U$107,FALSE),"")</f>
        <v/>
      </c>
      <c r="V258" s="2120" t="str">
        <f>IFERROR(VLOOKUP($B258,V$109:$AG$208,V$107,FALSE),"")</f>
        <v/>
      </c>
      <c r="W258" s="2120" t="str">
        <f>IFERROR(VLOOKUP($B258,W$109:$AG$208,W$107,FALSE),"")</f>
        <v/>
      </c>
      <c r="X258" s="2120" t="str">
        <f>IFERROR(VLOOKUP($B258,X$109:$AG$208,X$107,FALSE),"")</f>
        <v/>
      </c>
      <c r="Y258" s="2120" t="str">
        <f>IFERROR(VLOOKUP($B258,Y$109:$AG$208,Y$107,FALSE),"")</f>
        <v/>
      </c>
      <c r="Z258" s="2120" t="str">
        <f>IFERROR(VLOOKUP($B258,Z$109:$AG$208,Z$107,FALSE),"")</f>
        <v/>
      </c>
      <c r="AA258" s="2120" t="str">
        <f>IFERROR(VLOOKUP($B258,AA$109:$AG$208,AA$107,FALSE),"")</f>
        <v/>
      </c>
      <c r="AB258" s="2120" t="str">
        <f>IFERROR(VLOOKUP($B258,AB$109:$AG$208,AB$107,FALSE),"")</f>
        <v/>
      </c>
      <c r="AC258" s="2120" t="str">
        <f>IFERROR(VLOOKUP($B258,AC$109:$AG$208,AC$107,FALSE),"")</f>
        <v/>
      </c>
      <c r="AD258" s="2120" t="str">
        <f>IFERROR(VLOOKUP($B258,AD$109:$AG$208,AD$107,FALSE),"")</f>
        <v>Mais Banvel WG</v>
      </c>
      <c r="AE258" s="2120" t="str">
        <f>IFERROR(VLOOKUP($B258,AE$109:$AG$208,AE$107,FALSE),"")</f>
        <v/>
      </c>
      <c r="AF258" s="2120" t="str">
        <f>IFERROR(VLOOKUP($B258,AF$109:$AG$208,AF$107,FALSE),"")</f>
        <v/>
      </c>
    </row>
    <row r="259" spans="2:32">
      <c r="B259" s="2136">
        <f t="shared" si="20"/>
        <v>45</v>
      </c>
      <c r="F259" s="2120" t="str">
        <f>IFERROR(VLOOKUP($B259,F$109:$AG$208,F$107,FALSE),"")</f>
        <v/>
      </c>
      <c r="G259" s="2120" t="str">
        <f>IFERROR(VLOOKUP($B259,G$109:$AG$208,G$107,FALSE),"")</f>
        <v/>
      </c>
      <c r="H259" s="2120" t="str">
        <f>IFERROR(VLOOKUP($B259,H$109:$AG$208,H$107,FALSE),"")</f>
        <v/>
      </c>
      <c r="I259" s="2120" t="str">
        <f>IFERROR(VLOOKUP($B259,I$109:$AG$208,I$107,FALSE),"")</f>
        <v/>
      </c>
      <c r="J259" s="2120" t="str">
        <f>IFERROR(VLOOKUP($B259,J$109:$AG$208,J$107,FALSE),"")</f>
        <v/>
      </c>
      <c r="K259" s="2120" t="str">
        <f>IFERROR(VLOOKUP($B259,K$109:$AG$208,K$107,FALSE),"")</f>
        <v/>
      </c>
      <c r="L259" s="2120" t="str">
        <f>IFERROR(VLOOKUP($B259,L$109:$AG$208,L$107,FALSE),"")</f>
        <v/>
      </c>
      <c r="M259" s="2120" t="str">
        <f>IFERROR(VLOOKUP($B259,M$109:$AG$208,M$107,FALSE),"")</f>
        <v/>
      </c>
      <c r="N259" s="2120" t="str">
        <f>IFERROR(VLOOKUP($B259,N$109:$AG$208,N$107,FALSE),"")</f>
        <v/>
      </c>
      <c r="O259" s="2120" t="str">
        <f>IFERROR(VLOOKUP($B259,O$109:$AG$208,O$107,FALSE),"")</f>
        <v/>
      </c>
      <c r="P259" s="2120" t="str">
        <f>IFERROR(VLOOKUP($B259,P$109:$AG$208,P$107,FALSE),"")</f>
        <v/>
      </c>
      <c r="Q259" s="2120" t="str">
        <f>IFERROR(VLOOKUP($B259,Q$109:$AG$208,Q$107,FALSE),"")</f>
        <v/>
      </c>
      <c r="R259" s="2120" t="str">
        <f>IFERROR(VLOOKUP($B259,R$109:$AG$208,R$107,FALSE),"")</f>
        <v/>
      </c>
      <c r="S259" s="2120" t="str">
        <f>IFERROR(VLOOKUP($B259,S$109:$AG$208,S$107,FALSE),"")</f>
        <v/>
      </c>
      <c r="T259" s="2120" t="str">
        <f>IFERROR(VLOOKUP($B259,T$109:$AG$208,T$107,FALSE),"")</f>
        <v/>
      </c>
      <c r="U259" s="2120" t="str">
        <f>IFERROR(VLOOKUP($B259,U$109:$AG$208,U$107,FALSE),"")</f>
        <v/>
      </c>
      <c r="V259" s="2120" t="str">
        <f>IFERROR(VLOOKUP($B259,V$109:$AG$208,V$107,FALSE),"")</f>
        <v/>
      </c>
      <c r="W259" s="2120" t="str">
        <f>IFERROR(VLOOKUP($B259,W$109:$AG$208,W$107,FALSE),"")</f>
        <v/>
      </c>
      <c r="X259" s="2120" t="str">
        <f>IFERROR(VLOOKUP($B259,X$109:$AG$208,X$107,FALSE),"")</f>
        <v/>
      </c>
      <c r="Y259" s="2120" t="str">
        <f>IFERROR(VLOOKUP($B259,Y$109:$AG$208,Y$107,FALSE),"")</f>
        <v/>
      </c>
      <c r="Z259" s="2120" t="str">
        <f>IFERROR(VLOOKUP($B259,Z$109:$AG$208,Z$107,FALSE),"")</f>
        <v/>
      </c>
      <c r="AA259" s="2120" t="str">
        <f>IFERROR(VLOOKUP($B259,AA$109:$AG$208,AA$107,FALSE),"")</f>
        <v/>
      </c>
      <c r="AB259" s="2120" t="str">
        <f>IFERROR(VLOOKUP($B259,AB$109:$AG$208,AB$107,FALSE),"")</f>
        <v/>
      </c>
      <c r="AC259" s="2120" t="str">
        <f>IFERROR(VLOOKUP($B259,AC$109:$AG$208,AC$107,FALSE),"")</f>
        <v/>
      </c>
      <c r="AD259" s="2120" t="str">
        <f>IFERROR(VLOOKUP($B259,AD$109:$AG$208,AD$107,FALSE),"")</f>
        <v>MaisTer Power</v>
      </c>
      <c r="AE259" s="2120" t="str">
        <f>IFERROR(VLOOKUP($B259,AE$109:$AG$208,AE$107,FALSE),"")</f>
        <v/>
      </c>
      <c r="AF259" s="2120" t="str">
        <f>IFERROR(VLOOKUP($B259,AF$109:$AG$208,AF$107,FALSE),"")</f>
        <v/>
      </c>
    </row>
    <row r="260" spans="2:32">
      <c r="B260" s="2136">
        <f t="shared" si="20"/>
        <v>46</v>
      </c>
      <c r="F260" s="2120" t="str">
        <f>IFERROR(VLOOKUP($B260,F$109:$AG$208,F$107,FALSE),"")</f>
        <v/>
      </c>
      <c r="G260" s="2120" t="str">
        <f>IFERROR(VLOOKUP($B260,G$109:$AG$208,G$107,FALSE),"")</f>
        <v/>
      </c>
      <c r="H260" s="2120" t="str">
        <f>IFERROR(VLOOKUP($B260,H$109:$AG$208,H$107,FALSE),"")</f>
        <v/>
      </c>
      <c r="I260" s="2120" t="str">
        <f>IFERROR(VLOOKUP($B260,I$109:$AG$208,I$107,FALSE),"")</f>
        <v/>
      </c>
      <c r="J260" s="2120" t="str">
        <f>IFERROR(VLOOKUP($B260,J$109:$AG$208,J$107,FALSE),"")</f>
        <v/>
      </c>
      <c r="K260" s="2120" t="str">
        <f>IFERROR(VLOOKUP($B260,K$109:$AG$208,K$107,FALSE),"")</f>
        <v/>
      </c>
      <c r="L260" s="2120" t="str">
        <f>IFERROR(VLOOKUP($B260,L$109:$AG$208,L$107,FALSE),"")</f>
        <v/>
      </c>
      <c r="M260" s="2120" t="str">
        <f>IFERROR(VLOOKUP($B260,M$109:$AG$208,M$107,FALSE),"")</f>
        <v/>
      </c>
      <c r="N260" s="2120" t="str">
        <f>IFERROR(VLOOKUP($B260,N$109:$AG$208,N$107,FALSE),"")</f>
        <v/>
      </c>
      <c r="O260" s="2120" t="str">
        <f>IFERROR(VLOOKUP($B260,O$109:$AG$208,O$107,FALSE),"")</f>
        <v/>
      </c>
      <c r="P260" s="2120" t="str">
        <f>IFERROR(VLOOKUP($B260,P$109:$AG$208,P$107,FALSE),"")</f>
        <v/>
      </c>
      <c r="Q260" s="2120" t="str">
        <f>IFERROR(VLOOKUP($B260,Q$109:$AG$208,Q$107,FALSE),"")</f>
        <v/>
      </c>
      <c r="R260" s="2120" t="str">
        <f>IFERROR(VLOOKUP($B260,R$109:$AG$208,R$107,FALSE),"")</f>
        <v/>
      </c>
      <c r="S260" s="2120" t="str">
        <f>IFERROR(VLOOKUP($B260,S$109:$AG$208,S$107,FALSE),"")</f>
        <v/>
      </c>
      <c r="T260" s="2120" t="str">
        <f>IFERROR(VLOOKUP($B260,T$109:$AG$208,T$107,FALSE),"")</f>
        <v/>
      </c>
      <c r="U260" s="2120" t="str">
        <f>IFERROR(VLOOKUP($B260,U$109:$AG$208,U$107,FALSE),"")</f>
        <v/>
      </c>
      <c r="V260" s="2120" t="str">
        <f>IFERROR(VLOOKUP($B260,V$109:$AG$208,V$107,FALSE),"")</f>
        <v/>
      </c>
      <c r="W260" s="2120" t="str">
        <f>IFERROR(VLOOKUP($B260,W$109:$AG$208,W$107,FALSE),"")</f>
        <v/>
      </c>
      <c r="X260" s="2120" t="str">
        <f>IFERROR(VLOOKUP($B260,X$109:$AG$208,X$107,FALSE),"")</f>
        <v/>
      </c>
      <c r="Y260" s="2120" t="str">
        <f>IFERROR(VLOOKUP($B260,Y$109:$AG$208,Y$107,FALSE),"")</f>
        <v/>
      </c>
      <c r="Z260" s="2120" t="str">
        <f>IFERROR(VLOOKUP($B260,Z$109:$AG$208,Z$107,FALSE),"")</f>
        <v/>
      </c>
      <c r="AA260" s="2120" t="str">
        <f>IFERROR(VLOOKUP($B260,AA$109:$AG$208,AA$107,FALSE),"")</f>
        <v/>
      </c>
      <c r="AB260" s="2120" t="str">
        <f>IFERROR(VLOOKUP($B260,AB$109:$AG$208,AB$107,FALSE),"")</f>
        <v/>
      </c>
      <c r="AC260" s="2120" t="str">
        <f>IFERROR(VLOOKUP($B260,AC$109:$AG$208,AC$107,FALSE),"")</f>
        <v/>
      </c>
      <c r="AD260" s="2120" t="str">
        <f>IFERROR(VLOOKUP($B260,AD$109:$AG$208,AD$107,FALSE),"")</f>
        <v>Malibu</v>
      </c>
      <c r="AE260" s="2120" t="str">
        <f>IFERROR(VLOOKUP($B260,AE$109:$AG$208,AE$107,FALSE),"")</f>
        <v/>
      </c>
      <c r="AF260" s="2120" t="str">
        <f>IFERROR(VLOOKUP($B260,AF$109:$AG$208,AF$107,FALSE),"")</f>
        <v/>
      </c>
    </row>
    <row r="261" spans="2:32">
      <c r="B261" s="2136">
        <f t="shared" si="20"/>
        <v>47</v>
      </c>
      <c r="F261" s="2120" t="str">
        <f>IFERROR(VLOOKUP($B261,F$109:$AG$208,F$107,FALSE),"")</f>
        <v/>
      </c>
      <c r="G261" s="2120" t="str">
        <f>IFERROR(VLOOKUP($B261,G$109:$AG$208,G$107,FALSE),"")</f>
        <v/>
      </c>
      <c r="H261" s="2120" t="str">
        <f>IFERROR(VLOOKUP($B261,H$109:$AG$208,H$107,FALSE),"")</f>
        <v/>
      </c>
      <c r="I261" s="2120" t="str">
        <f>IFERROR(VLOOKUP($B261,I$109:$AG$208,I$107,FALSE),"")</f>
        <v/>
      </c>
      <c r="J261" s="2120" t="str">
        <f>IFERROR(VLOOKUP($B261,J$109:$AG$208,J$107,FALSE),"")</f>
        <v/>
      </c>
      <c r="K261" s="2120" t="str">
        <f>IFERROR(VLOOKUP($B261,K$109:$AG$208,K$107,FALSE),"")</f>
        <v/>
      </c>
      <c r="L261" s="2120" t="str">
        <f>IFERROR(VLOOKUP($B261,L$109:$AG$208,L$107,FALSE),"")</f>
        <v/>
      </c>
      <c r="M261" s="2120" t="str">
        <f>IFERROR(VLOOKUP($B261,M$109:$AG$208,M$107,FALSE),"")</f>
        <v/>
      </c>
      <c r="N261" s="2120" t="str">
        <f>IFERROR(VLOOKUP($B261,N$109:$AG$208,N$107,FALSE),"")</f>
        <v/>
      </c>
      <c r="O261" s="2120" t="str">
        <f>IFERROR(VLOOKUP($B261,O$109:$AG$208,O$107,FALSE),"")</f>
        <v/>
      </c>
      <c r="P261" s="2120" t="str">
        <f>IFERROR(VLOOKUP($B261,P$109:$AG$208,P$107,FALSE),"")</f>
        <v/>
      </c>
      <c r="Q261" s="2120" t="str">
        <f>IFERROR(VLOOKUP($B261,Q$109:$AG$208,Q$107,FALSE),"")</f>
        <v/>
      </c>
      <c r="R261" s="2120" t="str">
        <f>IFERROR(VLOOKUP($B261,R$109:$AG$208,R$107,FALSE),"")</f>
        <v/>
      </c>
      <c r="S261" s="2120" t="str">
        <f>IFERROR(VLOOKUP($B261,S$109:$AG$208,S$107,FALSE),"")</f>
        <v/>
      </c>
      <c r="T261" s="2120" t="str">
        <f>IFERROR(VLOOKUP($B261,T$109:$AG$208,T$107,FALSE),"")</f>
        <v/>
      </c>
      <c r="U261" s="2120" t="str">
        <f>IFERROR(VLOOKUP($B261,U$109:$AG$208,U$107,FALSE),"")</f>
        <v/>
      </c>
      <c r="V261" s="2120" t="str">
        <f>IFERROR(VLOOKUP($B261,V$109:$AG$208,V$107,FALSE),"")</f>
        <v/>
      </c>
      <c r="W261" s="2120" t="str">
        <f>IFERROR(VLOOKUP($B261,W$109:$AG$208,W$107,FALSE),"")</f>
        <v/>
      </c>
      <c r="X261" s="2120" t="str">
        <f>IFERROR(VLOOKUP($B261,X$109:$AG$208,X$107,FALSE),"")</f>
        <v/>
      </c>
      <c r="Y261" s="2120" t="str">
        <f>IFERROR(VLOOKUP($B261,Y$109:$AG$208,Y$107,FALSE),"")</f>
        <v/>
      </c>
      <c r="Z261" s="2120" t="str">
        <f>IFERROR(VLOOKUP($B261,Z$109:$AG$208,Z$107,FALSE),"")</f>
        <v/>
      </c>
      <c r="AA261" s="2120" t="str">
        <f>IFERROR(VLOOKUP($B261,AA$109:$AG$208,AA$107,FALSE),"")</f>
        <v/>
      </c>
      <c r="AB261" s="2120" t="str">
        <f>IFERROR(VLOOKUP($B261,AB$109:$AG$208,AB$107,FALSE),"")</f>
        <v/>
      </c>
      <c r="AC261" s="2120" t="str">
        <f>IFERROR(VLOOKUP($B261,AC$109:$AG$208,AC$107,FALSE),"")</f>
        <v/>
      </c>
      <c r="AD261" s="2120" t="str">
        <f>IFERROR(VLOOKUP($B261,AD$109:$AG$208,AD$107,FALSE),"")</f>
        <v>Moddus</v>
      </c>
      <c r="AE261" s="2120" t="str">
        <f>IFERROR(VLOOKUP($B261,AE$109:$AG$208,AE$107,FALSE),"")</f>
        <v/>
      </c>
      <c r="AF261" s="2120" t="str">
        <f>IFERROR(VLOOKUP($B261,AF$109:$AG$208,AF$107,FALSE),"")</f>
        <v/>
      </c>
    </row>
    <row r="262" spans="2:32">
      <c r="B262" s="2136">
        <f t="shared" si="20"/>
        <v>48</v>
      </c>
      <c r="F262" s="2120" t="str">
        <f>IFERROR(VLOOKUP($B262,F$109:$AG$208,F$107,FALSE),"")</f>
        <v/>
      </c>
      <c r="G262" s="2120" t="str">
        <f>IFERROR(VLOOKUP($B262,G$109:$AG$208,G$107,FALSE),"")</f>
        <v/>
      </c>
      <c r="H262" s="2120" t="str">
        <f>IFERROR(VLOOKUP($B262,H$109:$AG$208,H$107,FALSE),"")</f>
        <v/>
      </c>
      <c r="I262" s="2120" t="str">
        <f>IFERROR(VLOOKUP($B262,I$109:$AG$208,I$107,FALSE),"")</f>
        <v/>
      </c>
      <c r="J262" s="2120" t="str">
        <f>IFERROR(VLOOKUP($B262,J$109:$AG$208,J$107,FALSE),"")</f>
        <v/>
      </c>
      <c r="K262" s="2120" t="str">
        <f>IFERROR(VLOOKUP($B262,K$109:$AG$208,K$107,FALSE),"")</f>
        <v/>
      </c>
      <c r="L262" s="2120" t="str">
        <f>IFERROR(VLOOKUP($B262,L$109:$AG$208,L$107,FALSE),"")</f>
        <v/>
      </c>
      <c r="M262" s="2120" t="str">
        <f>IFERROR(VLOOKUP($B262,M$109:$AG$208,M$107,FALSE),"")</f>
        <v/>
      </c>
      <c r="N262" s="2120" t="str">
        <f>IFERROR(VLOOKUP($B262,N$109:$AG$208,N$107,FALSE),"")</f>
        <v/>
      </c>
      <c r="O262" s="2120" t="str">
        <f>IFERROR(VLOOKUP($B262,O$109:$AG$208,O$107,FALSE),"")</f>
        <v/>
      </c>
      <c r="P262" s="2120" t="str">
        <f>IFERROR(VLOOKUP($B262,P$109:$AG$208,P$107,FALSE),"")</f>
        <v/>
      </c>
      <c r="Q262" s="2120" t="str">
        <f>IFERROR(VLOOKUP($B262,Q$109:$AG$208,Q$107,FALSE),"")</f>
        <v/>
      </c>
      <c r="R262" s="2120" t="str">
        <f>IFERROR(VLOOKUP($B262,R$109:$AG$208,R$107,FALSE),"")</f>
        <v/>
      </c>
      <c r="S262" s="2120" t="str">
        <f>IFERROR(VLOOKUP($B262,S$109:$AG$208,S$107,FALSE),"")</f>
        <v/>
      </c>
      <c r="T262" s="2120" t="str">
        <f>IFERROR(VLOOKUP($B262,T$109:$AG$208,T$107,FALSE),"")</f>
        <v/>
      </c>
      <c r="U262" s="2120" t="str">
        <f>IFERROR(VLOOKUP($B262,U$109:$AG$208,U$107,FALSE),"")</f>
        <v/>
      </c>
      <c r="V262" s="2120" t="str">
        <f>IFERROR(VLOOKUP($B262,V$109:$AG$208,V$107,FALSE),"")</f>
        <v/>
      </c>
      <c r="W262" s="2120" t="str">
        <f>IFERROR(VLOOKUP($B262,W$109:$AG$208,W$107,FALSE),"")</f>
        <v/>
      </c>
      <c r="X262" s="2120" t="str">
        <f>IFERROR(VLOOKUP($B262,X$109:$AG$208,X$107,FALSE),"")</f>
        <v/>
      </c>
      <c r="Y262" s="2120" t="str">
        <f>IFERROR(VLOOKUP($B262,Y$109:$AG$208,Y$107,FALSE),"")</f>
        <v/>
      </c>
      <c r="Z262" s="2120" t="str">
        <f>IFERROR(VLOOKUP($B262,Z$109:$AG$208,Z$107,FALSE),"")</f>
        <v/>
      </c>
      <c r="AA262" s="2120" t="str">
        <f>IFERROR(VLOOKUP($B262,AA$109:$AG$208,AA$107,FALSE),"")</f>
        <v/>
      </c>
      <c r="AB262" s="2120" t="str">
        <f>IFERROR(VLOOKUP($B262,AB$109:$AG$208,AB$107,FALSE),"")</f>
        <v/>
      </c>
      <c r="AC262" s="2120" t="str">
        <f>IFERROR(VLOOKUP($B262,AC$109:$AG$208,AC$107,FALSE),"")</f>
        <v/>
      </c>
      <c r="AD262" s="2120" t="str">
        <f>IFERROR(VLOOKUP($B262,AD$109:$AG$208,AD$107,FALSE),"")</f>
        <v>Ortiva</v>
      </c>
      <c r="AE262" s="2120" t="str">
        <f>IFERROR(VLOOKUP($B262,AE$109:$AG$208,AE$107,FALSE),"")</f>
        <v/>
      </c>
      <c r="AF262" s="2120" t="str">
        <f>IFERROR(VLOOKUP($B262,AF$109:$AG$208,AF$107,FALSE),"")</f>
        <v/>
      </c>
    </row>
    <row r="263" spans="2:32">
      <c r="B263" s="2136">
        <f t="shared" si="20"/>
        <v>49</v>
      </c>
      <c r="F263" s="2120" t="str">
        <f>IFERROR(VLOOKUP($B263,F$109:$AG$208,F$107,FALSE),"")</f>
        <v/>
      </c>
      <c r="G263" s="2120" t="str">
        <f>IFERROR(VLOOKUP($B263,G$109:$AG$208,G$107,FALSE),"")</f>
        <v/>
      </c>
      <c r="H263" s="2120" t="str">
        <f>IFERROR(VLOOKUP($B263,H$109:$AG$208,H$107,FALSE),"")</f>
        <v/>
      </c>
      <c r="I263" s="2120" t="str">
        <f>IFERROR(VLOOKUP($B263,I$109:$AG$208,I$107,FALSE),"")</f>
        <v/>
      </c>
      <c r="J263" s="2120" t="str">
        <f>IFERROR(VLOOKUP($B263,J$109:$AG$208,J$107,FALSE),"")</f>
        <v/>
      </c>
      <c r="K263" s="2120" t="str">
        <f>IFERROR(VLOOKUP($B263,K$109:$AG$208,K$107,FALSE),"")</f>
        <v/>
      </c>
      <c r="L263" s="2120" t="str">
        <f>IFERROR(VLOOKUP($B263,L$109:$AG$208,L$107,FALSE),"")</f>
        <v/>
      </c>
      <c r="M263" s="2120" t="str">
        <f>IFERROR(VLOOKUP($B263,M$109:$AG$208,M$107,FALSE),"")</f>
        <v/>
      </c>
      <c r="N263" s="2120" t="str">
        <f>IFERROR(VLOOKUP($B263,N$109:$AG$208,N$107,FALSE),"")</f>
        <v/>
      </c>
      <c r="O263" s="2120" t="str">
        <f>IFERROR(VLOOKUP($B263,O$109:$AG$208,O$107,FALSE),"")</f>
        <v/>
      </c>
      <c r="P263" s="2120" t="str">
        <f>IFERROR(VLOOKUP($B263,P$109:$AG$208,P$107,FALSE),"")</f>
        <v/>
      </c>
      <c r="Q263" s="2120" t="str">
        <f>IFERROR(VLOOKUP($B263,Q$109:$AG$208,Q$107,FALSE),"")</f>
        <v/>
      </c>
      <c r="R263" s="2120" t="str">
        <f>IFERROR(VLOOKUP($B263,R$109:$AG$208,R$107,FALSE),"")</f>
        <v/>
      </c>
      <c r="S263" s="2120" t="str">
        <f>IFERROR(VLOOKUP($B263,S$109:$AG$208,S$107,FALSE),"")</f>
        <v/>
      </c>
      <c r="T263" s="2120" t="str">
        <f>IFERROR(VLOOKUP($B263,T$109:$AG$208,T$107,FALSE),"")</f>
        <v/>
      </c>
      <c r="U263" s="2120" t="str">
        <f>IFERROR(VLOOKUP($B263,U$109:$AG$208,U$107,FALSE),"")</f>
        <v/>
      </c>
      <c r="V263" s="2120" t="str">
        <f>IFERROR(VLOOKUP($B263,V$109:$AG$208,V$107,FALSE),"")</f>
        <v/>
      </c>
      <c r="W263" s="2120" t="str">
        <f>IFERROR(VLOOKUP($B263,W$109:$AG$208,W$107,FALSE),"")</f>
        <v/>
      </c>
      <c r="X263" s="2120" t="str">
        <f>IFERROR(VLOOKUP($B263,X$109:$AG$208,X$107,FALSE),"")</f>
        <v/>
      </c>
      <c r="Y263" s="2120" t="str">
        <f>IFERROR(VLOOKUP($B263,Y$109:$AG$208,Y$107,FALSE),"")</f>
        <v/>
      </c>
      <c r="Z263" s="2120" t="str">
        <f>IFERROR(VLOOKUP($B263,Z$109:$AG$208,Z$107,FALSE),"")</f>
        <v/>
      </c>
      <c r="AA263" s="2120" t="str">
        <f>IFERROR(VLOOKUP($B263,AA$109:$AG$208,AA$107,FALSE),"")</f>
        <v/>
      </c>
      <c r="AB263" s="2120" t="str">
        <f>IFERROR(VLOOKUP($B263,AB$109:$AG$208,AB$107,FALSE),"")</f>
        <v/>
      </c>
      <c r="AC263" s="2120" t="str">
        <f>IFERROR(VLOOKUP($B263,AC$109:$AG$208,AC$107,FALSE),"")</f>
        <v/>
      </c>
      <c r="AD263" s="2120" t="str">
        <f>IFERROR(VLOOKUP($B263,AD$109:$AG$208,AD$107,FALSE),"")</f>
        <v>Mospilan SG</v>
      </c>
      <c r="AE263" s="2120" t="str">
        <f>IFERROR(VLOOKUP($B263,AE$109:$AG$208,AE$107,FALSE),"")</f>
        <v/>
      </c>
      <c r="AF263" s="2120" t="str">
        <f>IFERROR(VLOOKUP($B263,AF$109:$AG$208,AF$107,FALSE),"")</f>
        <v/>
      </c>
    </row>
    <row r="264" spans="2:32">
      <c r="B264" s="2136">
        <f t="shared" si="20"/>
        <v>50</v>
      </c>
      <c r="F264" s="2120" t="str">
        <f>IFERROR(VLOOKUP($B264,F$109:$AG$208,F$107,FALSE),"")</f>
        <v/>
      </c>
      <c r="G264" s="2120" t="str">
        <f>IFERROR(VLOOKUP($B264,G$109:$AG$208,G$107,FALSE),"")</f>
        <v/>
      </c>
      <c r="H264" s="2120" t="str">
        <f>IFERROR(VLOOKUP($B264,H$109:$AG$208,H$107,FALSE),"")</f>
        <v/>
      </c>
      <c r="I264" s="2120" t="str">
        <f>IFERROR(VLOOKUP($B264,I$109:$AG$208,I$107,FALSE),"")</f>
        <v/>
      </c>
      <c r="J264" s="2120" t="str">
        <f>IFERROR(VLOOKUP($B264,J$109:$AG$208,J$107,FALSE),"")</f>
        <v/>
      </c>
      <c r="K264" s="2120" t="str">
        <f>IFERROR(VLOOKUP($B264,K$109:$AG$208,K$107,FALSE),"")</f>
        <v/>
      </c>
      <c r="L264" s="2120" t="str">
        <f>IFERROR(VLOOKUP($B264,L$109:$AG$208,L$107,FALSE),"")</f>
        <v/>
      </c>
      <c r="M264" s="2120" t="str">
        <f>IFERROR(VLOOKUP($B264,M$109:$AG$208,M$107,FALSE),"")</f>
        <v/>
      </c>
      <c r="N264" s="2120" t="str">
        <f>IFERROR(VLOOKUP($B264,N$109:$AG$208,N$107,FALSE),"")</f>
        <v/>
      </c>
      <c r="O264" s="2120" t="str">
        <f>IFERROR(VLOOKUP($B264,O$109:$AG$208,O$107,FALSE),"")</f>
        <v/>
      </c>
      <c r="P264" s="2120" t="str">
        <f>IFERROR(VLOOKUP($B264,P$109:$AG$208,P$107,FALSE),"")</f>
        <v/>
      </c>
      <c r="Q264" s="2120" t="str">
        <f>IFERROR(VLOOKUP($B264,Q$109:$AG$208,Q$107,FALSE),"")</f>
        <v/>
      </c>
      <c r="R264" s="2120" t="str">
        <f>IFERROR(VLOOKUP($B264,R$109:$AG$208,R$107,FALSE),"")</f>
        <v/>
      </c>
      <c r="S264" s="2120" t="str">
        <f>IFERROR(VLOOKUP($B264,S$109:$AG$208,S$107,FALSE),"")</f>
        <v/>
      </c>
      <c r="T264" s="2120" t="str">
        <f>IFERROR(VLOOKUP($B264,T$109:$AG$208,T$107,FALSE),"")</f>
        <v/>
      </c>
      <c r="U264" s="2120" t="str">
        <f>IFERROR(VLOOKUP($B264,U$109:$AG$208,U$107,FALSE),"")</f>
        <v/>
      </c>
      <c r="V264" s="2120" t="str">
        <f>IFERROR(VLOOKUP($B264,V$109:$AG$208,V$107,FALSE),"")</f>
        <v/>
      </c>
      <c r="W264" s="2120" t="str">
        <f>IFERROR(VLOOKUP($B264,W$109:$AG$208,W$107,FALSE),"")</f>
        <v/>
      </c>
      <c r="X264" s="2120" t="str">
        <f>IFERROR(VLOOKUP($B264,X$109:$AG$208,X$107,FALSE),"")</f>
        <v/>
      </c>
      <c r="Y264" s="2120" t="str">
        <f>IFERROR(VLOOKUP($B264,Y$109:$AG$208,Y$107,FALSE),"")</f>
        <v/>
      </c>
      <c r="Z264" s="2120" t="str">
        <f>IFERROR(VLOOKUP($B264,Z$109:$AG$208,Z$107,FALSE),"")</f>
        <v/>
      </c>
      <c r="AA264" s="2120" t="str">
        <f>IFERROR(VLOOKUP($B264,AA$109:$AG$208,AA$107,FALSE),"")</f>
        <v/>
      </c>
      <c r="AB264" s="2120" t="str">
        <f>IFERROR(VLOOKUP($B264,AB$109:$AG$208,AB$107,FALSE),"")</f>
        <v/>
      </c>
      <c r="AC264" s="2120" t="str">
        <f>IFERROR(VLOOKUP($B264,AC$109:$AG$208,AC$107,FALSE),"")</f>
        <v/>
      </c>
      <c r="AD264" s="2120" t="str">
        <f>IFERROR(VLOOKUP($B264,AD$109:$AG$208,AD$107,FALSE),"")</f>
        <v>Pointer Plus</v>
      </c>
      <c r="AE264" s="2120" t="str">
        <f>IFERROR(VLOOKUP($B264,AE$109:$AG$208,AE$107,FALSE),"")</f>
        <v/>
      </c>
      <c r="AF264" s="2120" t="str">
        <f>IFERROR(VLOOKUP($B264,AF$109:$AG$208,AF$107,FALSE),"")</f>
        <v/>
      </c>
    </row>
    <row r="265" spans="2:32">
      <c r="B265" s="2136">
        <f t="shared" si="20"/>
        <v>51</v>
      </c>
      <c r="F265" s="2120" t="str">
        <f>IFERROR(VLOOKUP($B265,F$109:$AG$208,F$107,FALSE),"")</f>
        <v/>
      </c>
      <c r="G265" s="2120" t="str">
        <f>IFERROR(VLOOKUP($B265,G$109:$AG$208,G$107,FALSE),"")</f>
        <v/>
      </c>
      <c r="H265" s="2120" t="str">
        <f>IFERROR(VLOOKUP($B265,H$109:$AG$208,H$107,FALSE),"")</f>
        <v/>
      </c>
      <c r="I265" s="2120" t="str">
        <f>IFERROR(VLOOKUP($B265,I$109:$AG$208,I$107,FALSE),"")</f>
        <v/>
      </c>
      <c r="J265" s="2120" t="str">
        <f>IFERROR(VLOOKUP($B265,J$109:$AG$208,J$107,FALSE),"")</f>
        <v/>
      </c>
      <c r="K265" s="2120" t="str">
        <f>IFERROR(VLOOKUP($B265,K$109:$AG$208,K$107,FALSE),"")</f>
        <v/>
      </c>
      <c r="L265" s="2120" t="str">
        <f>IFERROR(VLOOKUP($B265,L$109:$AG$208,L$107,FALSE),"")</f>
        <v/>
      </c>
      <c r="M265" s="2120" t="str">
        <f>IFERROR(VLOOKUP($B265,M$109:$AG$208,M$107,FALSE),"")</f>
        <v/>
      </c>
      <c r="N265" s="2120" t="str">
        <f>IFERROR(VLOOKUP($B265,N$109:$AG$208,N$107,FALSE),"")</f>
        <v/>
      </c>
      <c r="O265" s="2120" t="str">
        <f>IFERROR(VLOOKUP($B265,O$109:$AG$208,O$107,FALSE),"")</f>
        <v/>
      </c>
      <c r="P265" s="2120" t="str">
        <f>IFERROR(VLOOKUP($B265,P$109:$AG$208,P$107,FALSE),"")</f>
        <v/>
      </c>
      <c r="Q265" s="2120" t="str">
        <f>IFERROR(VLOOKUP($B265,Q$109:$AG$208,Q$107,FALSE),"")</f>
        <v/>
      </c>
      <c r="R265" s="2120" t="str">
        <f>IFERROR(VLOOKUP($B265,R$109:$AG$208,R$107,FALSE),"")</f>
        <v/>
      </c>
      <c r="S265" s="2120" t="str">
        <f>IFERROR(VLOOKUP($B265,S$109:$AG$208,S$107,FALSE),"")</f>
        <v/>
      </c>
      <c r="T265" s="2120" t="str">
        <f>IFERROR(VLOOKUP($B265,T$109:$AG$208,T$107,FALSE),"")</f>
        <v/>
      </c>
      <c r="U265" s="2120" t="str">
        <f>IFERROR(VLOOKUP($B265,U$109:$AG$208,U$107,FALSE),"")</f>
        <v/>
      </c>
      <c r="V265" s="2120" t="str">
        <f>IFERROR(VLOOKUP($B265,V$109:$AG$208,V$107,FALSE),"")</f>
        <v/>
      </c>
      <c r="W265" s="2120" t="str">
        <f>IFERROR(VLOOKUP($B265,W$109:$AG$208,W$107,FALSE),"")</f>
        <v/>
      </c>
      <c r="X265" s="2120" t="str">
        <f>IFERROR(VLOOKUP($B265,X$109:$AG$208,X$107,FALSE),"")</f>
        <v/>
      </c>
      <c r="Y265" s="2120" t="str">
        <f>IFERROR(VLOOKUP($B265,Y$109:$AG$208,Y$107,FALSE),"")</f>
        <v/>
      </c>
      <c r="Z265" s="2120" t="str">
        <f>IFERROR(VLOOKUP($B265,Z$109:$AG$208,Z$107,FALSE),"")</f>
        <v/>
      </c>
      <c r="AA265" s="2120" t="str">
        <f>IFERROR(VLOOKUP($B265,AA$109:$AG$208,AA$107,FALSE),"")</f>
        <v/>
      </c>
      <c r="AB265" s="2120" t="str">
        <f>IFERROR(VLOOKUP($B265,AB$109:$AG$208,AB$107,FALSE),"")</f>
        <v/>
      </c>
      <c r="AC265" s="2120" t="str">
        <f>IFERROR(VLOOKUP($B265,AC$109:$AG$208,AC$107,FALSE),"")</f>
        <v/>
      </c>
      <c r="AD265" s="2120" t="str">
        <f>IFERROR(VLOOKUP($B265,AD$109:$AG$208,AD$107,FALSE),"")</f>
        <v>Polyram WG</v>
      </c>
      <c r="AE265" s="2120" t="str">
        <f>IFERROR(VLOOKUP($B265,AE$109:$AG$208,AE$107,FALSE),"")</f>
        <v/>
      </c>
      <c r="AF265" s="2120" t="str">
        <f>IFERROR(VLOOKUP($B265,AF$109:$AG$208,AF$107,FALSE),"")</f>
        <v/>
      </c>
    </row>
    <row r="266" spans="2:32">
      <c r="B266" s="2136">
        <f t="shared" si="20"/>
        <v>52</v>
      </c>
      <c r="F266" s="2120" t="str">
        <f>IFERROR(VLOOKUP($B266,F$109:$AG$208,F$107,FALSE),"")</f>
        <v/>
      </c>
      <c r="G266" s="2120" t="str">
        <f>IFERROR(VLOOKUP($B266,G$109:$AG$208,G$107,FALSE),"")</f>
        <v/>
      </c>
      <c r="H266" s="2120" t="str">
        <f>IFERROR(VLOOKUP($B266,H$109:$AG$208,H$107,FALSE),"")</f>
        <v/>
      </c>
      <c r="I266" s="2120" t="str">
        <f>IFERROR(VLOOKUP($B266,I$109:$AG$208,I$107,FALSE),"")</f>
        <v/>
      </c>
      <c r="J266" s="2120" t="str">
        <f>IFERROR(VLOOKUP($B266,J$109:$AG$208,J$107,FALSE),"")</f>
        <v/>
      </c>
      <c r="K266" s="2120" t="str">
        <f>IFERROR(VLOOKUP($B266,K$109:$AG$208,K$107,FALSE),"")</f>
        <v/>
      </c>
      <c r="L266" s="2120" t="str">
        <f>IFERROR(VLOOKUP($B266,L$109:$AG$208,L$107,FALSE),"")</f>
        <v/>
      </c>
      <c r="M266" s="2120" t="str">
        <f>IFERROR(VLOOKUP($B266,M$109:$AG$208,M$107,FALSE),"")</f>
        <v/>
      </c>
      <c r="N266" s="2120" t="str">
        <f>IFERROR(VLOOKUP($B266,N$109:$AG$208,N$107,FALSE),"")</f>
        <v/>
      </c>
      <c r="O266" s="2120" t="str">
        <f>IFERROR(VLOOKUP($B266,O$109:$AG$208,O$107,FALSE),"")</f>
        <v/>
      </c>
      <c r="P266" s="2120" t="str">
        <f>IFERROR(VLOOKUP($B266,P$109:$AG$208,P$107,FALSE),"")</f>
        <v/>
      </c>
      <c r="Q266" s="2120" t="str">
        <f>IFERROR(VLOOKUP($B266,Q$109:$AG$208,Q$107,FALSE),"")</f>
        <v/>
      </c>
      <c r="R266" s="2120" t="str">
        <f>IFERROR(VLOOKUP($B266,R$109:$AG$208,R$107,FALSE),"")</f>
        <v/>
      </c>
      <c r="S266" s="2120" t="str">
        <f>IFERROR(VLOOKUP($B266,S$109:$AG$208,S$107,FALSE),"")</f>
        <v/>
      </c>
      <c r="T266" s="2120" t="str">
        <f>IFERROR(VLOOKUP($B266,T$109:$AG$208,T$107,FALSE),"")</f>
        <v/>
      </c>
      <c r="U266" s="2120" t="str">
        <f>IFERROR(VLOOKUP($B266,U$109:$AG$208,U$107,FALSE),"")</f>
        <v/>
      </c>
      <c r="V266" s="2120" t="str">
        <f>IFERROR(VLOOKUP($B266,V$109:$AG$208,V$107,FALSE),"")</f>
        <v/>
      </c>
      <c r="W266" s="2120" t="str">
        <f>IFERROR(VLOOKUP($B266,W$109:$AG$208,W$107,FALSE),"")</f>
        <v/>
      </c>
      <c r="X266" s="2120" t="str">
        <f>IFERROR(VLOOKUP($B266,X$109:$AG$208,X$107,FALSE),"")</f>
        <v/>
      </c>
      <c r="Y266" s="2120" t="str">
        <f>IFERROR(VLOOKUP($B266,Y$109:$AG$208,Y$107,FALSE),"")</f>
        <v/>
      </c>
      <c r="Z266" s="2120" t="str">
        <f>IFERROR(VLOOKUP($B266,Z$109:$AG$208,Z$107,FALSE),"")</f>
        <v/>
      </c>
      <c r="AA266" s="2120" t="str">
        <f>IFERROR(VLOOKUP($B266,AA$109:$AG$208,AA$107,FALSE),"")</f>
        <v/>
      </c>
      <c r="AB266" s="2120" t="str">
        <f>IFERROR(VLOOKUP($B266,AB$109:$AG$208,AB$107,FALSE),"")</f>
        <v/>
      </c>
      <c r="AC266" s="2120" t="str">
        <f>IFERROR(VLOOKUP($B266,AC$109:$AG$208,AC$107,FALSE),"")</f>
        <v/>
      </c>
      <c r="AD266" s="2120" t="str">
        <f>IFERROR(VLOOKUP($B266,AD$109:$AG$208,AD$107,FALSE),"")</f>
        <v>Primus Perfect</v>
      </c>
      <c r="AE266" s="2120" t="str">
        <f>IFERROR(VLOOKUP($B266,AE$109:$AG$208,AE$107,FALSE),"")</f>
        <v/>
      </c>
      <c r="AF266" s="2120" t="str">
        <f>IFERROR(VLOOKUP($B266,AF$109:$AG$208,AF$107,FALSE),"")</f>
        <v/>
      </c>
    </row>
    <row r="267" spans="2:32">
      <c r="B267" s="2136">
        <f t="shared" si="20"/>
        <v>53</v>
      </c>
      <c r="F267" s="2120" t="str">
        <f>IFERROR(VLOOKUP($B267,F$109:$AG$208,F$107,FALSE),"")</f>
        <v/>
      </c>
      <c r="G267" s="2120" t="str">
        <f>IFERROR(VLOOKUP($B267,G$109:$AG$208,G$107,FALSE),"")</f>
        <v/>
      </c>
      <c r="H267" s="2120" t="str">
        <f>IFERROR(VLOOKUP($B267,H$109:$AG$208,H$107,FALSE),"")</f>
        <v/>
      </c>
      <c r="I267" s="2120" t="str">
        <f>IFERROR(VLOOKUP($B267,I$109:$AG$208,I$107,FALSE),"")</f>
        <v/>
      </c>
      <c r="J267" s="2120" t="str">
        <f>IFERROR(VLOOKUP($B267,J$109:$AG$208,J$107,FALSE),"")</f>
        <v/>
      </c>
      <c r="K267" s="2120" t="str">
        <f>IFERROR(VLOOKUP($B267,K$109:$AG$208,K$107,FALSE),"")</f>
        <v/>
      </c>
      <c r="L267" s="2120" t="str">
        <f>IFERROR(VLOOKUP($B267,L$109:$AG$208,L$107,FALSE),"")</f>
        <v/>
      </c>
      <c r="M267" s="2120" t="str">
        <f>IFERROR(VLOOKUP($B267,M$109:$AG$208,M$107,FALSE),"")</f>
        <v/>
      </c>
      <c r="N267" s="2120" t="str">
        <f>IFERROR(VLOOKUP($B267,N$109:$AG$208,N$107,FALSE),"")</f>
        <v/>
      </c>
      <c r="O267" s="2120" t="str">
        <f>IFERROR(VLOOKUP($B267,O$109:$AG$208,O$107,FALSE),"")</f>
        <v/>
      </c>
      <c r="P267" s="2120" t="str">
        <f>IFERROR(VLOOKUP($B267,P$109:$AG$208,P$107,FALSE),"")</f>
        <v/>
      </c>
      <c r="Q267" s="2120" t="str">
        <f>IFERROR(VLOOKUP($B267,Q$109:$AG$208,Q$107,FALSE),"")</f>
        <v/>
      </c>
      <c r="R267" s="2120" t="str">
        <f>IFERROR(VLOOKUP($B267,R$109:$AG$208,R$107,FALSE),"")</f>
        <v/>
      </c>
      <c r="S267" s="2120" t="str">
        <f>IFERROR(VLOOKUP($B267,S$109:$AG$208,S$107,FALSE),"")</f>
        <v/>
      </c>
      <c r="T267" s="2120" t="str">
        <f>IFERROR(VLOOKUP($B267,T$109:$AG$208,T$107,FALSE),"")</f>
        <v/>
      </c>
      <c r="U267" s="2120" t="str">
        <f>IFERROR(VLOOKUP($B267,U$109:$AG$208,U$107,FALSE),"")</f>
        <v/>
      </c>
      <c r="V267" s="2120" t="str">
        <f>IFERROR(VLOOKUP($B267,V$109:$AG$208,V$107,FALSE),"")</f>
        <v/>
      </c>
      <c r="W267" s="2120" t="str">
        <f>IFERROR(VLOOKUP($B267,W$109:$AG$208,W$107,FALSE),"")</f>
        <v/>
      </c>
      <c r="X267" s="2120" t="str">
        <f>IFERROR(VLOOKUP($B267,X$109:$AG$208,X$107,FALSE),"")</f>
        <v/>
      </c>
      <c r="Y267" s="2120" t="str">
        <f>IFERROR(VLOOKUP($B267,Y$109:$AG$208,Y$107,FALSE),"")</f>
        <v/>
      </c>
      <c r="Z267" s="2120" t="str">
        <f>IFERROR(VLOOKUP($B267,Z$109:$AG$208,Z$107,FALSE),"")</f>
        <v/>
      </c>
      <c r="AA267" s="2120" t="str">
        <f>IFERROR(VLOOKUP($B267,AA$109:$AG$208,AA$107,FALSE),"")</f>
        <v/>
      </c>
      <c r="AB267" s="2120" t="str">
        <f>IFERROR(VLOOKUP($B267,AB$109:$AG$208,AB$107,FALSE),"")</f>
        <v/>
      </c>
      <c r="AC267" s="2120" t="str">
        <f>IFERROR(VLOOKUP($B267,AC$109:$AG$208,AC$107,FALSE),"")</f>
        <v/>
      </c>
      <c r="AD267" s="2120" t="str">
        <f>IFERROR(VLOOKUP($B267,AD$109:$AG$208,AD$107,FALSE),"")</f>
        <v>Proline</v>
      </c>
      <c r="AE267" s="2120" t="str">
        <f>IFERROR(VLOOKUP($B267,AE$109:$AG$208,AE$107,FALSE),"")</f>
        <v/>
      </c>
      <c r="AF267" s="2120" t="str">
        <f>IFERROR(VLOOKUP($B267,AF$109:$AG$208,AF$107,FALSE),"")</f>
        <v/>
      </c>
    </row>
    <row r="268" spans="2:32">
      <c r="B268" s="2136">
        <f t="shared" si="20"/>
        <v>54</v>
      </c>
      <c r="F268" s="2120" t="str">
        <f>IFERROR(VLOOKUP($B268,F$109:$AG$208,F$107,FALSE),"")</f>
        <v/>
      </c>
      <c r="G268" s="2120" t="str">
        <f>IFERROR(VLOOKUP($B268,G$109:$AG$208,G$107,FALSE),"")</f>
        <v/>
      </c>
      <c r="H268" s="2120" t="str">
        <f>IFERROR(VLOOKUP($B268,H$109:$AG$208,H$107,FALSE),"")</f>
        <v/>
      </c>
      <c r="I268" s="2120" t="str">
        <f>IFERROR(VLOOKUP($B268,I$109:$AG$208,I$107,FALSE),"")</f>
        <v/>
      </c>
      <c r="J268" s="2120" t="str">
        <f>IFERROR(VLOOKUP($B268,J$109:$AG$208,J$107,FALSE),"")</f>
        <v/>
      </c>
      <c r="K268" s="2120" t="str">
        <f>IFERROR(VLOOKUP($B268,K$109:$AG$208,K$107,FALSE),"")</f>
        <v/>
      </c>
      <c r="L268" s="2120" t="str">
        <f>IFERROR(VLOOKUP($B268,L$109:$AG$208,L$107,FALSE),"")</f>
        <v/>
      </c>
      <c r="M268" s="2120" t="str">
        <f>IFERROR(VLOOKUP($B268,M$109:$AG$208,M$107,FALSE),"")</f>
        <v/>
      </c>
      <c r="N268" s="2120" t="str">
        <f>IFERROR(VLOOKUP($B268,N$109:$AG$208,N$107,FALSE),"")</f>
        <v/>
      </c>
      <c r="O268" s="2120" t="str">
        <f>IFERROR(VLOOKUP($B268,O$109:$AG$208,O$107,FALSE),"")</f>
        <v/>
      </c>
      <c r="P268" s="2120" t="str">
        <f>IFERROR(VLOOKUP($B268,P$109:$AG$208,P$107,FALSE),"")</f>
        <v/>
      </c>
      <c r="Q268" s="2120" t="str">
        <f>IFERROR(VLOOKUP($B268,Q$109:$AG$208,Q$107,FALSE),"")</f>
        <v/>
      </c>
      <c r="R268" s="2120" t="str">
        <f>IFERROR(VLOOKUP($B268,R$109:$AG$208,R$107,FALSE),"")</f>
        <v/>
      </c>
      <c r="S268" s="2120" t="str">
        <f>IFERROR(VLOOKUP($B268,S$109:$AG$208,S$107,FALSE),"")</f>
        <v/>
      </c>
      <c r="T268" s="2120" t="str">
        <f>IFERROR(VLOOKUP($B268,T$109:$AG$208,T$107,FALSE),"")</f>
        <v/>
      </c>
      <c r="U268" s="2120" t="str">
        <f>IFERROR(VLOOKUP($B268,U$109:$AG$208,U$107,FALSE),"")</f>
        <v/>
      </c>
      <c r="V268" s="2120" t="str">
        <f>IFERROR(VLOOKUP($B268,V$109:$AG$208,V$107,FALSE),"")</f>
        <v/>
      </c>
      <c r="W268" s="2120" t="str">
        <f>IFERROR(VLOOKUP($B268,W$109:$AG$208,W$107,FALSE),"")</f>
        <v/>
      </c>
      <c r="X268" s="2120" t="str">
        <f>IFERROR(VLOOKUP($B268,X$109:$AG$208,X$107,FALSE),"")</f>
        <v/>
      </c>
      <c r="Y268" s="2120" t="str">
        <f>IFERROR(VLOOKUP($B268,Y$109:$AG$208,Y$107,FALSE),"")</f>
        <v/>
      </c>
      <c r="Z268" s="2120" t="str">
        <f>IFERROR(VLOOKUP($B268,Z$109:$AG$208,Z$107,FALSE),"")</f>
        <v/>
      </c>
      <c r="AA268" s="2120" t="str">
        <f>IFERROR(VLOOKUP($B268,AA$109:$AG$208,AA$107,FALSE),"")</f>
        <v/>
      </c>
      <c r="AB268" s="2120" t="str">
        <f>IFERROR(VLOOKUP($B268,AB$109:$AG$208,AB$107,FALSE),"")</f>
        <v/>
      </c>
      <c r="AC268" s="2120" t="str">
        <f>IFERROR(VLOOKUP($B268,AC$109:$AG$208,AC$107,FALSE),"")</f>
        <v/>
      </c>
      <c r="AD268" s="2120" t="str">
        <f>IFERROR(VLOOKUP($B268,AD$109:$AG$208,AD$107,FALSE),"")</f>
        <v>Propulse</v>
      </c>
      <c r="AE268" s="2120" t="str">
        <f>IFERROR(VLOOKUP($B268,AE$109:$AG$208,AE$107,FALSE),"")</f>
        <v/>
      </c>
      <c r="AF268" s="2120" t="str">
        <f>IFERROR(VLOOKUP($B268,AF$109:$AG$208,AF$107,FALSE),"")</f>
        <v/>
      </c>
    </row>
    <row r="269" spans="2:32">
      <c r="B269" s="2136">
        <f t="shared" si="20"/>
        <v>55</v>
      </c>
      <c r="F269" s="2120" t="str">
        <f>IFERROR(VLOOKUP($B269,F$109:$AG$208,F$107,FALSE),"")</f>
        <v/>
      </c>
      <c r="G269" s="2120" t="str">
        <f>IFERROR(VLOOKUP($B269,G$109:$AG$208,G$107,FALSE),"")</f>
        <v/>
      </c>
      <c r="H269" s="2120" t="str">
        <f>IFERROR(VLOOKUP($B269,H$109:$AG$208,H$107,FALSE),"")</f>
        <v/>
      </c>
      <c r="I269" s="2120" t="str">
        <f>IFERROR(VLOOKUP($B269,I$109:$AG$208,I$107,FALSE),"")</f>
        <v/>
      </c>
      <c r="J269" s="2120" t="str">
        <f>IFERROR(VLOOKUP($B269,J$109:$AG$208,J$107,FALSE),"")</f>
        <v/>
      </c>
      <c r="K269" s="2120" t="str">
        <f>IFERROR(VLOOKUP($B269,K$109:$AG$208,K$107,FALSE),"")</f>
        <v/>
      </c>
      <c r="L269" s="2120" t="str">
        <f>IFERROR(VLOOKUP($B269,L$109:$AG$208,L$107,FALSE),"")</f>
        <v/>
      </c>
      <c r="M269" s="2120" t="str">
        <f>IFERROR(VLOOKUP($B269,M$109:$AG$208,M$107,FALSE),"")</f>
        <v/>
      </c>
      <c r="N269" s="2120" t="str">
        <f>IFERROR(VLOOKUP($B269,N$109:$AG$208,N$107,FALSE),"")</f>
        <v/>
      </c>
      <c r="O269" s="2120" t="str">
        <f>IFERROR(VLOOKUP($B269,O$109:$AG$208,O$107,FALSE),"")</f>
        <v/>
      </c>
      <c r="P269" s="2120" t="str">
        <f>IFERROR(VLOOKUP($B269,P$109:$AG$208,P$107,FALSE),"")</f>
        <v/>
      </c>
      <c r="Q269" s="2120" t="str">
        <f>IFERROR(VLOOKUP($B269,Q$109:$AG$208,Q$107,FALSE),"")</f>
        <v/>
      </c>
      <c r="R269" s="2120" t="str">
        <f>IFERROR(VLOOKUP($B269,R$109:$AG$208,R$107,FALSE),"")</f>
        <v/>
      </c>
      <c r="S269" s="2120" t="str">
        <f>IFERROR(VLOOKUP($B269,S$109:$AG$208,S$107,FALSE),"")</f>
        <v/>
      </c>
      <c r="T269" s="2120" t="str">
        <f>IFERROR(VLOOKUP($B269,T$109:$AG$208,T$107,FALSE),"")</f>
        <v/>
      </c>
      <c r="U269" s="2120" t="str">
        <f>IFERROR(VLOOKUP($B269,U$109:$AG$208,U$107,FALSE),"")</f>
        <v/>
      </c>
      <c r="V269" s="2120" t="str">
        <f>IFERROR(VLOOKUP($B269,V$109:$AG$208,V$107,FALSE),"")</f>
        <v/>
      </c>
      <c r="W269" s="2120" t="str">
        <f>IFERROR(VLOOKUP($B269,W$109:$AG$208,W$107,FALSE),"")</f>
        <v/>
      </c>
      <c r="X269" s="2120" t="str">
        <f>IFERROR(VLOOKUP($B269,X$109:$AG$208,X$107,FALSE),"")</f>
        <v/>
      </c>
      <c r="Y269" s="2120" t="str">
        <f>IFERROR(VLOOKUP($B269,Y$109:$AG$208,Y$107,FALSE),"")</f>
        <v/>
      </c>
      <c r="Z269" s="2120" t="str">
        <f>IFERROR(VLOOKUP($B269,Z$109:$AG$208,Z$107,FALSE),"")</f>
        <v/>
      </c>
      <c r="AA269" s="2120" t="str">
        <f>IFERROR(VLOOKUP($B269,AA$109:$AG$208,AA$107,FALSE),"")</f>
        <v/>
      </c>
      <c r="AB269" s="2120" t="str">
        <f>IFERROR(VLOOKUP($B269,AB$109:$AG$208,AB$107,FALSE),"")</f>
        <v/>
      </c>
      <c r="AC269" s="2120" t="str">
        <f>IFERROR(VLOOKUP($B269,AC$109:$AG$208,AC$107,FALSE),"")</f>
        <v/>
      </c>
      <c r="AD269" s="2120" t="str">
        <f>IFERROR(VLOOKUP($B269,AD$109:$AG$208,AD$107,FALSE),"")</f>
        <v>Prosaro</v>
      </c>
      <c r="AE269" s="2120" t="str">
        <f>IFERROR(VLOOKUP($B269,AE$109:$AG$208,AE$107,FALSE),"")</f>
        <v/>
      </c>
      <c r="AF269" s="2120" t="str">
        <f>IFERROR(VLOOKUP($B269,AF$109:$AG$208,AF$107,FALSE),"")</f>
        <v/>
      </c>
    </row>
    <row r="270" spans="2:32">
      <c r="B270" s="2136">
        <f t="shared" si="20"/>
        <v>56</v>
      </c>
      <c r="F270" s="2120" t="str">
        <f>IFERROR(VLOOKUP($B270,F$109:$AG$208,F$107,FALSE),"")</f>
        <v/>
      </c>
      <c r="G270" s="2120" t="str">
        <f>IFERROR(VLOOKUP($B270,G$109:$AG$208,G$107,FALSE),"")</f>
        <v/>
      </c>
      <c r="H270" s="2120" t="str">
        <f>IFERROR(VLOOKUP($B270,H$109:$AG$208,H$107,FALSE),"")</f>
        <v/>
      </c>
      <c r="I270" s="2120" t="str">
        <f>IFERROR(VLOOKUP($B270,I$109:$AG$208,I$107,FALSE),"")</f>
        <v/>
      </c>
      <c r="J270" s="2120" t="str">
        <f>IFERROR(VLOOKUP($B270,J$109:$AG$208,J$107,FALSE),"")</f>
        <v/>
      </c>
      <c r="K270" s="2120" t="str">
        <f>IFERROR(VLOOKUP($B270,K$109:$AG$208,K$107,FALSE),"")</f>
        <v/>
      </c>
      <c r="L270" s="2120" t="str">
        <f>IFERROR(VLOOKUP($B270,L$109:$AG$208,L$107,FALSE),"")</f>
        <v/>
      </c>
      <c r="M270" s="2120" t="str">
        <f>IFERROR(VLOOKUP($B270,M$109:$AG$208,M$107,FALSE),"")</f>
        <v/>
      </c>
      <c r="N270" s="2120" t="str">
        <f>IFERROR(VLOOKUP($B270,N$109:$AG$208,N$107,FALSE),"")</f>
        <v/>
      </c>
      <c r="O270" s="2120" t="str">
        <f>IFERROR(VLOOKUP($B270,O$109:$AG$208,O$107,FALSE),"")</f>
        <v/>
      </c>
      <c r="P270" s="2120" t="str">
        <f>IFERROR(VLOOKUP($B270,P$109:$AG$208,P$107,FALSE),"")</f>
        <v/>
      </c>
      <c r="Q270" s="2120" t="str">
        <f>IFERROR(VLOOKUP($B270,Q$109:$AG$208,Q$107,FALSE),"")</f>
        <v/>
      </c>
      <c r="R270" s="2120" t="str">
        <f>IFERROR(VLOOKUP($B270,R$109:$AG$208,R$107,FALSE),"")</f>
        <v/>
      </c>
      <c r="S270" s="2120" t="str">
        <f>IFERROR(VLOOKUP($B270,S$109:$AG$208,S$107,FALSE),"")</f>
        <v/>
      </c>
      <c r="T270" s="2120" t="str">
        <f>IFERROR(VLOOKUP($B270,T$109:$AG$208,T$107,FALSE),"")</f>
        <v/>
      </c>
      <c r="U270" s="2120" t="str">
        <f>IFERROR(VLOOKUP($B270,U$109:$AG$208,U$107,FALSE),"")</f>
        <v/>
      </c>
      <c r="V270" s="2120" t="str">
        <f>IFERROR(VLOOKUP($B270,V$109:$AG$208,V$107,FALSE),"")</f>
        <v/>
      </c>
      <c r="W270" s="2120" t="str">
        <f>IFERROR(VLOOKUP($B270,W$109:$AG$208,W$107,FALSE),"")</f>
        <v/>
      </c>
      <c r="X270" s="2120" t="str">
        <f>IFERROR(VLOOKUP($B270,X$109:$AG$208,X$107,FALSE),"")</f>
        <v/>
      </c>
      <c r="Y270" s="2120" t="str">
        <f>IFERROR(VLOOKUP($B270,Y$109:$AG$208,Y$107,FALSE),"")</f>
        <v/>
      </c>
      <c r="Z270" s="2120" t="str">
        <f>IFERROR(VLOOKUP($B270,Z$109:$AG$208,Z$107,FALSE),"")</f>
        <v/>
      </c>
      <c r="AA270" s="2120" t="str">
        <f>IFERROR(VLOOKUP($B270,AA$109:$AG$208,AA$107,FALSE),"")</f>
        <v/>
      </c>
      <c r="AB270" s="2120" t="str">
        <f>IFERROR(VLOOKUP($B270,AB$109:$AG$208,AB$107,FALSE),"")</f>
        <v/>
      </c>
      <c r="AC270" s="2120" t="str">
        <f>IFERROR(VLOOKUP($B270,AC$109:$AG$208,AC$107,FALSE),"")</f>
        <v/>
      </c>
      <c r="AD270" s="2120" t="str">
        <f>IFERROR(VLOOKUP($B270,AD$109:$AG$208,AD$107,FALSE),"")</f>
        <v>Ranman Top</v>
      </c>
      <c r="AE270" s="2120" t="str">
        <f>IFERROR(VLOOKUP($B270,AE$109:$AG$208,AE$107,FALSE),"")</f>
        <v/>
      </c>
      <c r="AF270" s="2120" t="str">
        <f>IFERROR(VLOOKUP($B270,AF$109:$AG$208,AF$107,FALSE),"")</f>
        <v/>
      </c>
    </row>
    <row r="271" spans="2:32">
      <c r="B271" s="2136">
        <f t="shared" si="20"/>
        <v>57</v>
      </c>
      <c r="F271" s="2120" t="str">
        <f>IFERROR(VLOOKUP($B271,F$109:$AG$208,F$107,FALSE),"")</f>
        <v/>
      </c>
      <c r="G271" s="2120" t="str">
        <f>IFERROR(VLOOKUP($B271,G$109:$AG$208,G$107,FALSE),"")</f>
        <v/>
      </c>
      <c r="H271" s="2120" t="str">
        <f>IFERROR(VLOOKUP($B271,H$109:$AG$208,H$107,FALSE),"")</f>
        <v/>
      </c>
      <c r="I271" s="2120" t="str">
        <f>IFERROR(VLOOKUP($B271,I$109:$AG$208,I$107,FALSE),"")</f>
        <v/>
      </c>
      <c r="J271" s="2120" t="str">
        <f>IFERROR(VLOOKUP($B271,J$109:$AG$208,J$107,FALSE),"")</f>
        <v/>
      </c>
      <c r="K271" s="2120" t="str">
        <f>IFERROR(VLOOKUP($B271,K$109:$AG$208,K$107,FALSE),"")</f>
        <v/>
      </c>
      <c r="L271" s="2120" t="str">
        <f>IFERROR(VLOOKUP($B271,L$109:$AG$208,L$107,FALSE),"")</f>
        <v/>
      </c>
      <c r="M271" s="2120" t="str">
        <f>IFERROR(VLOOKUP($B271,M$109:$AG$208,M$107,FALSE),"")</f>
        <v/>
      </c>
      <c r="N271" s="2120" t="str">
        <f>IFERROR(VLOOKUP($B271,N$109:$AG$208,N$107,FALSE),"")</f>
        <v/>
      </c>
      <c r="O271" s="2120" t="str">
        <f>IFERROR(VLOOKUP($B271,O$109:$AG$208,O$107,FALSE),"")</f>
        <v/>
      </c>
      <c r="P271" s="2120" t="str">
        <f>IFERROR(VLOOKUP($B271,P$109:$AG$208,P$107,FALSE),"")</f>
        <v/>
      </c>
      <c r="Q271" s="2120" t="str">
        <f>IFERROR(VLOOKUP($B271,Q$109:$AG$208,Q$107,FALSE),"")</f>
        <v/>
      </c>
      <c r="R271" s="2120" t="str">
        <f>IFERROR(VLOOKUP($B271,R$109:$AG$208,R$107,FALSE),"")</f>
        <v/>
      </c>
      <c r="S271" s="2120" t="str">
        <f>IFERROR(VLOOKUP($B271,S$109:$AG$208,S$107,FALSE),"")</f>
        <v/>
      </c>
      <c r="T271" s="2120" t="str">
        <f>IFERROR(VLOOKUP($B271,T$109:$AG$208,T$107,FALSE),"")</f>
        <v/>
      </c>
      <c r="U271" s="2120" t="str">
        <f>IFERROR(VLOOKUP($B271,U$109:$AG$208,U$107,FALSE),"")</f>
        <v/>
      </c>
      <c r="V271" s="2120" t="str">
        <f>IFERROR(VLOOKUP($B271,V$109:$AG$208,V$107,FALSE),"")</f>
        <v/>
      </c>
      <c r="W271" s="2120" t="str">
        <f>IFERROR(VLOOKUP($B271,W$109:$AG$208,W$107,FALSE),"")</f>
        <v/>
      </c>
      <c r="X271" s="2120" t="str">
        <f>IFERROR(VLOOKUP($B271,X$109:$AG$208,X$107,FALSE),"")</f>
        <v/>
      </c>
      <c r="Y271" s="2120" t="str">
        <f>IFERROR(VLOOKUP($B271,Y$109:$AG$208,Y$107,FALSE),"")</f>
        <v/>
      </c>
      <c r="Z271" s="2120" t="str">
        <f>IFERROR(VLOOKUP($B271,Z$109:$AG$208,Z$107,FALSE),"")</f>
        <v/>
      </c>
      <c r="AA271" s="2120" t="str">
        <f>IFERROR(VLOOKUP($B271,AA$109:$AG$208,AA$107,FALSE),"")</f>
        <v/>
      </c>
      <c r="AB271" s="2120" t="str">
        <f>IFERROR(VLOOKUP($B271,AB$109:$AG$208,AB$107,FALSE),"")</f>
        <v/>
      </c>
      <c r="AC271" s="2120" t="str">
        <f>IFERROR(VLOOKUP($B271,AC$109:$AG$208,AC$107,FALSE),"")</f>
        <v/>
      </c>
      <c r="AD271" s="2120" t="str">
        <f>IFERROR(VLOOKUP($B271,AD$109:$AG$208,AD$107,FALSE),"")</f>
        <v>Revus</v>
      </c>
      <c r="AE271" s="2120" t="str">
        <f>IFERROR(VLOOKUP($B271,AE$109:$AG$208,AE$107,FALSE),"")</f>
        <v/>
      </c>
      <c r="AF271" s="2120" t="str">
        <f>IFERROR(VLOOKUP($B271,AF$109:$AG$208,AF$107,FALSE),"")</f>
        <v/>
      </c>
    </row>
    <row r="272" spans="2:32">
      <c r="B272" s="2136">
        <f t="shared" si="20"/>
        <v>58</v>
      </c>
      <c r="F272" s="2120" t="str">
        <f>IFERROR(VLOOKUP($B272,F$109:$AG$208,F$107,FALSE),"")</f>
        <v/>
      </c>
      <c r="G272" s="2120" t="str">
        <f>IFERROR(VLOOKUP($B272,G$109:$AG$208,G$107,FALSE),"")</f>
        <v/>
      </c>
      <c r="H272" s="2120" t="str">
        <f>IFERROR(VLOOKUP($B272,H$109:$AG$208,H$107,FALSE),"")</f>
        <v/>
      </c>
      <c r="I272" s="2120" t="str">
        <f>IFERROR(VLOOKUP($B272,I$109:$AG$208,I$107,FALSE),"")</f>
        <v/>
      </c>
      <c r="J272" s="2120" t="str">
        <f>IFERROR(VLOOKUP($B272,J$109:$AG$208,J$107,FALSE),"")</f>
        <v/>
      </c>
      <c r="K272" s="2120" t="str">
        <f>IFERROR(VLOOKUP($B272,K$109:$AG$208,K$107,FALSE),"")</f>
        <v/>
      </c>
      <c r="L272" s="2120" t="str">
        <f>IFERROR(VLOOKUP($B272,L$109:$AG$208,L$107,FALSE),"")</f>
        <v/>
      </c>
      <c r="M272" s="2120" t="str">
        <f>IFERROR(VLOOKUP($B272,M$109:$AG$208,M$107,FALSE),"")</f>
        <v/>
      </c>
      <c r="N272" s="2120" t="str">
        <f>IFERROR(VLOOKUP($B272,N$109:$AG$208,N$107,FALSE),"")</f>
        <v/>
      </c>
      <c r="O272" s="2120" t="str">
        <f>IFERROR(VLOOKUP($B272,O$109:$AG$208,O$107,FALSE),"")</f>
        <v/>
      </c>
      <c r="P272" s="2120" t="str">
        <f>IFERROR(VLOOKUP($B272,P$109:$AG$208,P$107,FALSE),"")</f>
        <v/>
      </c>
      <c r="Q272" s="2120" t="str">
        <f>IFERROR(VLOOKUP($B272,Q$109:$AG$208,Q$107,FALSE),"")</f>
        <v/>
      </c>
      <c r="R272" s="2120" t="str">
        <f>IFERROR(VLOOKUP($B272,R$109:$AG$208,R$107,FALSE),"")</f>
        <v/>
      </c>
      <c r="S272" s="2120" t="str">
        <f>IFERROR(VLOOKUP($B272,S$109:$AG$208,S$107,FALSE),"")</f>
        <v/>
      </c>
      <c r="T272" s="2120" t="str">
        <f>IFERROR(VLOOKUP($B272,T$109:$AG$208,T$107,FALSE),"")</f>
        <v/>
      </c>
      <c r="U272" s="2120" t="str">
        <f>IFERROR(VLOOKUP($B272,U$109:$AG$208,U$107,FALSE),"")</f>
        <v/>
      </c>
      <c r="V272" s="2120" t="str">
        <f>IFERROR(VLOOKUP($B272,V$109:$AG$208,V$107,FALSE),"")</f>
        <v/>
      </c>
      <c r="W272" s="2120" t="str">
        <f>IFERROR(VLOOKUP($B272,W$109:$AG$208,W$107,FALSE),"")</f>
        <v/>
      </c>
      <c r="X272" s="2120" t="str">
        <f>IFERROR(VLOOKUP($B272,X$109:$AG$208,X$107,FALSE),"")</f>
        <v/>
      </c>
      <c r="Y272" s="2120" t="str">
        <f>IFERROR(VLOOKUP($B272,Y$109:$AG$208,Y$107,FALSE),"")</f>
        <v/>
      </c>
      <c r="Z272" s="2120" t="str">
        <f>IFERROR(VLOOKUP($B272,Z$109:$AG$208,Z$107,FALSE),"")</f>
        <v/>
      </c>
      <c r="AA272" s="2120" t="str">
        <f>IFERROR(VLOOKUP($B272,AA$109:$AG$208,AA$107,FALSE),"")</f>
        <v/>
      </c>
      <c r="AB272" s="2120" t="str">
        <f>IFERROR(VLOOKUP($B272,AB$109:$AG$208,AB$107,FALSE),"")</f>
        <v/>
      </c>
      <c r="AC272" s="2120" t="str">
        <f>IFERROR(VLOOKUP($B272,AC$109:$AG$208,AC$107,FALSE),"")</f>
        <v/>
      </c>
      <c r="AD272" s="2120" t="str">
        <f>IFERROR(VLOOKUP($B272,AD$109:$AG$208,AD$107,FALSE),"")</f>
        <v>Roundup Power Flex</v>
      </c>
      <c r="AE272" s="2120" t="str">
        <f>IFERROR(VLOOKUP($B272,AE$109:$AG$208,AE$107,FALSE),"")</f>
        <v/>
      </c>
      <c r="AF272" s="2120" t="str">
        <f>IFERROR(VLOOKUP($B272,AF$109:$AG$208,AF$107,FALSE),"")</f>
        <v/>
      </c>
    </row>
    <row r="273" spans="2:32">
      <c r="B273" s="2136">
        <f t="shared" si="20"/>
        <v>59</v>
      </c>
      <c r="F273" s="2120" t="str">
        <f>IFERROR(VLOOKUP($B273,F$109:$AG$208,F$107,FALSE),"")</f>
        <v/>
      </c>
      <c r="G273" s="2120" t="str">
        <f>IFERROR(VLOOKUP($B273,G$109:$AG$208,G$107,FALSE),"")</f>
        <v/>
      </c>
      <c r="H273" s="2120" t="str">
        <f>IFERROR(VLOOKUP($B273,H$109:$AG$208,H$107,FALSE),"")</f>
        <v/>
      </c>
      <c r="I273" s="2120" t="str">
        <f>IFERROR(VLOOKUP($B273,I$109:$AG$208,I$107,FALSE),"")</f>
        <v/>
      </c>
      <c r="J273" s="2120" t="str">
        <f>IFERROR(VLOOKUP($B273,J$109:$AG$208,J$107,FALSE),"")</f>
        <v/>
      </c>
      <c r="K273" s="2120" t="str">
        <f>IFERROR(VLOOKUP($B273,K$109:$AG$208,K$107,FALSE),"")</f>
        <v/>
      </c>
      <c r="L273" s="2120" t="str">
        <f>IFERROR(VLOOKUP($B273,L$109:$AG$208,L$107,FALSE),"")</f>
        <v/>
      </c>
      <c r="M273" s="2120" t="str">
        <f>IFERROR(VLOOKUP($B273,M$109:$AG$208,M$107,FALSE),"")</f>
        <v/>
      </c>
      <c r="N273" s="2120" t="str">
        <f>IFERROR(VLOOKUP($B273,N$109:$AG$208,N$107,FALSE),"")</f>
        <v/>
      </c>
      <c r="O273" s="2120" t="str">
        <f>IFERROR(VLOOKUP($B273,O$109:$AG$208,O$107,FALSE),"")</f>
        <v/>
      </c>
      <c r="P273" s="2120" t="str">
        <f>IFERROR(VLOOKUP($B273,P$109:$AG$208,P$107,FALSE),"")</f>
        <v/>
      </c>
      <c r="Q273" s="2120" t="str">
        <f>IFERROR(VLOOKUP($B273,Q$109:$AG$208,Q$107,FALSE),"")</f>
        <v/>
      </c>
      <c r="R273" s="2120" t="str">
        <f>IFERROR(VLOOKUP($B273,R$109:$AG$208,R$107,FALSE),"")</f>
        <v/>
      </c>
      <c r="S273" s="2120" t="str">
        <f>IFERROR(VLOOKUP($B273,S$109:$AG$208,S$107,FALSE),"")</f>
        <v/>
      </c>
      <c r="T273" s="2120" t="str">
        <f>IFERROR(VLOOKUP($B273,T$109:$AG$208,T$107,FALSE),"")</f>
        <v/>
      </c>
      <c r="U273" s="2120" t="str">
        <f>IFERROR(VLOOKUP($B273,U$109:$AG$208,U$107,FALSE),"")</f>
        <v/>
      </c>
      <c r="V273" s="2120" t="str">
        <f>IFERROR(VLOOKUP($B273,V$109:$AG$208,V$107,FALSE),"")</f>
        <v/>
      </c>
      <c r="W273" s="2120" t="str">
        <f>IFERROR(VLOOKUP($B273,W$109:$AG$208,W$107,FALSE),"")</f>
        <v/>
      </c>
      <c r="X273" s="2120" t="str">
        <f>IFERROR(VLOOKUP($B273,X$109:$AG$208,X$107,FALSE),"")</f>
        <v/>
      </c>
      <c r="Y273" s="2120" t="str">
        <f>IFERROR(VLOOKUP($B273,Y$109:$AG$208,Y$107,FALSE),"")</f>
        <v/>
      </c>
      <c r="Z273" s="2120" t="str">
        <f>IFERROR(VLOOKUP($B273,Z$109:$AG$208,Z$107,FALSE),"")</f>
        <v/>
      </c>
      <c r="AA273" s="2120" t="str">
        <f>IFERROR(VLOOKUP($B273,AA$109:$AG$208,AA$107,FALSE),"")</f>
        <v/>
      </c>
      <c r="AB273" s="2120" t="str">
        <f>IFERROR(VLOOKUP($B273,AB$109:$AG$208,AB$107,FALSE),"")</f>
        <v/>
      </c>
      <c r="AC273" s="2120" t="str">
        <f>IFERROR(VLOOKUP($B273,AC$109:$AG$208,AC$107,FALSE),"")</f>
        <v/>
      </c>
      <c r="AD273" s="2120" t="str">
        <f>IFERROR(VLOOKUP($B273,AD$109:$AG$208,AD$107,FALSE),"")</f>
        <v>Roundup Rekord</v>
      </c>
      <c r="AE273" s="2120" t="str">
        <f>IFERROR(VLOOKUP($B273,AE$109:$AG$208,AE$107,FALSE),"")</f>
        <v/>
      </c>
      <c r="AF273" s="2120" t="str">
        <f>IFERROR(VLOOKUP($B273,AF$109:$AG$208,AF$107,FALSE),"")</f>
        <v/>
      </c>
    </row>
    <row r="274" spans="2:32">
      <c r="B274" s="2136">
        <f t="shared" si="20"/>
        <v>60</v>
      </c>
      <c r="F274" s="2120" t="str">
        <f>IFERROR(VLOOKUP($B274,F$109:$AG$208,F$107,FALSE),"")</f>
        <v/>
      </c>
      <c r="G274" s="2120" t="str">
        <f>IFERROR(VLOOKUP($B274,G$109:$AG$208,G$107,FALSE),"")</f>
        <v/>
      </c>
      <c r="H274" s="2120" t="str">
        <f>IFERROR(VLOOKUP($B274,H$109:$AG$208,H$107,FALSE),"")</f>
        <v/>
      </c>
      <c r="I274" s="2120" t="str">
        <f>IFERROR(VLOOKUP($B274,I$109:$AG$208,I$107,FALSE),"")</f>
        <v/>
      </c>
      <c r="J274" s="2120" t="str">
        <f>IFERROR(VLOOKUP($B274,J$109:$AG$208,J$107,FALSE),"")</f>
        <v/>
      </c>
      <c r="K274" s="2120" t="str">
        <f>IFERROR(VLOOKUP($B274,K$109:$AG$208,K$107,FALSE),"")</f>
        <v/>
      </c>
      <c r="L274" s="2120" t="str">
        <f>IFERROR(VLOOKUP($B274,L$109:$AG$208,L$107,FALSE),"")</f>
        <v/>
      </c>
      <c r="M274" s="2120" t="str">
        <f>IFERROR(VLOOKUP($B274,M$109:$AG$208,M$107,FALSE),"")</f>
        <v/>
      </c>
      <c r="N274" s="2120" t="str">
        <f>IFERROR(VLOOKUP($B274,N$109:$AG$208,N$107,FALSE),"")</f>
        <v/>
      </c>
      <c r="O274" s="2120" t="str">
        <f>IFERROR(VLOOKUP($B274,O$109:$AG$208,O$107,FALSE),"")</f>
        <v/>
      </c>
      <c r="P274" s="2120" t="str">
        <f>IFERROR(VLOOKUP($B274,P$109:$AG$208,P$107,FALSE),"")</f>
        <v/>
      </c>
      <c r="Q274" s="2120" t="str">
        <f>IFERROR(VLOOKUP($B274,Q$109:$AG$208,Q$107,FALSE),"")</f>
        <v/>
      </c>
      <c r="R274" s="2120" t="str">
        <f>IFERROR(VLOOKUP($B274,R$109:$AG$208,R$107,FALSE),"")</f>
        <v/>
      </c>
      <c r="S274" s="2120" t="str">
        <f>IFERROR(VLOOKUP($B274,S$109:$AG$208,S$107,FALSE),"")</f>
        <v/>
      </c>
      <c r="T274" s="2120" t="str">
        <f>IFERROR(VLOOKUP($B274,T$109:$AG$208,T$107,FALSE),"")</f>
        <v/>
      </c>
      <c r="U274" s="2120" t="str">
        <f>IFERROR(VLOOKUP($B274,U$109:$AG$208,U$107,FALSE),"")</f>
        <v/>
      </c>
      <c r="V274" s="2120" t="str">
        <f>IFERROR(VLOOKUP($B274,V$109:$AG$208,V$107,FALSE),"")</f>
        <v/>
      </c>
      <c r="W274" s="2120" t="str">
        <f>IFERROR(VLOOKUP($B274,W$109:$AG$208,W$107,FALSE),"")</f>
        <v/>
      </c>
      <c r="X274" s="2120" t="str">
        <f>IFERROR(VLOOKUP($B274,X$109:$AG$208,X$107,FALSE),"")</f>
        <v/>
      </c>
      <c r="Y274" s="2120" t="str">
        <f>IFERROR(VLOOKUP($B274,Y$109:$AG$208,Y$107,FALSE),"")</f>
        <v/>
      </c>
      <c r="Z274" s="2120" t="str">
        <f>IFERROR(VLOOKUP($B274,Z$109:$AG$208,Z$107,FALSE),"")</f>
        <v/>
      </c>
      <c r="AA274" s="2120" t="str">
        <f>IFERROR(VLOOKUP($B274,AA$109:$AG$208,AA$107,FALSE),"")</f>
        <v/>
      </c>
      <c r="AB274" s="2120" t="str">
        <f>IFERROR(VLOOKUP($B274,AB$109:$AG$208,AB$107,FALSE),"")</f>
        <v/>
      </c>
      <c r="AC274" s="2120" t="str">
        <f>IFERROR(VLOOKUP($B274,AC$109:$AG$208,AC$107,FALSE),"")</f>
        <v/>
      </c>
      <c r="AD274" s="2120" t="str">
        <f>IFERROR(VLOOKUP($B274,AD$109:$AG$208,AD$107,FALSE),"")</f>
        <v>Revytrex</v>
      </c>
      <c r="AE274" s="2120" t="str">
        <f>IFERROR(VLOOKUP($B274,AE$109:$AG$208,AE$107,FALSE),"")</f>
        <v/>
      </c>
      <c r="AF274" s="2120" t="str">
        <f>IFERROR(VLOOKUP($B274,AF$109:$AG$208,AF$107,FALSE),"")</f>
        <v/>
      </c>
    </row>
    <row r="275" spans="2:32">
      <c r="B275" s="2136">
        <f t="shared" si="20"/>
        <v>61</v>
      </c>
      <c r="F275" s="2120" t="str">
        <f>IFERROR(VLOOKUP($B275,F$109:$AG$208,F$107,FALSE),"")</f>
        <v/>
      </c>
      <c r="G275" s="2120" t="str">
        <f>IFERROR(VLOOKUP($B275,G$109:$AG$208,G$107,FALSE),"")</f>
        <v/>
      </c>
      <c r="H275" s="2120" t="str">
        <f>IFERROR(VLOOKUP($B275,H$109:$AG$208,H$107,FALSE),"")</f>
        <v/>
      </c>
      <c r="I275" s="2120" t="str">
        <f>IFERROR(VLOOKUP($B275,I$109:$AG$208,I$107,FALSE),"")</f>
        <v/>
      </c>
      <c r="J275" s="2120" t="str">
        <f>IFERROR(VLOOKUP($B275,J$109:$AG$208,J$107,FALSE),"")</f>
        <v/>
      </c>
      <c r="K275" s="2120" t="str">
        <f>IFERROR(VLOOKUP($B275,K$109:$AG$208,K$107,FALSE),"")</f>
        <v/>
      </c>
      <c r="L275" s="2120" t="str">
        <f>IFERROR(VLOOKUP($B275,L$109:$AG$208,L$107,FALSE),"")</f>
        <v/>
      </c>
      <c r="M275" s="2120" t="str">
        <f>IFERROR(VLOOKUP($B275,M$109:$AG$208,M$107,FALSE),"")</f>
        <v/>
      </c>
      <c r="N275" s="2120" t="str">
        <f>IFERROR(VLOOKUP($B275,N$109:$AG$208,N$107,FALSE),"")</f>
        <v/>
      </c>
      <c r="O275" s="2120" t="str">
        <f>IFERROR(VLOOKUP($B275,O$109:$AG$208,O$107,FALSE),"")</f>
        <v/>
      </c>
      <c r="P275" s="2120" t="str">
        <f>IFERROR(VLOOKUP($B275,P$109:$AG$208,P$107,FALSE),"")</f>
        <v/>
      </c>
      <c r="Q275" s="2120" t="str">
        <f>IFERROR(VLOOKUP($B275,Q$109:$AG$208,Q$107,FALSE),"")</f>
        <v/>
      </c>
      <c r="R275" s="2120" t="str">
        <f>IFERROR(VLOOKUP($B275,R$109:$AG$208,R$107,FALSE),"")</f>
        <v/>
      </c>
      <c r="S275" s="2120" t="str">
        <f>IFERROR(VLOOKUP($B275,S$109:$AG$208,S$107,FALSE),"")</f>
        <v/>
      </c>
      <c r="T275" s="2120" t="str">
        <f>IFERROR(VLOOKUP($B275,T$109:$AG$208,T$107,FALSE),"")</f>
        <v/>
      </c>
      <c r="U275" s="2120" t="str">
        <f>IFERROR(VLOOKUP($B275,U$109:$AG$208,U$107,FALSE),"")</f>
        <v/>
      </c>
      <c r="V275" s="2120" t="str">
        <f>IFERROR(VLOOKUP($B275,V$109:$AG$208,V$107,FALSE),"")</f>
        <v/>
      </c>
      <c r="W275" s="2120" t="str">
        <f>IFERROR(VLOOKUP($B275,W$109:$AG$208,W$107,FALSE),"")</f>
        <v/>
      </c>
      <c r="X275" s="2120" t="str">
        <f>IFERROR(VLOOKUP($B275,X$109:$AG$208,X$107,FALSE),"")</f>
        <v/>
      </c>
      <c r="Y275" s="2120" t="str">
        <f>IFERROR(VLOOKUP($B275,Y$109:$AG$208,Y$107,FALSE),"")</f>
        <v/>
      </c>
      <c r="Z275" s="2120" t="str">
        <f>IFERROR(VLOOKUP($B275,Z$109:$AG$208,Z$107,FALSE),"")</f>
        <v/>
      </c>
      <c r="AA275" s="2120" t="str">
        <f>IFERROR(VLOOKUP($B275,AA$109:$AG$208,AA$107,FALSE),"")</f>
        <v/>
      </c>
      <c r="AB275" s="2120" t="str">
        <f>IFERROR(VLOOKUP($B275,AB$109:$AG$208,AB$107,FALSE),"")</f>
        <v/>
      </c>
      <c r="AC275" s="2120" t="str">
        <f>IFERROR(VLOOKUP($B275,AC$109:$AG$208,AC$107,FALSE),"")</f>
        <v/>
      </c>
      <c r="AD275" s="2120" t="str">
        <f>IFERROR(VLOOKUP($B275,AD$109:$AG$208,AD$107,FALSE),"")</f>
        <v>Comet</v>
      </c>
      <c r="AE275" s="2120" t="str">
        <f>IFERROR(VLOOKUP($B275,AE$109:$AG$208,AE$107,FALSE),"")</f>
        <v/>
      </c>
      <c r="AF275" s="2120" t="str">
        <f>IFERROR(VLOOKUP($B275,AF$109:$AG$208,AF$107,FALSE),"")</f>
        <v/>
      </c>
    </row>
    <row r="276" spans="2:32">
      <c r="B276" s="2136">
        <f t="shared" si="20"/>
        <v>62</v>
      </c>
      <c r="F276" s="2120" t="str">
        <f>IFERROR(VLOOKUP($B276,F$109:$AG$208,F$107,FALSE),"")</f>
        <v/>
      </c>
      <c r="G276" s="2120" t="str">
        <f>IFERROR(VLOOKUP($B276,G$109:$AG$208,G$107,FALSE),"")</f>
        <v/>
      </c>
      <c r="H276" s="2120" t="str">
        <f>IFERROR(VLOOKUP($B276,H$109:$AG$208,H$107,FALSE),"")</f>
        <v/>
      </c>
      <c r="I276" s="2120" t="str">
        <f>IFERROR(VLOOKUP($B276,I$109:$AG$208,I$107,FALSE),"")</f>
        <v/>
      </c>
      <c r="J276" s="2120" t="str">
        <f>IFERROR(VLOOKUP($B276,J$109:$AG$208,J$107,FALSE),"")</f>
        <v/>
      </c>
      <c r="K276" s="2120" t="str">
        <f>IFERROR(VLOOKUP($B276,K$109:$AG$208,K$107,FALSE),"")</f>
        <v/>
      </c>
      <c r="L276" s="2120" t="str">
        <f>IFERROR(VLOOKUP($B276,L$109:$AG$208,L$107,FALSE),"")</f>
        <v/>
      </c>
      <c r="M276" s="2120" t="str">
        <f>IFERROR(VLOOKUP($B276,M$109:$AG$208,M$107,FALSE),"")</f>
        <v/>
      </c>
      <c r="N276" s="2120" t="str">
        <f>IFERROR(VLOOKUP($B276,N$109:$AG$208,N$107,FALSE),"")</f>
        <v/>
      </c>
      <c r="O276" s="2120" t="str">
        <f>IFERROR(VLOOKUP($B276,O$109:$AG$208,O$107,FALSE),"")</f>
        <v/>
      </c>
      <c r="P276" s="2120" t="str">
        <f>IFERROR(VLOOKUP($B276,P$109:$AG$208,P$107,FALSE),"")</f>
        <v/>
      </c>
      <c r="Q276" s="2120" t="str">
        <f>IFERROR(VLOOKUP($B276,Q$109:$AG$208,Q$107,FALSE),"")</f>
        <v/>
      </c>
      <c r="R276" s="2120" t="str">
        <f>IFERROR(VLOOKUP($B276,R$109:$AG$208,R$107,FALSE),"")</f>
        <v/>
      </c>
      <c r="S276" s="2120" t="str">
        <f>IFERROR(VLOOKUP($B276,S$109:$AG$208,S$107,FALSE),"")</f>
        <v/>
      </c>
      <c r="T276" s="2120" t="str">
        <f>IFERROR(VLOOKUP($B276,T$109:$AG$208,T$107,FALSE),"")</f>
        <v/>
      </c>
      <c r="U276" s="2120" t="str">
        <f>IFERROR(VLOOKUP($B276,U$109:$AG$208,U$107,FALSE),"")</f>
        <v/>
      </c>
      <c r="V276" s="2120" t="str">
        <f>IFERROR(VLOOKUP($B276,V$109:$AG$208,V$107,FALSE),"")</f>
        <v/>
      </c>
      <c r="W276" s="2120" t="str">
        <f>IFERROR(VLOOKUP($B276,W$109:$AG$208,W$107,FALSE),"")</f>
        <v/>
      </c>
      <c r="X276" s="2120" t="str">
        <f>IFERROR(VLOOKUP($B276,X$109:$AG$208,X$107,FALSE),"")</f>
        <v/>
      </c>
      <c r="Y276" s="2120" t="str">
        <f>IFERROR(VLOOKUP($B276,Y$109:$AG$208,Y$107,FALSE),"")</f>
        <v/>
      </c>
      <c r="Z276" s="2120" t="str">
        <f>IFERROR(VLOOKUP($B276,Z$109:$AG$208,Z$107,FALSE),"")</f>
        <v/>
      </c>
      <c r="AA276" s="2120" t="str">
        <f>IFERROR(VLOOKUP($B276,AA$109:$AG$208,AA$107,FALSE),"")</f>
        <v/>
      </c>
      <c r="AB276" s="2120" t="str">
        <f>IFERROR(VLOOKUP($B276,AB$109:$AG$208,AB$107,FALSE),"")</f>
        <v/>
      </c>
      <c r="AC276" s="2120" t="str">
        <f>IFERROR(VLOOKUP($B276,AC$109:$AG$208,AC$107,FALSE),"")</f>
        <v/>
      </c>
      <c r="AD276" s="2120" t="str">
        <f>IFERROR(VLOOKUP($B276,AD$109:$AG$208,AD$107,FALSE),"")</f>
        <v>Select 240 EC</v>
      </c>
      <c r="AE276" s="2120" t="str">
        <f>IFERROR(VLOOKUP($B276,AE$109:$AG$208,AE$107,FALSE),"")</f>
        <v/>
      </c>
      <c r="AF276" s="2120" t="str">
        <f>IFERROR(VLOOKUP($B276,AF$109:$AG$208,AF$107,FALSE),"")</f>
        <v/>
      </c>
    </row>
    <row r="277" spans="2:32">
      <c r="B277" s="2136">
        <f t="shared" si="20"/>
        <v>63</v>
      </c>
      <c r="F277" s="2120" t="str">
        <f>IFERROR(VLOOKUP($B277,F$109:$AG$208,F$107,FALSE),"")</f>
        <v/>
      </c>
      <c r="G277" s="2120" t="str">
        <f>IFERROR(VLOOKUP($B277,G$109:$AG$208,G$107,FALSE),"")</f>
        <v/>
      </c>
      <c r="H277" s="2120" t="str">
        <f>IFERROR(VLOOKUP($B277,H$109:$AG$208,H$107,FALSE),"")</f>
        <v/>
      </c>
      <c r="I277" s="2120" t="str">
        <f>IFERROR(VLOOKUP($B277,I$109:$AG$208,I$107,FALSE),"")</f>
        <v/>
      </c>
      <c r="J277" s="2120" t="str">
        <f>IFERROR(VLOOKUP($B277,J$109:$AG$208,J$107,FALSE),"")</f>
        <v/>
      </c>
      <c r="K277" s="2120" t="str">
        <f>IFERROR(VLOOKUP($B277,K$109:$AG$208,K$107,FALSE),"")</f>
        <v/>
      </c>
      <c r="L277" s="2120" t="str">
        <f>IFERROR(VLOOKUP($B277,L$109:$AG$208,L$107,FALSE),"")</f>
        <v/>
      </c>
      <c r="M277" s="2120" t="str">
        <f>IFERROR(VLOOKUP($B277,M$109:$AG$208,M$107,FALSE),"")</f>
        <v/>
      </c>
      <c r="N277" s="2120" t="str">
        <f>IFERROR(VLOOKUP($B277,N$109:$AG$208,N$107,FALSE),"")</f>
        <v/>
      </c>
      <c r="O277" s="2120" t="str">
        <f>IFERROR(VLOOKUP($B277,O$109:$AG$208,O$107,FALSE),"")</f>
        <v/>
      </c>
      <c r="P277" s="2120" t="str">
        <f>IFERROR(VLOOKUP($B277,P$109:$AG$208,P$107,FALSE),"")</f>
        <v/>
      </c>
      <c r="Q277" s="2120" t="str">
        <f>IFERROR(VLOOKUP($B277,Q$109:$AG$208,Q$107,FALSE),"")</f>
        <v/>
      </c>
      <c r="R277" s="2120" t="str">
        <f>IFERROR(VLOOKUP($B277,R$109:$AG$208,R$107,FALSE),"")</f>
        <v/>
      </c>
      <c r="S277" s="2120" t="str">
        <f>IFERROR(VLOOKUP($B277,S$109:$AG$208,S$107,FALSE),"")</f>
        <v/>
      </c>
      <c r="T277" s="2120" t="str">
        <f>IFERROR(VLOOKUP($B277,T$109:$AG$208,T$107,FALSE),"")</f>
        <v/>
      </c>
      <c r="U277" s="2120" t="str">
        <f>IFERROR(VLOOKUP($B277,U$109:$AG$208,U$107,FALSE),"")</f>
        <v/>
      </c>
      <c r="V277" s="2120" t="str">
        <f>IFERROR(VLOOKUP($B277,V$109:$AG$208,V$107,FALSE),"")</f>
        <v/>
      </c>
      <c r="W277" s="2120" t="str">
        <f>IFERROR(VLOOKUP($B277,W$109:$AG$208,W$107,FALSE),"")</f>
        <v/>
      </c>
      <c r="X277" s="2120" t="str">
        <f>IFERROR(VLOOKUP($B277,X$109:$AG$208,X$107,FALSE),"")</f>
        <v/>
      </c>
      <c r="Y277" s="2120" t="str">
        <f>IFERROR(VLOOKUP($B277,Y$109:$AG$208,Y$107,FALSE),"")</f>
        <v/>
      </c>
      <c r="Z277" s="2120" t="str">
        <f>IFERROR(VLOOKUP($B277,Z$109:$AG$208,Z$107,FALSE),"")</f>
        <v/>
      </c>
      <c r="AA277" s="2120" t="str">
        <f>IFERROR(VLOOKUP($B277,AA$109:$AG$208,AA$107,FALSE),"")</f>
        <v/>
      </c>
      <c r="AB277" s="2120" t="str">
        <f>IFERROR(VLOOKUP($B277,AB$109:$AG$208,AB$107,FALSE),"")</f>
        <v/>
      </c>
      <c r="AC277" s="2120" t="str">
        <f>IFERROR(VLOOKUP($B277,AC$109:$AG$208,AC$107,FALSE),"")</f>
        <v/>
      </c>
      <c r="AD277" s="2120" t="str">
        <f>IFERROR(VLOOKUP($B277,AD$109:$AG$208,AD$107,FALSE),"")</f>
        <v>Sencor Liquid</v>
      </c>
      <c r="AE277" s="2120" t="str">
        <f>IFERROR(VLOOKUP($B277,AE$109:$AG$208,AE$107,FALSE),"")</f>
        <v/>
      </c>
      <c r="AF277" s="2120" t="str">
        <f>IFERROR(VLOOKUP($B277,AF$109:$AG$208,AF$107,FALSE),"")</f>
        <v/>
      </c>
    </row>
    <row r="278" spans="2:32">
      <c r="B278" s="2136">
        <f t="shared" si="20"/>
        <v>64</v>
      </c>
      <c r="F278" s="2120" t="str">
        <f>IFERROR(VLOOKUP($B278,F$109:$AG$208,F$107,FALSE),"")</f>
        <v/>
      </c>
      <c r="G278" s="2120" t="str">
        <f>IFERROR(VLOOKUP($B278,G$109:$AG$208,G$107,FALSE),"")</f>
        <v/>
      </c>
      <c r="H278" s="2120" t="str">
        <f>IFERROR(VLOOKUP($B278,H$109:$AG$208,H$107,FALSE),"")</f>
        <v/>
      </c>
      <c r="I278" s="2120" t="str">
        <f>IFERROR(VLOOKUP($B278,I$109:$AG$208,I$107,FALSE),"")</f>
        <v/>
      </c>
      <c r="J278" s="2120" t="str">
        <f>IFERROR(VLOOKUP($B278,J$109:$AG$208,J$107,FALSE),"")</f>
        <v/>
      </c>
      <c r="K278" s="2120" t="str">
        <f>IFERROR(VLOOKUP($B278,K$109:$AG$208,K$107,FALSE),"")</f>
        <v/>
      </c>
      <c r="L278" s="2120" t="str">
        <f>IFERROR(VLOOKUP($B278,L$109:$AG$208,L$107,FALSE),"")</f>
        <v/>
      </c>
      <c r="M278" s="2120" t="str">
        <f>IFERROR(VLOOKUP($B278,M$109:$AG$208,M$107,FALSE),"")</f>
        <v/>
      </c>
      <c r="N278" s="2120" t="str">
        <f>IFERROR(VLOOKUP($B278,N$109:$AG$208,N$107,FALSE),"")</f>
        <v/>
      </c>
      <c r="O278" s="2120" t="str">
        <f>IFERROR(VLOOKUP($B278,O$109:$AG$208,O$107,FALSE),"")</f>
        <v/>
      </c>
      <c r="P278" s="2120" t="str">
        <f>IFERROR(VLOOKUP($B278,P$109:$AG$208,P$107,FALSE),"")</f>
        <v/>
      </c>
      <c r="Q278" s="2120" t="str">
        <f>IFERROR(VLOOKUP($B278,Q$109:$AG$208,Q$107,FALSE),"")</f>
        <v/>
      </c>
      <c r="R278" s="2120" t="str">
        <f>IFERROR(VLOOKUP($B278,R$109:$AG$208,R$107,FALSE),"")</f>
        <v/>
      </c>
      <c r="S278" s="2120" t="str">
        <f>IFERROR(VLOOKUP($B278,S$109:$AG$208,S$107,FALSE),"")</f>
        <v/>
      </c>
      <c r="T278" s="2120" t="str">
        <f>IFERROR(VLOOKUP($B278,T$109:$AG$208,T$107,FALSE),"")</f>
        <v/>
      </c>
      <c r="U278" s="2120" t="str">
        <f>IFERROR(VLOOKUP($B278,U$109:$AG$208,U$107,FALSE),"")</f>
        <v/>
      </c>
      <c r="V278" s="2120" t="str">
        <f>IFERROR(VLOOKUP($B278,V$109:$AG$208,V$107,FALSE),"")</f>
        <v/>
      </c>
      <c r="W278" s="2120" t="str">
        <f>IFERROR(VLOOKUP($B278,W$109:$AG$208,W$107,FALSE),"")</f>
        <v/>
      </c>
      <c r="X278" s="2120" t="str">
        <f>IFERROR(VLOOKUP($B278,X$109:$AG$208,X$107,FALSE),"")</f>
        <v/>
      </c>
      <c r="Y278" s="2120" t="str">
        <f>IFERROR(VLOOKUP($B278,Y$109:$AG$208,Y$107,FALSE),"")</f>
        <v/>
      </c>
      <c r="Z278" s="2120" t="str">
        <f>IFERROR(VLOOKUP($B278,Z$109:$AG$208,Z$107,FALSE),"")</f>
        <v/>
      </c>
      <c r="AA278" s="2120" t="str">
        <f>IFERROR(VLOOKUP($B278,AA$109:$AG$208,AA$107,FALSE),"")</f>
        <v/>
      </c>
      <c r="AB278" s="2120" t="str">
        <f>IFERROR(VLOOKUP($B278,AB$109:$AG$208,AB$107,FALSE),"")</f>
        <v/>
      </c>
      <c r="AC278" s="2120" t="str">
        <f>IFERROR(VLOOKUP($B278,AC$109:$AG$208,AC$107,FALSE),"")</f>
        <v/>
      </c>
      <c r="AD278" s="2120" t="str">
        <f>IFERROR(VLOOKUP($B278,AD$109:$AG$208,AD$107,FALSE),"")</f>
        <v>Shirlan</v>
      </c>
      <c r="AE278" s="2120" t="str">
        <f>IFERROR(VLOOKUP($B278,AE$109:$AG$208,AE$107,FALSE),"")</f>
        <v/>
      </c>
      <c r="AF278" s="2120" t="str">
        <f>IFERROR(VLOOKUP($B278,AF$109:$AG$208,AF$107,FALSE),"")</f>
        <v/>
      </c>
    </row>
    <row r="279" spans="2:32">
      <c r="B279" s="2136">
        <f t="shared" ref="B279:B313" si="21">B278+1</f>
        <v>65</v>
      </c>
      <c r="F279" s="2120" t="str">
        <f>IFERROR(VLOOKUP($B279,F$109:$AG$208,F$107,FALSE),"")</f>
        <v/>
      </c>
      <c r="G279" s="2120" t="str">
        <f>IFERROR(VLOOKUP($B279,G$109:$AG$208,G$107,FALSE),"")</f>
        <v/>
      </c>
      <c r="H279" s="2120" t="str">
        <f>IFERROR(VLOOKUP($B279,H$109:$AG$208,H$107,FALSE),"")</f>
        <v/>
      </c>
      <c r="I279" s="2120" t="str">
        <f>IFERROR(VLOOKUP($B279,I$109:$AG$208,I$107,FALSE),"")</f>
        <v/>
      </c>
      <c r="J279" s="2120" t="str">
        <f>IFERROR(VLOOKUP($B279,J$109:$AG$208,J$107,FALSE),"")</f>
        <v/>
      </c>
      <c r="K279" s="2120" t="str">
        <f>IFERROR(VLOOKUP($B279,K$109:$AG$208,K$107,FALSE),"")</f>
        <v/>
      </c>
      <c r="L279" s="2120" t="str">
        <f>IFERROR(VLOOKUP($B279,L$109:$AG$208,L$107,FALSE),"")</f>
        <v/>
      </c>
      <c r="M279" s="2120" t="str">
        <f>IFERROR(VLOOKUP($B279,M$109:$AG$208,M$107,FALSE),"")</f>
        <v/>
      </c>
      <c r="N279" s="2120" t="str">
        <f>IFERROR(VLOOKUP($B279,N$109:$AG$208,N$107,FALSE),"")</f>
        <v/>
      </c>
      <c r="O279" s="2120" t="str">
        <f>IFERROR(VLOOKUP($B279,O$109:$AG$208,O$107,FALSE),"")</f>
        <v/>
      </c>
      <c r="P279" s="2120" t="str">
        <f>IFERROR(VLOOKUP($B279,P$109:$AG$208,P$107,FALSE),"")</f>
        <v/>
      </c>
      <c r="Q279" s="2120" t="str">
        <f>IFERROR(VLOOKUP($B279,Q$109:$AG$208,Q$107,FALSE),"")</f>
        <v/>
      </c>
      <c r="R279" s="2120" t="str">
        <f>IFERROR(VLOOKUP($B279,R$109:$AG$208,R$107,FALSE),"")</f>
        <v/>
      </c>
      <c r="S279" s="2120" t="str">
        <f>IFERROR(VLOOKUP($B279,S$109:$AG$208,S$107,FALSE),"")</f>
        <v/>
      </c>
      <c r="T279" s="2120" t="str">
        <f>IFERROR(VLOOKUP($B279,T$109:$AG$208,T$107,FALSE),"")</f>
        <v/>
      </c>
      <c r="U279" s="2120" t="str">
        <f>IFERROR(VLOOKUP($B279,U$109:$AG$208,U$107,FALSE),"")</f>
        <v/>
      </c>
      <c r="V279" s="2120" t="str">
        <f>IFERROR(VLOOKUP($B279,V$109:$AG$208,V$107,FALSE),"")</f>
        <v/>
      </c>
      <c r="W279" s="2120" t="str">
        <f>IFERROR(VLOOKUP($B279,W$109:$AG$208,W$107,FALSE),"")</f>
        <v/>
      </c>
      <c r="X279" s="2120" t="str">
        <f>IFERROR(VLOOKUP($B279,X$109:$AG$208,X$107,FALSE),"")</f>
        <v/>
      </c>
      <c r="Y279" s="2120" t="str">
        <f>IFERROR(VLOOKUP($B279,Y$109:$AG$208,Y$107,FALSE),"")</f>
        <v/>
      </c>
      <c r="Z279" s="2120" t="str">
        <f>IFERROR(VLOOKUP($B279,Z$109:$AG$208,Z$107,FALSE),"")</f>
        <v/>
      </c>
      <c r="AA279" s="2120" t="str">
        <f>IFERROR(VLOOKUP($B279,AA$109:$AG$208,AA$107,FALSE),"")</f>
        <v/>
      </c>
      <c r="AB279" s="2120" t="str">
        <f>IFERROR(VLOOKUP($B279,AB$109:$AG$208,AB$107,FALSE),"")</f>
        <v/>
      </c>
      <c r="AC279" s="2120" t="str">
        <f>IFERROR(VLOOKUP($B279,AC$109:$AG$208,AC$107,FALSE),"")</f>
        <v/>
      </c>
      <c r="AD279" s="2120" t="str">
        <f>IFERROR(VLOOKUP($B279,AD$109:$AG$208,AD$107,FALSE),"")</f>
        <v>Spectrum Plus</v>
      </c>
      <c r="AE279" s="2120" t="str">
        <f>IFERROR(VLOOKUP($B279,AE$109:$AG$208,AE$107,FALSE),"")</f>
        <v/>
      </c>
      <c r="AF279" s="2120" t="str">
        <f>IFERROR(VLOOKUP($B279,AF$109:$AG$208,AF$107,FALSE),"")</f>
        <v/>
      </c>
    </row>
    <row r="280" spans="2:32">
      <c r="B280" s="2136">
        <f t="shared" si="21"/>
        <v>66</v>
      </c>
      <c r="F280" s="2120" t="str">
        <f>IFERROR(VLOOKUP($B280,F$109:$AG$208,F$107,FALSE),"")</f>
        <v/>
      </c>
      <c r="G280" s="2120" t="str">
        <f>IFERROR(VLOOKUP($B280,G$109:$AG$208,G$107,FALSE),"")</f>
        <v/>
      </c>
      <c r="H280" s="2120" t="str">
        <f>IFERROR(VLOOKUP($B280,H$109:$AG$208,H$107,FALSE),"")</f>
        <v/>
      </c>
      <c r="I280" s="2120" t="str">
        <f>IFERROR(VLOOKUP($B280,I$109:$AG$208,I$107,FALSE),"")</f>
        <v/>
      </c>
      <c r="J280" s="2120" t="str">
        <f>IFERROR(VLOOKUP($B280,J$109:$AG$208,J$107,FALSE),"")</f>
        <v/>
      </c>
      <c r="K280" s="2120" t="str">
        <f>IFERROR(VLOOKUP($B280,K$109:$AG$208,K$107,FALSE),"")</f>
        <v/>
      </c>
      <c r="L280" s="2120" t="str">
        <f>IFERROR(VLOOKUP($B280,L$109:$AG$208,L$107,FALSE),"")</f>
        <v/>
      </c>
      <c r="M280" s="2120" t="str">
        <f>IFERROR(VLOOKUP($B280,M$109:$AG$208,M$107,FALSE),"")</f>
        <v/>
      </c>
      <c r="N280" s="2120" t="str">
        <f>IFERROR(VLOOKUP($B280,N$109:$AG$208,N$107,FALSE),"")</f>
        <v/>
      </c>
      <c r="O280" s="2120" t="str">
        <f>IFERROR(VLOOKUP($B280,O$109:$AG$208,O$107,FALSE),"")</f>
        <v/>
      </c>
      <c r="P280" s="2120" t="str">
        <f>IFERROR(VLOOKUP($B280,P$109:$AG$208,P$107,FALSE),"")</f>
        <v/>
      </c>
      <c r="Q280" s="2120" t="str">
        <f>IFERROR(VLOOKUP($B280,Q$109:$AG$208,Q$107,FALSE),"")</f>
        <v/>
      </c>
      <c r="R280" s="2120" t="str">
        <f>IFERROR(VLOOKUP($B280,R$109:$AG$208,R$107,FALSE),"")</f>
        <v/>
      </c>
      <c r="S280" s="2120" t="str">
        <f>IFERROR(VLOOKUP($B280,S$109:$AG$208,S$107,FALSE),"")</f>
        <v/>
      </c>
      <c r="T280" s="2120" t="str">
        <f>IFERROR(VLOOKUP($B280,T$109:$AG$208,T$107,FALSE),"")</f>
        <v/>
      </c>
      <c r="U280" s="2120" t="str">
        <f>IFERROR(VLOOKUP($B280,U$109:$AG$208,U$107,FALSE),"")</f>
        <v/>
      </c>
      <c r="V280" s="2120" t="str">
        <f>IFERROR(VLOOKUP($B280,V$109:$AG$208,V$107,FALSE),"")</f>
        <v/>
      </c>
      <c r="W280" s="2120" t="str">
        <f>IFERROR(VLOOKUP($B280,W$109:$AG$208,W$107,FALSE),"")</f>
        <v/>
      </c>
      <c r="X280" s="2120" t="str">
        <f>IFERROR(VLOOKUP($B280,X$109:$AG$208,X$107,FALSE),"")</f>
        <v/>
      </c>
      <c r="Y280" s="2120" t="str">
        <f>IFERROR(VLOOKUP($B280,Y$109:$AG$208,Y$107,FALSE),"")</f>
        <v/>
      </c>
      <c r="Z280" s="2120" t="str">
        <f>IFERROR(VLOOKUP($B280,Z$109:$AG$208,Z$107,FALSE),"")</f>
        <v/>
      </c>
      <c r="AA280" s="2120" t="str">
        <f>IFERROR(VLOOKUP($B280,AA$109:$AG$208,AA$107,FALSE),"")</f>
        <v/>
      </c>
      <c r="AB280" s="2120" t="str">
        <f>IFERROR(VLOOKUP($B280,AB$109:$AG$208,AB$107,FALSE),"")</f>
        <v/>
      </c>
      <c r="AC280" s="2120" t="str">
        <f>IFERROR(VLOOKUP($B280,AC$109:$AG$208,AC$107,FALSE),"")</f>
        <v/>
      </c>
      <c r="AD280" s="2120" t="str">
        <f>IFERROR(VLOOKUP($B280,AD$109:$AG$208,AD$107,FALSE),"")</f>
        <v>Starane XL</v>
      </c>
      <c r="AE280" s="2120" t="str">
        <f>IFERROR(VLOOKUP($B280,AE$109:$AG$208,AE$107,FALSE),"")</f>
        <v/>
      </c>
      <c r="AF280" s="2120" t="str">
        <f>IFERROR(VLOOKUP($B280,AF$109:$AG$208,AF$107,FALSE),"")</f>
        <v/>
      </c>
    </row>
    <row r="281" spans="2:32">
      <c r="B281" s="2136">
        <f t="shared" si="21"/>
        <v>67</v>
      </c>
      <c r="F281" s="2120" t="str">
        <f>IFERROR(VLOOKUP($B281,F$109:$AG$208,F$107,FALSE),"")</f>
        <v/>
      </c>
      <c r="G281" s="2120" t="str">
        <f>IFERROR(VLOOKUP($B281,G$109:$AG$208,G$107,FALSE),"")</f>
        <v/>
      </c>
      <c r="H281" s="2120" t="str">
        <f>IFERROR(VLOOKUP($B281,H$109:$AG$208,H$107,FALSE),"")</f>
        <v/>
      </c>
      <c r="I281" s="2120" t="str">
        <f>IFERROR(VLOOKUP($B281,I$109:$AG$208,I$107,FALSE),"")</f>
        <v/>
      </c>
      <c r="J281" s="2120" t="str">
        <f>IFERROR(VLOOKUP($B281,J$109:$AG$208,J$107,FALSE),"")</f>
        <v/>
      </c>
      <c r="K281" s="2120" t="str">
        <f>IFERROR(VLOOKUP($B281,K$109:$AG$208,K$107,FALSE),"")</f>
        <v/>
      </c>
      <c r="L281" s="2120" t="str">
        <f>IFERROR(VLOOKUP($B281,L$109:$AG$208,L$107,FALSE),"")</f>
        <v/>
      </c>
      <c r="M281" s="2120" t="str">
        <f>IFERROR(VLOOKUP($B281,M$109:$AG$208,M$107,FALSE),"")</f>
        <v/>
      </c>
      <c r="N281" s="2120" t="str">
        <f>IFERROR(VLOOKUP($B281,N$109:$AG$208,N$107,FALSE),"")</f>
        <v/>
      </c>
      <c r="O281" s="2120" t="str">
        <f>IFERROR(VLOOKUP($B281,O$109:$AG$208,O$107,FALSE),"")</f>
        <v/>
      </c>
      <c r="P281" s="2120" t="str">
        <f>IFERROR(VLOOKUP($B281,P$109:$AG$208,P$107,FALSE),"")</f>
        <v/>
      </c>
      <c r="Q281" s="2120" t="str">
        <f>IFERROR(VLOOKUP($B281,Q$109:$AG$208,Q$107,FALSE),"")</f>
        <v/>
      </c>
      <c r="R281" s="2120" t="str">
        <f>IFERROR(VLOOKUP($B281,R$109:$AG$208,R$107,FALSE),"")</f>
        <v/>
      </c>
      <c r="S281" s="2120" t="str">
        <f>IFERROR(VLOOKUP($B281,S$109:$AG$208,S$107,FALSE),"")</f>
        <v/>
      </c>
      <c r="T281" s="2120" t="str">
        <f>IFERROR(VLOOKUP($B281,T$109:$AG$208,T$107,FALSE),"")</f>
        <v/>
      </c>
      <c r="U281" s="2120" t="str">
        <f>IFERROR(VLOOKUP($B281,U$109:$AG$208,U$107,FALSE),"")</f>
        <v/>
      </c>
      <c r="V281" s="2120" t="str">
        <f>IFERROR(VLOOKUP($B281,V$109:$AG$208,V$107,FALSE),"")</f>
        <v/>
      </c>
      <c r="W281" s="2120" t="str">
        <f>IFERROR(VLOOKUP($B281,W$109:$AG$208,W$107,FALSE),"")</f>
        <v/>
      </c>
      <c r="X281" s="2120" t="str">
        <f>IFERROR(VLOOKUP($B281,X$109:$AG$208,X$107,FALSE),"")</f>
        <v/>
      </c>
      <c r="Y281" s="2120" t="str">
        <f>IFERROR(VLOOKUP($B281,Y$109:$AG$208,Y$107,FALSE),"")</f>
        <v/>
      </c>
      <c r="Z281" s="2120" t="str">
        <f>IFERROR(VLOOKUP($B281,Z$109:$AG$208,Z$107,FALSE),"")</f>
        <v/>
      </c>
      <c r="AA281" s="2120" t="str">
        <f>IFERROR(VLOOKUP($B281,AA$109:$AG$208,AA$107,FALSE),"")</f>
        <v/>
      </c>
      <c r="AB281" s="2120" t="str">
        <f>IFERROR(VLOOKUP($B281,AB$109:$AG$208,AB$107,FALSE),"")</f>
        <v/>
      </c>
      <c r="AC281" s="2120" t="str">
        <f>IFERROR(VLOOKUP($B281,AC$109:$AG$208,AC$107,FALSE),"")</f>
        <v/>
      </c>
      <c r="AD281" s="2120" t="str">
        <f>IFERROR(VLOOKUP($B281,AD$109:$AG$208,AD$107,FALSE),"")</f>
        <v>Stomp Aqua</v>
      </c>
      <c r="AE281" s="2120" t="str">
        <f>IFERROR(VLOOKUP($B281,AE$109:$AG$208,AE$107,FALSE),"")</f>
        <v/>
      </c>
      <c r="AF281" s="2120" t="str">
        <f>IFERROR(VLOOKUP($B281,AF$109:$AG$208,AF$107,FALSE),"")</f>
        <v/>
      </c>
    </row>
    <row r="282" spans="2:32">
      <c r="B282" s="2136">
        <f t="shared" si="21"/>
        <v>68</v>
      </c>
      <c r="F282" s="2120" t="str">
        <f>IFERROR(VLOOKUP($B282,F$109:$AG$208,F$107,FALSE),"")</f>
        <v/>
      </c>
      <c r="G282" s="2120" t="str">
        <f>IFERROR(VLOOKUP($B282,G$109:$AG$208,G$107,FALSE),"")</f>
        <v/>
      </c>
      <c r="H282" s="2120" t="str">
        <f>IFERROR(VLOOKUP($B282,H$109:$AG$208,H$107,FALSE),"")</f>
        <v/>
      </c>
      <c r="I282" s="2120" t="str">
        <f>IFERROR(VLOOKUP($B282,I$109:$AG$208,I$107,FALSE),"")</f>
        <v/>
      </c>
      <c r="J282" s="2120" t="str">
        <f>IFERROR(VLOOKUP($B282,J$109:$AG$208,J$107,FALSE),"")</f>
        <v/>
      </c>
      <c r="K282" s="2120" t="str">
        <f>IFERROR(VLOOKUP($B282,K$109:$AG$208,K$107,FALSE),"")</f>
        <v/>
      </c>
      <c r="L282" s="2120" t="str">
        <f>IFERROR(VLOOKUP($B282,L$109:$AG$208,L$107,FALSE),"")</f>
        <v/>
      </c>
      <c r="M282" s="2120" t="str">
        <f>IFERROR(VLOOKUP($B282,M$109:$AG$208,M$107,FALSE),"")</f>
        <v/>
      </c>
      <c r="N282" s="2120" t="str">
        <f>IFERROR(VLOOKUP($B282,N$109:$AG$208,N$107,FALSE),"")</f>
        <v/>
      </c>
      <c r="O282" s="2120" t="str">
        <f>IFERROR(VLOOKUP($B282,O$109:$AG$208,O$107,FALSE),"")</f>
        <v/>
      </c>
      <c r="P282" s="2120" t="str">
        <f>IFERROR(VLOOKUP($B282,P$109:$AG$208,P$107,FALSE),"")</f>
        <v/>
      </c>
      <c r="Q282" s="2120" t="str">
        <f>IFERROR(VLOOKUP($B282,Q$109:$AG$208,Q$107,FALSE),"")</f>
        <v/>
      </c>
      <c r="R282" s="2120" t="str">
        <f>IFERROR(VLOOKUP($B282,R$109:$AG$208,R$107,FALSE),"")</f>
        <v/>
      </c>
      <c r="S282" s="2120" t="str">
        <f>IFERROR(VLOOKUP($B282,S$109:$AG$208,S$107,FALSE),"")</f>
        <v/>
      </c>
      <c r="T282" s="2120" t="str">
        <f>IFERROR(VLOOKUP($B282,T$109:$AG$208,T$107,FALSE),"")</f>
        <v/>
      </c>
      <c r="U282" s="2120" t="str">
        <f>IFERROR(VLOOKUP($B282,U$109:$AG$208,U$107,FALSE),"")</f>
        <v/>
      </c>
      <c r="V282" s="2120" t="str">
        <f>IFERROR(VLOOKUP($B282,V$109:$AG$208,V$107,FALSE),"")</f>
        <v/>
      </c>
      <c r="W282" s="2120" t="str">
        <f>IFERROR(VLOOKUP($B282,W$109:$AG$208,W$107,FALSE),"")</f>
        <v/>
      </c>
      <c r="X282" s="2120" t="str">
        <f>IFERROR(VLOOKUP($B282,X$109:$AG$208,X$107,FALSE),"")</f>
        <v/>
      </c>
      <c r="Y282" s="2120" t="str">
        <f>IFERROR(VLOOKUP($B282,Y$109:$AG$208,Y$107,FALSE),"")</f>
        <v/>
      </c>
      <c r="Z282" s="2120" t="str">
        <f>IFERROR(VLOOKUP($B282,Z$109:$AG$208,Z$107,FALSE),"")</f>
        <v/>
      </c>
      <c r="AA282" s="2120" t="str">
        <f>IFERROR(VLOOKUP($B282,AA$109:$AG$208,AA$107,FALSE),"")</f>
        <v/>
      </c>
      <c r="AB282" s="2120" t="str">
        <f>IFERROR(VLOOKUP($B282,AB$109:$AG$208,AB$107,FALSE),"")</f>
        <v/>
      </c>
      <c r="AC282" s="2120" t="str">
        <f>IFERROR(VLOOKUP($B282,AC$109:$AG$208,AC$107,FALSE),"")</f>
        <v/>
      </c>
      <c r="AD282" s="2120" t="str">
        <f>IFERROR(VLOOKUP($B282,AD$109:$AG$208,AD$107,FALSE),"")</f>
        <v>Teppeki</v>
      </c>
      <c r="AE282" s="2120" t="str">
        <f>IFERROR(VLOOKUP($B282,AE$109:$AG$208,AE$107,FALSE),"")</f>
        <v/>
      </c>
      <c r="AF282" s="2120" t="str">
        <f>IFERROR(VLOOKUP($B282,AF$109:$AG$208,AF$107,FALSE),"")</f>
        <v/>
      </c>
    </row>
    <row r="283" spans="2:32">
      <c r="B283" s="2136">
        <f t="shared" si="21"/>
        <v>69</v>
      </c>
      <c r="F283" s="2120" t="str">
        <f>IFERROR(VLOOKUP($B283,F$109:$AG$208,F$107,FALSE),"")</f>
        <v/>
      </c>
      <c r="G283" s="2120" t="str">
        <f>IFERROR(VLOOKUP($B283,G$109:$AG$208,G$107,FALSE),"")</f>
        <v/>
      </c>
      <c r="H283" s="2120" t="str">
        <f>IFERROR(VLOOKUP($B283,H$109:$AG$208,H$107,FALSE),"")</f>
        <v/>
      </c>
      <c r="I283" s="2120" t="str">
        <f>IFERROR(VLOOKUP($B283,I$109:$AG$208,I$107,FALSE),"")</f>
        <v/>
      </c>
      <c r="J283" s="2120" t="str">
        <f>IFERROR(VLOOKUP($B283,J$109:$AG$208,J$107,FALSE),"")</f>
        <v/>
      </c>
      <c r="K283" s="2120" t="str">
        <f>IFERROR(VLOOKUP($B283,K$109:$AG$208,K$107,FALSE),"")</f>
        <v/>
      </c>
      <c r="L283" s="2120" t="str">
        <f>IFERROR(VLOOKUP($B283,L$109:$AG$208,L$107,FALSE),"")</f>
        <v/>
      </c>
      <c r="M283" s="2120" t="str">
        <f>IFERROR(VLOOKUP($B283,M$109:$AG$208,M$107,FALSE),"")</f>
        <v/>
      </c>
      <c r="N283" s="2120" t="str">
        <f>IFERROR(VLOOKUP($B283,N$109:$AG$208,N$107,FALSE),"")</f>
        <v/>
      </c>
      <c r="O283" s="2120" t="str">
        <f>IFERROR(VLOOKUP($B283,O$109:$AG$208,O$107,FALSE),"")</f>
        <v/>
      </c>
      <c r="P283" s="2120" t="str">
        <f>IFERROR(VLOOKUP($B283,P$109:$AG$208,P$107,FALSE),"")</f>
        <v/>
      </c>
      <c r="Q283" s="2120" t="str">
        <f>IFERROR(VLOOKUP($B283,Q$109:$AG$208,Q$107,FALSE),"")</f>
        <v/>
      </c>
      <c r="R283" s="2120" t="str">
        <f>IFERROR(VLOOKUP($B283,R$109:$AG$208,R$107,FALSE),"")</f>
        <v/>
      </c>
      <c r="S283" s="2120" t="str">
        <f>IFERROR(VLOOKUP($B283,S$109:$AG$208,S$107,FALSE),"")</f>
        <v/>
      </c>
      <c r="T283" s="2120" t="str">
        <f>IFERROR(VLOOKUP($B283,T$109:$AG$208,T$107,FALSE),"")</f>
        <v/>
      </c>
      <c r="U283" s="2120" t="str">
        <f>IFERROR(VLOOKUP($B283,U$109:$AG$208,U$107,FALSE),"")</f>
        <v/>
      </c>
      <c r="V283" s="2120" t="str">
        <f>IFERROR(VLOOKUP($B283,V$109:$AG$208,V$107,FALSE),"")</f>
        <v/>
      </c>
      <c r="W283" s="2120" t="str">
        <f>IFERROR(VLOOKUP($B283,W$109:$AG$208,W$107,FALSE),"")</f>
        <v/>
      </c>
      <c r="X283" s="2120" t="str">
        <f>IFERROR(VLOOKUP($B283,X$109:$AG$208,X$107,FALSE),"")</f>
        <v/>
      </c>
      <c r="Y283" s="2120" t="str">
        <f>IFERROR(VLOOKUP($B283,Y$109:$AG$208,Y$107,FALSE),"")</f>
        <v/>
      </c>
      <c r="Z283" s="2120" t="str">
        <f>IFERROR(VLOOKUP($B283,Z$109:$AG$208,Z$107,FALSE),"")</f>
        <v/>
      </c>
      <c r="AA283" s="2120" t="str">
        <f>IFERROR(VLOOKUP($B283,AA$109:$AG$208,AA$107,FALSE),"")</f>
        <v/>
      </c>
      <c r="AB283" s="2120" t="str">
        <f>IFERROR(VLOOKUP($B283,AB$109:$AG$208,AB$107,FALSE),"")</f>
        <v/>
      </c>
      <c r="AC283" s="2120" t="str">
        <f>IFERROR(VLOOKUP($B283,AC$109:$AG$208,AC$107,FALSE),"")</f>
        <v/>
      </c>
      <c r="AD283" s="2120" t="str">
        <f>IFERROR(VLOOKUP($B283,AD$109:$AG$208,AD$107,FALSE),"")</f>
        <v>Tilmor</v>
      </c>
      <c r="AE283" s="2120" t="str">
        <f>IFERROR(VLOOKUP($B283,AE$109:$AG$208,AE$107,FALSE),"")</f>
        <v/>
      </c>
      <c r="AF283" s="2120" t="str">
        <f>IFERROR(VLOOKUP($B283,AF$109:$AG$208,AF$107,FALSE),"")</f>
        <v/>
      </c>
    </row>
    <row r="284" spans="2:32">
      <c r="B284" s="2136">
        <f t="shared" si="21"/>
        <v>70</v>
      </c>
      <c r="F284" s="2120" t="str">
        <f>IFERROR(VLOOKUP($B284,F$109:$AG$208,F$107,FALSE),"")</f>
        <v/>
      </c>
      <c r="G284" s="2120" t="str">
        <f>IFERROR(VLOOKUP($B284,G$109:$AG$208,G$107,FALSE),"")</f>
        <v/>
      </c>
      <c r="H284" s="2120" t="str">
        <f>IFERROR(VLOOKUP($B284,H$109:$AG$208,H$107,FALSE),"")</f>
        <v/>
      </c>
      <c r="I284" s="2120" t="str">
        <f>IFERROR(VLOOKUP($B284,I$109:$AG$208,I$107,FALSE),"")</f>
        <v/>
      </c>
      <c r="J284" s="2120" t="str">
        <f>IFERROR(VLOOKUP($B284,J$109:$AG$208,J$107,FALSE),"")</f>
        <v/>
      </c>
      <c r="K284" s="2120" t="str">
        <f>IFERROR(VLOOKUP($B284,K$109:$AG$208,K$107,FALSE),"")</f>
        <v/>
      </c>
      <c r="L284" s="2120" t="str">
        <f>IFERROR(VLOOKUP($B284,L$109:$AG$208,L$107,FALSE),"")</f>
        <v/>
      </c>
      <c r="M284" s="2120" t="str">
        <f>IFERROR(VLOOKUP($B284,M$109:$AG$208,M$107,FALSE),"")</f>
        <v/>
      </c>
      <c r="N284" s="2120" t="str">
        <f>IFERROR(VLOOKUP($B284,N$109:$AG$208,N$107,FALSE),"")</f>
        <v/>
      </c>
      <c r="O284" s="2120" t="str">
        <f>IFERROR(VLOOKUP($B284,O$109:$AG$208,O$107,FALSE),"")</f>
        <v/>
      </c>
      <c r="P284" s="2120" t="str">
        <f>IFERROR(VLOOKUP($B284,P$109:$AG$208,P$107,FALSE),"")</f>
        <v/>
      </c>
      <c r="Q284" s="2120" t="str">
        <f>IFERROR(VLOOKUP($B284,Q$109:$AG$208,Q$107,FALSE),"")</f>
        <v/>
      </c>
      <c r="R284" s="2120" t="str">
        <f>IFERROR(VLOOKUP($B284,R$109:$AG$208,R$107,FALSE),"")</f>
        <v/>
      </c>
      <c r="S284" s="2120" t="str">
        <f>IFERROR(VLOOKUP($B284,S$109:$AG$208,S$107,FALSE),"")</f>
        <v/>
      </c>
      <c r="T284" s="2120" t="str">
        <f>IFERROR(VLOOKUP($B284,T$109:$AG$208,T$107,FALSE),"")</f>
        <v/>
      </c>
      <c r="U284" s="2120" t="str">
        <f>IFERROR(VLOOKUP($B284,U$109:$AG$208,U$107,FALSE),"")</f>
        <v/>
      </c>
      <c r="V284" s="2120" t="str">
        <f>IFERROR(VLOOKUP($B284,V$109:$AG$208,V$107,FALSE),"")</f>
        <v/>
      </c>
      <c r="W284" s="2120" t="str">
        <f>IFERROR(VLOOKUP($B284,W$109:$AG$208,W$107,FALSE),"")</f>
        <v/>
      </c>
      <c r="X284" s="2120" t="str">
        <f>IFERROR(VLOOKUP($B284,X$109:$AG$208,X$107,FALSE),"")</f>
        <v/>
      </c>
      <c r="Y284" s="2120" t="str">
        <f>IFERROR(VLOOKUP($B284,Y$109:$AG$208,Y$107,FALSE),"")</f>
        <v/>
      </c>
      <c r="Z284" s="2120" t="str">
        <f>IFERROR(VLOOKUP($B284,Z$109:$AG$208,Z$107,FALSE),"")</f>
        <v/>
      </c>
      <c r="AA284" s="2120" t="str">
        <f>IFERROR(VLOOKUP($B284,AA$109:$AG$208,AA$107,FALSE),"")</f>
        <v/>
      </c>
      <c r="AB284" s="2120" t="str">
        <f>IFERROR(VLOOKUP($B284,AB$109:$AG$208,AB$107,FALSE),"")</f>
        <v/>
      </c>
      <c r="AC284" s="2120" t="str">
        <f>IFERROR(VLOOKUP($B284,AC$109:$AG$208,AC$107,FALSE),"")</f>
        <v/>
      </c>
      <c r="AD284" s="2120" t="str">
        <f>IFERROR(VLOOKUP($B284,AD$109:$AG$208,AD$107,FALSE),"")</f>
        <v>Traxos</v>
      </c>
      <c r="AE284" s="2120" t="str">
        <f>IFERROR(VLOOKUP($B284,AE$109:$AG$208,AE$107,FALSE),"")</f>
        <v/>
      </c>
      <c r="AF284" s="2120" t="str">
        <f>IFERROR(VLOOKUP($B284,AF$109:$AG$208,AF$107,FALSE),"")</f>
        <v/>
      </c>
    </row>
    <row r="285" spans="2:32">
      <c r="B285" s="2136">
        <f t="shared" si="21"/>
        <v>71</v>
      </c>
      <c r="F285" s="2120" t="str">
        <f>IFERROR(VLOOKUP($B285,F$109:$AG$208,F$107,FALSE),"")</f>
        <v/>
      </c>
      <c r="G285" s="2120" t="str">
        <f>IFERROR(VLOOKUP($B285,G$109:$AG$208,G$107,FALSE),"")</f>
        <v/>
      </c>
      <c r="H285" s="2120" t="str">
        <f>IFERROR(VLOOKUP($B285,H$109:$AG$208,H$107,FALSE),"")</f>
        <v/>
      </c>
      <c r="I285" s="2120" t="str">
        <f>IFERROR(VLOOKUP($B285,I$109:$AG$208,I$107,FALSE),"")</f>
        <v/>
      </c>
      <c r="J285" s="2120" t="str">
        <f>IFERROR(VLOOKUP($B285,J$109:$AG$208,J$107,FALSE),"")</f>
        <v/>
      </c>
      <c r="K285" s="2120" t="str">
        <f>IFERROR(VLOOKUP($B285,K$109:$AG$208,K$107,FALSE),"")</f>
        <v/>
      </c>
      <c r="L285" s="2120" t="str">
        <f>IFERROR(VLOOKUP($B285,L$109:$AG$208,L$107,FALSE),"")</f>
        <v/>
      </c>
      <c r="M285" s="2120" t="str">
        <f>IFERROR(VLOOKUP($B285,M$109:$AG$208,M$107,FALSE),"")</f>
        <v/>
      </c>
      <c r="N285" s="2120" t="str">
        <f>IFERROR(VLOOKUP($B285,N$109:$AG$208,N$107,FALSE),"")</f>
        <v/>
      </c>
      <c r="O285" s="2120" t="str">
        <f>IFERROR(VLOOKUP($B285,O$109:$AG$208,O$107,FALSE),"")</f>
        <v/>
      </c>
      <c r="P285" s="2120" t="str">
        <f>IFERROR(VLOOKUP($B285,P$109:$AG$208,P$107,FALSE),"")</f>
        <v/>
      </c>
      <c r="Q285" s="2120" t="str">
        <f>IFERROR(VLOOKUP($B285,Q$109:$AG$208,Q$107,FALSE),"")</f>
        <v/>
      </c>
      <c r="R285" s="2120" t="str">
        <f>IFERROR(VLOOKUP($B285,R$109:$AG$208,R$107,FALSE),"")</f>
        <v/>
      </c>
      <c r="S285" s="2120" t="str">
        <f>IFERROR(VLOOKUP($B285,S$109:$AG$208,S$107,FALSE),"")</f>
        <v/>
      </c>
      <c r="T285" s="2120" t="str">
        <f>IFERROR(VLOOKUP($B285,T$109:$AG$208,T$107,FALSE),"")</f>
        <v/>
      </c>
      <c r="U285" s="2120" t="str">
        <f>IFERROR(VLOOKUP($B285,U$109:$AG$208,U$107,FALSE),"")</f>
        <v/>
      </c>
      <c r="V285" s="2120" t="str">
        <f>IFERROR(VLOOKUP($B285,V$109:$AG$208,V$107,FALSE),"")</f>
        <v/>
      </c>
      <c r="W285" s="2120" t="str">
        <f>IFERROR(VLOOKUP($B285,W$109:$AG$208,W$107,FALSE),"")</f>
        <v/>
      </c>
      <c r="X285" s="2120" t="str">
        <f>IFERROR(VLOOKUP($B285,X$109:$AG$208,X$107,FALSE),"")</f>
        <v/>
      </c>
      <c r="Y285" s="2120" t="str">
        <f>IFERROR(VLOOKUP($B285,Y$109:$AG$208,Y$107,FALSE),"")</f>
        <v/>
      </c>
      <c r="Z285" s="2120" t="str">
        <f>IFERROR(VLOOKUP($B285,Z$109:$AG$208,Z$107,FALSE),"")</f>
        <v/>
      </c>
      <c r="AA285" s="2120" t="str">
        <f>IFERROR(VLOOKUP($B285,AA$109:$AG$208,AA$107,FALSE),"")</f>
        <v/>
      </c>
      <c r="AB285" s="2120" t="str">
        <f>IFERROR(VLOOKUP($B285,AB$109:$AG$208,AB$107,FALSE),"")</f>
        <v/>
      </c>
      <c r="AC285" s="2120" t="str">
        <f>IFERROR(VLOOKUP($B285,AC$109:$AG$208,AC$107,FALSE),"")</f>
        <v/>
      </c>
      <c r="AD285" s="2120" t="str">
        <f>IFERROR(VLOOKUP($B285,AD$109:$AG$208,AD$107,FALSE),"")</f>
        <v>Trebon 30 EC</v>
      </c>
      <c r="AE285" s="2120" t="str">
        <f>IFERROR(VLOOKUP($B285,AE$109:$AG$208,AE$107,FALSE),"")</f>
        <v/>
      </c>
      <c r="AF285" s="2120" t="str">
        <f>IFERROR(VLOOKUP($B285,AF$109:$AG$208,AF$107,FALSE),"")</f>
        <v/>
      </c>
    </row>
    <row r="286" spans="2:32">
      <c r="B286" s="2136">
        <f t="shared" si="21"/>
        <v>72</v>
      </c>
      <c r="F286" s="2120" t="str">
        <f>IFERROR(VLOOKUP($B286,F$109:$AG$208,F$107,FALSE),"")</f>
        <v/>
      </c>
      <c r="G286" s="2120" t="str">
        <f>IFERROR(VLOOKUP($B286,G$109:$AG$208,G$107,FALSE),"")</f>
        <v/>
      </c>
      <c r="H286" s="2120" t="str">
        <f>IFERROR(VLOOKUP($B286,H$109:$AG$208,H$107,FALSE),"")</f>
        <v/>
      </c>
      <c r="I286" s="2120" t="str">
        <f>IFERROR(VLOOKUP($B286,I$109:$AG$208,I$107,FALSE),"")</f>
        <v/>
      </c>
      <c r="J286" s="2120" t="str">
        <f>IFERROR(VLOOKUP($B286,J$109:$AG$208,J$107,FALSE),"")</f>
        <v/>
      </c>
      <c r="K286" s="2120" t="str">
        <f>IFERROR(VLOOKUP($B286,K$109:$AG$208,K$107,FALSE),"")</f>
        <v/>
      </c>
      <c r="L286" s="2120" t="str">
        <f>IFERROR(VLOOKUP($B286,L$109:$AG$208,L$107,FALSE),"")</f>
        <v/>
      </c>
      <c r="M286" s="2120" t="str">
        <f>IFERROR(VLOOKUP($B286,M$109:$AG$208,M$107,FALSE),"")</f>
        <v/>
      </c>
      <c r="N286" s="2120" t="str">
        <f>IFERROR(VLOOKUP($B286,N$109:$AG$208,N$107,FALSE),"")</f>
        <v/>
      </c>
      <c r="O286" s="2120" t="str">
        <f>IFERROR(VLOOKUP($B286,O$109:$AG$208,O$107,FALSE),"")</f>
        <v/>
      </c>
      <c r="P286" s="2120" t="str">
        <f>IFERROR(VLOOKUP($B286,P$109:$AG$208,P$107,FALSE),"")</f>
        <v/>
      </c>
      <c r="Q286" s="2120" t="str">
        <f>IFERROR(VLOOKUP($B286,Q$109:$AG$208,Q$107,FALSE),"")</f>
        <v/>
      </c>
      <c r="R286" s="2120" t="str">
        <f>IFERROR(VLOOKUP($B286,R$109:$AG$208,R$107,FALSE),"")</f>
        <v/>
      </c>
      <c r="S286" s="2120" t="str">
        <f>IFERROR(VLOOKUP($B286,S$109:$AG$208,S$107,FALSE),"")</f>
        <v/>
      </c>
      <c r="T286" s="2120" t="str">
        <f>IFERROR(VLOOKUP($B286,T$109:$AG$208,T$107,FALSE),"")</f>
        <v/>
      </c>
      <c r="U286" s="2120" t="str">
        <f>IFERROR(VLOOKUP($B286,U$109:$AG$208,U$107,FALSE),"")</f>
        <v/>
      </c>
      <c r="V286" s="2120" t="str">
        <f>IFERROR(VLOOKUP($B286,V$109:$AG$208,V$107,FALSE),"")</f>
        <v/>
      </c>
      <c r="W286" s="2120" t="str">
        <f>IFERROR(VLOOKUP($B286,W$109:$AG$208,W$107,FALSE),"")</f>
        <v/>
      </c>
      <c r="X286" s="2120" t="str">
        <f>IFERROR(VLOOKUP($B286,X$109:$AG$208,X$107,FALSE),"")</f>
        <v/>
      </c>
      <c r="Y286" s="2120" t="str">
        <f>IFERROR(VLOOKUP($B286,Y$109:$AG$208,Y$107,FALSE),"")</f>
        <v/>
      </c>
      <c r="Z286" s="2120" t="str">
        <f>IFERROR(VLOOKUP($B286,Z$109:$AG$208,Z$107,FALSE),"")</f>
        <v/>
      </c>
      <c r="AA286" s="2120" t="str">
        <f>IFERROR(VLOOKUP($B286,AA$109:$AG$208,AA$107,FALSE),"")</f>
        <v/>
      </c>
      <c r="AB286" s="2120" t="str">
        <f>IFERROR(VLOOKUP($B286,AB$109:$AG$208,AB$107,FALSE),"")</f>
        <v/>
      </c>
      <c r="AC286" s="2120" t="str">
        <f>IFERROR(VLOOKUP($B286,AC$109:$AG$208,AC$107,FALSE),"")</f>
        <v/>
      </c>
      <c r="AD286" s="2120" t="str">
        <f>IFERROR(VLOOKUP($B286,AD$109:$AG$208,AD$107,FALSE),"")</f>
        <v>TRICHOGRAMMA</v>
      </c>
      <c r="AE286" s="2120" t="str">
        <f>IFERROR(VLOOKUP($B286,AE$109:$AG$208,AE$107,FALSE),"")</f>
        <v/>
      </c>
      <c r="AF286" s="2120" t="str">
        <f>IFERROR(VLOOKUP($B286,AF$109:$AG$208,AF$107,FALSE),"")</f>
        <v/>
      </c>
    </row>
    <row r="287" spans="2:32">
      <c r="B287" s="2136">
        <f t="shared" si="21"/>
        <v>73</v>
      </c>
      <c r="F287" s="2120" t="str">
        <f>IFERROR(VLOOKUP($B287,F$109:$AG$208,F$107,FALSE),"")</f>
        <v/>
      </c>
      <c r="G287" s="2120" t="str">
        <f>IFERROR(VLOOKUP($B287,G$109:$AG$208,G$107,FALSE),"")</f>
        <v/>
      </c>
      <c r="H287" s="2120" t="str">
        <f>IFERROR(VLOOKUP($B287,H$109:$AG$208,H$107,FALSE),"")</f>
        <v/>
      </c>
      <c r="I287" s="2120" t="str">
        <f>IFERROR(VLOOKUP($B287,I$109:$AG$208,I$107,FALSE),"")</f>
        <v/>
      </c>
      <c r="J287" s="2120" t="str">
        <f>IFERROR(VLOOKUP($B287,J$109:$AG$208,J$107,FALSE),"")</f>
        <v/>
      </c>
      <c r="K287" s="2120" t="str">
        <f>IFERROR(VLOOKUP($B287,K$109:$AG$208,K$107,FALSE),"")</f>
        <v/>
      </c>
      <c r="L287" s="2120" t="str">
        <f>IFERROR(VLOOKUP($B287,L$109:$AG$208,L$107,FALSE),"")</f>
        <v/>
      </c>
      <c r="M287" s="2120" t="str">
        <f>IFERROR(VLOOKUP($B287,M$109:$AG$208,M$107,FALSE),"")</f>
        <v/>
      </c>
      <c r="N287" s="2120" t="str">
        <f>IFERROR(VLOOKUP($B287,N$109:$AG$208,N$107,FALSE),"")</f>
        <v/>
      </c>
      <c r="O287" s="2120" t="str">
        <f>IFERROR(VLOOKUP($B287,O$109:$AG$208,O$107,FALSE),"")</f>
        <v/>
      </c>
      <c r="P287" s="2120" t="str">
        <f>IFERROR(VLOOKUP($B287,P$109:$AG$208,P$107,FALSE),"")</f>
        <v/>
      </c>
      <c r="Q287" s="2120" t="str">
        <f>IFERROR(VLOOKUP($B287,Q$109:$AG$208,Q$107,FALSE),"")</f>
        <v/>
      </c>
      <c r="R287" s="2120" t="str">
        <f>IFERROR(VLOOKUP($B287,R$109:$AG$208,R$107,FALSE),"")</f>
        <v/>
      </c>
      <c r="S287" s="2120" t="str">
        <f>IFERROR(VLOOKUP($B287,S$109:$AG$208,S$107,FALSE),"")</f>
        <v/>
      </c>
      <c r="T287" s="2120" t="str">
        <f>IFERROR(VLOOKUP($B287,T$109:$AG$208,T$107,FALSE),"")</f>
        <v/>
      </c>
      <c r="U287" s="2120" t="str">
        <f>IFERROR(VLOOKUP($B287,U$109:$AG$208,U$107,FALSE),"")</f>
        <v/>
      </c>
      <c r="V287" s="2120" t="str">
        <f>IFERROR(VLOOKUP($B287,V$109:$AG$208,V$107,FALSE),"")</f>
        <v/>
      </c>
      <c r="W287" s="2120" t="str">
        <f>IFERROR(VLOOKUP($B287,W$109:$AG$208,W$107,FALSE),"")</f>
        <v/>
      </c>
      <c r="X287" s="2120" t="str">
        <f>IFERROR(VLOOKUP($B287,X$109:$AG$208,X$107,FALSE),"")</f>
        <v/>
      </c>
      <c r="Y287" s="2120" t="str">
        <f>IFERROR(VLOOKUP($B287,Y$109:$AG$208,Y$107,FALSE),"")</f>
        <v/>
      </c>
      <c r="Z287" s="2120" t="str">
        <f>IFERROR(VLOOKUP($B287,Z$109:$AG$208,Z$107,FALSE),"")</f>
        <v/>
      </c>
      <c r="AA287" s="2120" t="str">
        <f>IFERROR(VLOOKUP($B287,AA$109:$AG$208,AA$107,FALSE),"")</f>
        <v/>
      </c>
      <c r="AB287" s="2120" t="str">
        <f>IFERROR(VLOOKUP($B287,AB$109:$AG$208,AB$107,FALSE),"")</f>
        <v/>
      </c>
      <c r="AC287" s="2120" t="str">
        <f>IFERROR(VLOOKUP($B287,AC$109:$AG$208,AC$107,FALSE),"")</f>
        <v/>
      </c>
      <c r="AD287" s="2120" t="str">
        <f>IFERROR(VLOOKUP($B287,AD$109:$AG$208,AD$107,FALSE),"")</f>
        <v>Zypar</v>
      </c>
      <c r="AE287" s="2120" t="str">
        <f>IFERROR(VLOOKUP($B287,AE$109:$AG$208,AE$107,FALSE),"")</f>
        <v/>
      </c>
      <c r="AF287" s="2120" t="str">
        <f>IFERROR(VLOOKUP($B287,AF$109:$AG$208,AF$107,FALSE),"")</f>
        <v/>
      </c>
    </row>
    <row r="288" spans="2:32">
      <c r="B288" s="2136">
        <f t="shared" si="21"/>
        <v>74</v>
      </c>
      <c r="F288" s="2120" t="str">
        <f>IFERROR(VLOOKUP($B288,F$109:$AG$208,F$107,FALSE),"")</f>
        <v/>
      </c>
      <c r="G288" s="2120" t="str">
        <f>IFERROR(VLOOKUP($B288,G$109:$AG$208,G$107,FALSE),"")</f>
        <v/>
      </c>
      <c r="H288" s="2120" t="str">
        <f>IFERROR(VLOOKUP($B288,H$109:$AG$208,H$107,FALSE),"")</f>
        <v/>
      </c>
      <c r="I288" s="2120" t="str">
        <f>IFERROR(VLOOKUP($B288,I$109:$AG$208,I$107,FALSE),"")</f>
        <v/>
      </c>
      <c r="J288" s="2120" t="str">
        <f>IFERROR(VLOOKUP($B288,J$109:$AG$208,J$107,FALSE),"")</f>
        <v/>
      </c>
      <c r="K288" s="2120" t="str">
        <f>IFERROR(VLOOKUP($B288,K$109:$AG$208,K$107,FALSE),"")</f>
        <v/>
      </c>
      <c r="L288" s="2120" t="str">
        <f>IFERROR(VLOOKUP($B288,L$109:$AG$208,L$107,FALSE),"")</f>
        <v/>
      </c>
      <c r="M288" s="2120" t="str">
        <f>IFERROR(VLOOKUP($B288,M$109:$AG$208,M$107,FALSE),"")</f>
        <v/>
      </c>
      <c r="N288" s="2120" t="str">
        <f>IFERROR(VLOOKUP($B288,N$109:$AG$208,N$107,FALSE),"")</f>
        <v/>
      </c>
      <c r="O288" s="2120" t="str">
        <f>IFERROR(VLOOKUP($B288,O$109:$AG$208,O$107,FALSE),"")</f>
        <v/>
      </c>
      <c r="P288" s="2120" t="str">
        <f>IFERROR(VLOOKUP($B288,P$109:$AG$208,P$107,FALSE),"")</f>
        <v/>
      </c>
      <c r="Q288" s="2120" t="str">
        <f>IFERROR(VLOOKUP($B288,Q$109:$AG$208,Q$107,FALSE),"")</f>
        <v/>
      </c>
      <c r="R288" s="2120" t="str">
        <f>IFERROR(VLOOKUP($B288,R$109:$AG$208,R$107,FALSE),"")</f>
        <v/>
      </c>
      <c r="S288" s="2120" t="str">
        <f>IFERROR(VLOOKUP($B288,S$109:$AG$208,S$107,FALSE),"")</f>
        <v/>
      </c>
      <c r="T288" s="2120" t="str">
        <f>IFERROR(VLOOKUP($B288,T$109:$AG$208,T$107,FALSE),"")</f>
        <v/>
      </c>
      <c r="U288" s="2120" t="str">
        <f>IFERROR(VLOOKUP($B288,U$109:$AG$208,U$107,FALSE),"")</f>
        <v/>
      </c>
      <c r="V288" s="2120" t="str">
        <f>IFERROR(VLOOKUP($B288,V$109:$AG$208,V$107,FALSE),"")</f>
        <v/>
      </c>
      <c r="W288" s="2120" t="str">
        <f>IFERROR(VLOOKUP($B288,W$109:$AG$208,W$107,FALSE),"")</f>
        <v/>
      </c>
      <c r="X288" s="2120" t="str">
        <f>IFERROR(VLOOKUP($B288,X$109:$AG$208,X$107,FALSE),"")</f>
        <v/>
      </c>
      <c r="Y288" s="2120" t="str">
        <f>IFERROR(VLOOKUP($B288,Y$109:$AG$208,Y$107,FALSE),"")</f>
        <v/>
      </c>
      <c r="Z288" s="2120" t="str">
        <f>IFERROR(VLOOKUP($B288,Z$109:$AG$208,Z$107,FALSE),"")</f>
        <v/>
      </c>
      <c r="AA288" s="2120" t="str">
        <f>IFERROR(VLOOKUP($B288,AA$109:$AG$208,AA$107,FALSE),"")</f>
        <v/>
      </c>
      <c r="AB288" s="2120" t="str">
        <f>IFERROR(VLOOKUP($B288,AB$109:$AG$208,AB$107,FALSE),"")</f>
        <v/>
      </c>
      <c r="AC288" s="2120" t="str">
        <f>IFERROR(VLOOKUP($B288,AC$109:$AG$208,AC$107,FALSE),"")</f>
        <v/>
      </c>
      <c r="AD288" s="2120" t="str">
        <f>IFERROR(VLOOKUP($B288,AD$109:$AG$208,AD$107,FALSE),"")</f>
        <v>Spectrum</v>
      </c>
      <c r="AE288" s="2120" t="str">
        <f>IFERROR(VLOOKUP($B288,AE$109:$AG$208,AE$107,FALSE),"")</f>
        <v/>
      </c>
      <c r="AF288" s="2120" t="str">
        <f>IFERROR(VLOOKUP($B288,AF$109:$AG$208,AF$107,FALSE),"")</f>
        <v/>
      </c>
    </row>
    <row r="289" spans="2:32">
      <c r="B289" s="2136">
        <f t="shared" si="21"/>
        <v>75</v>
      </c>
      <c r="F289" s="2120" t="str">
        <f>IFERROR(VLOOKUP($B289,F$109:$AG$208,F$107,FALSE),"")</f>
        <v/>
      </c>
      <c r="G289" s="2120" t="str">
        <f>IFERROR(VLOOKUP($B289,G$109:$AG$208,G$107,FALSE),"")</f>
        <v/>
      </c>
      <c r="H289" s="2120" t="str">
        <f>IFERROR(VLOOKUP($B289,H$109:$AG$208,H$107,FALSE),"")</f>
        <v/>
      </c>
      <c r="I289" s="2120" t="str">
        <f>IFERROR(VLOOKUP($B289,I$109:$AG$208,I$107,FALSE),"")</f>
        <v/>
      </c>
      <c r="J289" s="2120" t="str">
        <f>IFERROR(VLOOKUP($B289,J$109:$AG$208,J$107,FALSE),"")</f>
        <v/>
      </c>
      <c r="K289" s="2120" t="str">
        <f>IFERROR(VLOOKUP($B289,K$109:$AG$208,K$107,FALSE),"")</f>
        <v/>
      </c>
      <c r="L289" s="2120" t="str">
        <f>IFERROR(VLOOKUP($B289,L$109:$AG$208,L$107,FALSE),"")</f>
        <v/>
      </c>
      <c r="M289" s="2120" t="str">
        <f>IFERROR(VLOOKUP($B289,M$109:$AG$208,M$107,FALSE),"")</f>
        <v/>
      </c>
      <c r="N289" s="2120" t="str">
        <f>IFERROR(VLOOKUP($B289,N$109:$AG$208,N$107,FALSE),"")</f>
        <v/>
      </c>
      <c r="O289" s="2120" t="str">
        <f>IFERROR(VLOOKUP($B289,O$109:$AG$208,O$107,FALSE),"")</f>
        <v/>
      </c>
      <c r="P289" s="2120" t="str">
        <f>IFERROR(VLOOKUP($B289,P$109:$AG$208,P$107,FALSE),"")</f>
        <v/>
      </c>
      <c r="Q289" s="2120" t="str">
        <f>IFERROR(VLOOKUP($B289,Q$109:$AG$208,Q$107,FALSE),"")</f>
        <v/>
      </c>
      <c r="R289" s="2120" t="str">
        <f>IFERROR(VLOOKUP($B289,R$109:$AG$208,R$107,FALSE),"")</f>
        <v/>
      </c>
      <c r="S289" s="2120" t="str">
        <f>IFERROR(VLOOKUP($B289,S$109:$AG$208,S$107,FALSE),"")</f>
        <v/>
      </c>
      <c r="T289" s="2120" t="str">
        <f>IFERROR(VLOOKUP($B289,T$109:$AG$208,T$107,FALSE),"")</f>
        <v/>
      </c>
      <c r="U289" s="2120" t="str">
        <f>IFERROR(VLOOKUP($B289,U$109:$AG$208,U$107,FALSE),"")</f>
        <v/>
      </c>
      <c r="V289" s="2120" t="str">
        <f>IFERROR(VLOOKUP($B289,V$109:$AG$208,V$107,FALSE),"")</f>
        <v/>
      </c>
      <c r="W289" s="2120" t="str">
        <f>IFERROR(VLOOKUP($B289,W$109:$AG$208,W$107,FALSE),"")</f>
        <v/>
      </c>
      <c r="X289" s="2120" t="str">
        <f>IFERROR(VLOOKUP($B289,X$109:$AG$208,X$107,FALSE),"")</f>
        <v/>
      </c>
      <c r="Y289" s="2120" t="str">
        <f>IFERROR(VLOOKUP($B289,Y$109:$AG$208,Y$107,FALSE),"")</f>
        <v/>
      </c>
      <c r="Z289" s="2120" t="str">
        <f>IFERROR(VLOOKUP($B289,Z$109:$AG$208,Z$107,FALSE),"")</f>
        <v/>
      </c>
      <c r="AA289" s="2120" t="str">
        <f>IFERROR(VLOOKUP($B289,AA$109:$AG$208,AA$107,FALSE),"")</f>
        <v/>
      </c>
      <c r="AB289" s="2120" t="str">
        <f>IFERROR(VLOOKUP($B289,AB$109:$AG$208,AB$107,FALSE),"")</f>
        <v/>
      </c>
      <c r="AC289" s="2120" t="str">
        <f>IFERROR(VLOOKUP($B289,AC$109:$AG$208,AC$107,FALSE),"")</f>
        <v/>
      </c>
      <c r="AD289" s="2120" t="str">
        <f>IFERROR(VLOOKUP($B289,AD$109:$AG$208,AD$107,FALSE),"")</f>
        <v>Univoq</v>
      </c>
      <c r="AE289" s="2120" t="str">
        <f>IFERROR(VLOOKUP($B289,AE$109:$AG$208,AE$107,FALSE),"")</f>
        <v/>
      </c>
      <c r="AF289" s="2120" t="str">
        <f>IFERROR(VLOOKUP($B289,AF$109:$AG$208,AF$107,FALSE),"")</f>
        <v/>
      </c>
    </row>
    <row r="290" spans="2:32">
      <c r="B290" s="2136">
        <f t="shared" si="21"/>
        <v>76</v>
      </c>
      <c r="F290" s="2120" t="str">
        <f>IFERROR(VLOOKUP($B290,F$109:$AG$208,F$107,FALSE),"")</f>
        <v/>
      </c>
      <c r="G290" s="2120" t="str">
        <f>IFERROR(VLOOKUP($B290,G$109:$AG$208,G$107,FALSE),"")</f>
        <v/>
      </c>
      <c r="H290" s="2120" t="str">
        <f>IFERROR(VLOOKUP($B290,H$109:$AG$208,H$107,FALSE),"")</f>
        <v/>
      </c>
      <c r="I290" s="2120" t="str">
        <f>IFERROR(VLOOKUP($B290,I$109:$AG$208,I$107,FALSE),"")</f>
        <v/>
      </c>
      <c r="J290" s="2120" t="str">
        <f>IFERROR(VLOOKUP($B290,J$109:$AG$208,J$107,FALSE),"")</f>
        <v/>
      </c>
      <c r="K290" s="2120" t="str">
        <f>IFERROR(VLOOKUP($B290,K$109:$AG$208,K$107,FALSE),"")</f>
        <v/>
      </c>
      <c r="L290" s="2120" t="str">
        <f>IFERROR(VLOOKUP($B290,L$109:$AG$208,L$107,FALSE),"")</f>
        <v/>
      </c>
      <c r="M290" s="2120" t="str">
        <f>IFERROR(VLOOKUP($B290,M$109:$AG$208,M$107,FALSE),"")</f>
        <v/>
      </c>
      <c r="N290" s="2120" t="str">
        <f>IFERROR(VLOOKUP($B290,N$109:$AG$208,N$107,FALSE),"")</f>
        <v/>
      </c>
      <c r="O290" s="2120" t="str">
        <f>IFERROR(VLOOKUP($B290,O$109:$AG$208,O$107,FALSE),"")</f>
        <v/>
      </c>
      <c r="P290" s="2120" t="str">
        <f>IFERROR(VLOOKUP($B290,P$109:$AG$208,P$107,FALSE),"")</f>
        <v/>
      </c>
      <c r="Q290" s="2120" t="str">
        <f>IFERROR(VLOOKUP($B290,Q$109:$AG$208,Q$107,FALSE),"")</f>
        <v/>
      </c>
      <c r="R290" s="2120" t="str">
        <f>IFERROR(VLOOKUP($B290,R$109:$AG$208,R$107,FALSE),"")</f>
        <v/>
      </c>
      <c r="S290" s="2120" t="str">
        <f>IFERROR(VLOOKUP($B290,S$109:$AG$208,S$107,FALSE),"")</f>
        <v/>
      </c>
      <c r="T290" s="2120" t="str">
        <f>IFERROR(VLOOKUP($B290,T$109:$AG$208,T$107,FALSE),"")</f>
        <v/>
      </c>
      <c r="U290" s="2120" t="str">
        <f>IFERROR(VLOOKUP($B290,U$109:$AG$208,U$107,FALSE),"")</f>
        <v/>
      </c>
      <c r="V290" s="2120" t="str">
        <f>IFERROR(VLOOKUP($B290,V$109:$AG$208,V$107,FALSE),"")</f>
        <v/>
      </c>
      <c r="W290" s="2120" t="str">
        <f>IFERROR(VLOOKUP($B290,W$109:$AG$208,W$107,FALSE),"")</f>
        <v/>
      </c>
      <c r="X290" s="2120" t="str">
        <f>IFERROR(VLOOKUP($B290,X$109:$AG$208,X$107,FALSE),"")</f>
        <v/>
      </c>
      <c r="Y290" s="2120" t="str">
        <f>IFERROR(VLOOKUP($B290,Y$109:$AG$208,Y$107,FALSE),"")</f>
        <v/>
      </c>
      <c r="Z290" s="2120" t="str">
        <f>IFERROR(VLOOKUP($B290,Z$109:$AG$208,Z$107,FALSE),"")</f>
        <v/>
      </c>
      <c r="AA290" s="2120" t="str">
        <f>IFERROR(VLOOKUP($B290,AA$109:$AG$208,AA$107,FALSE),"")</f>
        <v/>
      </c>
      <c r="AB290" s="2120" t="str">
        <f>IFERROR(VLOOKUP($B290,AB$109:$AG$208,AB$107,FALSE),"")</f>
        <v/>
      </c>
      <c r="AC290" s="2120" t="str">
        <f>IFERROR(VLOOKUP($B290,AC$109:$AG$208,AC$107,FALSE),"")</f>
        <v/>
      </c>
      <c r="AD290" s="2120">
        <f>IFERROR(VLOOKUP($B290,AD$109:$AG$208,AD$107,FALSE),"")</f>
        <v>0</v>
      </c>
      <c r="AE290" s="2120" t="str">
        <f>IFERROR(VLOOKUP($B290,AE$109:$AG$208,AE$107,FALSE),"")</f>
        <v/>
      </c>
      <c r="AF290" s="2120" t="str">
        <f>IFERROR(VLOOKUP($B290,AF$109:$AG$208,AF$107,FALSE),"")</f>
        <v/>
      </c>
    </row>
    <row r="291" spans="2:32">
      <c r="B291" s="2136">
        <f t="shared" si="21"/>
        <v>77</v>
      </c>
      <c r="F291" s="2120" t="str">
        <f>IFERROR(VLOOKUP($B291,F$109:$AG$208,F$107,FALSE),"")</f>
        <v/>
      </c>
      <c r="G291" s="2120" t="str">
        <f>IFERROR(VLOOKUP($B291,G$109:$AG$208,G$107,FALSE),"")</f>
        <v/>
      </c>
      <c r="H291" s="2120" t="str">
        <f>IFERROR(VLOOKUP($B291,H$109:$AG$208,H$107,FALSE),"")</f>
        <v/>
      </c>
      <c r="I291" s="2120" t="str">
        <f>IFERROR(VLOOKUP($B291,I$109:$AG$208,I$107,FALSE),"")</f>
        <v/>
      </c>
      <c r="J291" s="2120" t="str">
        <f>IFERROR(VLOOKUP($B291,J$109:$AG$208,J$107,FALSE),"")</f>
        <v/>
      </c>
      <c r="K291" s="2120" t="str">
        <f>IFERROR(VLOOKUP($B291,K$109:$AG$208,K$107,FALSE),"")</f>
        <v/>
      </c>
      <c r="L291" s="2120" t="str">
        <f>IFERROR(VLOOKUP($B291,L$109:$AG$208,L$107,FALSE),"")</f>
        <v/>
      </c>
      <c r="M291" s="2120" t="str">
        <f>IFERROR(VLOOKUP($B291,M$109:$AG$208,M$107,FALSE),"")</f>
        <v/>
      </c>
      <c r="N291" s="2120" t="str">
        <f>IFERROR(VLOOKUP($B291,N$109:$AG$208,N$107,FALSE),"")</f>
        <v/>
      </c>
      <c r="O291" s="2120" t="str">
        <f>IFERROR(VLOOKUP($B291,O$109:$AG$208,O$107,FALSE),"")</f>
        <v/>
      </c>
      <c r="P291" s="2120" t="str">
        <f>IFERROR(VLOOKUP($B291,P$109:$AG$208,P$107,FALSE),"")</f>
        <v/>
      </c>
      <c r="Q291" s="2120" t="str">
        <f>IFERROR(VLOOKUP($B291,Q$109:$AG$208,Q$107,FALSE),"")</f>
        <v/>
      </c>
      <c r="R291" s="2120" t="str">
        <f>IFERROR(VLOOKUP($B291,R$109:$AG$208,R$107,FALSE),"")</f>
        <v/>
      </c>
      <c r="S291" s="2120" t="str">
        <f>IFERROR(VLOOKUP($B291,S$109:$AG$208,S$107,FALSE),"")</f>
        <v/>
      </c>
      <c r="T291" s="2120" t="str">
        <f>IFERROR(VLOOKUP($B291,T$109:$AG$208,T$107,FALSE),"")</f>
        <v/>
      </c>
      <c r="U291" s="2120" t="str">
        <f>IFERROR(VLOOKUP($B291,U$109:$AG$208,U$107,FALSE),"")</f>
        <v/>
      </c>
      <c r="V291" s="2120" t="str">
        <f>IFERROR(VLOOKUP($B291,V$109:$AG$208,V$107,FALSE),"")</f>
        <v/>
      </c>
      <c r="W291" s="2120" t="str">
        <f>IFERROR(VLOOKUP($B291,W$109:$AG$208,W$107,FALSE),"")</f>
        <v/>
      </c>
      <c r="X291" s="2120" t="str">
        <f>IFERROR(VLOOKUP($B291,X$109:$AG$208,X$107,FALSE),"")</f>
        <v/>
      </c>
      <c r="Y291" s="2120" t="str">
        <f>IFERROR(VLOOKUP($B291,Y$109:$AG$208,Y$107,FALSE),"")</f>
        <v/>
      </c>
      <c r="Z291" s="2120" t="str">
        <f>IFERROR(VLOOKUP($B291,Z$109:$AG$208,Z$107,FALSE),"")</f>
        <v/>
      </c>
      <c r="AA291" s="2120" t="str">
        <f>IFERROR(VLOOKUP($B291,AA$109:$AG$208,AA$107,FALSE),"")</f>
        <v/>
      </c>
      <c r="AB291" s="2120" t="str">
        <f>IFERROR(VLOOKUP($B291,AB$109:$AG$208,AB$107,FALSE),"")</f>
        <v/>
      </c>
      <c r="AC291" s="2120" t="str">
        <f>IFERROR(VLOOKUP($B291,AC$109:$AG$208,AC$107,FALSE),"")</f>
        <v/>
      </c>
      <c r="AD291" s="2120">
        <f>IFERROR(VLOOKUP($B291,AD$109:$AG$208,AD$107,FALSE),"")</f>
        <v>0</v>
      </c>
      <c r="AE291" s="2120" t="str">
        <f>IFERROR(VLOOKUP($B291,AE$109:$AG$208,AE$107,FALSE),"")</f>
        <v/>
      </c>
      <c r="AF291" s="2120" t="str">
        <f>IFERROR(VLOOKUP($B291,AF$109:$AG$208,AF$107,FALSE),"")</f>
        <v/>
      </c>
    </row>
    <row r="292" spans="2:32">
      <c r="B292" s="2136">
        <f t="shared" si="21"/>
        <v>78</v>
      </c>
      <c r="F292" s="2120" t="str">
        <f>IFERROR(VLOOKUP($B292,F$109:$AG$208,F$107,FALSE),"")</f>
        <v/>
      </c>
      <c r="G292" s="2120" t="str">
        <f>IFERROR(VLOOKUP($B292,G$109:$AG$208,G$107,FALSE),"")</f>
        <v/>
      </c>
      <c r="H292" s="2120" t="str">
        <f>IFERROR(VLOOKUP($B292,H$109:$AG$208,H$107,FALSE),"")</f>
        <v/>
      </c>
      <c r="I292" s="2120" t="str">
        <f>IFERROR(VLOOKUP($B292,I$109:$AG$208,I$107,FALSE),"")</f>
        <v/>
      </c>
      <c r="J292" s="2120" t="str">
        <f>IFERROR(VLOOKUP($B292,J$109:$AG$208,J$107,FALSE),"")</f>
        <v/>
      </c>
      <c r="K292" s="2120" t="str">
        <f>IFERROR(VLOOKUP($B292,K$109:$AG$208,K$107,FALSE),"")</f>
        <v/>
      </c>
      <c r="L292" s="2120" t="str">
        <f>IFERROR(VLOOKUP($B292,L$109:$AG$208,L$107,FALSE),"")</f>
        <v/>
      </c>
      <c r="M292" s="2120" t="str">
        <f>IFERROR(VLOOKUP($B292,M$109:$AG$208,M$107,FALSE),"")</f>
        <v/>
      </c>
      <c r="N292" s="2120" t="str">
        <f>IFERROR(VLOOKUP($B292,N$109:$AG$208,N$107,FALSE),"")</f>
        <v/>
      </c>
      <c r="O292" s="2120" t="str">
        <f>IFERROR(VLOOKUP($B292,O$109:$AG$208,O$107,FALSE),"")</f>
        <v/>
      </c>
      <c r="P292" s="2120" t="str">
        <f>IFERROR(VLOOKUP($B292,P$109:$AG$208,P$107,FALSE),"")</f>
        <v/>
      </c>
      <c r="Q292" s="2120" t="str">
        <f>IFERROR(VLOOKUP($B292,Q$109:$AG$208,Q$107,FALSE),"")</f>
        <v/>
      </c>
      <c r="R292" s="2120" t="str">
        <f>IFERROR(VLOOKUP($B292,R$109:$AG$208,R$107,FALSE),"")</f>
        <v/>
      </c>
      <c r="S292" s="2120" t="str">
        <f>IFERROR(VLOOKUP($B292,S$109:$AG$208,S$107,FALSE),"")</f>
        <v/>
      </c>
      <c r="T292" s="2120" t="str">
        <f>IFERROR(VLOOKUP($B292,T$109:$AG$208,T$107,FALSE),"")</f>
        <v/>
      </c>
      <c r="U292" s="2120" t="str">
        <f>IFERROR(VLOOKUP($B292,U$109:$AG$208,U$107,FALSE),"")</f>
        <v/>
      </c>
      <c r="V292" s="2120" t="str">
        <f>IFERROR(VLOOKUP($B292,V$109:$AG$208,V$107,FALSE),"")</f>
        <v/>
      </c>
      <c r="W292" s="2120" t="str">
        <f>IFERROR(VLOOKUP($B292,W$109:$AG$208,W$107,FALSE),"")</f>
        <v/>
      </c>
      <c r="X292" s="2120" t="str">
        <f>IFERROR(VLOOKUP($B292,X$109:$AG$208,X$107,FALSE),"")</f>
        <v/>
      </c>
      <c r="Y292" s="2120" t="str">
        <f>IFERROR(VLOOKUP($B292,Y$109:$AG$208,Y$107,FALSE),"")</f>
        <v/>
      </c>
      <c r="Z292" s="2120" t="str">
        <f>IFERROR(VLOOKUP($B292,Z$109:$AG$208,Z$107,FALSE),"")</f>
        <v/>
      </c>
      <c r="AA292" s="2120" t="str">
        <f>IFERROR(VLOOKUP($B292,AA$109:$AG$208,AA$107,FALSE),"")</f>
        <v/>
      </c>
      <c r="AB292" s="2120" t="str">
        <f>IFERROR(VLOOKUP($B292,AB$109:$AG$208,AB$107,FALSE),"")</f>
        <v/>
      </c>
      <c r="AC292" s="2120" t="str">
        <f>IFERROR(VLOOKUP($B292,AC$109:$AG$208,AC$107,FALSE),"")</f>
        <v/>
      </c>
      <c r="AD292" s="2120">
        <f>IFERROR(VLOOKUP($B292,AD$109:$AG$208,AD$107,FALSE),"")</f>
        <v>0</v>
      </c>
      <c r="AE292" s="2120" t="str">
        <f>IFERROR(VLOOKUP($B292,AE$109:$AG$208,AE$107,FALSE),"")</f>
        <v/>
      </c>
      <c r="AF292" s="2120" t="str">
        <f>IFERROR(VLOOKUP($B292,AF$109:$AG$208,AF$107,FALSE),"")</f>
        <v/>
      </c>
    </row>
    <row r="293" spans="2:32">
      <c r="B293" s="2136">
        <f t="shared" si="21"/>
        <v>79</v>
      </c>
      <c r="F293" s="2120" t="str">
        <f>IFERROR(VLOOKUP($B293,F$109:$AG$208,F$107,FALSE),"")</f>
        <v/>
      </c>
      <c r="G293" s="2120" t="str">
        <f>IFERROR(VLOOKUP($B293,G$109:$AG$208,G$107,FALSE),"")</f>
        <v/>
      </c>
      <c r="H293" s="2120" t="str">
        <f>IFERROR(VLOOKUP($B293,H$109:$AG$208,H$107,FALSE),"")</f>
        <v/>
      </c>
      <c r="I293" s="2120" t="str">
        <f>IFERROR(VLOOKUP($B293,I$109:$AG$208,I$107,FALSE),"")</f>
        <v/>
      </c>
      <c r="J293" s="2120" t="str">
        <f>IFERROR(VLOOKUP($B293,J$109:$AG$208,J$107,FALSE),"")</f>
        <v/>
      </c>
      <c r="K293" s="2120" t="str">
        <f>IFERROR(VLOOKUP($B293,K$109:$AG$208,K$107,FALSE),"")</f>
        <v/>
      </c>
      <c r="L293" s="2120" t="str">
        <f>IFERROR(VLOOKUP($B293,L$109:$AG$208,L$107,FALSE),"")</f>
        <v/>
      </c>
      <c r="M293" s="2120" t="str">
        <f>IFERROR(VLOOKUP($B293,M$109:$AG$208,M$107,FALSE),"")</f>
        <v/>
      </c>
      <c r="N293" s="2120" t="str">
        <f>IFERROR(VLOOKUP($B293,N$109:$AG$208,N$107,FALSE),"")</f>
        <v/>
      </c>
      <c r="O293" s="2120" t="str">
        <f>IFERROR(VLOOKUP($B293,O$109:$AG$208,O$107,FALSE),"")</f>
        <v/>
      </c>
      <c r="P293" s="2120" t="str">
        <f>IFERROR(VLOOKUP($B293,P$109:$AG$208,P$107,FALSE),"")</f>
        <v/>
      </c>
      <c r="Q293" s="2120" t="str">
        <f>IFERROR(VLOOKUP($B293,Q$109:$AG$208,Q$107,FALSE),"")</f>
        <v/>
      </c>
      <c r="R293" s="2120" t="str">
        <f>IFERROR(VLOOKUP($B293,R$109:$AG$208,R$107,FALSE),"")</f>
        <v/>
      </c>
      <c r="S293" s="2120" t="str">
        <f>IFERROR(VLOOKUP($B293,S$109:$AG$208,S$107,FALSE),"")</f>
        <v/>
      </c>
      <c r="T293" s="2120" t="str">
        <f>IFERROR(VLOOKUP($B293,T$109:$AG$208,T$107,FALSE),"")</f>
        <v/>
      </c>
      <c r="U293" s="2120" t="str">
        <f>IFERROR(VLOOKUP($B293,U$109:$AG$208,U$107,FALSE),"")</f>
        <v/>
      </c>
      <c r="V293" s="2120" t="str">
        <f>IFERROR(VLOOKUP($B293,V$109:$AG$208,V$107,FALSE),"")</f>
        <v/>
      </c>
      <c r="W293" s="2120" t="str">
        <f>IFERROR(VLOOKUP($B293,W$109:$AG$208,W$107,FALSE),"")</f>
        <v/>
      </c>
      <c r="X293" s="2120" t="str">
        <f>IFERROR(VLOOKUP($B293,X$109:$AG$208,X$107,FALSE),"")</f>
        <v/>
      </c>
      <c r="Y293" s="2120" t="str">
        <f>IFERROR(VLOOKUP($B293,Y$109:$AG$208,Y$107,FALSE),"")</f>
        <v/>
      </c>
      <c r="Z293" s="2120" t="str">
        <f>IFERROR(VLOOKUP($B293,Z$109:$AG$208,Z$107,FALSE),"")</f>
        <v/>
      </c>
      <c r="AA293" s="2120" t="str">
        <f>IFERROR(VLOOKUP($B293,AA$109:$AG$208,AA$107,FALSE),"")</f>
        <v/>
      </c>
      <c r="AB293" s="2120" t="str">
        <f>IFERROR(VLOOKUP($B293,AB$109:$AG$208,AB$107,FALSE),"")</f>
        <v/>
      </c>
      <c r="AC293" s="2120" t="str">
        <f>IFERROR(VLOOKUP($B293,AC$109:$AG$208,AC$107,FALSE),"")</f>
        <v/>
      </c>
      <c r="AD293" s="2120">
        <f>IFERROR(VLOOKUP($B293,AD$109:$AG$208,AD$107,FALSE),"")</f>
        <v>0</v>
      </c>
      <c r="AE293" s="2120" t="str">
        <f>IFERROR(VLOOKUP($B293,AE$109:$AG$208,AE$107,FALSE),"")</f>
        <v/>
      </c>
      <c r="AF293" s="2120" t="str">
        <f>IFERROR(VLOOKUP($B293,AF$109:$AG$208,AF$107,FALSE),"")</f>
        <v/>
      </c>
    </row>
    <row r="294" spans="2:32">
      <c r="B294" s="2136">
        <f t="shared" si="21"/>
        <v>80</v>
      </c>
      <c r="F294" s="2120" t="str">
        <f>IFERROR(VLOOKUP($B294,F$109:$AG$208,F$107,FALSE),"")</f>
        <v/>
      </c>
      <c r="G294" s="2120" t="str">
        <f>IFERROR(VLOOKUP($B294,G$109:$AG$208,G$107,FALSE),"")</f>
        <v/>
      </c>
      <c r="H294" s="2120" t="str">
        <f>IFERROR(VLOOKUP($B294,H$109:$AG$208,H$107,FALSE),"")</f>
        <v/>
      </c>
      <c r="I294" s="2120" t="str">
        <f>IFERROR(VLOOKUP($B294,I$109:$AG$208,I$107,FALSE),"")</f>
        <v/>
      </c>
      <c r="J294" s="2120" t="str">
        <f>IFERROR(VLOOKUP($B294,J$109:$AG$208,J$107,FALSE),"")</f>
        <v/>
      </c>
      <c r="K294" s="2120" t="str">
        <f>IFERROR(VLOOKUP($B294,K$109:$AG$208,K$107,FALSE),"")</f>
        <v/>
      </c>
      <c r="L294" s="2120" t="str">
        <f>IFERROR(VLOOKUP($B294,L$109:$AG$208,L$107,FALSE),"")</f>
        <v/>
      </c>
      <c r="M294" s="2120" t="str">
        <f>IFERROR(VLOOKUP($B294,M$109:$AG$208,M$107,FALSE),"")</f>
        <v/>
      </c>
      <c r="N294" s="2120" t="str">
        <f>IFERROR(VLOOKUP($B294,N$109:$AG$208,N$107,FALSE),"")</f>
        <v/>
      </c>
      <c r="O294" s="2120" t="str">
        <f>IFERROR(VLOOKUP($B294,O$109:$AG$208,O$107,FALSE),"")</f>
        <v/>
      </c>
      <c r="P294" s="2120" t="str">
        <f>IFERROR(VLOOKUP($B294,P$109:$AG$208,P$107,FALSE),"")</f>
        <v/>
      </c>
      <c r="Q294" s="2120" t="str">
        <f>IFERROR(VLOOKUP($B294,Q$109:$AG$208,Q$107,FALSE),"")</f>
        <v/>
      </c>
      <c r="R294" s="2120" t="str">
        <f>IFERROR(VLOOKUP($B294,R$109:$AG$208,R$107,FALSE),"")</f>
        <v/>
      </c>
      <c r="S294" s="2120" t="str">
        <f>IFERROR(VLOOKUP($B294,S$109:$AG$208,S$107,FALSE),"")</f>
        <v/>
      </c>
      <c r="T294" s="2120" t="str">
        <f>IFERROR(VLOOKUP($B294,T$109:$AG$208,T$107,FALSE),"")</f>
        <v/>
      </c>
      <c r="U294" s="2120" t="str">
        <f>IFERROR(VLOOKUP($B294,U$109:$AG$208,U$107,FALSE),"")</f>
        <v/>
      </c>
      <c r="V294" s="2120" t="str">
        <f>IFERROR(VLOOKUP($B294,V$109:$AG$208,V$107,FALSE),"")</f>
        <v/>
      </c>
      <c r="W294" s="2120" t="str">
        <f>IFERROR(VLOOKUP($B294,W$109:$AG$208,W$107,FALSE),"")</f>
        <v/>
      </c>
      <c r="X294" s="2120" t="str">
        <f>IFERROR(VLOOKUP($B294,X$109:$AG$208,X$107,FALSE),"")</f>
        <v/>
      </c>
      <c r="Y294" s="2120" t="str">
        <f>IFERROR(VLOOKUP($B294,Y$109:$AG$208,Y$107,FALSE),"")</f>
        <v/>
      </c>
      <c r="Z294" s="2120" t="str">
        <f>IFERROR(VLOOKUP($B294,Z$109:$AG$208,Z$107,FALSE),"")</f>
        <v/>
      </c>
      <c r="AA294" s="2120" t="str">
        <f>IFERROR(VLOOKUP($B294,AA$109:$AG$208,AA$107,FALSE),"")</f>
        <v/>
      </c>
      <c r="AB294" s="2120" t="str">
        <f>IFERROR(VLOOKUP($B294,AB$109:$AG$208,AB$107,FALSE),"")</f>
        <v/>
      </c>
      <c r="AC294" s="2120" t="str">
        <f>IFERROR(VLOOKUP($B294,AC$109:$AG$208,AC$107,FALSE),"")</f>
        <v/>
      </c>
      <c r="AD294" s="2120">
        <f>IFERROR(VLOOKUP($B294,AD$109:$AG$208,AD$107,FALSE),"")</f>
        <v>0</v>
      </c>
      <c r="AE294" s="2120" t="str">
        <f>IFERROR(VLOOKUP($B294,AE$109:$AG$208,AE$107,FALSE),"")</f>
        <v/>
      </c>
      <c r="AF294" s="2120" t="str">
        <f>IFERROR(VLOOKUP($B294,AF$109:$AG$208,AF$107,FALSE),"")</f>
        <v/>
      </c>
    </row>
    <row r="295" spans="2:32">
      <c r="B295" s="2136">
        <f t="shared" si="21"/>
        <v>81</v>
      </c>
      <c r="F295" s="2120" t="str">
        <f>IFERROR(VLOOKUP($B295,F$109:$AG$208,F$107,FALSE),"")</f>
        <v/>
      </c>
      <c r="G295" s="2120" t="str">
        <f>IFERROR(VLOOKUP($B295,G$109:$AG$208,G$107,FALSE),"")</f>
        <v/>
      </c>
      <c r="H295" s="2120" t="str">
        <f>IFERROR(VLOOKUP($B295,H$109:$AG$208,H$107,FALSE),"")</f>
        <v/>
      </c>
      <c r="I295" s="2120" t="str">
        <f>IFERROR(VLOOKUP($B295,I$109:$AG$208,I$107,FALSE),"")</f>
        <v/>
      </c>
      <c r="J295" s="2120" t="str">
        <f>IFERROR(VLOOKUP($B295,J$109:$AG$208,J$107,FALSE),"")</f>
        <v/>
      </c>
      <c r="K295" s="2120" t="str">
        <f>IFERROR(VLOOKUP($B295,K$109:$AG$208,K$107,FALSE),"")</f>
        <v/>
      </c>
      <c r="L295" s="2120" t="str">
        <f>IFERROR(VLOOKUP($B295,L$109:$AG$208,L$107,FALSE),"")</f>
        <v/>
      </c>
      <c r="M295" s="2120" t="str">
        <f>IFERROR(VLOOKUP($B295,M$109:$AG$208,M$107,FALSE),"")</f>
        <v/>
      </c>
      <c r="N295" s="2120" t="str">
        <f>IFERROR(VLOOKUP($B295,N$109:$AG$208,N$107,FALSE),"")</f>
        <v/>
      </c>
      <c r="O295" s="2120" t="str">
        <f>IFERROR(VLOOKUP($B295,O$109:$AG$208,O$107,FALSE),"")</f>
        <v/>
      </c>
      <c r="P295" s="2120" t="str">
        <f>IFERROR(VLOOKUP($B295,P$109:$AG$208,P$107,FALSE),"")</f>
        <v/>
      </c>
      <c r="Q295" s="2120" t="str">
        <f>IFERROR(VLOOKUP($B295,Q$109:$AG$208,Q$107,FALSE),"")</f>
        <v/>
      </c>
      <c r="R295" s="2120" t="str">
        <f>IFERROR(VLOOKUP($B295,R$109:$AG$208,R$107,FALSE),"")</f>
        <v/>
      </c>
      <c r="S295" s="2120" t="str">
        <f>IFERROR(VLOOKUP($B295,S$109:$AG$208,S$107,FALSE),"")</f>
        <v/>
      </c>
      <c r="T295" s="2120" t="str">
        <f>IFERROR(VLOOKUP($B295,T$109:$AG$208,T$107,FALSE),"")</f>
        <v/>
      </c>
      <c r="U295" s="2120" t="str">
        <f>IFERROR(VLOOKUP($B295,U$109:$AG$208,U$107,FALSE),"")</f>
        <v/>
      </c>
      <c r="V295" s="2120" t="str">
        <f>IFERROR(VLOOKUP($B295,V$109:$AG$208,V$107,FALSE),"")</f>
        <v/>
      </c>
      <c r="W295" s="2120" t="str">
        <f>IFERROR(VLOOKUP($B295,W$109:$AG$208,W$107,FALSE),"")</f>
        <v/>
      </c>
      <c r="X295" s="2120" t="str">
        <f>IFERROR(VLOOKUP($B295,X$109:$AG$208,X$107,FALSE),"")</f>
        <v/>
      </c>
      <c r="Y295" s="2120" t="str">
        <f>IFERROR(VLOOKUP($B295,Y$109:$AG$208,Y$107,FALSE),"")</f>
        <v/>
      </c>
      <c r="Z295" s="2120" t="str">
        <f>IFERROR(VLOOKUP($B295,Z$109:$AG$208,Z$107,FALSE),"")</f>
        <v/>
      </c>
      <c r="AA295" s="2120" t="str">
        <f>IFERROR(VLOOKUP($B295,AA$109:$AG$208,AA$107,FALSE),"")</f>
        <v/>
      </c>
      <c r="AB295" s="2120" t="str">
        <f>IFERROR(VLOOKUP($B295,AB$109:$AG$208,AB$107,FALSE),"")</f>
        <v/>
      </c>
      <c r="AC295" s="2120" t="str">
        <f>IFERROR(VLOOKUP($B295,AC$109:$AG$208,AC$107,FALSE),"")</f>
        <v/>
      </c>
      <c r="AD295" s="2120">
        <f>IFERROR(VLOOKUP($B295,AD$109:$AG$208,AD$107,FALSE),"")</f>
        <v>0</v>
      </c>
      <c r="AE295" s="2120" t="str">
        <f>IFERROR(VLOOKUP($B295,AE$109:$AG$208,AE$107,FALSE),"")</f>
        <v/>
      </c>
      <c r="AF295" s="2120" t="str">
        <f>IFERROR(VLOOKUP($B295,AF$109:$AG$208,AF$107,FALSE),"")</f>
        <v/>
      </c>
    </row>
    <row r="296" spans="2:32">
      <c r="B296" s="2136">
        <f t="shared" si="21"/>
        <v>82</v>
      </c>
      <c r="F296" s="2120" t="str">
        <f>IFERROR(VLOOKUP($B296,F$109:$AG$208,F$107,FALSE),"")</f>
        <v/>
      </c>
      <c r="G296" s="2120" t="str">
        <f>IFERROR(VLOOKUP($B296,G$109:$AG$208,G$107,FALSE),"")</f>
        <v/>
      </c>
      <c r="H296" s="2120" t="str">
        <f>IFERROR(VLOOKUP($B296,H$109:$AG$208,H$107,FALSE),"")</f>
        <v/>
      </c>
      <c r="I296" s="2120" t="str">
        <f>IFERROR(VLOOKUP($B296,I$109:$AG$208,I$107,FALSE),"")</f>
        <v/>
      </c>
      <c r="J296" s="2120" t="str">
        <f>IFERROR(VLOOKUP($B296,J$109:$AG$208,J$107,FALSE),"")</f>
        <v/>
      </c>
      <c r="K296" s="2120" t="str">
        <f>IFERROR(VLOOKUP($B296,K$109:$AG$208,K$107,FALSE),"")</f>
        <v/>
      </c>
      <c r="L296" s="2120" t="str">
        <f>IFERROR(VLOOKUP($B296,L$109:$AG$208,L$107,FALSE),"")</f>
        <v/>
      </c>
      <c r="M296" s="2120" t="str">
        <f>IFERROR(VLOOKUP($B296,M$109:$AG$208,M$107,FALSE),"")</f>
        <v/>
      </c>
      <c r="N296" s="2120" t="str">
        <f>IFERROR(VLOOKUP($B296,N$109:$AG$208,N$107,FALSE),"")</f>
        <v/>
      </c>
      <c r="O296" s="2120" t="str">
        <f>IFERROR(VLOOKUP($B296,O$109:$AG$208,O$107,FALSE),"")</f>
        <v/>
      </c>
      <c r="P296" s="2120" t="str">
        <f>IFERROR(VLOOKUP($B296,P$109:$AG$208,P$107,FALSE),"")</f>
        <v/>
      </c>
      <c r="Q296" s="2120" t="str">
        <f>IFERROR(VLOOKUP($B296,Q$109:$AG$208,Q$107,FALSE),"")</f>
        <v/>
      </c>
      <c r="R296" s="2120" t="str">
        <f>IFERROR(VLOOKUP($B296,R$109:$AG$208,R$107,FALSE),"")</f>
        <v/>
      </c>
      <c r="S296" s="2120" t="str">
        <f>IFERROR(VLOOKUP($B296,S$109:$AG$208,S$107,FALSE),"")</f>
        <v/>
      </c>
      <c r="T296" s="2120" t="str">
        <f>IFERROR(VLOOKUP($B296,T$109:$AG$208,T$107,FALSE),"")</f>
        <v/>
      </c>
      <c r="U296" s="2120" t="str">
        <f>IFERROR(VLOOKUP($B296,U$109:$AG$208,U$107,FALSE),"")</f>
        <v/>
      </c>
      <c r="V296" s="2120" t="str">
        <f>IFERROR(VLOOKUP($B296,V$109:$AG$208,V$107,FALSE),"")</f>
        <v/>
      </c>
      <c r="W296" s="2120" t="str">
        <f>IFERROR(VLOOKUP($B296,W$109:$AG$208,W$107,FALSE),"")</f>
        <v/>
      </c>
      <c r="X296" s="2120" t="str">
        <f>IFERROR(VLOOKUP($B296,X$109:$AG$208,X$107,FALSE),"")</f>
        <v/>
      </c>
      <c r="Y296" s="2120" t="str">
        <f>IFERROR(VLOOKUP($B296,Y$109:$AG$208,Y$107,FALSE),"")</f>
        <v/>
      </c>
      <c r="Z296" s="2120" t="str">
        <f>IFERROR(VLOOKUP($B296,Z$109:$AG$208,Z$107,FALSE),"")</f>
        <v/>
      </c>
      <c r="AA296" s="2120" t="str">
        <f>IFERROR(VLOOKUP($B296,AA$109:$AG$208,AA$107,FALSE),"")</f>
        <v/>
      </c>
      <c r="AB296" s="2120" t="str">
        <f>IFERROR(VLOOKUP($B296,AB$109:$AG$208,AB$107,FALSE),"")</f>
        <v/>
      </c>
      <c r="AC296" s="2120" t="str">
        <f>IFERROR(VLOOKUP($B296,AC$109:$AG$208,AC$107,FALSE),"")</f>
        <v/>
      </c>
      <c r="AD296" s="2120">
        <f>IFERROR(VLOOKUP($B296,AD$109:$AG$208,AD$107,FALSE),"")</f>
        <v>0</v>
      </c>
      <c r="AE296" s="2120" t="str">
        <f>IFERROR(VLOOKUP($B296,AE$109:$AG$208,AE$107,FALSE),"")</f>
        <v/>
      </c>
      <c r="AF296" s="2120" t="str">
        <f>IFERROR(VLOOKUP($B296,AF$109:$AG$208,AF$107,FALSE),"")</f>
        <v/>
      </c>
    </row>
    <row r="297" spans="2:32">
      <c r="B297" s="2136">
        <f t="shared" si="21"/>
        <v>83</v>
      </c>
      <c r="F297" s="2120" t="str">
        <f>IFERROR(VLOOKUP($B297,F$109:$AG$208,F$107,FALSE),"")</f>
        <v/>
      </c>
      <c r="G297" s="2120" t="str">
        <f>IFERROR(VLOOKUP($B297,G$109:$AG$208,G$107,FALSE),"")</f>
        <v/>
      </c>
      <c r="H297" s="2120" t="str">
        <f>IFERROR(VLOOKUP($B297,H$109:$AG$208,H$107,FALSE),"")</f>
        <v/>
      </c>
      <c r="I297" s="2120" t="str">
        <f>IFERROR(VLOOKUP($B297,I$109:$AG$208,I$107,FALSE),"")</f>
        <v/>
      </c>
      <c r="J297" s="2120" t="str">
        <f>IFERROR(VLOOKUP($B297,J$109:$AG$208,J$107,FALSE),"")</f>
        <v/>
      </c>
      <c r="K297" s="2120" t="str">
        <f>IFERROR(VLOOKUP($B297,K$109:$AG$208,K$107,FALSE),"")</f>
        <v/>
      </c>
      <c r="L297" s="2120" t="str">
        <f>IFERROR(VLOOKUP($B297,L$109:$AG$208,L$107,FALSE),"")</f>
        <v/>
      </c>
      <c r="M297" s="2120" t="str">
        <f>IFERROR(VLOOKUP($B297,M$109:$AG$208,M$107,FALSE),"")</f>
        <v/>
      </c>
      <c r="N297" s="2120" t="str">
        <f>IFERROR(VLOOKUP($B297,N$109:$AG$208,N$107,FALSE),"")</f>
        <v/>
      </c>
      <c r="O297" s="2120" t="str">
        <f>IFERROR(VLOOKUP($B297,O$109:$AG$208,O$107,FALSE),"")</f>
        <v/>
      </c>
      <c r="P297" s="2120" t="str">
        <f>IFERROR(VLOOKUP($B297,P$109:$AG$208,P$107,FALSE),"")</f>
        <v/>
      </c>
      <c r="Q297" s="2120" t="str">
        <f>IFERROR(VLOOKUP($B297,Q$109:$AG$208,Q$107,FALSE),"")</f>
        <v/>
      </c>
      <c r="R297" s="2120" t="str">
        <f>IFERROR(VLOOKUP($B297,R$109:$AG$208,R$107,FALSE),"")</f>
        <v/>
      </c>
      <c r="S297" s="2120" t="str">
        <f>IFERROR(VLOOKUP($B297,S$109:$AG$208,S$107,FALSE),"")</f>
        <v/>
      </c>
      <c r="T297" s="2120" t="str">
        <f>IFERROR(VLOOKUP($B297,T$109:$AG$208,T$107,FALSE),"")</f>
        <v/>
      </c>
      <c r="U297" s="2120" t="str">
        <f>IFERROR(VLOOKUP($B297,U$109:$AG$208,U$107,FALSE),"")</f>
        <v/>
      </c>
      <c r="V297" s="2120" t="str">
        <f>IFERROR(VLOOKUP($B297,V$109:$AG$208,V$107,FALSE),"")</f>
        <v/>
      </c>
      <c r="W297" s="2120" t="str">
        <f>IFERROR(VLOOKUP($B297,W$109:$AG$208,W$107,FALSE),"")</f>
        <v/>
      </c>
      <c r="X297" s="2120" t="str">
        <f>IFERROR(VLOOKUP($B297,X$109:$AG$208,X$107,FALSE),"")</f>
        <v/>
      </c>
      <c r="Y297" s="2120" t="str">
        <f>IFERROR(VLOOKUP($B297,Y$109:$AG$208,Y$107,FALSE),"")</f>
        <v/>
      </c>
      <c r="Z297" s="2120" t="str">
        <f>IFERROR(VLOOKUP($B297,Z$109:$AG$208,Z$107,FALSE),"")</f>
        <v/>
      </c>
      <c r="AA297" s="2120" t="str">
        <f>IFERROR(VLOOKUP($B297,AA$109:$AG$208,AA$107,FALSE),"")</f>
        <v/>
      </c>
      <c r="AB297" s="2120" t="str">
        <f>IFERROR(VLOOKUP($B297,AB$109:$AG$208,AB$107,FALSE),"")</f>
        <v/>
      </c>
      <c r="AC297" s="2120" t="str">
        <f>IFERROR(VLOOKUP($B297,AC$109:$AG$208,AC$107,FALSE),"")</f>
        <v/>
      </c>
      <c r="AD297" s="2120">
        <f>IFERROR(VLOOKUP($B297,AD$109:$AG$208,AD$107,FALSE),"")</f>
        <v>0</v>
      </c>
      <c r="AE297" s="2120" t="str">
        <f>IFERROR(VLOOKUP($B297,AE$109:$AG$208,AE$107,FALSE),"")</f>
        <v/>
      </c>
      <c r="AF297" s="2120" t="str">
        <f>IFERROR(VLOOKUP($B297,AF$109:$AG$208,AF$107,FALSE),"")</f>
        <v/>
      </c>
    </row>
    <row r="298" spans="2:32">
      <c r="B298" s="2136">
        <f t="shared" si="21"/>
        <v>84</v>
      </c>
      <c r="F298" s="2120" t="str">
        <f>IFERROR(VLOOKUP($B298,F$109:$AG$208,F$107,FALSE),"")</f>
        <v/>
      </c>
      <c r="G298" s="2120" t="str">
        <f>IFERROR(VLOOKUP($B298,G$109:$AG$208,G$107,FALSE),"")</f>
        <v/>
      </c>
      <c r="H298" s="2120" t="str">
        <f>IFERROR(VLOOKUP($B298,H$109:$AG$208,H$107,FALSE),"")</f>
        <v/>
      </c>
      <c r="I298" s="2120" t="str">
        <f>IFERROR(VLOOKUP($B298,I$109:$AG$208,I$107,FALSE),"")</f>
        <v/>
      </c>
      <c r="J298" s="2120" t="str">
        <f>IFERROR(VLOOKUP($B298,J$109:$AG$208,J$107,FALSE),"")</f>
        <v/>
      </c>
      <c r="K298" s="2120" t="str">
        <f>IFERROR(VLOOKUP($B298,K$109:$AG$208,K$107,FALSE),"")</f>
        <v/>
      </c>
      <c r="L298" s="2120" t="str">
        <f>IFERROR(VLOOKUP($B298,L$109:$AG$208,L$107,FALSE),"")</f>
        <v/>
      </c>
      <c r="M298" s="2120" t="str">
        <f>IFERROR(VLOOKUP($B298,M$109:$AG$208,M$107,FALSE),"")</f>
        <v/>
      </c>
      <c r="N298" s="2120" t="str">
        <f>IFERROR(VLOOKUP($B298,N$109:$AG$208,N$107,FALSE),"")</f>
        <v/>
      </c>
      <c r="O298" s="2120" t="str">
        <f>IFERROR(VLOOKUP($B298,O$109:$AG$208,O$107,FALSE),"")</f>
        <v/>
      </c>
      <c r="P298" s="2120" t="str">
        <f>IFERROR(VLOOKUP($B298,P$109:$AG$208,P$107,FALSE),"")</f>
        <v/>
      </c>
      <c r="Q298" s="2120" t="str">
        <f>IFERROR(VLOOKUP($B298,Q$109:$AG$208,Q$107,FALSE),"")</f>
        <v/>
      </c>
      <c r="R298" s="2120" t="str">
        <f>IFERROR(VLOOKUP($B298,R$109:$AG$208,R$107,FALSE),"")</f>
        <v/>
      </c>
      <c r="S298" s="2120" t="str">
        <f>IFERROR(VLOOKUP($B298,S$109:$AG$208,S$107,FALSE),"")</f>
        <v/>
      </c>
      <c r="T298" s="2120" t="str">
        <f>IFERROR(VLOOKUP($B298,T$109:$AG$208,T$107,FALSE),"")</f>
        <v/>
      </c>
      <c r="U298" s="2120" t="str">
        <f>IFERROR(VLOOKUP($B298,U$109:$AG$208,U$107,FALSE),"")</f>
        <v/>
      </c>
      <c r="V298" s="2120" t="str">
        <f>IFERROR(VLOOKUP($B298,V$109:$AG$208,V$107,FALSE),"")</f>
        <v/>
      </c>
      <c r="W298" s="2120" t="str">
        <f>IFERROR(VLOOKUP($B298,W$109:$AG$208,W$107,FALSE),"")</f>
        <v/>
      </c>
      <c r="X298" s="2120" t="str">
        <f>IFERROR(VLOOKUP($B298,X$109:$AG$208,X$107,FALSE),"")</f>
        <v/>
      </c>
      <c r="Y298" s="2120" t="str">
        <f>IFERROR(VLOOKUP($B298,Y$109:$AG$208,Y$107,FALSE),"")</f>
        <v/>
      </c>
      <c r="Z298" s="2120" t="str">
        <f>IFERROR(VLOOKUP($B298,Z$109:$AG$208,Z$107,FALSE),"")</f>
        <v/>
      </c>
      <c r="AA298" s="2120" t="str">
        <f>IFERROR(VLOOKUP($B298,AA$109:$AG$208,AA$107,FALSE),"")</f>
        <v/>
      </c>
      <c r="AB298" s="2120" t="str">
        <f>IFERROR(VLOOKUP($B298,AB$109:$AG$208,AB$107,FALSE),"")</f>
        <v/>
      </c>
      <c r="AC298" s="2120" t="str">
        <f>IFERROR(VLOOKUP($B298,AC$109:$AG$208,AC$107,FALSE),"")</f>
        <v/>
      </c>
      <c r="AD298" s="2120">
        <f>IFERROR(VLOOKUP($B298,AD$109:$AG$208,AD$107,FALSE),"")</f>
        <v>0</v>
      </c>
      <c r="AE298" s="2120" t="str">
        <f>IFERROR(VLOOKUP($B298,AE$109:$AG$208,AE$107,FALSE),"")</f>
        <v/>
      </c>
      <c r="AF298" s="2120" t="str">
        <f>IFERROR(VLOOKUP($B298,AF$109:$AG$208,AF$107,FALSE),"")</f>
        <v/>
      </c>
    </row>
    <row r="299" spans="2:32">
      <c r="B299" s="2136">
        <f t="shared" si="21"/>
        <v>85</v>
      </c>
      <c r="F299" s="2120" t="str">
        <f>IFERROR(VLOOKUP($B299,F$109:$AG$208,F$107,FALSE),"")</f>
        <v/>
      </c>
      <c r="G299" s="2120" t="str">
        <f>IFERROR(VLOOKUP($B299,G$109:$AG$208,G$107,FALSE),"")</f>
        <v/>
      </c>
      <c r="H299" s="2120" t="str">
        <f>IFERROR(VLOOKUP($B299,H$109:$AG$208,H$107,FALSE),"")</f>
        <v/>
      </c>
      <c r="I299" s="2120" t="str">
        <f>IFERROR(VLOOKUP($B299,I$109:$AG$208,I$107,FALSE),"")</f>
        <v/>
      </c>
      <c r="J299" s="2120" t="str">
        <f>IFERROR(VLOOKUP($B299,J$109:$AG$208,J$107,FALSE),"")</f>
        <v/>
      </c>
      <c r="K299" s="2120" t="str">
        <f>IFERROR(VLOOKUP($B299,K$109:$AG$208,K$107,FALSE),"")</f>
        <v/>
      </c>
      <c r="L299" s="2120" t="str">
        <f>IFERROR(VLOOKUP($B299,L$109:$AG$208,L$107,FALSE),"")</f>
        <v/>
      </c>
      <c r="M299" s="2120" t="str">
        <f>IFERROR(VLOOKUP($B299,M$109:$AG$208,M$107,FALSE),"")</f>
        <v/>
      </c>
      <c r="N299" s="2120" t="str">
        <f>IFERROR(VLOOKUP($B299,N$109:$AG$208,N$107,FALSE),"")</f>
        <v/>
      </c>
      <c r="O299" s="2120" t="str">
        <f>IFERROR(VLOOKUP($B299,O$109:$AG$208,O$107,FALSE),"")</f>
        <v/>
      </c>
      <c r="P299" s="2120" t="str">
        <f>IFERROR(VLOOKUP($B299,P$109:$AG$208,P$107,FALSE),"")</f>
        <v/>
      </c>
      <c r="Q299" s="2120" t="str">
        <f>IFERROR(VLOOKUP($B299,Q$109:$AG$208,Q$107,FALSE),"")</f>
        <v/>
      </c>
      <c r="R299" s="2120" t="str">
        <f>IFERROR(VLOOKUP($B299,R$109:$AG$208,R$107,FALSE),"")</f>
        <v/>
      </c>
      <c r="S299" s="2120" t="str">
        <f>IFERROR(VLOOKUP($B299,S$109:$AG$208,S$107,FALSE),"")</f>
        <v/>
      </c>
      <c r="T299" s="2120" t="str">
        <f>IFERROR(VLOOKUP($B299,T$109:$AG$208,T$107,FALSE),"")</f>
        <v/>
      </c>
      <c r="U299" s="2120" t="str">
        <f>IFERROR(VLOOKUP($B299,U$109:$AG$208,U$107,FALSE),"")</f>
        <v/>
      </c>
      <c r="V299" s="2120" t="str">
        <f>IFERROR(VLOOKUP($B299,V$109:$AG$208,V$107,FALSE),"")</f>
        <v/>
      </c>
      <c r="W299" s="2120" t="str">
        <f>IFERROR(VLOOKUP($B299,W$109:$AG$208,W$107,FALSE),"")</f>
        <v/>
      </c>
      <c r="X299" s="2120" t="str">
        <f>IFERROR(VLOOKUP($B299,X$109:$AG$208,X$107,FALSE),"")</f>
        <v/>
      </c>
      <c r="Y299" s="2120" t="str">
        <f>IFERROR(VLOOKUP($B299,Y$109:$AG$208,Y$107,FALSE),"")</f>
        <v/>
      </c>
      <c r="Z299" s="2120" t="str">
        <f>IFERROR(VLOOKUP($B299,Z$109:$AG$208,Z$107,FALSE),"")</f>
        <v/>
      </c>
      <c r="AA299" s="2120" t="str">
        <f>IFERROR(VLOOKUP($B299,AA$109:$AG$208,AA$107,FALSE),"")</f>
        <v/>
      </c>
      <c r="AB299" s="2120" t="str">
        <f>IFERROR(VLOOKUP($B299,AB$109:$AG$208,AB$107,FALSE),"")</f>
        <v/>
      </c>
      <c r="AC299" s="2120" t="str">
        <f>IFERROR(VLOOKUP($B299,AC$109:$AG$208,AC$107,FALSE),"")</f>
        <v/>
      </c>
      <c r="AD299" s="2120">
        <f>IFERROR(VLOOKUP($B299,AD$109:$AG$208,AD$107,FALSE),"")</f>
        <v>0</v>
      </c>
      <c r="AE299" s="2120" t="str">
        <f>IFERROR(VLOOKUP($B299,AE$109:$AG$208,AE$107,FALSE),"")</f>
        <v/>
      </c>
      <c r="AF299" s="2120" t="str">
        <f>IFERROR(VLOOKUP($B299,AF$109:$AG$208,AF$107,FALSE),"")</f>
        <v/>
      </c>
    </row>
    <row r="300" spans="2:32">
      <c r="B300" s="2136">
        <f t="shared" si="21"/>
        <v>86</v>
      </c>
      <c r="F300" s="2120" t="str">
        <f>IFERROR(VLOOKUP($B300,F$109:$AG$208,F$107,FALSE),"")</f>
        <v/>
      </c>
      <c r="G300" s="2120" t="str">
        <f>IFERROR(VLOOKUP($B300,G$109:$AG$208,G$107,FALSE),"")</f>
        <v/>
      </c>
      <c r="H300" s="2120" t="str">
        <f>IFERROR(VLOOKUP($B300,H$109:$AG$208,H$107,FALSE),"")</f>
        <v/>
      </c>
      <c r="I300" s="2120" t="str">
        <f>IFERROR(VLOOKUP($B300,I$109:$AG$208,I$107,FALSE),"")</f>
        <v/>
      </c>
      <c r="J300" s="2120" t="str">
        <f>IFERROR(VLOOKUP($B300,J$109:$AG$208,J$107,FALSE),"")</f>
        <v/>
      </c>
      <c r="K300" s="2120" t="str">
        <f>IFERROR(VLOOKUP($B300,K$109:$AG$208,K$107,FALSE),"")</f>
        <v/>
      </c>
      <c r="L300" s="2120" t="str">
        <f>IFERROR(VLOOKUP($B300,L$109:$AG$208,L$107,FALSE),"")</f>
        <v/>
      </c>
      <c r="M300" s="2120" t="str">
        <f>IFERROR(VLOOKUP($B300,M$109:$AG$208,M$107,FALSE),"")</f>
        <v/>
      </c>
      <c r="N300" s="2120" t="str">
        <f>IFERROR(VLOOKUP($B300,N$109:$AG$208,N$107,FALSE),"")</f>
        <v/>
      </c>
      <c r="O300" s="2120" t="str">
        <f>IFERROR(VLOOKUP($B300,O$109:$AG$208,O$107,FALSE),"")</f>
        <v/>
      </c>
      <c r="P300" s="2120" t="str">
        <f>IFERROR(VLOOKUP($B300,P$109:$AG$208,P$107,FALSE),"")</f>
        <v/>
      </c>
      <c r="Q300" s="2120" t="str">
        <f>IFERROR(VLOOKUP($B300,Q$109:$AG$208,Q$107,FALSE),"")</f>
        <v/>
      </c>
      <c r="R300" s="2120" t="str">
        <f>IFERROR(VLOOKUP($B300,R$109:$AG$208,R$107,FALSE),"")</f>
        <v/>
      </c>
      <c r="S300" s="2120" t="str">
        <f>IFERROR(VLOOKUP($B300,S$109:$AG$208,S$107,FALSE),"")</f>
        <v/>
      </c>
      <c r="T300" s="2120" t="str">
        <f>IFERROR(VLOOKUP($B300,T$109:$AG$208,T$107,FALSE),"")</f>
        <v/>
      </c>
      <c r="U300" s="2120" t="str">
        <f>IFERROR(VLOOKUP($B300,U$109:$AG$208,U$107,FALSE),"")</f>
        <v/>
      </c>
      <c r="V300" s="2120" t="str">
        <f>IFERROR(VLOOKUP($B300,V$109:$AG$208,V$107,FALSE),"")</f>
        <v/>
      </c>
      <c r="W300" s="2120" t="str">
        <f>IFERROR(VLOOKUP($B300,W$109:$AG$208,W$107,FALSE),"")</f>
        <v/>
      </c>
      <c r="X300" s="2120" t="str">
        <f>IFERROR(VLOOKUP($B300,X$109:$AG$208,X$107,FALSE),"")</f>
        <v/>
      </c>
      <c r="Y300" s="2120" t="str">
        <f>IFERROR(VLOOKUP($B300,Y$109:$AG$208,Y$107,FALSE),"")</f>
        <v/>
      </c>
      <c r="Z300" s="2120" t="str">
        <f>IFERROR(VLOOKUP($B300,Z$109:$AG$208,Z$107,FALSE),"")</f>
        <v/>
      </c>
      <c r="AA300" s="2120" t="str">
        <f>IFERROR(VLOOKUP($B300,AA$109:$AG$208,AA$107,FALSE),"")</f>
        <v/>
      </c>
      <c r="AB300" s="2120" t="str">
        <f>IFERROR(VLOOKUP($B300,AB$109:$AG$208,AB$107,FALSE),"")</f>
        <v/>
      </c>
      <c r="AC300" s="2120" t="str">
        <f>IFERROR(VLOOKUP($B300,AC$109:$AG$208,AC$107,FALSE),"")</f>
        <v/>
      </c>
      <c r="AD300" s="2120">
        <f>IFERROR(VLOOKUP($B300,AD$109:$AG$208,AD$107,FALSE),"")</f>
        <v>0</v>
      </c>
      <c r="AE300" s="2120" t="str">
        <f>IFERROR(VLOOKUP($B300,AE$109:$AG$208,AE$107,FALSE),"")</f>
        <v/>
      </c>
      <c r="AF300" s="2120" t="str">
        <f>IFERROR(VLOOKUP($B300,AF$109:$AG$208,AF$107,FALSE),"")</f>
        <v/>
      </c>
    </row>
    <row r="301" spans="2:32">
      <c r="B301" s="2136">
        <f t="shared" si="21"/>
        <v>87</v>
      </c>
      <c r="F301" s="2120" t="str">
        <f>IFERROR(VLOOKUP($B301,F$109:$AG$208,F$107,FALSE),"")</f>
        <v/>
      </c>
      <c r="G301" s="2120" t="str">
        <f>IFERROR(VLOOKUP($B301,G$109:$AG$208,G$107,FALSE),"")</f>
        <v/>
      </c>
      <c r="H301" s="2120" t="str">
        <f>IFERROR(VLOOKUP($B301,H$109:$AG$208,H$107,FALSE),"")</f>
        <v/>
      </c>
      <c r="I301" s="2120" t="str">
        <f>IFERROR(VLOOKUP($B301,I$109:$AG$208,I$107,FALSE),"")</f>
        <v/>
      </c>
      <c r="J301" s="2120" t="str">
        <f>IFERROR(VLOOKUP($B301,J$109:$AG$208,J$107,FALSE),"")</f>
        <v/>
      </c>
      <c r="K301" s="2120" t="str">
        <f>IFERROR(VLOOKUP($B301,K$109:$AG$208,K$107,FALSE),"")</f>
        <v/>
      </c>
      <c r="L301" s="2120" t="str">
        <f>IFERROR(VLOOKUP($B301,L$109:$AG$208,L$107,FALSE),"")</f>
        <v/>
      </c>
      <c r="M301" s="2120" t="str">
        <f>IFERROR(VLOOKUP($B301,M$109:$AG$208,M$107,FALSE),"")</f>
        <v/>
      </c>
      <c r="N301" s="2120" t="str">
        <f>IFERROR(VLOOKUP($B301,N$109:$AG$208,N$107,FALSE),"")</f>
        <v/>
      </c>
      <c r="O301" s="2120" t="str">
        <f>IFERROR(VLOOKUP($B301,O$109:$AG$208,O$107,FALSE),"")</f>
        <v/>
      </c>
      <c r="P301" s="2120" t="str">
        <f>IFERROR(VLOOKUP($B301,P$109:$AG$208,P$107,FALSE),"")</f>
        <v/>
      </c>
      <c r="Q301" s="2120" t="str">
        <f>IFERROR(VLOOKUP($B301,Q$109:$AG$208,Q$107,FALSE),"")</f>
        <v/>
      </c>
      <c r="R301" s="2120" t="str">
        <f>IFERROR(VLOOKUP($B301,R$109:$AG$208,R$107,FALSE),"")</f>
        <v/>
      </c>
      <c r="S301" s="2120" t="str">
        <f>IFERROR(VLOOKUP($B301,S$109:$AG$208,S$107,FALSE),"")</f>
        <v/>
      </c>
      <c r="T301" s="2120" t="str">
        <f>IFERROR(VLOOKUP($B301,T$109:$AG$208,T$107,FALSE),"")</f>
        <v/>
      </c>
      <c r="U301" s="2120" t="str">
        <f>IFERROR(VLOOKUP($B301,U$109:$AG$208,U$107,FALSE),"")</f>
        <v/>
      </c>
      <c r="V301" s="2120" t="str">
        <f>IFERROR(VLOOKUP($B301,V$109:$AG$208,V$107,FALSE),"")</f>
        <v/>
      </c>
      <c r="W301" s="2120" t="str">
        <f>IFERROR(VLOOKUP($B301,W$109:$AG$208,W$107,FALSE),"")</f>
        <v/>
      </c>
      <c r="X301" s="2120" t="str">
        <f>IFERROR(VLOOKUP($B301,X$109:$AG$208,X$107,FALSE),"")</f>
        <v/>
      </c>
      <c r="Y301" s="2120" t="str">
        <f>IFERROR(VLOOKUP($B301,Y$109:$AG$208,Y$107,FALSE),"")</f>
        <v/>
      </c>
      <c r="Z301" s="2120" t="str">
        <f>IFERROR(VLOOKUP($B301,Z$109:$AG$208,Z$107,FALSE),"")</f>
        <v/>
      </c>
      <c r="AA301" s="2120" t="str">
        <f>IFERROR(VLOOKUP($B301,AA$109:$AG$208,AA$107,FALSE),"")</f>
        <v/>
      </c>
      <c r="AB301" s="2120" t="str">
        <f>IFERROR(VLOOKUP($B301,AB$109:$AG$208,AB$107,FALSE),"")</f>
        <v/>
      </c>
      <c r="AC301" s="2120" t="str">
        <f>IFERROR(VLOOKUP($B301,AC$109:$AG$208,AC$107,FALSE),"")</f>
        <v/>
      </c>
      <c r="AD301" s="2120">
        <f>IFERROR(VLOOKUP($B301,AD$109:$AG$208,AD$107,FALSE),"")</f>
        <v>0</v>
      </c>
      <c r="AE301" s="2120" t="str">
        <f>IFERROR(VLOOKUP($B301,AE$109:$AG$208,AE$107,FALSE),"")</f>
        <v/>
      </c>
      <c r="AF301" s="2120" t="str">
        <f>IFERROR(VLOOKUP($B301,AF$109:$AG$208,AF$107,FALSE),"")</f>
        <v/>
      </c>
    </row>
    <row r="302" spans="2:32">
      <c r="B302" s="2136">
        <f t="shared" si="21"/>
        <v>88</v>
      </c>
      <c r="F302" s="2120" t="str">
        <f>IFERROR(VLOOKUP($B302,F$109:$AG$208,F$107,FALSE),"")</f>
        <v/>
      </c>
      <c r="G302" s="2120" t="str">
        <f>IFERROR(VLOOKUP($B302,G$109:$AG$208,G$107,FALSE),"")</f>
        <v/>
      </c>
      <c r="H302" s="2120" t="str">
        <f>IFERROR(VLOOKUP($B302,H$109:$AG$208,H$107,FALSE),"")</f>
        <v/>
      </c>
      <c r="I302" s="2120" t="str">
        <f>IFERROR(VLOOKUP($B302,I$109:$AG$208,I$107,FALSE),"")</f>
        <v/>
      </c>
      <c r="J302" s="2120" t="str">
        <f>IFERROR(VLOOKUP($B302,J$109:$AG$208,J$107,FALSE),"")</f>
        <v/>
      </c>
      <c r="K302" s="2120" t="str">
        <f>IFERROR(VLOOKUP($B302,K$109:$AG$208,K$107,FALSE),"")</f>
        <v/>
      </c>
      <c r="L302" s="2120" t="str">
        <f>IFERROR(VLOOKUP($B302,L$109:$AG$208,L$107,FALSE),"")</f>
        <v/>
      </c>
      <c r="M302" s="2120" t="str">
        <f>IFERROR(VLOOKUP($B302,M$109:$AG$208,M$107,FALSE),"")</f>
        <v/>
      </c>
      <c r="N302" s="2120" t="str">
        <f>IFERROR(VLOOKUP($B302,N$109:$AG$208,N$107,FALSE),"")</f>
        <v/>
      </c>
      <c r="O302" s="2120" t="str">
        <f>IFERROR(VLOOKUP($B302,O$109:$AG$208,O$107,FALSE),"")</f>
        <v/>
      </c>
      <c r="P302" s="2120" t="str">
        <f>IFERROR(VLOOKUP($B302,P$109:$AG$208,P$107,FALSE),"")</f>
        <v/>
      </c>
      <c r="Q302" s="2120" t="str">
        <f>IFERROR(VLOOKUP($B302,Q$109:$AG$208,Q$107,FALSE),"")</f>
        <v/>
      </c>
      <c r="R302" s="2120" t="str">
        <f>IFERROR(VLOOKUP($B302,R$109:$AG$208,R$107,FALSE),"")</f>
        <v/>
      </c>
      <c r="S302" s="2120" t="str">
        <f>IFERROR(VLOOKUP($B302,S$109:$AG$208,S$107,FALSE),"")</f>
        <v/>
      </c>
      <c r="T302" s="2120" t="str">
        <f>IFERROR(VLOOKUP($B302,T$109:$AG$208,T$107,FALSE),"")</f>
        <v/>
      </c>
      <c r="U302" s="2120" t="str">
        <f>IFERROR(VLOOKUP($B302,U$109:$AG$208,U$107,FALSE),"")</f>
        <v/>
      </c>
      <c r="V302" s="2120" t="str">
        <f>IFERROR(VLOOKUP($B302,V$109:$AG$208,V$107,FALSE),"")</f>
        <v/>
      </c>
      <c r="W302" s="2120" t="str">
        <f>IFERROR(VLOOKUP($B302,W$109:$AG$208,W$107,FALSE),"")</f>
        <v/>
      </c>
      <c r="X302" s="2120" t="str">
        <f>IFERROR(VLOOKUP($B302,X$109:$AG$208,X$107,FALSE),"")</f>
        <v/>
      </c>
      <c r="Y302" s="2120" t="str">
        <f>IFERROR(VLOOKUP($B302,Y$109:$AG$208,Y$107,FALSE),"")</f>
        <v/>
      </c>
      <c r="Z302" s="2120" t="str">
        <f>IFERROR(VLOOKUP($B302,Z$109:$AG$208,Z$107,FALSE),"")</f>
        <v/>
      </c>
      <c r="AA302" s="2120" t="str">
        <f>IFERROR(VLOOKUP($B302,AA$109:$AG$208,AA$107,FALSE),"")</f>
        <v/>
      </c>
      <c r="AB302" s="2120" t="str">
        <f>IFERROR(VLOOKUP($B302,AB$109:$AG$208,AB$107,FALSE),"")</f>
        <v/>
      </c>
      <c r="AC302" s="2120" t="str">
        <f>IFERROR(VLOOKUP($B302,AC$109:$AG$208,AC$107,FALSE),"")</f>
        <v/>
      </c>
      <c r="AD302" s="2120">
        <f>IFERROR(VLOOKUP($B302,AD$109:$AG$208,AD$107,FALSE),"")</f>
        <v>0</v>
      </c>
      <c r="AE302" s="2120" t="str">
        <f>IFERROR(VLOOKUP($B302,AE$109:$AG$208,AE$107,FALSE),"")</f>
        <v/>
      </c>
      <c r="AF302" s="2120" t="str">
        <f>IFERROR(VLOOKUP($B302,AF$109:$AG$208,AF$107,FALSE),"")</f>
        <v/>
      </c>
    </row>
    <row r="303" spans="2:32">
      <c r="B303" s="2136">
        <f t="shared" si="21"/>
        <v>89</v>
      </c>
      <c r="F303" s="2120" t="str">
        <f>IFERROR(VLOOKUP($B303,F$109:$AG$208,F$107,FALSE),"")</f>
        <v/>
      </c>
      <c r="G303" s="2120" t="str">
        <f>IFERROR(VLOOKUP($B303,G$109:$AG$208,G$107,FALSE),"")</f>
        <v/>
      </c>
      <c r="H303" s="2120" t="str">
        <f>IFERROR(VLOOKUP($B303,H$109:$AG$208,H$107,FALSE),"")</f>
        <v/>
      </c>
      <c r="I303" s="2120" t="str">
        <f>IFERROR(VLOOKUP($B303,I$109:$AG$208,I$107,FALSE),"")</f>
        <v/>
      </c>
      <c r="J303" s="2120" t="str">
        <f>IFERROR(VLOOKUP($B303,J$109:$AG$208,J$107,FALSE),"")</f>
        <v/>
      </c>
      <c r="K303" s="2120" t="str">
        <f>IFERROR(VLOOKUP($B303,K$109:$AG$208,K$107,FALSE),"")</f>
        <v/>
      </c>
      <c r="L303" s="2120" t="str">
        <f>IFERROR(VLOOKUP($B303,L$109:$AG$208,L$107,FALSE),"")</f>
        <v/>
      </c>
      <c r="M303" s="2120" t="str">
        <f>IFERROR(VLOOKUP($B303,M$109:$AG$208,M$107,FALSE),"")</f>
        <v/>
      </c>
      <c r="N303" s="2120" t="str">
        <f>IFERROR(VLOOKUP($B303,N$109:$AG$208,N$107,FALSE),"")</f>
        <v/>
      </c>
      <c r="O303" s="2120" t="str">
        <f>IFERROR(VLOOKUP($B303,O$109:$AG$208,O$107,FALSE),"")</f>
        <v/>
      </c>
      <c r="P303" s="2120" t="str">
        <f>IFERROR(VLOOKUP($B303,P$109:$AG$208,P$107,FALSE),"")</f>
        <v/>
      </c>
      <c r="Q303" s="2120" t="str">
        <f>IFERROR(VLOOKUP($B303,Q$109:$AG$208,Q$107,FALSE),"")</f>
        <v/>
      </c>
      <c r="R303" s="2120" t="str">
        <f>IFERROR(VLOOKUP($B303,R$109:$AG$208,R$107,FALSE),"")</f>
        <v/>
      </c>
      <c r="S303" s="2120" t="str">
        <f>IFERROR(VLOOKUP($B303,S$109:$AG$208,S$107,FALSE),"")</f>
        <v/>
      </c>
      <c r="T303" s="2120" t="str">
        <f>IFERROR(VLOOKUP($B303,T$109:$AG$208,T$107,FALSE),"")</f>
        <v/>
      </c>
      <c r="U303" s="2120" t="str">
        <f>IFERROR(VLOOKUP($B303,U$109:$AG$208,U$107,FALSE),"")</f>
        <v/>
      </c>
      <c r="V303" s="2120" t="str">
        <f>IFERROR(VLOOKUP($B303,V$109:$AG$208,V$107,FALSE),"")</f>
        <v/>
      </c>
      <c r="W303" s="2120" t="str">
        <f>IFERROR(VLOOKUP($B303,W$109:$AG$208,W$107,FALSE),"")</f>
        <v/>
      </c>
      <c r="X303" s="2120" t="str">
        <f>IFERROR(VLOOKUP($B303,X$109:$AG$208,X$107,FALSE),"")</f>
        <v/>
      </c>
      <c r="Y303" s="2120" t="str">
        <f>IFERROR(VLOOKUP($B303,Y$109:$AG$208,Y$107,FALSE),"")</f>
        <v/>
      </c>
      <c r="Z303" s="2120" t="str">
        <f>IFERROR(VLOOKUP($B303,Z$109:$AG$208,Z$107,FALSE),"")</f>
        <v/>
      </c>
      <c r="AA303" s="2120" t="str">
        <f>IFERROR(VLOOKUP($B303,AA$109:$AG$208,AA$107,FALSE),"")</f>
        <v/>
      </c>
      <c r="AB303" s="2120" t="str">
        <f>IFERROR(VLOOKUP($B303,AB$109:$AG$208,AB$107,FALSE),"")</f>
        <v/>
      </c>
      <c r="AC303" s="2120" t="str">
        <f>IFERROR(VLOOKUP($B303,AC$109:$AG$208,AC$107,FALSE),"")</f>
        <v/>
      </c>
      <c r="AD303" s="2120">
        <f>IFERROR(VLOOKUP($B303,AD$109:$AG$208,AD$107,FALSE),"")</f>
        <v>0</v>
      </c>
      <c r="AE303" s="2120" t="str">
        <f>IFERROR(VLOOKUP($B303,AE$109:$AG$208,AE$107,FALSE),"")</f>
        <v/>
      </c>
      <c r="AF303" s="2120" t="str">
        <f>IFERROR(VLOOKUP($B303,AF$109:$AG$208,AF$107,FALSE),"")</f>
        <v/>
      </c>
    </row>
    <row r="304" spans="2:32">
      <c r="B304" s="2136">
        <f t="shared" si="21"/>
        <v>90</v>
      </c>
      <c r="F304" s="2120" t="str">
        <f>IFERROR(VLOOKUP($B304,F$109:$AG$208,F$107,FALSE),"")</f>
        <v/>
      </c>
      <c r="G304" s="2120" t="str">
        <f>IFERROR(VLOOKUP($B304,G$109:$AG$208,G$107,FALSE),"")</f>
        <v/>
      </c>
      <c r="H304" s="2120" t="str">
        <f>IFERROR(VLOOKUP($B304,H$109:$AG$208,H$107,FALSE),"")</f>
        <v/>
      </c>
      <c r="I304" s="2120" t="str">
        <f>IFERROR(VLOOKUP($B304,I$109:$AG$208,I$107,FALSE),"")</f>
        <v/>
      </c>
      <c r="J304" s="2120" t="str">
        <f>IFERROR(VLOOKUP($B304,J$109:$AG$208,J$107,FALSE),"")</f>
        <v/>
      </c>
      <c r="K304" s="2120" t="str">
        <f>IFERROR(VLOOKUP($B304,K$109:$AG$208,K$107,FALSE),"")</f>
        <v/>
      </c>
      <c r="L304" s="2120" t="str">
        <f>IFERROR(VLOOKUP($B304,L$109:$AG$208,L$107,FALSE),"")</f>
        <v/>
      </c>
      <c r="M304" s="2120" t="str">
        <f>IFERROR(VLOOKUP($B304,M$109:$AG$208,M$107,FALSE),"")</f>
        <v/>
      </c>
      <c r="N304" s="2120" t="str">
        <f>IFERROR(VLOOKUP($B304,N$109:$AG$208,N$107,FALSE),"")</f>
        <v/>
      </c>
      <c r="O304" s="2120" t="str">
        <f>IFERROR(VLOOKUP($B304,O$109:$AG$208,O$107,FALSE),"")</f>
        <v/>
      </c>
      <c r="P304" s="2120" t="str">
        <f>IFERROR(VLOOKUP($B304,P$109:$AG$208,P$107,FALSE),"")</f>
        <v/>
      </c>
      <c r="Q304" s="2120" t="str">
        <f>IFERROR(VLOOKUP($B304,Q$109:$AG$208,Q$107,FALSE),"")</f>
        <v/>
      </c>
      <c r="R304" s="2120" t="str">
        <f>IFERROR(VLOOKUP($B304,R$109:$AG$208,R$107,FALSE),"")</f>
        <v/>
      </c>
      <c r="S304" s="2120" t="str">
        <f>IFERROR(VLOOKUP($B304,S$109:$AG$208,S$107,FALSE),"")</f>
        <v/>
      </c>
      <c r="T304" s="2120" t="str">
        <f>IFERROR(VLOOKUP($B304,T$109:$AG$208,T$107,FALSE),"")</f>
        <v/>
      </c>
      <c r="U304" s="2120" t="str">
        <f>IFERROR(VLOOKUP($B304,U$109:$AG$208,U$107,FALSE),"")</f>
        <v/>
      </c>
      <c r="V304" s="2120" t="str">
        <f>IFERROR(VLOOKUP($B304,V$109:$AG$208,V$107,FALSE),"")</f>
        <v/>
      </c>
      <c r="W304" s="2120" t="str">
        <f>IFERROR(VLOOKUP($B304,W$109:$AG$208,W$107,FALSE),"")</f>
        <v/>
      </c>
      <c r="X304" s="2120" t="str">
        <f>IFERROR(VLOOKUP($B304,X$109:$AG$208,X$107,FALSE),"")</f>
        <v/>
      </c>
      <c r="Y304" s="2120" t="str">
        <f>IFERROR(VLOOKUP($B304,Y$109:$AG$208,Y$107,FALSE),"")</f>
        <v/>
      </c>
      <c r="Z304" s="2120" t="str">
        <f>IFERROR(VLOOKUP($B304,Z$109:$AG$208,Z$107,FALSE),"")</f>
        <v/>
      </c>
      <c r="AA304" s="2120" t="str">
        <f>IFERROR(VLOOKUP($B304,AA$109:$AG$208,AA$107,FALSE),"")</f>
        <v/>
      </c>
      <c r="AB304" s="2120" t="str">
        <f>IFERROR(VLOOKUP($B304,AB$109:$AG$208,AB$107,FALSE),"")</f>
        <v/>
      </c>
      <c r="AC304" s="2120" t="str">
        <f>IFERROR(VLOOKUP($B304,AC$109:$AG$208,AC$107,FALSE),"")</f>
        <v/>
      </c>
      <c r="AD304" s="2120">
        <f>IFERROR(VLOOKUP($B304,AD$109:$AG$208,AD$107,FALSE),"")</f>
        <v>0</v>
      </c>
      <c r="AE304" s="2120" t="str">
        <f>IFERROR(VLOOKUP($B304,AE$109:$AG$208,AE$107,FALSE),"")</f>
        <v/>
      </c>
      <c r="AF304" s="2120" t="str">
        <f>IFERROR(VLOOKUP($B304,AF$109:$AG$208,AF$107,FALSE),"")</f>
        <v/>
      </c>
    </row>
    <row r="305" spans="2:32">
      <c r="B305" s="2136">
        <f t="shared" si="21"/>
        <v>91</v>
      </c>
      <c r="F305" s="2120" t="str">
        <f>IFERROR(VLOOKUP($B305,F$109:$AG$208,F$107,FALSE),"")</f>
        <v/>
      </c>
      <c r="G305" s="2120" t="str">
        <f>IFERROR(VLOOKUP($B305,G$109:$AG$208,G$107,FALSE),"")</f>
        <v/>
      </c>
      <c r="H305" s="2120" t="str">
        <f>IFERROR(VLOOKUP($B305,H$109:$AG$208,H$107,FALSE),"")</f>
        <v/>
      </c>
      <c r="I305" s="2120" t="str">
        <f>IFERROR(VLOOKUP($B305,I$109:$AG$208,I$107,FALSE),"")</f>
        <v/>
      </c>
      <c r="J305" s="2120" t="str">
        <f>IFERROR(VLOOKUP($B305,J$109:$AG$208,J$107,FALSE),"")</f>
        <v/>
      </c>
      <c r="K305" s="2120" t="str">
        <f>IFERROR(VLOOKUP($B305,K$109:$AG$208,K$107,FALSE),"")</f>
        <v/>
      </c>
      <c r="L305" s="2120" t="str">
        <f>IFERROR(VLOOKUP($B305,L$109:$AG$208,L$107,FALSE),"")</f>
        <v/>
      </c>
      <c r="M305" s="2120" t="str">
        <f>IFERROR(VLOOKUP($B305,M$109:$AG$208,M$107,FALSE),"")</f>
        <v/>
      </c>
      <c r="N305" s="2120" t="str">
        <f>IFERROR(VLOOKUP($B305,N$109:$AG$208,N$107,FALSE),"")</f>
        <v/>
      </c>
      <c r="O305" s="2120" t="str">
        <f>IFERROR(VLOOKUP($B305,O$109:$AG$208,O$107,FALSE),"")</f>
        <v/>
      </c>
      <c r="P305" s="2120" t="str">
        <f>IFERROR(VLOOKUP($B305,P$109:$AG$208,P$107,FALSE),"")</f>
        <v/>
      </c>
      <c r="Q305" s="2120" t="str">
        <f>IFERROR(VLOOKUP($B305,Q$109:$AG$208,Q$107,FALSE),"")</f>
        <v/>
      </c>
      <c r="R305" s="2120" t="str">
        <f>IFERROR(VLOOKUP($B305,R$109:$AG$208,R$107,FALSE),"")</f>
        <v/>
      </c>
      <c r="S305" s="2120" t="str">
        <f>IFERROR(VLOOKUP($B305,S$109:$AG$208,S$107,FALSE),"")</f>
        <v/>
      </c>
      <c r="T305" s="2120" t="str">
        <f>IFERROR(VLOOKUP($B305,T$109:$AG$208,T$107,FALSE),"")</f>
        <v/>
      </c>
      <c r="U305" s="2120" t="str">
        <f>IFERROR(VLOOKUP($B305,U$109:$AG$208,U$107,FALSE),"")</f>
        <v/>
      </c>
      <c r="V305" s="2120" t="str">
        <f>IFERROR(VLOOKUP($B305,V$109:$AG$208,V$107,FALSE),"")</f>
        <v/>
      </c>
      <c r="W305" s="2120" t="str">
        <f>IFERROR(VLOOKUP($B305,W$109:$AG$208,W$107,FALSE),"")</f>
        <v/>
      </c>
      <c r="X305" s="2120" t="str">
        <f>IFERROR(VLOOKUP($B305,X$109:$AG$208,X$107,FALSE),"")</f>
        <v/>
      </c>
      <c r="Y305" s="2120" t="str">
        <f>IFERROR(VLOOKUP($B305,Y$109:$AG$208,Y$107,FALSE),"")</f>
        <v/>
      </c>
      <c r="Z305" s="2120" t="str">
        <f>IFERROR(VLOOKUP($B305,Z$109:$AG$208,Z$107,FALSE),"")</f>
        <v/>
      </c>
      <c r="AA305" s="2120" t="str">
        <f>IFERROR(VLOOKUP($B305,AA$109:$AG$208,AA$107,FALSE),"")</f>
        <v/>
      </c>
      <c r="AB305" s="2120" t="str">
        <f>IFERROR(VLOOKUP($B305,AB$109:$AG$208,AB$107,FALSE),"")</f>
        <v/>
      </c>
      <c r="AC305" s="2120" t="str">
        <f>IFERROR(VLOOKUP($B305,AC$109:$AG$208,AC$107,FALSE),"")</f>
        <v/>
      </c>
      <c r="AD305" s="2120">
        <f>IFERROR(VLOOKUP($B305,AD$109:$AG$208,AD$107,FALSE),"")</f>
        <v>0</v>
      </c>
      <c r="AE305" s="2120" t="str">
        <f>IFERROR(VLOOKUP($B305,AE$109:$AG$208,AE$107,FALSE),"")</f>
        <v/>
      </c>
      <c r="AF305" s="2120" t="str">
        <f>IFERROR(VLOOKUP($B305,AF$109:$AG$208,AF$107,FALSE),"")</f>
        <v/>
      </c>
    </row>
    <row r="306" spans="2:32">
      <c r="B306" s="2136">
        <f t="shared" si="21"/>
        <v>92</v>
      </c>
      <c r="F306" s="2120" t="str">
        <f>IFERROR(VLOOKUP($B306,F$109:$AG$208,F$107,FALSE),"")</f>
        <v/>
      </c>
      <c r="G306" s="2120" t="str">
        <f>IFERROR(VLOOKUP($B306,G$109:$AG$208,G$107,FALSE),"")</f>
        <v/>
      </c>
      <c r="H306" s="2120" t="str">
        <f>IFERROR(VLOOKUP($B306,H$109:$AG$208,H$107,FALSE),"")</f>
        <v/>
      </c>
      <c r="I306" s="2120" t="str">
        <f>IFERROR(VLOOKUP($B306,I$109:$AG$208,I$107,FALSE),"")</f>
        <v/>
      </c>
      <c r="J306" s="2120" t="str">
        <f>IFERROR(VLOOKUP($B306,J$109:$AG$208,J$107,FALSE),"")</f>
        <v/>
      </c>
      <c r="K306" s="2120" t="str">
        <f>IFERROR(VLOOKUP($B306,K$109:$AG$208,K$107,FALSE),"")</f>
        <v/>
      </c>
      <c r="L306" s="2120" t="str">
        <f>IFERROR(VLOOKUP($B306,L$109:$AG$208,L$107,FALSE),"")</f>
        <v/>
      </c>
      <c r="M306" s="2120" t="str">
        <f>IFERROR(VLOOKUP($B306,M$109:$AG$208,M$107,FALSE),"")</f>
        <v/>
      </c>
      <c r="N306" s="2120" t="str">
        <f>IFERROR(VLOOKUP($B306,N$109:$AG$208,N$107,FALSE),"")</f>
        <v/>
      </c>
      <c r="O306" s="2120" t="str">
        <f>IFERROR(VLOOKUP($B306,O$109:$AG$208,O$107,FALSE),"")</f>
        <v/>
      </c>
      <c r="P306" s="2120" t="str">
        <f>IFERROR(VLOOKUP($B306,P$109:$AG$208,P$107,FALSE),"")</f>
        <v/>
      </c>
      <c r="Q306" s="2120" t="str">
        <f>IFERROR(VLOOKUP($B306,Q$109:$AG$208,Q$107,FALSE),"")</f>
        <v/>
      </c>
      <c r="R306" s="2120" t="str">
        <f>IFERROR(VLOOKUP($B306,R$109:$AG$208,R$107,FALSE),"")</f>
        <v/>
      </c>
      <c r="S306" s="2120" t="str">
        <f>IFERROR(VLOOKUP($B306,S$109:$AG$208,S$107,FALSE),"")</f>
        <v/>
      </c>
      <c r="T306" s="2120" t="str">
        <f>IFERROR(VLOOKUP($B306,T$109:$AG$208,T$107,FALSE),"")</f>
        <v/>
      </c>
      <c r="U306" s="2120" t="str">
        <f>IFERROR(VLOOKUP($B306,U$109:$AG$208,U$107,FALSE),"")</f>
        <v/>
      </c>
      <c r="V306" s="2120" t="str">
        <f>IFERROR(VLOOKUP($B306,V$109:$AG$208,V$107,FALSE),"")</f>
        <v/>
      </c>
      <c r="W306" s="2120" t="str">
        <f>IFERROR(VLOOKUP($B306,W$109:$AG$208,W$107,FALSE),"")</f>
        <v/>
      </c>
      <c r="X306" s="2120" t="str">
        <f>IFERROR(VLOOKUP($B306,X$109:$AG$208,X$107,FALSE),"")</f>
        <v/>
      </c>
      <c r="Y306" s="2120" t="str">
        <f>IFERROR(VLOOKUP($B306,Y$109:$AG$208,Y$107,FALSE),"")</f>
        <v/>
      </c>
      <c r="Z306" s="2120" t="str">
        <f>IFERROR(VLOOKUP($B306,Z$109:$AG$208,Z$107,FALSE),"")</f>
        <v/>
      </c>
      <c r="AA306" s="2120" t="str">
        <f>IFERROR(VLOOKUP($B306,AA$109:$AG$208,AA$107,FALSE),"")</f>
        <v/>
      </c>
      <c r="AB306" s="2120" t="str">
        <f>IFERROR(VLOOKUP($B306,AB$109:$AG$208,AB$107,FALSE),"")</f>
        <v/>
      </c>
      <c r="AC306" s="2120" t="str">
        <f>IFERROR(VLOOKUP($B306,AC$109:$AG$208,AC$107,FALSE),"")</f>
        <v/>
      </c>
      <c r="AD306" s="2120">
        <f>IFERROR(VLOOKUP($B306,AD$109:$AG$208,AD$107,FALSE),"")</f>
        <v>0</v>
      </c>
      <c r="AE306" s="2120" t="str">
        <f>IFERROR(VLOOKUP($B306,AE$109:$AG$208,AE$107,FALSE),"")</f>
        <v/>
      </c>
      <c r="AF306" s="2120" t="str">
        <f>IFERROR(VLOOKUP($B306,AF$109:$AG$208,AF$107,FALSE),"")</f>
        <v/>
      </c>
    </row>
    <row r="307" spans="2:32">
      <c r="B307" s="2136">
        <f t="shared" si="21"/>
        <v>93</v>
      </c>
      <c r="F307" s="2120" t="str">
        <f>IFERROR(VLOOKUP($B307,F$109:$AG$208,F$107,FALSE),"")</f>
        <v/>
      </c>
      <c r="G307" s="2120" t="str">
        <f>IFERROR(VLOOKUP($B307,G$109:$AG$208,G$107,FALSE),"")</f>
        <v/>
      </c>
      <c r="H307" s="2120" t="str">
        <f>IFERROR(VLOOKUP($B307,H$109:$AG$208,H$107,FALSE),"")</f>
        <v/>
      </c>
      <c r="I307" s="2120" t="str">
        <f>IFERROR(VLOOKUP($B307,I$109:$AG$208,I$107,FALSE),"")</f>
        <v/>
      </c>
      <c r="J307" s="2120" t="str">
        <f>IFERROR(VLOOKUP($B307,J$109:$AG$208,J$107,FALSE),"")</f>
        <v/>
      </c>
      <c r="K307" s="2120" t="str">
        <f>IFERROR(VLOOKUP($B307,K$109:$AG$208,K$107,FALSE),"")</f>
        <v/>
      </c>
      <c r="L307" s="2120" t="str">
        <f>IFERROR(VLOOKUP($B307,L$109:$AG$208,L$107,FALSE),"")</f>
        <v/>
      </c>
      <c r="M307" s="2120" t="str">
        <f>IFERROR(VLOOKUP($B307,M$109:$AG$208,M$107,FALSE),"")</f>
        <v/>
      </c>
      <c r="N307" s="2120" t="str">
        <f>IFERROR(VLOOKUP($B307,N$109:$AG$208,N$107,FALSE),"")</f>
        <v/>
      </c>
      <c r="O307" s="2120" t="str">
        <f>IFERROR(VLOOKUP($B307,O$109:$AG$208,O$107,FALSE),"")</f>
        <v/>
      </c>
      <c r="P307" s="2120" t="str">
        <f>IFERROR(VLOOKUP($B307,P$109:$AG$208,P$107,FALSE),"")</f>
        <v/>
      </c>
      <c r="Q307" s="2120" t="str">
        <f>IFERROR(VLOOKUP($B307,Q$109:$AG$208,Q$107,FALSE),"")</f>
        <v/>
      </c>
      <c r="R307" s="2120" t="str">
        <f>IFERROR(VLOOKUP($B307,R$109:$AG$208,R$107,FALSE),"")</f>
        <v/>
      </c>
      <c r="S307" s="2120" t="str">
        <f>IFERROR(VLOOKUP($B307,S$109:$AG$208,S$107,FALSE),"")</f>
        <v/>
      </c>
      <c r="T307" s="2120" t="str">
        <f>IFERROR(VLOOKUP($B307,T$109:$AG$208,T$107,FALSE),"")</f>
        <v/>
      </c>
      <c r="U307" s="2120" t="str">
        <f>IFERROR(VLOOKUP($B307,U$109:$AG$208,U$107,FALSE),"")</f>
        <v/>
      </c>
      <c r="V307" s="2120" t="str">
        <f>IFERROR(VLOOKUP($B307,V$109:$AG$208,V$107,FALSE),"")</f>
        <v/>
      </c>
      <c r="W307" s="2120" t="str">
        <f>IFERROR(VLOOKUP($B307,W$109:$AG$208,W$107,FALSE),"")</f>
        <v/>
      </c>
      <c r="X307" s="2120" t="str">
        <f>IFERROR(VLOOKUP($B307,X$109:$AG$208,X$107,FALSE),"")</f>
        <v/>
      </c>
      <c r="Y307" s="2120" t="str">
        <f>IFERROR(VLOOKUP($B307,Y$109:$AG$208,Y$107,FALSE),"")</f>
        <v/>
      </c>
      <c r="Z307" s="2120" t="str">
        <f>IFERROR(VLOOKUP($B307,Z$109:$AG$208,Z$107,FALSE),"")</f>
        <v/>
      </c>
      <c r="AA307" s="2120" t="str">
        <f>IFERROR(VLOOKUP($B307,AA$109:$AG$208,AA$107,FALSE),"")</f>
        <v/>
      </c>
      <c r="AB307" s="2120" t="str">
        <f>IFERROR(VLOOKUP($B307,AB$109:$AG$208,AB$107,FALSE),"")</f>
        <v/>
      </c>
      <c r="AC307" s="2120" t="str">
        <f>IFERROR(VLOOKUP($B307,AC$109:$AG$208,AC$107,FALSE),"")</f>
        <v/>
      </c>
      <c r="AD307" s="2120">
        <f>IFERROR(VLOOKUP($B307,AD$109:$AG$208,AD$107,FALSE),"")</f>
        <v>0</v>
      </c>
      <c r="AE307" s="2120" t="str">
        <f>IFERROR(VLOOKUP($B307,AE$109:$AG$208,AE$107,FALSE),"")</f>
        <v/>
      </c>
      <c r="AF307" s="2120" t="str">
        <f>IFERROR(VLOOKUP($B307,AF$109:$AG$208,AF$107,FALSE),"")</f>
        <v/>
      </c>
    </row>
    <row r="308" spans="2:32">
      <c r="B308" s="2136">
        <f t="shared" si="21"/>
        <v>94</v>
      </c>
      <c r="F308" s="2120" t="str">
        <f>IFERROR(VLOOKUP($B308,F$109:$AG$208,F$107,FALSE),"")</f>
        <v/>
      </c>
      <c r="G308" s="2120" t="str">
        <f>IFERROR(VLOOKUP($B308,G$109:$AG$208,G$107,FALSE),"")</f>
        <v/>
      </c>
      <c r="H308" s="2120" t="str">
        <f>IFERROR(VLOOKUP($B308,H$109:$AG$208,H$107,FALSE),"")</f>
        <v/>
      </c>
      <c r="I308" s="2120" t="str">
        <f>IFERROR(VLOOKUP($B308,I$109:$AG$208,I$107,FALSE),"")</f>
        <v/>
      </c>
      <c r="J308" s="2120" t="str">
        <f>IFERROR(VLOOKUP($B308,J$109:$AG$208,J$107,FALSE),"")</f>
        <v/>
      </c>
      <c r="K308" s="2120" t="str">
        <f>IFERROR(VLOOKUP($B308,K$109:$AG$208,K$107,FALSE),"")</f>
        <v/>
      </c>
      <c r="L308" s="2120" t="str">
        <f>IFERROR(VLOOKUP($B308,L$109:$AG$208,L$107,FALSE),"")</f>
        <v/>
      </c>
      <c r="M308" s="2120" t="str">
        <f>IFERROR(VLOOKUP($B308,M$109:$AG$208,M$107,FALSE),"")</f>
        <v/>
      </c>
      <c r="N308" s="2120" t="str">
        <f>IFERROR(VLOOKUP($B308,N$109:$AG$208,N$107,FALSE),"")</f>
        <v/>
      </c>
      <c r="O308" s="2120" t="str">
        <f>IFERROR(VLOOKUP($B308,O$109:$AG$208,O$107,FALSE),"")</f>
        <v/>
      </c>
      <c r="P308" s="2120" t="str">
        <f>IFERROR(VLOOKUP($B308,P$109:$AG$208,P$107,FALSE),"")</f>
        <v/>
      </c>
      <c r="Q308" s="2120" t="str">
        <f>IFERROR(VLOOKUP($B308,Q$109:$AG$208,Q$107,FALSE),"")</f>
        <v/>
      </c>
      <c r="R308" s="2120" t="str">
        <f>IFERROR(VLOOKUP($B308,R$109:$AG$208,R$107,FALSE),"")</f>
        <v/>
      </c>
      <c r="S308" s="2120" t="str">
        <f>IFERROR(VLOOKUP($B308,S$109:$AG$208,S$107,FALSE),"")</f>
        <v/>
      </c>
      <c r="T308" s="2120" t="str">
        <f>IFERROR(VLOOKUP($B308,T$109:$AG$208,T$107,FALSE),"")</f>
        <v/>
      </c>
      <c r="U308" s="2120" t="str">
        <f>IFERROR(VLOOKUP($B308,U$109:$AG$208,U$107,FALSE),"")</f>
        <v/>
      </c>
      <c r="V308" s="2120" t="str">
        <f>IFERROR(VLOOKUP($B308,V$109:$AG$208,V$107,FALSE),"")</f>
        <v/>
      </c>
      <c r="W308" s="2120" t="str">
        <f>IFERROR(VLOOKUP($B308,W$109:$AG$208,W$107,FALSE),"")</f>
        <v/>
      </c>
      <c r="X308" s="2120" t="str">
        <f>IFERROR(VLOOKUP($B308,X$109:$AG$208,X$107,FALSE),"")</f>
        <v/>
      </c>
      <c r="Y308" s="2120" t="str">
        <f>IFERROR(VLOOKUP($B308,Y$109:$AG$208,Y$107,FALSE),"")</f>
        <v/>
      </c>
      <c r="Z308" s="2120" t="str">
        <f>IFERROR(VLOOKUP($B308,Z$109:$AG$208,Z$107,FALSE),"")</f>
        <v/>
      </c>
      <c r="AA308" s="2120" t="str">
        <f>IFERROR(VLOOKUP($B308,AA$109:$AG$208,AA$107,FALSE),"")</f>
        <v/>
      </c>
      <c r="AB308" s="2120" t="str">
        <f>IFERROR(VLOOKUP($B308,AB$109:$AG$208,AB$107,FALSE),"")</f>
        <v/>
      </c>
      <c r="AC308" s="2120" t="str">
        <f>IFERROR(VLOOKUP($B308,AC$109:$AG$208,AC$107,FALSE),"")</f>
        <v/>
      </c>
      <c r="AD308" s="2120" t="str">
        <f>IFERROR(VLOOKUP($B308,AD$109:$AG$208,AD$107,FALSE),"")</f>
        <v/>
      </c>
      <c r="AE308" s="2120" t="str">
        <f>IFERROR(VLOOKUP($B308,AE$109:$AG$208,AE$107,FALSE),"")</f>
        <v/>
      </c>
      <c r="AF308" s="2120" t="str">
        <f>IFERROR(VLOOKUP($B308,AF$109:$AG$208,AF$107,FALSE),"")</f>
        <v/>
      </c>
    </row>
    <row r="309" spans="2:32">
      <c r="B309" s="2136">
        <f t="shared" si="21"/>
        <v>95</v>
      </c>
      <c r="F309" s="2120" t="str">
        <f>IFERROR(VLOOKUP($B309,F$109:$AG$208,F$107,FALSE),"")</f>
        <v/>
      </c>
      <c r="G309" s="2120" t="str">
        <f>IFERROR(VLOOKUP($B309,G$109:$AG$208,G$107,FALSE),"")</f>
        <v/>
      </c>
      <c r="H309" s="2120" t="str">
        <f>IFERROR(VLOOKUP($B309,H$109:$AG$208,H$107,FALSE),"")</f>
        <v/>
      </c>
      <c r="I309" s="2120" t="str">
        <f>IFERROR(VLOOKUP($B309,I$109:$AG$208,I$107,FALSE),"")</f>
        <v/>
      </c>
      <c r="J309" s="2120" t="str">
        <f>IFERROR(VLOOKUP($B309,J$109:$AG$208,J$107,FALSE),"")</f>
        <v/>
      </c>
      <c r="K309" s="2120" t="str">
        <f>IFERROR(VLOOKUP($B309,K$109:$AG$208,K$107,FALSE),"")</f>
        <v/>
      </c>
      <c r="L309" s="2120" t="str">
        <f>IFERROR(VLOOKUP($B309,L$109:$AG$208,L$107,FALSE),"")</f>
        <v/>
      </c>
      <c r="M309" s="2120" t="str">
        <f>IFERROR(VLOOKUP($B309,M$109:$AG$208,M$107,FALSE),"")</f>
        <v/>
      </c>
      <c r="N309" s="2120" t="str">
        <f>IFERROR(VLOOKUP($B309,N$109:$AG$208,N$107,FALSE),"")</f>
        <v/>
      </c>
      <c r="O309" s="2120" t="str">
        <f>IFERROR(VLOOKUP($B309,O$109:$AG$208,O$107,FALSE),"")</f>
        <v/>
      </c>
      <c r="P309" s="2120" t="str">
        <f>IFERROR(VLOOKUP($B309,P$109:$AG$208,P$107,FALSE),"")</f>
        <v/>
      </c>
      <c r="Q309" s="2120" t="str">
        <f>IFERROR(VLOOKUP($B309,Q$109:$AG$208,Q$107,FALSE),"")</f>
        <v/>
      </c>
      <c r="R309" s="2120" t="str">
        <f>IFERROR(VLOOKUP($B309,R$109:$AG$208,R$107,FALSE),"")</f>
        <v/>
      </c>
      <c r="S309" s="2120" t="str">
        <f>IFERROR(VLOOKUP($B309,S$109:$AG$208,S$107,FALSE),"")</f>
        <v/>
      </c>
      <c r="T309" s="2120" t="str">
        <f>IFERROR(VLOOKUP($B309,T$109:$AG$208,T$107,FALSE),"")</f>
        <v/>
      </c>
      <c r="U309" s="2120" t="str">
        <f>IFERROR(VLOOKUP($B309,U$109:$AG$208,U$107,FALSE),"")</f>
        <v/>
      </c>
      <c r="V309" s="2120" t="str">
        <f>IFERROR(VLOOKUP($B309,V$109:$AG$208,V$107,FALSE),"")</f>
        <v/>
      </c>
      <c r="W309" s="2120" t="str">
        <f>IFERROR(VLOOKUP($B309,W$109:$AG$208,W$107,FALSE),"")</f>
        <v/>
      </c>
      <c r="X309" s="2120" t="str">
        <f>IFERROR(VLOOKUP($B309,X$109:$AG$208,X$107,FALSE),"")</f>
        <v/>
      </c>
      <c r="Y309" s="2120" t="str">
        <f>IFERROR(VLOOKUP($B309,Y$109:$AG$208,Y$107,FALSE),"")</f>
        <v/>
      </c>
      <c r="Z309" s="2120" t="str">
        <f>IFERROR(VLOOKUP($B309,Z$109:$AG$208,Z$107,FALSE),"")</f>
        <v/>
      </c>
      <c r="AA309" s="2120" t="str">
        <f>IFERROR(VLOOKUP($B309,AA$109:$AG$208,AA$107,FALSE),"")</f>
        <v/>
      </c>
      <c r="AB309" s="2120" t="str">
        <f>IFERROR(VLOOKUP($B309,AB$109:$AG$208,AB$107,FALSE),"")</f>
        <v/>
      </c>
      <c r="AC309" s="2120" t="str">
        <f>IFERROR(VLOOKUP($B309,AC$109:$AG$208,AC$107,FALSE),"")</f>
        <v/>
      </c>
      <c r="AD309" s="2120" t="str">
        <f>IFERROR(VLOOKUP($B309,AD$109:$AG$208,AD$107,FALSE),"")</f>
        <v/>
      </c>
      <c r="AE309" s="2120" t="str">
        <f>IFERROR(VLOOKUP($B309,AE$109:$AG$208,AE$107,FALSE),"")</f>
        <v/>
      </c>
      <c r="AF309" s="2120" t="str">
        <f>IFERROR(VLOOKUP($B309,AF$109:$AG$208,AF$107,FALSE),"")</f>
        <v/>
      </c>
    </row>
    <row r="310" spans="2:32">
      <c r="B310" s="2136">
        <f t="shared" si="21"/>
        <v>96</v>
      </c>
      <c r="F310" s="2120" t="str">
        <f>IFERROR(VLOOKUP($B310,F$109:$AG$208,F$107,FALSE),"")</f>
        <v/>
      </c>
      <c r="G310" s="2120" t="str">
        <f>IFERROR(VLOOKUP($B310,G$109:$AG$208,G$107,FALSE),"")</f>
        <v/>
      </c>
      <c r="H310" s="2120" t="str">
        <f>IFERROR(VLOOKUP($B310,H$109:$AG$208,H$107,FALSE),"")</f>
        <v/>
      </c>
      <c r="I310" s="2120" t="str">
        <f>IFERROR(VLOOKUP($B310,I$109:$AG$208,I$107,FALSE),"")</f>
        <v/>
      </c>
      <c r="J310" s="2120" t="str">
        <f>IFERROR(VLOOKUP($B310,J$109:$AG$208,J$107,FALSE),"")</f>
        <v/>
      </c>
      <c r="K310" s="2120" t="str">
        <f>IFERROR(VLOOKUP($B310,K$109:$AG$208,K$107,FALSE),"")</f>
        <v/>
      </c>
      <c r="L310" s="2120" t="str">
        <f>IFERROR(VLOOKUP($B310,L$109:$AG$208,L$107,FALSE),"")</f>
        <v/>
      </c>
      <c r="M310" s="2120" t="str">
        <f>IFERROR(VLOOKUP($B310,M$109:$AG$208,M$107,FALSE),"")</f>
        <v/>
      </c>
      <c r="N310" s="2120" t="str">
        <f>IFERROR(VLOOKUP($B310,N$109:$AG$208,N$107,FALSE),"")</f>
        <v/>
      </c>
      <c r="O310" s="2120" t="str">
        <f>IFERROR(VLOOKUP($B310,O$109:$AG$208,O$107,FALSE),"")</f>
        <v/>
      </c>
      <c r="P310" s="2120" t="str">
        <f>IFERROR(VLOOKUP($B310,P$109:$AG$208,P$107,FALSE),"")</f>
        <v/>
      </c>
      <c r="Q310" s="2120" t="str">
        <f>IFERROR(VLOOKUP($B310,Q$109:$AG$208,Q$107,FALSE),"")</f>
        <v/>
      </c>
      <c r="R310" s="2120" t="str">
        <f>IFERROR(VLOOKUP($B310,R$109:$AG$208,R$107,FALSE),"")</f>
        <v/>
      </c>
      <c r="S310" s="2120" t="str">
        <f>IFERROR(VLOOKUP($B310,S$109:$AG$208,S$107,FALSE),"")</f>
        <v/>
      </c>
      <c r="T310" s="2120" t="str">
        <f>IFERROR(VLOOKUP($B310,T$109:$AG$208,T$107,FALSE),"")</f>
        <v/>
      </c>
      <c r="U310" s="2120" t="str">
        <f>IFERROR(VLOOKUP($B310,U$109:$AG$208,U$107,FALSE),"")</f>
        <v/>
      </c>
      <c r="V310" s="2120" t="str">
        <f>IFERROR(VLOOKUP($B310,V$109:$AG$208,V$107,FALSE),"")</f>
        <v/>
      </c>
      <c r="W310" s="2120" t="str">
        <f>IFERROR(VLOOKUP($B310,W$109:$AG$208,W$107,FALSE),"")</f>
        <v/>
      </c>
      <c r="X310" s="2120" t="str">
        <f>IFERROR(VLOOKUP($B310,X$109:$AG$208,X$107,FALSE),"")</f>
        <v/>
      </c>
      <c r="Y310" s="2120" t="str">
        <f>IFERROR(VLOOKUP($B310,Y$109:$AG$208,Y$107,FALSE),"")</f>
        <v/>
      </c>
      <c r="Z310" s="2120" t="str">
        <f>IFERROR(VLOOKUP($B310,Z$109:$AG$208,Z$107,FALSE),"")</f>
        <v/>
      </c>
      <c r="AA310" s="2120" t="str">
        <f>IFERROR(VLOOKUP($B310,AA$109:$AG$208,AA$107,FALSE),"")</f>
        <v/>
      </c>
      <c r="AB310" s="2120" t="str">
        <f>IFERROR(VLOOKUP($B310,AB$109:$AG$208,AB$107,FALSE),"")</f>
        <v/>
      </c>
      <c r="AC310" s="2120" t="str">
        <f>IFERROR(VLOOKUP($B310,AC$109:$AG$208,AC$107,FALSE),"")</f>
        <v/>
      </c>
      <c r="AD310" s="2120" t="str">
        <f>IFERROR(VLOOKUP($B310,AD$109:$AG$208,AD$107,FALSE),"")</f>
        <v/>
      </c>
      <c r="AE310" s="2120" t="str">
        <f>IFERROR(VLOOKUP($B310,AE$109:$AG$208,AE$107,FALSE),"")</f>
        <v/>
      </c>
      <c r="AF310" s="2120" t="str">
        <f>IFERROR(VLOOKUP($B310,AF$109:$AG$208,AF$107,FALSE),"")</f>
        <v/>
      </c>
    </row>
    <row r="311" spans="2:32">
      <c r="B311" s="2136">
        <f t="shared" si="21"/>
        <v>97</v>
      </c>
      <c r="F311" s="2120" t="str">
        <f>IFERROR(VLOOKUP($B311,F$109:$AG$208,F$107,FALSE),"")</f>
        <v/>
      </c>
      <c r="G311" s="2120" t="str">
        <f>IFERROR(VLOOKUP($B311,G$109:$AG$208,G$107,FALSE),"")</f>
        <v/>
      </c>
      <c r="H311" s="2120" t="str">
        <f>IFERROR(VLOOKUP($B311,H$109:$AG$208,H$107,FALSE),"")</f>
        <v/>
      </c>
      <c r="I311" s="2120" t="str">
        <f>IFERROR(VLOOKUP($B311,I$109:$AG$208,I$107,FALSE),"")</f>
        <v/>
      </c>
      <c r="J311" s="2120" t="str">
        <f>IFERROR(VLOOKUP($B311,J$109:$AG$208,J$107,FALSE),"")</f>
        <v/>
      </c>
      <c r="K311" s="2120" t="str">
        <f>IFERROR(VLOOKUP($B311,K$109:$AG$208,K$107,FALSE),"")</f>
        <v/>
      </c>
      <c r="L311" s="2120" t="str">
        <f>IFERROR(VLOOKUP($B311,L$109:$AG$208,L$107,FALSE),"")</f>
        <v/>
      </c>
      <c r="M311" s="2120" t="str">
        <f>IFERROR(VLOOKUP($B311,M$109:$AG$208,M$107,FALSE),"")</f>
        <v/>
      </c>
      <c r="N311" s="2120" t="str">
        <f>IFERROR(VLOOKUP($B311,N$109:$AG$208,N$107,FALSE),"")</f>
        <v/>
      </c>
      <c r="O311" s="2120" t="str">
        <f>IFERROR(VLOOKUP($B311,O$109:$AG$208,O$107,FALSE),"")</f>
        <v/>
      </c>
      <c r="P311" s="2120" t="str">
        <f>IFERROR(VLOOKUP($B311,P$109:$AG$208,P$107,FALSE),"")</f>
        <v/>
      </c>
      <c r="Q311" s="2120" t="str">
        <f>IFERROR(VLOOKUP($B311,Q$109:$AG$208,Q$107,FALSE),"")</f>
        <v/>
      </c>
      <c r="R311" s="2120" t="str">
        <f>IFERROR(VLOOKUP($B311,R$109:$AG$208,R$107,FALSE),"")</f>
        <v/>
      </c>
      <c r="S311" s="2120" t="str">
        <f>IFERROR(VLOOKUP($B311,S$109:$AG$208,S$107,FALSE),"")</f>
        <v/>
      </c>
      <c r="T311" s="2120" t="str">
        <f>IFERROR(VLOOKUP($B311,T$109:$AG$208,T$107,FALSE),"")</f>
        <v/>
      </c>
      <c r="U311" s="2120" t="str">
        <f>IFERROR(VLOOKUP($B311,U$109:$AG$208,U$107,FALSE),"")</f>
        <v/>
      </c>
      <c r="V311" s="2120" t="str">
        <f>IFERROR(VLOOKUP($B311,V$109:$AG$208,V$107,FALSE),"")</f>
        <v/>
      </c>
      <c r="W311" s="2120" t="str">
        <f>IFERROR(VLOOKUP($B311,W$109:$AG$208,W$107,FALSE),"")</f>
        <v/>
      </c>
      <c r="X311" s="2120" t="str">
        <f>IFERROR(VLOOKUP($B311,X$109:$AG$208,X$107,FALSE),"")</f>
        <v/>
      </c>
      <c r="Y311" s="2120" t="str">
        <f>IFERROR(VLOOKUP($B311,Y$109:$AG$208,Y$107,FALSE),"")</f>
        <v/>
      </c>
      <c r="Z311" s="2120" t="str">
        <f>IFERROR(VLOOKUP($B311,Z$109:$AG$208,Z$107,FALSE),"")</f>
        <v/>
      </c>
      <c r="AA311" s="2120" t="str">
        <f>IFERROR(VLOOKUP($B311,AA$109:$AG$208,AA$107,FALSE),"")</f>
        <v/>
      </c>
      <c r="AB311" s="2120" t="str">
        <f>IFERROR(VLOOKUP($B311,AB$109:$AG$208,AB$107,FALSE),"")</f>
        <v/>
      </c>
      <c r="AC311" s="2120" t="str">
        <f>IFERROR(VLOOKUP($B311,AC$109:$AG$208,AC$107,FALSE),"")</f>
        <v/>
      </c>
      <c r="AD311" s="2120" t="str">
        <f>IFERROR(VLOOKUP($B311,AD$109:$AG$208,AD$107,FALSE),"")</f>
        <v/>
      </c>
      <c r="AE311" s="2120" t="str">
        <f>IFERROR(VLOOKUP($B311,AE$109:$AG$208,AE$107,FALSE),"")</f>
        <v/>
      </c>
      <c r="AF311" s="2120" t="str">
        <f>IFERROR(VLOOKUP($B311,AF$109:$AG$208,AF$107,FALSE),"")</f>
        <v/>
      </c>
    </row>
    <row r="312" spans="2:32">
      <c r="B312" s="2136">
        <f t="shared" si="21"/>
        <v>98</v>
      </c>
      <c r="F312" s="2120" t="str">
        <f>IFERROR(VLOOKUP($B312,F$109:$AG$208,F$107,FALSE),"")</f>
        <v/>
      </c>
      <c r="G312" s="2120" t="str">
        <f>IFERROR(VLOOKUP($B312,G$109:$AG$208,G$107,FALSE),"")</f>
        <v/>
      </c>
      <c r="H312" s="2120" t="str">
        <f>IFERROR(VLOOKUP($B312,H$109:$AG$208,H$107,FALSE),"")</f>
        <v/>
      </c>
      <c r="I312" s="2120" t="str">
        <f>IFERROR(VLOOKUP($B312,I$109:$AG$208,I$107,FALSE),"")</f>
        <v/>
      </c>
      <c r="J312" s="2120" t="str">
        <f>IFERROR(VLOOKUP($B312,J$109:$AG$208,J$107,FALSE),"")</f>
        <v/>
      </c>
      <c r="K312" s="2120" t="str">
        <f>IFERROR(VLOOKUP($B312,K$109:$AG$208,K$107,FALSE),"")</f>
        <v/>
      </c>
      <c r="L312" s="2120" t="str">
        <f>IFERROR(VLOOKUP($B312,L$109:$AG$208,L$107,FALSE),"")</f>
        <v/>
      </c>
      <c r="M312" s="2120" t="str">
        <f>IFERROR(VLOOKUP($B312,M$109:$AG$208,M$107,FALSE),"")</f>
        <v/>
      </c>
      <c r="N312" s="2120" t="str">
        <f>IFERROR(VLOOKUP($B312,N$109:$AG$208,N$107,FALSE),"")</f>
        <v/>
      </c>
      <c r="O312" s="2120" t="str">
        <f>IFERROR(VLOOKUP($B312,O$109:$AG$208,O$107,FALSE),"")</f>
        <v/>
      </c>
      <c r="P312" s="2120" t="str">
        <f>IFERROR(VLOOKUP($B312,P$109:$AG$208,P$107,FALSE),"")</f>
        <v/>
      </c>
      <c r="Q312" s="2120" t="str">
        <f>IFERROR(VLOOKUP($B312,Q$109:$AG$208,Q$107,FALSE),"")</f>
        <v/>
      </c>
      <c r="R312" s="2120" t="str">
        <f>IFERROR(VLOOKUP($B312,R$109:$AG$208,R$107,FALSE),"")</f>
        <v/>
      </c>
      <c r="S312" s="2120" t="str">
        <f>IFERROR(VLOOKUP($B312,S$109:$AG$208,S$107,FALSE),"")</f>
        <v/>
      </c>
      <c r="T312" s="2120" t="str">
        <f>IFERROR(VLOOKUP($B312,T$109:$AG$208,T$107,FALSE),"")</f>
        <v/>
      </c>
      <c r="U312" s="2120" t="str">
        <f>IFERROR(VLOOKUP($B312,U$109:$AG$208,U$107,FALSE),"")</f>
        <v/>
      </c>
      <c r="V312" s="2120" t="str">
        <f>IFERROR(VLOOKUP($B312,V$109:$AG$208,V$107,FALSE),"")</f>
        <v/>
      </c>
      <c r="W312" s="2120" t="str">
        <f>IFERROR(VLOOKUP($B312,W$109:$AG$208,W$107,FALSE),"")</f>
        <v/>
      </c>
      <c r="X312" s="2120" t="str">
        <f>IFERROR(VLOOKUP($B312,X$109:$AG$208,X$107,FALSE),"")</f>
        <v/>
      </c>
      <c r="Y312" s="2120" t="str">
        <f>IFERROR(VLOOKUP($B312,Y$109:$AG$208,Y$107,FALSE),"")</f>
        <v/>
      </c>
      <c r="Z312" s="2120" t="str">
        <f>IFERROR(VLOOKUP($B312,Z$109:$AG$208,Z$107,FALSE),"")</f>
        <v/>
      </c>
      <c r="AA312" s="2120" t="str">
        <f>IFERROR(VLOOKUP($B312,AA$109:$AG$208,AA$107,FALSE),"")</f>
        <v/>
      </c>
      <c r="AB312" s="2120" t="str">
        <f>IFERROR(VLOOKUP($B312,AB$109:$AG$208,AB$107,FALSE),"")</f>
        <v/>
      </c>
      <c r="AC312" s="2120" t="str">
        <f>IFERROR(VLOOKUP($B312,AC$109:$AG$208,AC$107,FALSE),"")</f>
        <v/>
      </c>
      <c r="AD312" s="2120" t="str">
        <f>IFERROR(VLOOKUP($B312,AD$109:$AG$208,AD$107,FALSE),"")</f>
        <v/>
      </c>
      <c r="AE312" s="2120" t="str">
        <f>IFERROR(VLOOKUP($B312,AE$109:$AG$208,AE$107,FALSE),"")</f>
        <v/>
      </c>
      <c r="AF312" s="2120" t="str">
        <f>IFERROR(VLOOKUP($B312,AF$109:$AG$208,AF$107,FALSE),"")</f>
        <v/>
      </c>
    </row>
    <row r="313" spans="2:32">
      <c r="B313" s="2136">
        <f t="shared" si="21"/>
        <v>99</v>
      </c>
      <c r="F313" s="2120" t="str">
        <f>IFERROR(VLOOKUP($B313,F$109:$AG$208,F$107,FALSE),"")</f>
        <v/>
      </c>
      <c r="G313" s="2120" t="str">
        <f>IFERROR(VLOOKUP($B313,G$109:$AG$208,G$107,FALSE),"")</f>
        <v/>
      </c>
      <c r="H313" s="2120" t="str">
        <f>IFERROR(VLOOKUP($B313,H$109:$AG$208,H$107,FALSE),"")</f>
        <v/>
      </c>
      <c r="I313" s="2120" t="str">
        <f>IFERROR(VLOOKUP($B313,I$109:$AG$208,I$107,FALSE),"")</f>
        <v/>
      </c>
      <c r="J313" s="2120" t="str">
        <f>IFERROR(VLOOKUP($B313,J$109:$AG$208,J$107,FALSE),"")</f>
        <v/>
      </c>
      <c r="K313" s="2120" t="str">
        <f>IFERROR(VLOOKUP($B313,K$109:$AG$208,K$107,FALSE),"")</f>
        <v/>
      </c>
      <c r="L313" s="2120" t="str">
        <f>IFERROR(VLOOKUP($B313,L$109:$AG$208,L$107,FALSE),"")</f>
        <v/>
      </c>
      <c r="M313" s="2120" t="str">
        <f>IFERROR(VLOOKUP($B313,M$109:$AG$208,M$107,FALSE),"")</f>
        <v/>
      </c>
      <c r="N313" s="2120" t="str">
        <f>IFERROR(VLOOKUP($B313,N$109:$AG$208,N$107,FALSE),"")</f>
        <v/>
      </c>
      <c r="O313" s="2120" t="str">
        <f>IFERROR(VLOOKUP($B313,O$109:$AG$208,O$107,FALSE),"")</f>
        <v/>
      </c>
      <c r="P313" s="2120" t="str">
        <f>IFERROR(VLOOKUP($B313,P$109:$AG$208,P$107,FALSE),"")</f>
        <v/>
      </c>
      <c r="Q313" s="2120" t="str">
        <f>IFERROR(VLOOKUP($B313,Q$109:$AG$208,Q$107,FALSE),"")</f>
        <v/>
      </c>
      <c r="R313" s="2120" t="str">
        <f>IFERROR(VLOOKUP($B313,R$109:$AG$208,R$107,FALSE),"")</f>
        <v/>
      </c>
      <c r="S313" s="2120" t="str">
        <f>IFERROR(VLOOKUP($B313,S$109:$AG$208,S$107,FALSE),"")</f>
        <v/>
      </c>
      <c r="T313" s="2120" t="str">
        <f>IFERROR(VLOOKUP($B313,T$109:$AG$208,T$107,FALSE),"")</f>
        <v/>
      </c>
      <c r="U313" s="2120" t="str">
        <f>IFERROR(VLOOKUP($B313,U$109:$AG$208,U$107,FALSE),"")</f>
        <v/>
      </c>
      <c r="V313" s="2120" t="str">
        <f>IFERROR(VLOOKUP($B313,V$109:$AG$208,V$107,FALSE),"")</f>
        <v/>
      </c>
      <c r="W313" s="2120" t="str">
        <f>IFERROR(VLOOKUP($B313,W$109:$AG$208,W$107,FALSE),"")</f>
        <v/>
      </c>
      <c r="X313" s="2120" t="str">
        <f>IFERROR(VLOOKUP($B313,X$109:$AG$208,X$107,FALSE),"")</f>
        <v/>
      </c>
      <c r="Y313" s="2120" t="str">
        <f>IFERROR(VLOOKUP($B313,Y$109:$AG$208,Y$107,FALSE),"")</f>
        <v/>
      </c>
      <c r="Z313" s="2120" t="str">
        <f>IFERROR(VLOOKUP($B313,Z$109:$AG$208,Z$107,FALSE),"")</f>
        <v/>
      </c>
      <c r="AA313" s="2120" t="str">
        <f>IFERROR(VLOOKUP($B313,AA$109:$AG$208,AA$107,FALSE),"")</f>
        <v/>
      </c>
      <c r="AB313" s="2120" t="str">
        <f>IFERROR(VLOOKUP($B313,AB$109:$AG$208,AB$107,FALSE),"")</f>
        <v/>
      </c>
      <c r="AC313" s="2120" t="str">
        <f>IFERROR(VLOOKUP($B313,AC$109:$AG$208,AC$107,FALSE),"")</f>
        <v/>
      </c>
      <c r="AD313" s="2120" t="str">
        <f>IFERROR(VLOOKUP($B313,AD$109:$AG$208,AD$107,FALSE),"")</f>
        <v/>
      </c>
      <c r="AE313" s="2120" t="str">
        <f>IFERROR(VLOOKUP($B313,AE$109:$AG$208,AE$107,FALSE),"")</f>
        <v/>
      </c>
      <c r="AF313" s="2120" t="str">
        <f>IFERROR(VLOOKUP($B313,AF$109:$AG$208,AF$107,FALSE),"")</f>
        <v/>
      </c>
    </row>
  </sheetData>
  <sheetProtection sheet="1" objects="1" scenarios="1"/>
  <conditionalFormatting sqref="D24 D94:D103">
    <cfRule type="cellIs" dxfId="7" priority="8" stopIfTrue="1" operator="equal">
      <formula>0</formula>
    </cfRule>
  </conditionalFormatting>
  <conditionalFormatting sqref="C94:C102">
    <cfRule type="cellIs" dxfId="6" priority="7" stopIfTrue="1" operator="equal">
      <formula>0</formula>
    </cfRule>
  </conditionalFormatting>
  <conditionalFormatting sqref="E94:E102">
    <cfRule type="cellIs" dxfId="5" priority="6" stopIfTrue="1" operator="equal">
      <formula>0</formula>
    </cfRule>
  </conditionalFormatting>
  <conditionalFormatting sqref="D5:D23">
    <cfRule type="cellIs" dxfId="4" priority="5" stopIfTrue="1" operator="equal">
      <formula>0</formula>
    </cfRule>
  </conditionalFormatting>
  <conditionalFormatting sqref="D25:D34 D38:D50">
    <cfRule type="cellIs" dxfId="3" priority="4" stopIfTrue="1" operator="equal">
      <formula>0</formula>
    </cfRule>
  </conditionalFormatting>
  <conditionalFormatting sqref="D51:D76">
    <cfRule type="cellIs" dxfId="2" priority="3" stopIfTrue="1" operator="equal">
      <formula>0</formula>
    </cfRule>
  </conditionalFormatting>
  <conditionalFormatting sqref="D77:D93">
    <cfRule type="cellIs" dxfId="1" priority="2" stopIfTrue="1" operator="equal">
      <formula>0</formula>
    </cfRule>
  </conditionalFormatting>
  <conditionalFormatting sqref="D35:D37">
    <cfRule type="cellIs" dxfId="0" priority="1" stopIfTrue="1" operator="equal">
      <formula>0</formula>
    </cfRule>
  </conditionalFormatting>
  <printOptions horizontalCentered="1"/>
  <pageMargins left="0.59055118110236227" right="0.59055118110236227" top="0.59055118110236227" bottom="0.59055118110236227" header="0.39370078740157483" footer="0.39370078740157483"/>
  <pageSetup paperSize="9" scale="65" firstPageNumber="11" orientation="portrait" useFirstPageNumber="1" r:id="rId1"/>
  <headerFooter alignWithMargins="0">
    <oddFooter>&amp;L&amp;11LEL Schwäbisch Gmünd&amp;C&amp;11&amp;P+8&amp;R&amp;11&amp;F</oddFooter>
  </headerFooter>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0">
    <tabColor rgb="FF00B0F0"/>
  </sheetPr>
  <dimension ref="A1:AY66"/>
  <sheetViews>
    <sheetView showZeros="0" zoomScaleNormal="100" workbookViewId="0"/>
  </sheetViews>
  <sheetFormatPr baseColWidth="10" defaultColWidth="12" defaultRowHeight="15"/>
  <cols>
    <col min="1" max="1" width="1.75" style="2120" customWidth="1"/>
    <col min="2" max="2" width="5.75" style="2121" bestFit="1" customWidth="1"/>
    <col min="3" max="3" width="31.625" style="2120" customWidth="1"/>
    <col min="4" max="4" width="19" style="2122" customWidth="1"/>
    <col min="5" max="5" width="2.25" style="2121" customWidth="1"/>
    <col min="6" max="6" width="3.75" style="2121" customWidth="1"/>
    <col min="7" max="7" width="3.625" style="2120" customWidth="1"/>
    <col min="8" max="8" width="11.125" style="2120" customWidth="1"/>
    <col min="9" max="9" width="9.75" style="2120" customWidth="1"/>
    <col min="10" max="10" width="8" style="2120" customWidth="1"/>
    <col min="11" max="11" width="11.25" style="2120" customWidth="1"/>
    <col min="12" max="15" width="9.75" style="2120" customWidth="1"/>
    <col min="16" max="16" width="9.75" style="2120" hidden="1" customWidth="1"/>
    <col min="17" max="23" width="9.75" style="2120" customWidth="1"/>
    <col min="24" max="24" width="14.5" style="2120" customWidth="1"/>
    <col min="25" max="25" width="9.75" style="2120" customWidth="1"/>
    <col min="26" max="26" width="5.125" style="2120" customWidth="1"/>
    <col min="27" max="27" width="16.5" style="2120" customWidth="1"/>
    <col min="28" max="32" width="5.125" style="2120" customWidth="1"/>
    <col min="33" max="33" width="5.75" style="2120" customWidth="1"/>
    <col min="34" max="37" width="5.125" style="2120" customWidth="1"/>
    <col min="38" max="38" width="6" style="2120" customWidth="1"/>
    <col min="39" max="39" width="12" style="2120" customWidth="1"/>
    <col min="40" max="40" width="4.75" style="2120" customWidth="1"/>
    <col min="41" max="41" width="1.75" style="2120" customWidth="1"/>
    <col min="42" max="42" width="5.75" style="2120" customWidth="1"/>
    <col min="43" max="43" width="12" style="2120" customWidth="1"/>
    <col min="44" max="44" width="9.25" style="2120" customWidth="1"/>
    <col min="45" max="45" width="12" style="2120" customWidth="1"/>
    <col min="46" max="46" width="4.375" style="2120" customWidth="1"/>
    <col min="47" max="47" width="3" style="2120" customWidth="1"/>
    <col min="48" max="48" width="1.25" style="2120" customWidth="1"/>
    <col min="49" max="49" width="1.75" style="2120" customWidth="1"/>
    <col min="50" max="16384" width="12" style="2120"/>
  </cols>
  <sheetData>
    <row r="1" spans="1:51" ht="23.25">
      <c r="A1" s="2163"/>
      <c r="C1" s="1941"/>
      <c r="AG1" s="2162"/>
    </row>
    <row r="2" spans="1:51">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row>
    <row r="3" spans="1:51" ht="40.700000000000003" customHeight="1">
      <c r="C3" s="2158" t="s">
        <v>1526</v>
      </c>
      <c r="E3" s="33"/>
      <c r="F3" s="33"/>
      <c r="L3" s="2161"/>
      <c r="M3" s="276"/>
      <c r="N3" s="2160"/>
      <c r="O3" s="2159" t="str">
        <f>'SDK1'!O2</f>
        <v>Marktfrüchte Konventionell</v>
      </c>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row>
    <row r="4" spans="1:51" ht="23.1" customHeight="1" thickBot="1">
      <c r="B4" s="2158"/>
      <c r="E4" s="33"/>
      <c r="F4" s="33"/>
      <c r="M4" s="584"/>
      <c r="N4" s="4404">
        <f>SDÖ1!O3</f>
        <v>0</v>
      </c>
      <c r="O4" s="4404"/>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row>
    <row r="5" spans="1:51" ht="49.7" customHeight="1" thickBot="1">
      <c r="B5" s="2157" t="s">
        <v>591</v>
      </c>
      <c r="C5" s="2156" t="s">
        <v>675</v>
      </c>
      <c r="D5" s="4405" t="s">
        <v>1525</v>
      </c>
      <c r="E5" s="4406"/>
      <c r="F5" s="33"/>
      <c r="G5" s="2156" t="s">
        <v>1524</v>
      </c>
      <c r="H5" s="2155"/>
      <c r="I5" s="2155"/>
      <c r="J5" s="2155"/>
      <c r="K5" s="2155"/>
      <c r="L5" s="2155"/>
      <c r="M5" s="2154"/>
      <c r="N5" s="2154"/>
      <c r="O5" s="215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row>
    <row r="6" spans="1:51" ht="25.15" customHeight="1">
      <c r="B6" s="2136">
        <v>1</v>
      </c>
      <c r="C6" s="2141" t="s">
        <v>1523</v>
      </c>
      <c r="D6" s="4401">
        <v>10</v>
      </c>
      <c r="E6" s="4402"/>
      <c r="F6" s="33"/>
      <c r="G6" s="2149" t="s">
        <v>1522</v>
      </c>
      <c r="H6" s="2130"/>
      <c r="I6" s="2130"/>
      <c r="J6" s="2130"/>
      <c r="K6" s="2130"/>
      <c r="L6" s="2130"/>
      <c r="M6" s="609"/>
      <c r="N6" s="609"/>
      <c r="O6" s="1084"/>
      <c r="P6" s="15" t="s">
        <v>1521</v>
      </c>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row>
    <row r="7" spans="1:51" ht="25.15" customHeight="1">
      <c r="B7" s="2136">
        <f t="shared" ref="B7:B32" si="0">B6+1</f>
        <v>2</v>
      </c>
      <c r="C7" s="2152" t="s">
        <v>1520</v>
      </c>
      <c r="D7" s="4401">
        <v>53</v>
      </c>
      <c r="E7" s="4402"/>
      <c r="F7" s="15"/>
      <c r="G7" s="2149" t="s">
        <v>1519</v>
      </c>
      <c r="H7" s="2130"/>
      <c r="I7" s="2130"/>
      <c r="J7" s="2130"/>
      <c r="K7" s="2130"/>
      <c r="L7" s="2130"/>
      <c r="M7" s="34"/>
      <c r="N7" s="34"/>
      <c r="O7" s="2151"/>
      <c r="P7" s="15" t="s">
        <v>1518</v>
      </c>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row>
    <row r="8" spans="1:51" ht="25.15" customHeight="1">
      <c r="B8" s="2136">
        <f t="shared" si="0"/>
        <v>3</v>
      </c>
      <c r="C8" s="2141" t="s">
        <v>1517</v>
      </c>
      <c r="D8" s="4401">
        <v>1500</v>
      </c>
      <c r="E8" s="4402"/>
      <c r="F8" s="33"/>
      <c r="G8" s="2149" t="s">
        <v>1516</v>
      </c>
      <c r="H8" s="2130"/>
      <c r="I8" s="2130"/>
      <c r="J8" s="2130"/>
      <c r="K8" s="2130"/>
      <c r="L8" s="2130"/>
      <c r="M8" s="609"/>
      <c r="N8" s="609"/>
      <c r="O8" s="1084"/>
      <c r="P8" s="15" t="s">
        <v>1515</v>
      </c>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row>
    <row r="9" spans="1:51" ht="25.15" customHeight="1">
      <c r="B9" s="2136">
        <f t="shared" si="0"/>
        <v>4</v>
      </c>
      <c r="C9" s="2135" t="s">
        <v>1514</v>
      </c>
      <c r="D9" s="4401">
        <v>114</v>
      </c>
      <c r="E9" s="4402"/>
      <c r="F9" s="33"/>
      <c r="G9" s="2149" t="s">
        <v>1513</v>
      </c>
      <c r="H9" s="2130"/>
      <c r="I9" s="2130"/>
      <c r="J9" s="2130"/>
      <c r="K9" s="2130"/>
      <c r="L9" s="2130"/>
      <c r="M9" s="609"/>
      <c r="N9" s="609"/>
      <c r="O9" s="1084"/>
      <c r="P9" s="2142" t="s">
        <v>1504</v>
      </c>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row>
    <row r="10" spans="1:51" ht="25.15" customHeight="1">
      <c r="B10" s="2136">
        <f t="shared" si="0"/>
        <v>5</v>
      </c>
      <c r="C10" s="2135" t="s">
        <v>1512</v>
      </c>
      <c r="D10" s="4401">
        <v>44</v>
      </c>
      <c r="E10" s="4402"/>
      <c r="F10" s="33"/>
      <c r="G10" s="2149" t="s">
        <v>1511</v>
      </c>
      <c r="H10" s="2130"/>
      <c r="I10" s="2130"/>
      <c r="J10" s="2130"/>
      <c r="K10" s="2130"/>
      <c r="L10" s="2130"/>
      <c r="M10" s="609"/>
      <c r="N10" s="609"/>
      <c r="O10" s="1084"/>
      <c r="P10" s="2142" t="s">
        <v>1504</v>
      </c>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row>
    <row r="11" spans="1:51" ht="25.15" customHeight="1">
      <c r="B11" s="2136">
        <f t="shared" si="0"/>
        <v>6</v>
      </c>
      <c r="C11" s="2135" t="s">
        <v>1510</v>
      </c>
      <c r="D11" s="4401">
        <v>144</v>
      </c>
      <c r="E11" s="4402"/>
      <c r="F11" s="33"/>
      <c r="G11" s="2149" t="s">
        <v>1509</v>
      </c>
      <c r="H11" s="2130"/>
      <c r="I11" s="2130"/>
      <c r="J11" s="2130"/>
      <c r="K11" s="2130"/>
      <c r="L11" s="2130"/>
      <c r="M11" s="609"/>
      <c r="N11" s="609"/>
      <c r="O11" s="1084"/>
      <c r="P11" s="2142" t="s">
        <v>1504</v>
      </c>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row>
    <row r="12" spans="1:51" ht="25.15" customHeight="1">
      <c r="B12" s="2136">
        <f t="shared" si="0"/>
        <v>7</v>
      </c>
      <c r="C12" s="2135" t="s">
        <v>1508</v>
      </c>
      <c r="D12" s="4401">
        <v>86</v>
      </c>
      <c r="E12" s="4402"/>
      <c r="F12" s="33"/>
      <c r="G12" s="2149" t="s">
        <v>1507</v>
      </c>
      <c r="H12" s="2130"/>
      <c r="I12" s="2130"/>
      <c r="J12" s="2130"/>
      <c r="K12" s="2130"/>
      <c r="L12" s="2130"/>
      <c r="M12" s="609"/>
      <c r="N12" s="609"/>
      <c r="O12" s="1084"/>
      <c r="P12" s="2142" t="s">
        <v>1504</v>
      </c>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row>
    <row r="13" spans="1:51" ht="25.15" customHeight="1">
      <c r="B13" s="2136">
        <f t="shared" si="0"/>
        <v>8</v>
      </c>
      <c r="C13" s="2135" t="s">
        <v>1506</v>
      </c>
      <c r="D13" s="4401">
        <v>68</v>
      </c>
      <c r="E13" s="4402"/>
      <c r="F13" s="33"/>
      <c r="G13" s="2149" t="s">
        <v>1505</v>
      </c>
      <c r="H13" s="2130"/>
      <c r="I13" s="2130"/>
      <c r="J13" s="2130"/>
      <c r="K13" s="2130"/>
      <c r="L13" s="2130"/>
      <c r="M13" s="609"/>
      <c r="N13" s="609"/>
      <c r="O13" s="1084"/>
      <c r="P13" s="2142" t="s">
        <v>1504</v>
      </c>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row>
    <row r="14" spans="1:51" ht="25.15" customHeight="1">
      <c r="B14" s="2136">
        <f t="shared" si="0"/>
        <v>9</v>
      </c>
      <c r="C14" s="2135"/>
      <c r="D14" s="4407"/>
      <c r="E14" s="4408"/>
      <c r="F14" s="33"/>
      <c r="G14" s="2149"/>
      <c r="H14" s="2130"/>
      <c r="I14" s="2130"/>
      <c r="J14" s="2130"/>
      <c r="K14" s="2130"/>
      <c r="L14" s="2130"/>
      <c r="M14" s="609"/>
      <c r="N14" s="609"/>
      <c r="O14" s="1084"/>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row>
    <row r="15" spans="1:51" ht="25.15" customHeight="1" thickBot="1">
      <c r="B15" s="2136">
        <f t="shared" si="0"/>
        <v>10</v>
      </c>
      <c r="C15" s="2150"/>
      <c r="D15" s="4398"/>
      <c r="E15" s="4399"/>
      <c r="F15" s="33"/>
      <c r="G15" s="2149"/>
      <c r="H15" s="2130"/>
      <c r="I15" s="2130"/>
      <c r="J15" s="2130"/>
      <c r="K15" s="2130"/>
      <c r="L15" s="2130"/>
      <c r="M15" s="609"/>
      <c r="N15" s="609"/>
      <c r="O15" s="1084"/>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row>
    <row r="16" spans="1:51" ht="49.7" customHeight="1" thickBot="1">
      <c r="B16" s="2148">
        <f t="shared" si="0"/>
        <v>11</v>
      </c>
      <c r="C16" s="2147" t="s">
        <v>1503</v>
      </c>
      <c r="D16" s="2146"/>
      <c r="E16" s="2145"/>
      <c r="F16" s="33"/>
      <c r="G16" s="2144"/>
      <c r="H16" s="2130"/>
      <c r="I16" s="2130"/>
      <c r="J16" s="2130"/>
      <c r="K16" s="2130"/>
      <c r="L16" s="2130"/>
      <c r="M16" s="609"/>
      <c r="N16" s="2130"/>
      <c r="O16" s="2143"/>
      <c r="P16" s="15" t="s">
        <v>1502</v>
      </c>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row>
    <row r="17" spans="1:51" ht="25.15" customHeight="1">
      <c r="B17" s="2136">
        <f t="shared" si="0"/>
        <v>12</v>
      </c>
      <c r="C17" s="2141" t="s">
        <v>1501</v>
      </c>
      <c r="D17" s="2138">
        <v>0.3</v>
      </c>
      <c r="E17" s="2137"/>
      <c r="G17" s="2132" t="s">
        <v>1500</v>
      </c>
      <c r="H17" s="2131"/>
      <c r="I17" s="2131"/>
      <c r="J17" s="2131"/>
      <c r="K17" s="2131"/>
      <c r="L17" s="2130"/>
      <c r="M17" s="609"/>
      <c r="N17" s="609"/>
      <c r="O17" s="1084"/>
      <c r="P17" s="2142" t="s">
        <v>1491</v>
      </c>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row>
    <row r="18" spans="1:51" ht="25.15" customHeight="1">
      <c r="B18" s="2136">
        <f t="shared" si="0"/>
        <v>13</v>
      </c>
      <c r="C18" s="2141"/>
      <c r="D18" s="2138"/>
      <c r="E18" s="2137"/>
      <c r="G18" s="2132"/>
      <c r="H18" s="2131"/>
      <c r="I18" s="2131"/>
      <c r="J18" s="2131"/>
      <c r="K18" s="2131"/>
      <c r="L18" s="2130"/>
      <c r="M18" s="2130"/>
      <c r="N18" s="609"/>
      <c r="O18" s="1084"/>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row>
    <row r="19" spans="1:51" ht="25.15" customHeight="1">
      <c r="B19" s="2136">
        <f t="shared" si="0"/>
        <v>14</v>
      </c>
      <c r="C19" s="2141" t="s">
        <v>1499</v>
      </c>
      <c r="D19" s="2138">
        <v>0.26</v>
      </c>
      <c r="E19" s="2137"/>
      <c r="G19" s="2132" t="s">
        <v>1498</v>
      </c>
      <c r="H19" s="2131"/>
      <c r="I19" s="2131"/>
      <c r="J19" s="2131"/>
      <c r="K19" s="2131"/>
      <c r="L19" s="2130"/>
      <c r="M19" s="609"/>
      <c r="N19" s="609"/>
      <c r="O19" s="1084"/>
      <c r="P19" s="2142" t="s">
        <v>1491</v>
      </c>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row>
    <row r="20" spans="1:51" ht="25.15" customHeight="1">
      <c r="B20" s="2136">
        <f t="shared" si="0"/>
        <v>15</v>
      </c>
      <c r="C20" s="2141"/>
      <c r="D20" s="2140"/>
      <c r="E20" s="2137"/>
      <c r="G20" s="2132"/>
      <c r="H20" s="2131"/>
      <c r="I20" s="2131"/>
      <c r="J20" s="2131"/>
      <c r="K20" s="2131"/>
      <c r="L20" s="2130"/>
      <c r="M20" s="609"/>
      <c r="N20" s="609"/>
      <c r="O20" s="1084"/>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row>
    <row r="21" spans="1:51" ht="25.15" customHeight="1">
      <c r="A21" s="33"/>
      <c r="B21" s="2136">
        <f t="shared" si="0"/>
        <v>16</v>
      </c>
      <c r="C21" s="2141" t="s">
        <v>1497</v>
      </c>
      <c r="D21" s="2138">
        <v>0.28999999999999998</v>
      </c>
      <c r="E21" s="2137"/>
      <c r="G21" s="2132" t="s">
        <v>1496</v>
      </c>
      <c r="H21" s="2131"/>
      <c r="I21" s="2131"/>
      <c r="J21" s="2131"/>
      <c r="K21" s="2131"/>
      <c r="L21" s="2130"/>
      <c r="M21" s="2130"/>
      <c r="N21" s="609"/>
      <c r="O21" s="1084"/>
      <c r="P21" s="2142" t="s">
        <v>1491</v>
      </c>
      <c r="Q21" s="33"/>
      <c r="R21" s="33"/>
      <c r="S21" s="33"/>
      <c r="T21" s="33"/>
      <c r="U21" s="33"/>
      <c r="V21" s="33"/>
      <c r="W21" s="33"/>
      <c r="X21" s="33"/>
      <c r="Y21" s="33"/>
      <c r="Z21" s="33"/>
      <c r="AA21" s="33"/>
      <c r="AB21" s="33"/>
      <c r="AC21" s="33"/>
      <c r="AD21" s="33"/>
      <c r="AE21" s="33"/>
      <c r="AF21" s="33"/>
    </row>
    <row r="22" spans="1:51" ht="25.15" customHeight="1">
      <c r="A22" s="33"/>
      <c r="B22" s="2136">
        <f t="shared" si="0"/>
        <v>17</v>
      </c>
      <c r="C22" s="2141"/>
      <c r="D22" s="2140"/>
      <c r="E22" s="2137"/>
      <c r="G22" s="2132"/>
      <c r="H22" s="2131"/>
      <c r="I22" s="2131"/>
      <c r="J22" s="2131"/>
      <c r="K22" s="2131"/>
      <c r="L22" s="2130"/>
      <c r="M22" s="2130"/>
      <c r="N22" s="609"/>
      <c r="O22" s="1084"/>
      <c r="P22" s="33"/>
      <c r="Q22" s="33"/>
      <c r="R22" s="33"/>
      <c r="S22" s="33"/>
      <c r="T22" s="33"/>
      <c r="U22" s="33"/>
      <c r="V22" s="33"/>
      <c r="W22" s="33"/>
      <c r="X22" s="33"/>
      <c r="Y22" s="33"/>
      <c r="Z22" s="33"/>
      <c r="AA22" s="33"/>
      <c r="AB22" s="33"/>
      <c r="AC22" s="33"/>
      <c r="AD22" s="33"/>
      <c r="AE22" s="33"/>
      <c r="AF22" s="33"/>
    </row>
    <row r="23" spans="1:51" ht="25.15" customHeight="1">
      <c r="A23" s="33"/>
      <c r="B23" s="2136">
        <f t="shared" si="0"/>
        <v>18</v>
      </c>
      <c r="C23" s="2135" t="s">
        <v>1495</v>
      </c>
      <c r="D23" s="2138">
        <v>1.3</v>
      </c>
      <c r="E23" s="2137"/>
      <c r="G23" s="2132" t="s">
        <v>1494</v>
      </c>
      <c r="H23" s="2131"/>
      <c r="I23" s="2131"/>
      <c r="J23" s="2131"/>
      <c r="K23" s="2131"/>
      <c r="L23" s="2130"/>
      <c r="M23" s="2130"/>
      <c r="N23" s="609"/>
      <c r="O23" s="1084"/>
      <c r="P23" s="2142" t="s">
        <v>1491</v>
      </c>
      <c r="Q23" s="33"/>
      <c r="R23" s="33"/>
      <c r="S23" s="33"/>
      <c r="T23" s="33"/>
      <c r="U23" s="33"/>
      <c r="V23" s="33"/>
      <c r="W23" s="33"/>
      <c r="X23" s="33"/>
      <c r="Y23" s="33"/>
      <c r="Z23" s="33"/>
      <c r="AA23" s="33"/>
      <c r="AB23" s="33"/>
      <c r="AC23" s="33"/>
      <c r="AD23" s="33"/>
      <c r="AE23" s="33"/>
      <c r="AF23" s="33"/>
    </row>
    <row r="24" spans="1:51" ht="25.15" customHeight="1">
      <c r="A24" s="33"/>
      <c r="B24" s="2136">
        <f t="shared" si="0"/>
        <v>19</v>
      </c>
      <c r="C24" s="2135"/>
      <c r="D24" s="2140"/>
      <c r="E24" s="2137"/>
      <c r="G24" s="2132"/>
      <c r="H24" s="2131"/>
      <c r="I24" s="2131"/>
      <c r="J24" s="2131"/>
      <c r="K24" s="2131"/>
      <c r="L24" s="2130"/>
      <c r="M24" s="2130"/>
      <c r="N24" s="609"/>
      <c r="O24" s="1084"/>
      <c r="P24" s="33"/>
      <c r="Q24" s="33"/>
      <c r="R24" s="33"/>
      <c r="S24" s="33"/>
      <c r="T24" s="33"/>
      <c r="U24" s="33"/>
      <c r="V24" s="33"/>
      <c r="W24" s="33"/>
      <c r="X24" s="33"/>
      <c r="Y24" s="33"/>
      <c r="Z24" s="33"/>
      <c r="AA24" s="33"/>
      <c r="AB24" s="33"/>
      <c r="AC24" s="33"/>
      <c r="AD24" s="33"/>
      <c r="AE24" s="33"/>
      <c r="AF24" s="33"/>
    </row>
    <row r="25" spans="1:51" ht="25.15" customHeight="1">
      <c r="A25" s="33"/>
      <c r="B25" s="2136">
        <f t="shared" si="0"/>
        <v>20</v>
      </c>
      <c r="C25" s="2141" t="s">
        <v>1493</v>
      </c>
      <c r="D25" s="2138">
        <v>7.0000000000000007E-2</v>
      </c>
      <c r="E25" s="2137"/>
      <c r="G25" s="2132" t="s">
        <v>1492</v>
      </c>
      <c r="H25" s="2131"/>
      <c r="I25" s="2131"/>
      <c r="J25" s="2131"/>
      <c r="K25" s="2131"/>
      <c r="L25" s="2130"/>
      <c r="M25" s="2130"/>
      <c r="N25" s="609"/>
      <c r="O25" s="1084"/>
      <c r="P25" s="2142" t="s">
        <v>1491</v>
      </c>
      <c r="Q25" s="33"/>
      <c r="R25" s="33"/>
      <c r="S25" s="33"/>
      <c r="T25" s="33"/>
      <c r="U25" s="33"/>
      <c r="V25" s="33"/>
      <c r="W25" s="33"/>
      <c r="X25" s="33"/>
      <c r="Y25" s="33"/>
      <c r="Z25" s="33"/>
      <c r="AA25" s="33"/>
      <c r="AB25" s="33"/>
      <c r="AC25" s="33"/>
      <c r="AD25" s="33"/>
      <c r="AE25" s="33"/>
      <c r="AF25" s="33"/>
    </row>
    <row r="26" spans="1:51" ht="25.15" customHeight="1">
      <c r="A26" s="33"/>
      <c r="B26" s="2136">
        <f t="shared" si="0"/>
        <v>21</v>
      </c>
      <c r="C26" s="2141"/>
      <c r="D26" s="2140"/>
      <c r="E26" s="2137"/>
      <c r="G26" s="2132"/>
      <c r="H26" s="2131"/>
      <c r="I26" s="2131"/>
      <c r="J26" s="2131"/>
      <c r="K26" s="2131"/>
      <c r="L26" s="2130"/>
      <c r="M26" s="2130"/>
      <c r="N26" s="609"/>
      <c r="O26" s="1084"/>
      <c r="P26" s="33"/>
      <c r="Q26" s="33"/>
      <c r="R26" s="33"/>
      <c r="S26" s="33"/>
      <c r="T26" s="33"/>
      <c r="U26" s="33"/>
      <c r="V26" s="33"/>
      <c r="W26" s="33"/>
      <c r="X26" s="33"/>
      <c r="Y26" s="33"/>
      <c r="Z26" s="33"/>
      <c r="AA26" s="33"/>
      <c r="AB26" s="33"/>
      <c r="AC26" s="33"/>
      <c r="AD26" s="33"/>
      <c r="AE26" s="33"/>
      <c r="AF26" s="33"/>
    </row>
    <row r="27" spans="1:51" ht="25.15" customHeight="1">
      <c r="A27" s="33"/>
      <c r="B27" s="2136">
        <f t="shared" si="0"/>
        <v>22</v>
      </c>
      <c r="C27" s="2135" t="s">
        <v>1490</v>
      </c>
      <c r="D27" s="2138">
        <v>12.3</v>
      </c>
      <c r="E27" s="2137"/>
      <c r="G27" s="2132" t="s">
        <v>1489</v>
      </c>
      <c r="H27" s="2131"/>
      <c r="I27" s="2131"/>
      <c r="J27" s="2131"/>
      <c r="K27" s="2131"/>
      <c r="L27" s="2130"/>
      <c r="M27" s="2130"/>
      <c r="N27" s="609"/>
      <c r="O27" s="1084"/>
      <c r="P27" s="33"/>
      <c r="Q27" s="33"/>
      <c r="R27" s="33"/>
      <c r="T27" s="33"/>
      <c r="U27" s="33"/>
      <c r="V27" s="33"/>
      <c r="W27" s="33"/>
      <c r="X27" s="33"/>
      <c r="Y27" s="33"/>
      <c r="Z27" s="33"/>
      <c r="AA27" s="33"/>
      <c r="AB27" s="33"/>
      <c r="AC27" s="33"/>
      <c r="AD27" s="33"/>
      <c r="AE27" s="33"/>
      <c r="AF27" s="33"/>
    </row>
    <row r="28" spans="1:51" ht="25.15" customHeight="1">
      <c r="A28" s="33"/>
      <c r="B28" s="2136">
        <f t="shared" si="0"/>
        <v>23</v>
      </c>
      <c r="C28" s="2135" t="s">
        <v>1488</v>
      </c>
      <c r="D28" s="2138">
        <v>18.2</v>
      </c>
      <c r="E28" s="2139"/>
      <c r="G28" s="2132" t="s">
        <v>1487</v>
      </c>
      <c r="H28" s="2131"/>
      <c r="I28" s="2131"/>
      <c r="J28" s="2131"/>
      <c r="K28" s="2131"/>
      <c r="L28" s="2130"/>
      <c r="M28" s="2130"/>
      <c r="N28" s="609"/>
      <c r="O28" s="1084"/>
      <c r="P28" s="33"/>
      <c r="Q28" s="33"/>
      <c r="R28" s="33"/>
      <c r="T28" s="33"/>
      <c r="U28" s="33"/>
      <c r="V28" s="33"/>
      <c r="W28" s="33"/>
      <c r="X28" s="33"/>
      <c r="Y28" s="33"/>
      <c r="Z28" s="33"/>
      <c r="AA28" s="33"/>
      <c r="AB28" s="33"/>
      <c r="AC28" s="33"/>
      <c r="AD28" s="33"/>
      <c r="AE28" s="33"/>
      <c r="AF28" s="33"/>
    </row>
    <row r="29" spans="1:51" ht="25.15" customHeight="1">
      <c r="A29" s="33"/>
      <c r="B29" s="2136">
        <f t="shared" si="0"/>
        <v>24</v>
      </c>
      <c r="C29" s="2135"/>
      <c r="D29" s="2138"/>
      <c r="E29" s="2137"/>
      <c r="G29" s="2132"/>
      <c r="H29" s="2131"/>
      <c r="I29" s="2131"/>
      <c r="J29" s="2131"/>
      <c r="K29" s="2131"/>
      <c r="L29" s="2130"/>
      <c r="M29" s="2130"/>
      <c r="N29" s="609"/>
      <c r="O29" s="1084"/>
      <c r="P29" s="33"/>
      <c r="T29" s="33"/>
      <c r="U29" s="33"/>
      <c r="V29" s="33"/>
      <c r="W29" s="33"/>
      <c r="X29" s="33"/>
      <c r="Y29" s="33"/>
      <c r="Z29" s="33"/>
      <c r="AA29" s="33"/>
      <c r="AB29" s="33"/>
      <c r="AC29" s="33"/>
      <c r="AD29" s="33"/>
      <c r="AE29" s="33"/>
      <c r="AF29" s="33"/>
    </row>
    <row r="30" spans="1:51" ht="25.15" customHeight="1">
      <c r="A30" s="33"/>
      <c r="B30" s="2136">
        <f t="shared" si="0"/>
        <v>25</v>
      </c>
      <c r="C30" s="2135" t="s">
        <v>1486</v>
      </c>
      <c r="D30" s="2138">
        <v>10.6</v>
      </c>
      <c r="E30" s="2137"/>
      <c r="G30" s="2132" t="s">
        <v>1485</v>
      </c>
      <c r="H30" s="2131"/>
      <c r="I30" s="2131"/>
      <c r="J30" s="2131"/>
      <c r="K30" s="2131"/>
      <c r="L30" s="2130"/>
      <c r="M30" s="2130"/>
      <c r="N30" s="609"/>
      <c r="O30" s="1084"/>
      <c r="P30" s="33"/>
      <c r="Q30" s="33"/>
      <c r="R30" s="33"/>
      <c r="S30" s="33"/>
      <c r="T30" s="33"/>
      <c r="U30" s="33"/>
      <c r="V30" s="33"/>
      <c r="W30" s="33"/>
      <c r="X30" s="33"/>
      <c r="Y30" s="33"/>
      <c r="Z30" s="33"/>
      <c r="AA30" s="33"/>
      <c r="AB30" s="33"/>
      <c r="AC30" s="33"/>
      <c r="AD30" s="33"/>
      <c r="AE30" s="33"/>
      <c r="AF30" s="33"/>
    </row>
    <row r="31" spans="1:51" ht="25.15" customHeight="1">
      <c r="A31" s="33"/>
      <c r="B31" s="2136">
        <f t="shared" si="0"/>
        <v>26</v>
      </c>
      <c r="C31" s="2135" t="s">
        <v>1484</v>
      </c>
      <c r="D31" s="2138">
        <v>22.9</v>
      </c>
      <c r="E31" s="2137"/>
      <c r="G31" s="2132" t="s">
        <v>1483</v>
      </c>
      <c r="H31" s="2131"/>
      <c r="I31" s="2131"/>
      <c r="J31" s="2131"/>
      <c r="K31" s="2131"/>
      <c r="L31" s="2130"/>
      <c r="M31" s="2130"/>
      <c r="N31" s="609"/>
      <c r="O31" s="1084"/>
      <c r="P31" s="33"/>
      <c r="Q31" s="33"/>
      <c r="R31" s="33"/>
      <c r="S31" s="33"/>
      <c r="T31" s="33"/>
      <c r="U31" s="33"/>
      <c r="V31" s="33"/>
      <c r="W31" s="33"/>
      <c r="X31" s="33"/>
      <c r="Y31" s="33"/>
      <c r="Z31" s="33"/>
      <c r="AA31" s="33"/>
      <c r="AB31" s="33"/>
      <c r="AC31" s="33"/>
      <c r="AD31" s="33"/>
      <c r="AE31" s="33"/>
      <c r="AF31" s="33"/>
    </row>
    <row r="32" spans="1:51" ht="25.15" customHeight="1">
      <c r="A32" s="33"/>
      <c r="B32" s="2136">
        <f t="shared" si="0"/>
        <v>27</v>
      </c>
      <c r="C32" s="2135"/>
      <c r="D32" s="2134"/>
      <c r="E32" s="2133"/>
      <c r="G32" s="2132"/>
      <c r="H32" s="2131"/>
      <c r="I32" s="2131"/>
      <c r="J32" s="2131"/>
      <c r="K32" s="2131"/>
      <c r="L32" s="2130"/>
      <c r="M32" s="2130"/>
      <c r="N32" s="609"/>
      <c r="O32" s="1084"/>
      <c r="P32" s="33"/>
      <c r="Q32" s="33"/>
      <c r="R32" s="33"/>
      <c r="S32" s="33"/>
      <c r="T32" s="33"/>
      <c r="U32" s="33"/>
      <c r="V32" s="33"/>
      <c r="W32" s="33"/>
      <c r="X32" s="33"/>
      <c r="Y32" s="33"/>
      <c r="Z32" s="33"/>
      <c r="AA32" s="33"/>
      <c r="AB32" s="33"/>
      <c r="AC32" s="33"/>
      <c r="AD32" s="33"/>
      <c r="AE32" s="33"/>
      <c r="AF32" s="33"/>
    </row>
    <row r="33" spans="1:32" ht="25.15" customHeight="1" thickBot="1">
      <c r="A33" s="33"/>
      <c r="B33" s="2129">
        <v>28</v>
      </c>
      <c r="C33" s="2128"/>
      <c r="D33" s="2127"/>
      <c r="E33" s="2126"/>
      <c r="G33" s="2125"/>
      <c r="H33" s="2124"/>
      <c r="I33" s="2124"/>
      <c r="J33" s="2124"/>
      <c r="K33" s="2124"/>
      <c r="L33" s="2124"/>
      <c r="M33" s="2124"/>
      <c r="N33" s="2123"/>
      <c r="O33" s="1024"/>
      <c r="P33" s="33"/>
      <c r="Q33" s="33"/>
      <c r="R33" s="33"/>
      <c r="S33" s="33"/>
      <c r="T33" s="33"/>
      <c r="U33" s="33"/>
      <c r="V33" s="33"/>
      <c r="W33" s="33"/>
      <c r="X33" s="33"/>
      <c r="Y33" s="33"/>
      <c r="Z33" s="33"/>
      <c r="AA33" s="33"/>
      <c r="AB33" s="33"/>
      <c r="AC33" s="33"/>
      <c r="AD33" s="33"/>
      <c r="AE33" s="33"/>
      <c r="AF33" s="33"/>
    </row>
    <row r="34" spans="1:32">
      <c r="A34" s="33"/>
      <c r="N34" s="33"/>
      <c r="O34" s="33"/>
      <c r="P34" s="33"/>
      <c r="Q34" s="33"/>
      <c r="R34" s="33"/>
      <c r="S34" s="33"/>
      <c r="T34" s="33"/>
      <c r="U34" s="33"/>
      <c r="V34" s="33"/>
      <c r="W34" s="33"/>
      <c r="X34" s="33"/>
      <c r="Y34" s="33"/>
      <c r="Z34" s="33"/>
      <c r="AA34" s="33"/>
      <c r="AB34" s="33"/>
      <c r="AC34" s="33"/>
      <c r="AD34" s="33"/>
      <c r="AE34" s="33"/>
      <c r="AF34" s="33"/>
    </row>
    <row r="35" spans="1:32">
      <c r="A35" s="33"/>
      <c r="O35" s="33"/>
      <c r="P35" s="33"/>
      <c r="Q35" s="33"/>
      <c r="R35" s="33"/>
      <c r="S35" s="33"/>
      <c r="T35" s="33"/>
      <c r="U35" s="33"/>
      <c r="V35" s="33"/>
      <c r="W35" s="33"/>
      <c r="X35" s="33"/>
      <c r="Y35" s="33"/>
      <c r="Z35" s="33"/>
      <c r="AA35" s="33"/>
      <c r="AB35" s="33"/>
      <c r="AC35" s="33"/>
      <c r="AD35" s="33"/>
      <c r="AE35" s="33"/>
      <c r="AF35" s="33"/>
    </row>
    <row r="36" spans="1:32" ht="18">
      <c r="A36" s="33"/>
      <c r="C36" s="4400" t="s">
        <v>1482</v>
      </c>
      <c r="D36" s="4400"/>
      <c r="E36" s="4400"/>
      <c r="F36" s="4400"/>
      <c r="G36" s="4400"/>
      <c r="H36" s="4400"/>
      <c r="I36" s="4400"/>
      <c r="J36" s="4400"/>
      <c r="K36" s="4400"/>
      <c r="L36" s="4400"/>
      <c r="M36" s="4400"/>
      <c r="N36" s="4400"/>
      <c r="O36" s="4400"/>
      <c r="P36" s="33"/>
      <c r="Q36" s="33"/>
      <c r="R36" s="33"/>
      <c r="S36" s="33"/>
      <c r="T36" s="33"/>
      <c r="U36" s="33"/>
      <c r="V36" s="33"/>
      <c r="W36" s="33"/>
      <c r="X36" s="33"/>
      <c r="Y36" s="33"/>
      <c r="Z36" s="33"/>
      <c r="AA36" s="33"/>
      <c r="AB36" s="33"/>
      <c r="AC36" s="33"/>
      <c r="AD36" s="33"/>
      <c r="AE36" s="33"/>
      <c r="AF36" s="33"/>
    </row>
    <row r="37" spans="1:32" ht="18">
      <c r="A37" s="33"/>
      <c r="C37" s="4403" t="s">
        <v>1481</v>
      </c>
      <c r="D37" s="4403"/>
      <c r="E37" s="4403"/>
      <c r="F37" s="4403"/>
      <c r="G37" s="4403"/>
      <c r="H37" s="4403"/>
      <c r="I37" s="4403"/>
      <c r="J37" s="4403"/>
      <c r="K37" s="4403"/>
      <c r="L37" s="4403"/>
      <c r="M37" s="4403"/>
      <c r="N37" s="4403"/>
      <c r="O37" s="4403"/>
      <c r="P37" s="33"/>
      <c r="Q37" s="33"/>
      <c r="R37" s="33"/>
      <c r="S37" s="33"/>
      <c r="T37" s="33"/>
      <c r="U37" s="33"/>
      <c r="V37" s="33"/>
      <c r="W37" s="33"/>
      <c r="X37" s="33"/>
      <c r="Y37" s="33"/>
      <c r="Z37" s="33"/>
      <c r="AA37" s="33"/>
      <c r="AB37" s="33"/>
      <c r="AC37" s="33"/>
      <c r="AD37" s="33"/>
      <c r="AE37" s="33"/>
      <c r="AF37" s="33"/>
    </row>
    <row r="38" spans="1:32" ht="15.6" customHeight="1">
      <c r="A38" s="33"/>
      <c r="C38" s="4400" t="s">
        <v>1480</v>
      </c>
      <c r="D38" s="4400"/>
      <c r="E38" s="4400"/>
      <c r="F38" s="4400"/>
      <c r="G38" s="4400"/>
      <c r="H38" s="4400"/>
      <c r="I38" s="4400"/>
      <c r="J38" s="4400"/>
      <c r="K38" s="4400"/>
      <c r="L38" s="4400"/>
      <c r="M38" s="4400"/>
      <c r="N38" s="4400"/>
      <c r="O38" s="4400"/>
      <c r="P38" s="33"/>
      <c r="Q38" s="33"/>
      <c r="R38" s="33"/>
      <c r="S38" s="33"/>
      <c r="T38" s="33"/>
      <c r="U38" s="33"/>
      <c r="V38" s="33"/>
      <c r="W38" s="33"/>
      <c r="X38" s="33"/>
      <c r="Y38" s="33"/>
      <c r="Z38" s="33"/>
      <c r="AA38" s="33"/>
      <c r="AB38" s="33"/>
      <c r="AC38" s="33"/>
      <c r="AD38" s="33"/>
      <c r="AE38" s="33"/>
      <c r="AF38" s="33"/>
    </row>
    <row r="39" spans="1:32">
      <c r="A39" s="33"/>
      <c r="O39" s="33"/>
      <c r="P39" s="33"/>
      <c r="Q39" s="33"/>
      <c r="R39" s="33"/>
      <c r="S39" s="33"/>
      <c r="T39" s="33"/>
      <c r="U39" s="33"/>
      <c r="V39" s="33"/>
      <c r="W39" s="33"/>
      <c r="X39" s="33"/>
      <c r="Y39" s="33"/>
      <c r="Z39" s="33"/>
      <c r="AA39" s="33"/>
      <c r="AB39" s="33"/>
      <c r="AC39" s="33"/>
      <c r="AD39" s="33"/>
      <c r="AE39" s="33"/>
      <c r="AF39" s="33"/>
    </row>
    <row r="40" spans="1:32">
      <c r="A40" s="33"/>
      <c r="O40" s="33"/>
      <c r="P40" s="33"/>
      <c r="Q40" s="33"/>
      <c r="R40" s="33"/>
      <c r="S40" s="33"/>
      <c r="T40" s="33"/>
      <c r="U40" s="33"/>
      <c r="V40" s="33"/>
      <c r="W40" s="33"/>
      <c r="X40" s="33"/>
      <c r="Y40" s="33"/>
      <c r="Z40" s="33"/>
      <c r="AA40" s="33"/>
      <c r="AB40" s="33"/>
      <c r="AC40" s="33"/>
      <c r="AD40" s="33"/>
      <c r="AE40" s="33"/>
      <c r="AF40" s="33"/>
    </row>
    <row r="41" spans="1:32">
      <c r="A41" s="33"/>
      <c r="O41" s="33"/>
      <c r="P41" s="33"/>
      <c r="Q41" s="33"/>
      <c r="R41" s="33"/>
      <c r="S41" s="33"/>
      <c r="T41" s="33"/>
      <c r="U41" s="33"/>
      <c r="V41" s="33"/>
      <c r="W41" s="33"/>
      <c r="X41" s="33"/>
      <c r="Y41" s="33"/>
      <c r="Z41" s="33"/>
      <c r="AA41" s="33"/>
      <c r="AB41" s="33"/>
      <c r="AC41" s="33"/>
      <c r="AD41" s="33"/>
      <c r="AE41" s="33"/>
      <c r="AF41" s="33"/>
    </row>
    <row r="42" spans="1:32">
      <c r="A42" s="33"/>
      <c r="O42" s="33"/>
      <c r="P42" s="33"/>
      <c r="Q42" s="33"/>
      <c r="R42" s="33"/>
      <c r="S42" s="33"/>
      <c r="T42" s="33"/>
      <c r="U42" s="33"/>
      <c r="V42" s="33"/>
      <c r="W42" s="33"/>
      <c r="X42" s="33"/>
      <c r="Y42" s="33"/>
      <c r="Z42" s="33"/>
      <c r="AA42" s="33"/>
      <c r="AB42" s="33"/>
      <c r="AC42" s="33"/>
      <c r="AD42" s="33"/>
      <c r="AE42" s="33"/>
      <c r="AF42" s="33"/>
    </row>
    <row r="43" spans="1:32">
      <c r="A43" s="33"/>
      <c r="O43" s="33"/>
      <c r="P43" s="33"/>
      <c r="Q43" s="33"/>
      <c r="R43" s="33"/>
      <c r="S43" s="33"/>
      <c r="T43" s="33"/>
      <c r="U43" s="33"/>
      <c r="V43" s="33"/>
      <c r="W43" s="33"/>
      <c r="X43" s="33"/>
      <c r="Y43" s="33"/>
      <c r="Z43" s="33"/>
      <c r="AA43" s="33"/>
      <c r="AB43" s="33"/>
      <c r="AC43" s="33"/>
      <c r="AD43" s="33"/>
      <c r="AE43" s="33"/>
      <c r="AF43" s="33"/>
    </row>
    <row r="44" spans="1:32">
      <c r="A44" s="33"/>
      <c r="O44" s="33"/>
      <c r="P44" s="33"/>
      <c r="Q44" s="33"/>
      <c r="R44" s="33"/>
      <c r="S44" s="33"/>
      <c r="T44" s="33"/>
      <c r="U44" s="33"/>
      <c r="V44" s="33"/>
      <c r="W44" s="33"/>
      <c r="X44" s="33"/>
      <c r="Y44" s="33"/>
      <c r="Z44" s="33"/>
      <c r="AA44" s="33"/>
      <c r="AB44" s="33"/>
      <c r="AC44" s="33"/>
      <c r="AD44" s="33"/>
      <c r="AE44" s="33"/>
      <c r="AF44" s="33"/>
    </row>
    <row r="66" spans="2:7">
      <c r="B66" s="31"/>
      <c r="C66" s="31"/>
      <c r="D66" s="31"/>
      <c r="E66" s="33"/>
      <c r="F66" s="31"/>
      <c r="G66" s="33"/>
    </row>
  </sheetData>
  <sheetProtection sheet="1" selectLockedCells="1"/>
  <mergeCells count="15">
    <mergeCell ref="N4:O4"/>
    <mergeCell ref="D5:E5"/>
    <mergeCell ref="D6:E6"/>
    <mergeCell ref="D13:E13"/>
    <mergeCell ref="D14:E14"/>
    <mergeCell ref="D15:E15"/>
    <mergeCell ref="C38:O38"/>
    <mergeCell ref="D7:E7"/>
    <mergeCell ref="D8:E8"/>
    <mergeCell ref="D9:E9"/>
    <mergeCell ref="D10:E10"/>
    <mergeCell ref="C36:O36"/>
    <mergeCell ref="C37:O37"/>
    <mergeCell ref="D11:E11"/>
    <mergeCell ref="D12:E12"/>
  </mergeCells>
  <hyperlinks>
    <hyperlink ref="C37:O37" r:id="rId1" display=" https://www.landwirtschaft-bw.info/pb/MLR.LEL-SG,Lde/Startseite/Unsere+Themen/Pflanze "/>
    <hyperlink ref="C37" r:id="rId2"/>
  </hyperlinks>
  <printOptions horizontalCentered="1"/>
  <pageMargins left="0.59055118110236227" right="0.57999999999999996" top="0.59055118110236227" bottom="0.59055118110236227" header="0.39370078740157483" footer="0.39370078740157483"/>
  <pageSetup paperSize="9" scale="55" firstPageNumber="11" orientation="portrait" useFirstPageNumber="1" r:id="rId3"/>
  <headerFooter alignWithMargins="0">
    <oddFooter>&amp;L&amp;11LEL Schwäbisch Gmünd&amp;R&amp;11&amp;F</oddFooter>
  </headerFooter>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00B0F0"/>
    <pageSetUpPr fitToPage="1"/>
  </sheetPr>
  <dimension ref="A1:U1232"/>
  <sheetViews>
    <sheetView showZeros="0" zoomScaleNormal="100" workbookViewId="0"/>
  </sheetViews>
  <sheetFormatPr baseColWidth="10" defaultColWidth="11.25" defaultRowHeight="12.75"/>
  <cols>
    <col min="1" max="1" width="1.5" style="33" customWidth="1"/>
    <col min="2" max="2" width="12" style="608" customWidth="1"/>
    <col min="3" max="3" width="7.75" style="605" customWidth="1"/>
    <col min="4" max="4" width="10.75" style="605" customWidth="1"/>
    <col min="5" max="5" width="6.875" style="607" customWidth="1"/>
    <col min="6" max="7" width="6.875" style="606" customWidth="1"/>
    <col min="8" max="8" width="6.875" style="33" customWidth="1"/>
    <col min="9" max="9" width="6.875" style="605" customWidth="1"/>
    <col min="10" max="13" width="6.875" style="33" customWidth="1"/>
    <col min="14" max="14" width="6.875" style="605" customWidth="1"/>
    <col min="15" max="15" width="9.625" style="33" customWidth="1"/>
    <col min="16" max="16" width="10" style="33" customWidth="1"/>
    <col min="17" max="17" width="9.25" style="33" customWidth="1"/>
    <col min="18" max="16384" width="11.25" style="33"/>
  </cols>
  <sheetData>
    <row r="1" spans="1:17" ht="15" customHeight="1">
      <c r="B1" s="656">
        <f>COLUMNS($B$1:B1)</f>
        <v>1</v>
      </c>
      <c r="C1" s="656">
        <f>COLUMNS($B$1:C1)</f>
        <v>2</v>
      </c>
      <c r="D1" s="656">
        <f>COLUMNS($D$1:D1)</f>
        <v>1</v>
      </c>
      <c r="E1" s="656">
        <f>COLUMNS($D$1:E1)</f>
        <v>2</v>
      </c>
      <c r="F1" s="656">
        <f>COLUMNS($F$1:F1)</f>
        <v>1</v>
      </c>
      <c r="G1" s="656">
        <f>COLUMNS($F$1:G1)</f>
        <v>2</v>
      </c>
      <c r="H1" s="656">
        <f>COLUMNS($H$1:H1)</f>
        <v>1</v>
      </c>
      <c r="I1" s="656">
        <f>COLUMNS($H$1:I1)</f>
        <v>2</v>
      </c>
      <c r="J1" s="656">
        <f>COLUMNS($J$1:J1)</f>
        <v>1</v>
      </c>
      <c r="K1" s="656">
        <f>COLUMNS($J$1:K1)</f>
        <v>2</v>
      </c>
      <c r="L1" s="656">
        <f>COLUMNS($L$1:L1)</f>
        <v>1</v>
      </c>
      <c r="M1" s="656">
        <f>COLUMNS($L$1:M1)</f>
        <v>2</v>
      </c>
      <c r="N1" s="656">
        <f>COLUMNS($N$1:N1)</f>
        <v>1</v>
      </c>
      <c r="O1" s="656">
        <f>COLUMNS($N$1:O1)</f>
        <v>2</v>
      </c>
      <c r="P1" s="656">
        <f>COLUMNS($P$1:P1)</f>
        <v>1</v>
      </c>
      <c r="Q1" s="656">
        <f>COLUMNS($P$1:Q1)</f>
        <v>2</v>
      </c>
    </row>
    <row r="2" spans="1:17" ht="20.25">
      <c r="B2" s="655" t="s">
        <v>681</v>
      </c>
      <c r="F2" s="4410">
        <f>'SDK1'!O3</f>
        <v>0</v>
      </c>
      <c r="G2" s="4410"/>
      <c r="H2" s="4410"/>
      <c r="I2" s="610"/>
      <c r="M2" s="654"/>
      <c r="N2" s="653"/>
    </row>
    <row r="3" spans="1:17">
      <c r="B3" s="652" t="s">
        <v>2037</v>
      </c>
      <c r="C3" s="651"/>
      <c r="D3" s="651"/>
      <c r="E3" s="650"/>
    </row>
    <row r="4" spans="1:17" ht="18.75" customHeight="1">
      <c r="B4" s="4421" t="s">
        <v>680</v>
      </c>
      <c r="C4" s="4412"/>
      <c r="D4" s="4411" t="s">
        <v>679</v>
      </c>
      <c r="E4" s="4412"/>
      <c r="F4" s="4411" t="s">
        <v>263</v>
      </c>
      <c r="G4" s="4412"/>
      <c r="H4" s="4423" t="s">
        <v>70</v>
      </c>
      <c r="I4" s="4424"/>
      <c r="J4" s="4423" t="s">
        <v>265</v>
      </c>
      <c r="K4" s="4427"/>
      <c r="L4" s="4429" t="s">
        <v>60</v>
      </c>
      <c r="M4" s="4430"/>
      <c r="N4" s="4433" t="s">
        <v>50</v>
      </c>
      <c r="O4" s="4434"/>
      <c r="P4" s="4417" t="s">
        <v>57</v>
      </c>
      <c r="Q4" s="4418"/>
    </row>
    <row r="5" spans="1:17" ht="14.25" customHeight="1">
      <c r="B5" s="4422"/>
      <c r="C5" s="4414"/>
      <c r="D5" s="4413"/>
      <c r="E5" s="4414"/>
      <c r="F5" s="4413"/>
      <c r="G5" s="4414"/>
      <c r="H5" s="4425"/>
      <c r="I5" s="4426"/>
      <c r="J5" s="4425"/>
      <c r="K5" s="4428"/>
      <c r="L5" s="4431"/>
      <c r="M5" s="4432"/>
      <c r="N5" s="4415" t="s">
        <v>678</v>
      </c>
      <c r="O5" s="4416"/>
      <c r="P5" s="4419"/>
      <c r="Q5" s="4420"/>
    </row>
    <row r="6" spans="1:17">
      <c r="B6" s="647">
        <v>0.15</v>
      </c>
      <c r="C6" s="649"/>
      <c r="D6" s="647">
        <v>0.15</v>
      </c>
      <c r="E6" s="649"/>
      <c r="F6" s="647">
        <v>0.13</v>
      </c>
      <c r="G6" s="648"/>
      <c r="H6" s="647">
        <v>0.15</v>
      </c>
      <c r="I6" s="646"/>
      <c r="J6" s="644">
        <v>0.09</v>
      </c>
      <c r="K6" s="643"/>
      <c r="L6" s="644">
        <v>0.09</v>
      </c>
      <c r="M6" s="645"/>
      <c r="N6" s="644">
        <v>0.15</v>
      </c>
      <c r="O6" s="643"/>
      <c r="P6" s="644">
        <v>0.09</v>
      </c>
      <c r="Q6" s="643"/>
    </row>
    <row r="7" spans="1:17">
      <c r="B7" s="641" t="s">
        <v>113</v>
      </c>
      <c r="C7" s="640" t="s">
        <v>228</v>
      </c>
      <c r="D7" s="642" t="s">
        <v>113</v>
      </c>
      <c r="E7" s="640" t="s">
        <v>228</v>
      </c>
      <c r="F7" s="642" t="s">
        <v>113</v>
      </c>
      <c r="G7" s="640" t="s">
        <v>228</v>
      </c>
      <c r="H7" s="641" t="s">
        <v>113</v>
      </c>
      <c r="I7" s="642" t="s">
        <v>677</v>
      </c>
      <c r="J7" s="641" t="s">
        <v>113</v>
      </c>
      <c r="K7" s="640" t="s">
        <v>228</v>
      </c>
      <c r="L7" s="641" t="s">
        <v>113</v>
      </c>
      <c r="M7" s="642" t="s">
        <v>228</v>
      </c>
      <c r="N7" s="641" t="s">
        <v>113</v>
      </c>
      <c r="O7" s="640" t="s">
        <v>228</v>
      </c>
      <c r="P7" s="641" t="s">
        <v>113</v>
      </c>
      <c r="Q7" s="640" t="s">
        <v>228</v>
      </c>
    </row>
    <row r="8" spans="1:17" s="634" customFormat="1" ht="10.15" customHeight="1">
      <c r="A8" s="638"/>
      <c r="B8" s="629">
        <v>15.1</v>
      </c>
      <c r="C8" s="632">
        <v>2.8</v>
      </c>
      <c r="D8" s="629">
        <v>15.1</v>
      </c>
      <c r="E8" s="632">
        <v>3.3</v>
      </c>
      <c r="F8" s="629">
        <v>13.1</v>
      </c>
      <c r="G8" s="632">
        <v>2.4</v>
      </c>
      <c r="H8" s="629">
        <v>15.1</v>
      </c>
      <c r="I8" s="632">
        <v>2.5</v>
      </c>
      <c r="J8" s="629">
        <v>9.1</v>
      </c>
      <c r="K8" s="632">
        <v>2.4</v>
      </c>
      <c r="L8" s="629">
        <v>9.1</v>
      </c>
      <c r="M8" s="628">
        <v>3</v>
      </c>
      <c r="N8" s="629">
        <v>15.1</v>
      </c>
      <c r="O8" s="639">
        <v>0.74</v>
      </c>
      <c r="P8" s="629">
        <v>9.1</v>
      </c>
      <c r="Q8" s="628">
        <v>3</v>
      </c>
    </row>
    <row r="9" spans="1:17" s="634" customFormat="1" ht="10.15" customHeight="1">
      <c r="B9" s="629">
        <v>15.2</v>
      </c>
      <c r="C9" s="632">
        <v>2.8899999999999997</v>
      </c>
      <c r="D9" s="629">
        <v>15.2</v>
      </c>
      <c r="E9" s="632">
        <v>3.4200000000000004</v>
      </c>
      <c r="F9" s="629">
        <v>13.2</v>
      </c>
      <c r="G9" s="632">
        <v>2.48</v>
      </c>
      <c r="H9" s="629">
        <v>15.2</v>
      </c>
      <c r="I9" s="632">
        <v>2.5</v>
      </c>
      <c r="J9" s="629">
        <v>9.1999999999999993</v>
      </c>
      <c r="K9" s="632">
        <v>2.48</v>
      </c>
      <c r="L9" s="629">
        <v>9.1999999999999993</v>
      </c>
      <c r="M9" s="628">
        <v>3.1</v>
      </c>
      <c r="N9" s="629">
        <v>15.2</v>
      </c>
      <c r="O9" s="628">
        <v>0.76559999999999995</v>
      </c>
      <c r="P9" s="629">
        <v>9.1999999999999993</v>
      </c>
      <c r="Q9" s="628">
        <v>3.1</v>
      </c>
    </row>
    <row r="10" spans="1:17" s="634" customFormat="1" ht="10.15" customHeight="1">
      <c r="B10" s="629">
        <v>15.3</v>
      </c>
      <c r="C10" s="632">
        <v>2.98</v>
      </c>
      <c r="D10" s="629">
        <v>15.3</v>
      </c>
      <c r="E10" s="632">
        <v>3.54</v>
      </c>
      <c r="F10" s="629">
        <v>13.3</v>
      </c>
      <c r="G10" s="632">
        <v>2.56</v>
      </c>
      <c r="H10" s="629">
        <v>15.3</v>
      </c>
      <c r="I10" s="632">
        <v>2.5</v>
      </c>
      <c r="J10" s="629">
        <v>9.3000000000000007</v>
      </c>
      <c r="K10" s="632">
        <v>2.56</v>
      </c>
      <c r="L10" s="629">
        <v>9.3000000000000007</v>
      </c>
      <c r="M10" s="628">
        <v>3.2</v>
      </c>
      <c r="N10" s="629">
        <v>15.3</v>
      </c>
      <c r="O10" s="628">
        <v>0.7911999999999999</v>
      </c>
      <c r="P10" s="629">
        <v>9.3000000000000007</v>
      </c>
      <c r="Q10" s="628">
        <v>3.2</v>
      </c>
    </row>
    <row r="11" spans="1:17" s="634" customFormat="1" ht="10.15" customHeight="1">
      <c r="B11" s="629">
        <v>15.4</v>
      </c>
      <c r="C11" s="632">
        <v>3.07</v>
      </c>
      <c r="D11" s="629">
        <v>15.4</v>
      </c>
      <c r="E11" s="632">
        <v>3.66</v>
      </c>
      <c r="F11" s="629">
        <v>13.4</v>
      </c>
      <c r="G11" s="632">
        <v>2.6399999999999997</v>
      </c>
      <c r="H11" s="629">
        <v>15.4</v>
      </c>
      <c r="I11" s="632">
        <v>2.5</v>
      </c>
      <c r="J11" s="629">
        <v>9.4</v>
      </c>
      <c r="K11" s="632">
        <v>2.6399999999999997</v>
      </c>
      <c r="L11" s="629">
        <v>9.4</v>
      </c>
      <c r="M11" s="628">
        <v>3.3</v>
      </c>
      <c r="N11" s="629">
        <v>15.4</v>
      </c>
      <c r="O11" s="628">
        <v>0.81679999999999986</v>
      </c>
      <c r="P11" s="629">
        <v>9.4</v>
      </c>
      <c r="Q11" s="628">
        <v>3.3</v>
      </c>
    </row>
    <row r="12" spans="1:17" s="634" customFormat="1" ht="10.15" customHeight="1">
      <c r="B12" s="629">
        <v>15.5</v>
      </c>
      <c r="C12" s="632">
        <v>3.16</v>
      </c>
      <c r="D12" s="629">
        <v>15.5</v>
      </c>
      <c r="E12" s="632">
        <v>3.78</v>
      </c>
      <c r="F12" s="629">
        <v>13.5</v>
      </c>
      <c r="G12" s="632">
        <v>2.7199999999999998</v>
      </c>
      <c r="H12" s="629">
        <v>15.5</v>
      </c>
      <c r="I12" s="632">
        <v>2.5</v>
      </c>
      <c r="J12" s="629">
        <v>9.5</v>
      </c>
      <c r="K12" s="632">
        <v>2.7199999999999998</v>
      </c>
      <c r="L12" s="629">
        <v>9.5</v>
      </c>
      <c r="M12" s="628">
        <v>3.4</v>
      </c>
      <c r="N12" s="629">
        <v>15.5</v>
      </c>
      <c r="O12" s="628">
        <v>0.84239999999999982</v>
      </c>
      <c r="P12" s="629">
        <v>9.5</v>
      </c>
      <c r="Q12" s="628">
        <v>3.4</v>
      </c>
    </row>
    <row r="13" spans="1:17" s="634" customFormat="1" ht="10.15" customHeight="1">
      <c r="B13" s="629">
        <v>15.6</v>
      </c>
      <c r="C13" s="632">
        <v>3.25</v>
      </c>
      <c r="D13" s="629">
        <v>15.6</v>
      </c>
      <c r="E13" s="632">
        <v>3.9</v>
      </c>
      <c r="F13" s="629">
        <v>13.6</v>
      </c>
      <c r="G13" s="632">
        <v>2.8</v>
      </c>
      <c r="H13" s="629">
        <v>15.6</v>
      </c>
      <c r="I13" s="632">
        <v>2.5</v>
      </c>
      <c r="J13" s="629">
        <v>9.6</v>
      </c>
      <c r="K13" s="632">
        <v>2.8</v>
      </c>
      <c r="L13" s="629">
        <v>9.6</v>
      </c>
      <c r="M13" s="628">
        <v>3.5</v>
      </c>
      <c r="N13" s="629">
        <v>15.6</v>
      </c>
      <c r="O13" s="628">
        <v>0.86799999999999977</v>
      </c>
      <c r="P13" s="629">
        <v>9.6</v>
      </c>
      <c r="Q13" s="628">
        <v>3.5</v>
      </c>
    </row>
    <row r="14" spans="1:17" s="634" customFormat="1" ht="10.15" customHeight="1">
      <c r="B14" s="629">
        <v>15.7</v>
      </c>
      <c r="C14" s="632">
        <v>3.34</v>
      </c>
      <c r="D14" s="629">
        <v>15.7</v>
      </c>
      <c r="E14" s="632">
        <v>4.0200000000000005</v>
      </c>
      <c r="F14" s="629">
        <v>13.7</v>
      </c>
      <c r="G14" s="632">
        <v>2.88</v>
      </c>
      <c r="H14" s="629">
        <v>15.7</v>
      </c>
      <c r="I14" s="632">
        <v>2.5</v>
      </c>
      <c r="J14" s="629">
        <v>9.6999999999999993</v>
      </c>
      <c r="K14" s="632">
        <v>2.88</v>
      </c>
      <c r="L14" s="629">
        <v>9.7000000000000099</v>
      </c>
      <c r="M14" s="628">
        <v>3.6</v>
      </c>
      <c r="N14" s="629">
        <v>15.7</v>
      </c>
      <c r="O14" s="628">
        <v>0.89359999999999973</v>
      </c>
      <c r="P14" s="629">
        <v>9.6999999999999993</v>
      </c>
      <c r="Q14" s="628">
        <v>3.6</v>
      </c>
    </row>
    <row r="15" spans="1:17" s="634" customFormat="1" ht="10.15" customHeight="1">
      <c r="B15" s="629">
        <v>15.8</v>
      </c>
      <c r="C15" s="632">
        <v>3.4299999999999997</v>
      </c>
      <c r="D15" s="629">
        <v>15.8</v>
      </c>
      <c r="E15" s="632">
        <v>4.1399999999999997</v>
      </c>
      <c r="F15" s="629">
        <v>13.8</v>
      </c>
      <c r="G15" s="632">
        <v>2.96</v>
      </c>
      <c r="H15" s="629">
        <v>15.8</v>
      </c>
      <c r="I15" s="632">
        <v>2.5</v>
      </c>
      <c r="J15" s="629">
        <v>9.8000000000000007</v>
      </c>
      <c r="K15" s="632">
        <v>2.96</v>
      </c>
      <c r="L15" s="629">
        <v>9.8000000000000096</v>
      </c>
      <c r="M15" s="628">
        <v>3.7</v>
      </c>
      <c r="N15" s="629">
        <v>15.8</v>
      </c>
      <c r="O15" s="628">
        <v>0.91919999999999968</v>
      </c>
      <c r="P15" s="629">
        <v>9.8000000000000007</v>
      </c>
      <c r="Q15" s="628">
        <v>3.7</v>
      </c>
    </row>
    <row r="16" spans="1:17" s="634" customFormat="1" ht="10.15" customHeight="1">
      <c r="B16" s="631">
        <v>15.9</v>
      </c>
      <c r="C16" s="632">
        <v>3.5200000000000005</v>
      </c>
      <c r="D16" s="631">
        <v>15.9</v>
      </c>
      <c r="E16" s="632">
        <v>4.26</v>
      </c>
      <c r="F16" s="631">
        <v>13.9</v>
      </c>
      <c r="G16" s="632">
        <v>3.04</v>
      </c>
      <c r="H16" s="631">
        <v>15.9</v>
      </c>
      <c r="I16" s="632">
        <v>2.5</v>
      </c>
      <c r="J16" s="631">
        <v>9.9</v>
      </c>
      <c r="K16" s="632">
        <v>3.04</v>
      </c>
      <c r="L16" s="631">
        <v>9.9000000000000092</v>
      </c>
      <c r="M16" s="628">
        <v>3.8</v>
      </c>
      <c r="N16" s="631">
        <v>15.9</v>
      </c>
      <c r="O16" s="633">
        <v>0.94479999999999964</v>
      </c>
      <c r="P16" s="631">
        <v>9.9</v>
      </c>
      <c r="Q16" s="628">
        <v>3.8</v>
      </c>
    </row>
    <row r="17" spans="1:17" s="634" customFormat="1" ht="10.15" customHeight="1">
      <c r="B17" s="629">
        <v>16</v>
      </c>
      <c r="C17" s="632">
        <v>3.6100000000000003</v>
      </c>
      <c r="D17" s="629">
        <v>16</v>
      </c>
      <c r="E17" s="632">
        <v>4.38</v>
      </c>
      <c r="F17" s="629">
        <v>14</v>
      </c>
      <c r="G17" s="632">
        <v>3.12</v>
      </c>
      <c r="H17" s="629">
        <v>16</v>
      </c>
      <c r="I17" s="632">
        <v>2.8</v>
      </c>
      <c r="J17" s="629">
        <v>10</v>
      </c>
      <c r="K17" s="632">
        <v>3.12</v>
      </c>
      <c r="L17" s="629">
        <v>10</v>
      </c>
      <c r="M17" s="628">
        <v>3.9</v>
      </c>
      <c r="N17" s="629">
        <v>16</v>
      </c>
      <c r="O17" s="628">
        <v>0.9703999999999996</v>
      </c>
      <c r="P17" s="629">
        <v>10</v>
      </c>
      <c r="Q17" s="628">
        <v>3.9</v>
      </c>
    </row>
    <row r="18" spans="1:17" s="634" customFormat="1" ht="10.15" customHeight="1">
      <c r="B18" s="629">
        <v>16.100000000000001</v>
      </c>
      <c r="C18" s="632">
        <v>3.7</v>
      </c>
      <c r="D18" s="629">
        <v>16.100000000000001</v>
      </c>
      <c r="E18" s="632">
        <v>4.5</v>
      </c>
      <c r="F18" s="629">
        <v>14.1</v>
      </c>
      <c r="G18" s="632">
        <v>3.2</v>
      </c>
      <c r="H18" s="629">
        <v>16.100000000000001</v>
      </c>
      <c r="I18" s="632">
        <v>2.8</v>
      </c>
      <c r="J18" s="629">
        <v>10.1</v>
      </c>
      <c r="K18" s="632">
        <v>3.2</v>
      </c>
      <c r="L18" s="629">
        <v>10.1</v>
      </c>
      <c r="M18" s="628">
        <v>4</v>
      </c>
      <c r="N18" s="629">
        <v>16.100000000000001</v>
      </c>
      <c r="O18" s="628">
        <v>0.99599999999999955</v>
      </c>
      <c r="P18" s="629">
        <v>10.1</v>
      </c>
      <c r="Q18" s="628">
        <v>4</v>
      </c>
    </row>
    <row r="19" spans="1:17" s="634" customFormat="1" ht="10.15" customHeight="1">
      <c r="B19" s="629">
        <v>16.2</v>
      </c>
      <c r="C19" s="632">
        <v>3.79</v>
      </c>
      <c r="D19" s="629">
        <v>16.2</v>
      </c>
      <c r="E19" s="632">
        <v>4.62</v>
      </c>
      <c r="F19" s="629">
        <v>14.2</v>
      </c>
      <c r="G19" s="632">
        <v>3.28</v>
      </c>
      <c r="H19" s="629">
        <v>16.2</v>
      </c>
      <c r="I19" s="632">
        <v>2.8</v>
      </c>
      <c r="J19" s="629">
        <v>10.199999999999999</v>
      </c>
      <c r="K19" s="632">
        <v>3.28</v>
      </c>
      <c r="L19" s="629">
        <v>10.199999999999999</v>
      </c>
      <c r="M19" s="628">
        <v>4.0999999999999996</v>
      </c>
      <c r="N19" s="629">
        <v>16.2</v>
      </c>
      <c r="O19" s="628">
        <v>1.0215999999999996</v>
      </c>
      <c r="P19" s="629">
        <v>10.199999999999999</v>
      </c>
      <c r="Q19" s="628">
        <v>4.0999999999999996</v>
      </c>
    </row>
    <row r="20" spans="1:17" s="634" customFormat="1" ht="10.15" customHeight="1">
      <c r="B20" s="629">
        <v>16.3</v>
      </c>
      <c r="C20" s="632">
        <v>3.88</v>
      </c>
      <c r="D20" s="629">
        <v>16.3</v>
      </c>
      <c r="E20" s="632">
        <v>4.74</v>
      </c>
      <c r="F20" s="629">
        <v>14.3</v>
      </c>
      <c r="G20" s="632">
        <v>3.3600000000000003</v>
      </c>
      <c r="H20" s="629">
        <v>16.3</v>
      </c>
      <c r="I20" s="632">
        <v>2.8</v>
      </c>
      <c r="J20" s="629">
        <v>10.3</v>
      </c>
      <c r="K20" s="632">
        <v>3.3600000000000003</v>
      </c>
      <c r="L20" s="629">
        <v>10.3</v>
      </c>
      <c r="M20" s="628">
        <v>4.2</v>
      </c>
      <c r="N20" s="629">
        <v>16.3</v>
      </c>
      <c r="O20" s="628">
        <v>1.0471999999999997</v>
      </c>
      <c r="P20" s="629">
        <v>10.3</v>
      </c>
      <c r="Q20" s="628">
        <v>4.2</v>
      </c>
    </row>
    <row r="21" spans="1:17" s="634" customFormat="1" ht="10.15" customHeight="1">
      <c r="B21" s="629">
        <v>16.399999999999999</v>
      </c>
      <c r="C21" s="632">
        <v>3.97</v>
      </c>
      <c r="D21" s="629">
        <v>16.399999999999999</v>
      </c>
      <c r="E21" s="632">
        <v>4.8600000000000003</v>
      </c>
      <c r="F21" s="629">
        <v>14.4</v>
      </c>
      <c r="G21" s="632">
        <v>3.44</v>
      </c>
      <c r="H21" s="629">
        <v>16.399999999999999</v>
      </c>
      <c r="I21" s="632">
        <v>2.8</v>
      </c>
      <c r="J21" s="629">
        <v>10.4</v>
      </c>
      <c r="K21" s="632">
        <v>3.44</v>
      </c>
      <c r="L21" s="629">
        <v>10.4</v>
      </c>
      <c r="M21" s="628">
        <v>4.3</v>
      </c>
      <c r="N21" s="629">
        <v>16.399999999999999</v>
      </c>
      <c r="O21" s="628">
        <v>1.0727999999999998</v>
      </c>
      <c r="P21" s="629">
        <v>10.4</v>
      </c>
      <c r="Q21" s="628">
        <v>4.3</v>
      </c>
    </row>
    <row r="22" spans="1:17" s="634" customFormat="1" ht="10.15" customHeight="1">
      <c r="B22" s="629">
        <v>16.5</v>
      </c>
      <c r="C22" s="632">
        <v>4.0600000000000005</v>
      </c>
      <c r="D22" s="629">
        <v>16.5</v>
      </c>
      <c r="E22" s="632">
        <v>4.9799999999999995</v>
      </c>
      <c r="F22" s="629">
        <v>14.5</v>
      </c>
      <c r="G22" s="632">
        <v>3.5200000000000005</v>
      </c>
      <c r="H22" s="629">
        <v>16.5</v>
      </c>
      <c r="I22" s="632">
        <v>2.8</v>
      </c>
      <c r="J22" s="629">
        <v>10.5</v>
      </c>
      <c r="K22" s="632">
        <v>3.5200000000000005</v>
      </c>
      <c r="L22" s="629">
        <v>10.5</v>
      </c>
      <c r="M22" s="628">
        <v>4.4000000000000004</v>
      </c>
      <c r="N22" s="629">
        <v>16.5</v>
      </c>
      <c r="O22" s="628">
        <v>1.0983999999999998</v>
      </c>
      <c r="P22" s="629">
        <v>10.5</v>
      </c>
      <c r="Q22" s="628">
        <v>4.4000000000000004</v>
      </c>
    </row>
    <row r="23" spans="1:17" s="634" customFormat="1" ht="10.15" customHeight="1">
      <c r="B23" s="629">
        <v>16.600000000000001</v>
      </c>
      <c r="C23" s="632">
        <v>4.1500000000000004</v>
      </c>
      <c r="D23" s="629">
        <v>16.600000000000001</v>
      </c>
      <c r="E23" s="632">
        <v>5.0999999999999996</v>
      </c>
      <c r="F23" s="629">
        <v>14.6</v>
      </c>
      <c r="G23" s="632">
        <v>3.6</v>
      </c>
      <c r="H23" s="629">
        <v>16.600000000000001</v>
      </c>
      <c r="I23" s="632">
        <v>2.8</v>
      </c>
      <c r="J23" s="629">
        <v>10.6</v>
      </c>
      <c r="K23" s="632">
        <v>3.6</v>
      </c>
      <c r="L23" s="629">
        <v>10.6</v>
      </c>
      <c r="M23" s="628">
        <v>4.5</v>
      </c>
      <c r="N23" s="629">
        <v>16.600000000000001</v>
      </c>
      <c r="O23" s="628">
        <v>1.1239999999999999</v>
      </c>
      <c r="P23" s="629">
        <v>10.6</v>
      </c>
      <c r="Q23" s="628">
        <v>4.5</v>
      </c>
    </row>
    <row r="24" spans="1:17" s="634" customFormat="1" ht="10.15" customHeight="1">
      <c r="B24" s="629">
        <v>16.7</v>
      </c>
      <c r="C24" s="632">
        <v>4.24</v>
      </c>
      <c r="D24" s="629">
        <v>16.7</v>
      </c>
      <c r="E24" s="632">
        <v>5.2200000000000006</v>
      </c>
      <c r="F24" s="629">
        <v>14.7</v>
      </c>
      <c r="G24" s="632">
        <v>3.6799999999999997</v>
      </c>
      <c r="H24" s="629">
        <v>16.7</v>
      </c>
      <c r="I24" s="632">
        <v>2.8</v>
      </c>
      <c r="J24" s="629">
        <v>10.7</v>
      </c>
      <c r="K24" s="632">
        <v>3.6799999999999997</v>
      </c>
      <c r="L24" s="629">
        <v>10.7</v>
      </c>
      <c r="M24" s="628">
        <v>4.5999999999999996</v>
      </c>
      <c r="N24" s="629">
        <v>16.7</v>
      </c>
      <c r="O24" s="628">
        <v>1.1496</v>
      </c>
      <c r="P24" s="629">
        <v>10.7</v>
      </c>
      <c r="Q24" s="628">
        <v>4.5999999999999996</v>
      </c>
    </row>
    <row r="25" spans="1:17" s="634" customFormat="1" ht="10.15" customHeight="1">
      <c r="B25" s="629">
        <v>16.8</v>
      </c>
      <c r="C25" s="632">
        <v>4.33</v>
      </c>
      <c r="D25" s="629">
        <v>16.8</v>
      </c>
      <c r="E25" s="632">
        <v>5.34</v>
      </c>
      <c r="F25" s="629">
        <v>14.8</v>
      </c>
      <c r="G25" s="632">
        <v>3.7600000000000002</v>
      </c>
      <c r="H25" s="629">
        <v>16.8</v>
      </c>
      <c r="I25" s="632">
        <v>2.8</v>
      </c>
      <c r="J25" s="629">
        <v>10.8</v>
      </c>
      <c r="K25" s="632">
        <v>3.7600000000000002</v>
      </c>
      <c r="L25" s="629">
        <v>10.8</v>
      </c>
      <c r="M25" s="628">
        <v>4.7</v>
      </c>
      <c r="N25" s="629">
        <v>16.8</v>
      </c>
      <c r="O25" s="628">
        <v>1.1752</v>
      </c>
      <c r="P25" s="629">
        <v>10.8</v>
      </c>
      <c r="Q25" s="628">
        <v>4.7</v>
      </c>
    </row>
    <row r="26" spans="1:17" s="634" customFormat="1" ht="10.15" customHeight="1">
      <c r="B26" s="631">
        <v>16.899999999999999</v>
      </c>
      <c r="C26" s="632">
        <v>4.42</v>
      </c>
      <c r="D26" s="631">
        <v>16.899999999999999</v>
      </c>
      <c r="E26" s="632">
        <v>5.46</v>
      </c>
      <c r="F26" s="631">
        <v>14.9</v>
      </c>
      <c r="G26" s="632">
        <v>3.84</v>
      </c>
      <c r="H26" s="631">
        <v>16.899999999999999</v>
      </c>
      <c r="I26" s="632">
        <v>2.8</v>
      </c>
      <c r="J26" s="631">
        <v>10.9</v>
      </c>
      <c r="K26" s="632">
        <v>3.84</v>
      </c>
      <c r="L26" s="631">
        <v>10.9</v>
      </c>
      <c r="M26" s="628">
        <v>4.8</v>
      </c>
      <c r="N26" s="631">
        <v>16.899999999999999</v>
      </c>
      <c r="O26" s="633">
        <v>1.2008000000000001</v>
      </c>
      <c r="P26" s="631">
        <v>10.9</v>
      </c>
      <c r="Q26" s="628">
        <v>4.8</v>
      </c>
    </row>
    <row r="27" spans="1:17" s="634" customFormat="1" ht="10.15" customHeight="1">
      <c r="A27" s="638"/>
      <c r="B27" s="629">
        <v>17</v>
      </c>
      <c r="C27" s="632">
        <v>4.51</v>
      </c>
      <c r="D27" s="629">
        <v>17</v>
      </c>
      <c r="E27" s="632">
        <v>5.58</v>
      </c>
      <c r="F27" s="629">
        <v>15</v>
      </c>
      <c r="G27" s="632">
        <v>3.9200000000000004</v>
      </c>
      <c r="H27" s="629">
        <v>17</v>
      </c>
      <c r="I27" s="632">
        <v>3.1</v>
      </c>
      <c r="J27" s="629">
        <v>11</v>
      </c>
      <c r="K27" s="632">
        <v>3.9200000000000004</v>
      </c>
      <c r="L27" s="629">
        <v>11</v>
      </c>
      <c r="M27" s="628">
        <v>4.9000000000000004</v>
      </c>
      <c r="N27" s="629">
        <v>17</v>
      </c>
      <c r="O27" s="628">
        <v>1.2264000000000002</v>
      </c>
      <c r="P27" s="629">
        <v>11</v>
      </c>
      <c r="Q27" s="628">
        <v>4.9000000000000004</v>
      </c>
    </row>
    <row r="28" spans="1:17" s="634" customFormat="1" ht="10.15" customHeight="1">
      <c r="B28" s="629">
        <v>17.100000000000001</v>
      </c>
      <c r="C28" s="632">
        <v>4.5999999999999996</v>
      </c>
      <c r="D28" s="629">
        <v>17.100000000000001</v>
      </c>
      <c r="E28" s="632">
        <v>5.7</v>
      </c>
      <c r="F28" s="629">
        <v>15.1</v>
      </c>
      <c r="G28" s="632">
        <v>4</v>
      </c>
      <c r="H28" s="629">
        <v>17.100000000000001</v>
      </c>
      <c r="I28" s="632">
        <v>3.1</v>
      </c>
      <c r="J28" s="629">
        <v>11.1</v>
      </c>
      <c r="K28" s="632">
        <v>4</v>
      </c>
      <c r="L28" s="629">
        <v>11.1</v>
      </c>
      <c r="M28" s="628">
        <v>5</v>
      </c>
      <c r="N28" s="629">
        <v>17.100000000000001</v>
      </c>
      <c r="O28" s="628">
        <v>1.2520000000000002</v>
      </c>
      <c r="P28" s="629">
        <v>11.1</v>
      </c>
      <c r="Q28" s="628">
        <v>5</v>
      </c>
    </row>
    <row r="29" spans="1:17" s="634" customFormat="1" ht="10.15" customHeight="1">
      <c r="B29" s="629">
        <v>17.2</v>
      </c>
      <c r="C29" s="632">
        <v>4.6899999999999995</v>
      </c>
      <c r="D29" s="629">
        <v>17.2</v>
      </c>
      <c r="E29" s="632">
        <v>5.82</v>
      </c>
      <c r="F29" s="629">
        <v>15.2</v>
      </c>
      <c r="G29" s="632">
        <v>4.08</v>
      </c>
      <c r="H29" s="629">
        <v>17.2</v>
      </c>
      <c r="I29" s="632">
        <v>3.1</v>
      </c>
      <c r="J29" s="629">
        <v>11.2</v>
      </c>
      <c r="K29" s="632">
        <v>4.08</v>
      </c>
      <c r="L29" s="629">
        <v>11.2</v>
      </c>
      <c r="M29" s="628">
        <v>5.0999999999999996</v>
      </c>
      <c r="N29" s="629">
        <v>17.2</v>
      </c>
      <c r="O29" s="628">
        <v>1.2776000000000003</v>
      </c>
      <c r="P29" s="629">
        <v>11.2</v>
      </c>
      <c r="Q29" s="628">
        <v>5.0999999999999996</v>
      </c>
    </row>
    <row r="30" spans="1:17" s="634" customFormat="1" ht="10.15" customHeight="1">
      <c r="B30" s="629">
        <v>17.3</v>
      </c>
      <c r="C30" s="632">
        <v>4.7799999999999994</v>
      </c>
      <c r="D30" s="629">
        <v>17.3</v>
      </c>
      <c r="E30" s="632">
        <v>5.9399999999999995</v>
      </c>
      <c r="F30" s="629">
        <v>15.3</v>
      </c>
      <c r="G30" s="632">
        <v>4.16</v>
      </c>
      <c r="H30" s="629">
        <v>17.3</v>
      </c>
      <c r="I30" s="632">
        <v>3.1</v>
      </c>
      <c r="J30" s="629">
        <v>11.3</v>
      </c>
      <c r="K30" s="632">
        <v>4.16</v>
      </c>
      <c r="L30" s="629">
        <v>11.3</v>
      </c>
      <c r="M30" s="628">
        <v>5.2</v>
      </c>
      <c r="N30" s="629">
        <v>17.3</v>
      </c>
      <c r="O30" s="628">
        <v>1.3032000000000004</v>
      </c>
      <c r="P30" s="629">
        <v>11.3</v>
      </c>
      <c r="Q30" s="628">
        <v>5.2</v>
      </c>
    </row>
    <row r="31" spans="1:17" s="634" customFormat="1" ht="10.15" customHeight="1">
      <c r="B31" s="629">
        <v>17.399999999999999</v>
      </c>
      <c r="C31" s="632">
        <v>4.87</v>
      </c>
      <c r="D31" s="629">
        <v>17.399999999999999</v>
      </c>
      <c r="E31" s="632">
        <v>6.0600000000000005</v>
      </c>
      <c r="F31" s="629">
        <v>15.4</v>
      </c>
      <c r="G31" s="632">
        <v>4.24</v>
      </c>
      <c r="H31" s="629">
        <v>17.399999999999999</v>
      </c>
      <c r="I31" s="632">
        <v>3.1</v>
      </c>
      <c r="J31" s="629">
        <v>11.4</v>
      </c>
      <c r="K31" s="632">
        <v>4.24</v>
      </c>
      <c r="L31" s="629">
        <v>11.4</v>
      </c>
      <c r="M31" s="628">
        <v>5.3</v>
      </c>
      <c r="N31" s="629">
        <v>17.399999999999999</v>
      </c>
      <c r="O31" s="628">
        <v>1.3288000000000004</v>
      </c>
      <c r="P31" s="629">
        <v>11.4</v>
      </c>
      <c r="Q31" s="628">
        <v>5.3</v>
      </c>
    </row>
    <row r="32" spans="1:17" s="634" customFormat="1" ht="10.15" customHeight="1">
      <c r="B32" s="629">
        <v>17.5</v>
      </c>
      <c r="C32" s="632">
        <v>4.96</v>
      </c>
      <c r="D32" s="629">
        <v>17.5</v>
      </c>
      <c r="E32" s="632">
        <v>6.18</v>
      </c>
      <c r="F32" s="629">
        <v>15.5</v>
      </c>
      <c r="G32" s="632">
        <v>4.32</v>
      </c>
      <c r="H32" s="629">
        <v>17.5</v>
      </c>
      <c r="I32" s="632">
        <v>3.1</v>
      </c>
      <c r="J32" s="629">
        <v>11.5</v>
      </c>
      <c r="K32" s="632">
        <v>4.32</v>
      </c>
      <c r="L32" s="629">
        <v>11.5</v>
      </c>
      <c r="M32" s="628">
        <v>5.4</v>
      </c>
      <c r="N32" s="629">
        <v>17.5</v>
      </c>
      <c r="O32" s="628">
        <v>1.3544000000000005</v>
      </c>
      <c r="P32" s="629">
        <v>11.5</v>
      </c>
      <c r="Q32" s="628">
        <v>5.4</v>
      </c>
    </row>
    <row r="33" spans="1:17" s="634" customFormat="1" ht="10.15" customHeight="1">
      <c r="B33" s="629">
        <v>17.600000000000001</v>
      </c>
      <c r="C33" s="632">
        <v>5.05</v>
      </c>
      <c r="D33" s="629">
        <v>17.600000000000001</v>
      </c>
      <c r="E33" s="632">
        <v>6.3</v>
      </c>
      <c r="F33" s="629">
        <v>15.6</v>
      </c>
      <c r="G33" s="632">
        <v>4.4000000000000004</v>
      </c>
      <c r="H33" s="629">
        <v>17.600000000000001</v>
      </c>
      <c r="I33" s="632">
        <v>3.1</v>
      </c>
      <c r="J33" s="629">
        <v>11.6</v>
      </c>
      <c r="K33" s="632">
        <v>4.4000000000000004</v>
      </c>
      <c r="L33" s="629">
        <v>11.6</v>
      </c>
      <c r="M33" s="628">
        <v>5.5</v>
      </c>
      <c r="N33" s="629">
        <v>17.600000000000001</v>
      </c>
      <c r="O33" s="628">
        <v>1.3800000000000006</v>
      </c>
      <c r="P33" s="629">
        <v>11.6</v>
      </c>
      <c r="Q33" s="628">
        <v>5.5</v>
      </c>
    </row>
    <row r="34" spans="1:17" s="634" customFormat="1" ht="10.15" customHeight="1">
      <c r="B34" s="629">
        <v>17.7</v>
      </c>
      <c r="C34" s="632">
        <v>5.14</v>
      </c>
      <c r="D34" s="629">
        <v>17.7</v>
      </c>
      <c r="E34" s="632">
        <v>6.42</v>
      </c>
      <c r="F34" s="629">
        <v>15.7</v>
      </c>
      <c r="G34" s="632">
        <v>4.4799999999999995</v>
      </c>
      <c r="H34" s="629">
        <v>17.7</v>
      </c>
      <c r="I34" s="632">
        <v>3.1</v>
      </c>
      <c r="J34" s="629">
        <v>11.7</v>
      </c>
      <c r="K34" s="632">
        <v>4.4799999999999995</v>
      </c>
      <c r="L34" s="629">
        <v>11.7</v>
      </c>
      <c r="M34" s="628">
        <v>5.6</v>
      </c>
      <c r="N34" s="629">
        <v>17.7</v>
      </c>
      <c r="O34" s="628">
        <v>1.4056000000000006</v>
      </c>
      <c r="P34" s="629">
        <v>11.7</v>
      </c>
      <c r="Q34" s="628">
        <v>5.6</v>
      </c>
    </row>
    <row r="35" spans="1:17" s="634" customFormat="1" ht="10.15" customHeight="1">
      <c r="B35" s="629">
        <v>17.8</v>
      </c>
      <c r="C35" s="632">
        <v>5.2299999999999995</v>
      </c>
      <c r="D35" s="629">
        <v>17.8</v>
      </c>
      <c r="E35" s="632">
        <v>6.5400000000000009</v>
      </c>
      <c r="F35" s="629">
        <v>15.8</v>
      </c>
      <c r="G35" s="632">
        <v>4.5600000000000005</v>
      </c>
      <c r="H35" s="629">
        <v>17.8</v>
      </c>
      <c r="I35" s="632">
        <v>3.1</v>
      </c>
      <c r="J35" s="629">
        <v>11.8</v>
      </c>
      <c r="K35" s="632">
        <v>4.5600000000000005</v>
      </c>
      <c r="L35" s="629">
        <v>11.8</v>
      </c>
      <c r="M35" s="628">
        <v>5.7</v>
      </c>
      <c r="N35" s="629">
        <v>17.8</v>
      </c>
      <c r="O35" s="628">
        <v>1.4312000000000007</v>
      </c>
      <c r="P35" s="629">
        <v>11.8</v>
      </c>
      <c r="Q35" s="628">
        <v>5.7</v>
      </c>
    </row>
    <row r="36" spans="1:17" s="634" customFormat="1" ht="10.15" customHeight="1">
      <c r="B36" s="631">
        <v>17.899999999999999</v>
      </c>
      <c r="C36" s="632">
        <v>5.32</v>
      </c>
      <c r="D36" s="631">
        <v>17.899999999999999</v>
      </c>
      <c r="E36" s="632">
        <v>6.6599999999999993</v>
      </c>
      <c r="F36" s="631">
        <v>15.9</v>
      </c>
      <c r="G36" s="632">
        <v>4.6399999999999997</v>
      </c>
      <c r="H36" s="631">
        <v>17.899999999999999</v>
      </c>
      <c r="I36" s="632">
        <v>3.1</v>
      </c>
      <c r="J36" s="631">
        <v>11.9</v>
      </c>
      <c r="K36" s="632">
        <v>4.6399999999999997</v>
      </c>
      <c r="L36" s="631">
        <v>11.9</v>
      </c>
      <c r="M36" s="628">
        <v>5.8</v>
      </c>
      <c r="N36" s="631">
        <v>17.899999999999999</v>
      </c>
      <c r="O36" s="633">
        <v>1.4568000000000008</v>
      </c>
      <c r="P36" s="631">
        <v>11.9</v>
      </c>
      <c r="Q36" s="628">
        <v>5.8</v>
      </c>
    </row>
    <row r="37" spans="1:17" s="634" customFormat="1" ht="10.15" customHeight="1">
      <c r="B37" s="629">
        <v>18</v>
      </c>
      <c r="C37" s="632">
        <v>5.41</v>
      </c>
      <c r="D37" s="629">
        <v>18</v>
      </c>
      <c r="E37" s="632">
        <v>6.7799999999999994</v>
      </c>
      <c r="F37" s="629">
        <v>16</v>
      </c>
      <c r="G37" s="632">
        <v>4.7200000000000006</v>
      </c>
      <c r="H37" s="629">
        <v>18</v>
      </c>
      <c r="I37" s="632">
        <v>3.4</v>
      </c>
      <c r="J37" s="629">
        <v>12</v>
      </c>
      <c r="K37" s="632">
        <v>4.7200000000000006</v>
      </c>
      <c r="L37" s="629">
        <v>12</v>
      </c>
      <c r="M37" s="628">
        <v>5.9</v>
      </c>
      <c r="N37" s="629">
        <v>18</v>
      </c>
      <c r="O37" s="628">
        <v>1.4824000000000008</v>
      </c>
      <c r="P37" s="629">
        <v>12</v>
      </c>
      <c r="Q37" s="628">
        <v>5.9</v>
      </c>
    </row>
    <row r="38" spans="1:17" s="634" customFormat="1" ht="10.15" customHeight="1">
      <c r="B38" s="629">
        <v>18.100000000000001</v>
      </c>
      <c r="C38" s="632">
        <v>5.5</v>
      </c>
      <c r="D38" s="629">
        <v>18.100000000000001</v>
      </c>
      <c r="E38" s="632">
        <v>6.9</v>
      </c>
      <c r="F38" s="629">
        <v>16.100000000000001</v>
      </c>
      <c r="G38" s="632">
        <v>4.8</v>
      </c>
      <c r="H38" s="629">
        <v>18.100000000000001</v>
      </c>
      <c r="I38" s="632">
        <v>3.4</v>
      </c>
      <c r="J38" s="629">
        <v>12.1</v>
      </c>
      <c r="K38" s="632">
        <v>4.8</v>
      </c>
      <c r="L38" s="629">
        <v>12.1</v>
      </c>
      <c r="M38" s="628">
        <v>6</v>
      </c>
      <c r="N38" s="629">
        <v>18.100000000000001</v>
      </c>
      <c r="O38" s="628">
        <v>1.5080000000000009</v>
      </c>
      <c r="P38" s="629">
        <v>12.1</v>
      </c>
      <c r="Q38" s="628">
        <v>6</v>
      </c>
    </row>
    <row r="39" spans="1:17" s="634" customFormat="1" ht="10.15" customHeight="1">
      <c r="B39" s="629">
        <v>18.2</v>
      </c>
      <c r="C39" s="632">
        <v>5.59</v>
      </c>
      <c r="D39" s="629">
        <v>18.2</v>
      </c>
      <c r="E39" s="632">
        <v>7.0200000000000005</v>
      </c>
      <c r="F39" s="629">
        <v>16.2</v>
      </c>
      <c r="G39" s="632">
        <v>4.88</v>
      </c>
      <c r="H39" s="629">
        <v>18.2</v>
      </c>
      <c r="I39" s="632">
        <v>3.4</v>
      </c>
      <c r="J39" s="629">
        <v>12.2</v>
      </c>
      <c r="K39" s="632">
        <v>4.88</v>
      </c>
      <c r="L39" s="629">
        <v>12.2</v>
      </c>
      <c r="M39" s="628">
        <v>6.1</v>
      </c>
      <c r="N39" s="629">
        <v>18.2</v>
      </c>
      <c r="O39" s="628">
        <v>1.533600000000001</v>
      </c>
      <c r="P39" s="629">
        <v>12.2</v>
      </c>
      <c r="Q39" s="628">
        <v>6.1</v>
      </c>
    </row>
    <row r="40" spans="1:17" s="634" customFormat="1" ht="10.15" customHeight="1">
      <c r="B40" s="629">
        <v>18.3</v>
      </c>
      <c r="C40" s="632">
        <v>5.68</v>
      </c>
      <c r="D40" s="629">
        <v>18.3</v>
      </c>
      <c r="E40" s="632">
        <v>7.1400000000000006</v>
      </c>
      <c r="F40" s="629">
        <v>16.3</v>
      </c>
      <c r="G40" s="632">
        <v>4.96</v>
      </c>
      <c r="H40" s="629">
        <v>18.3</v>
      </c>
      <c r="I40" s="632">
        <v>3.4</v>
      </c>
      <c r="J40" s="629">
        <v>12.3</v>
      </c>
      <c r="K40" s="632">
        <v>4.96</v>
      </c>
      <c r="L40" s="629">
        <v>12.3</v>
      </c>
      <c r="M40" s="628">
        <v>6.2</v>
      </c>
      <c r="N40" s="629">
        <v>18.3</v>
      </c>
      <c r="O40" s="628">
        <v>1.559200000000001</v>
      </c>
      <c r="P40" s="629">
        <v>12.3</v>
      </c>
      <c r="Q40" s="628">
        <v>6.2</v>
      </c>
    </row>
    <row r="41" spans="1:17" s="634" customFormat="1" ht="10.15" customHeight="1">
      <c r="B41" s="629">
        <v>18.399999999999999</v>
      </c>
      <c r="C41" s="632">
        <v>5.7700000000000005</v>
      </c>
      <c r="D41" s="629">
        <v>18.399999999999999</v>
      </c>
      <c r="E41" s="632">
        <v>7.26</v>
      </c>
      <c r="F41" s="629">
        <v>16.399999999999999</v>
      </c>
      <c r="G41" s="632">
        <v>5.04</v>
      </c>
      <c r="H41" s="629">
        <v>18.399999999999999</v>
      </c>
      <c r="I41" s="632">
        <v>3.4</v>
      </c>
      <c r="J41" s="629">
        <v>12.4</v>
      </c>
      <c r="K41" s="632">
        <v>5.04</v>
      </c>
      <c r="L41" s="629">
        <v>12.4</v>
      </c>
      <c r="M41" s="628">
        <v>6.3</v>
      </c>
      <c r="N41" s="629">
        <v>18.399999999999999</v>
      </c>
      <c r="O41" s="628">
        <v>1.5848000000000011</v>
      </c>
      <c r="P41" s="629">
        <v>12.4</v>
      </c>
      <c r="Q41" s="628">
        <v>6.3</v>
      </c>
    </row>
    <row r="42" spans="1:17" s="634" customFormat="1" ht="10.15" customHeight="1">
      <c r="B42" s="629">
        <v>18.5</v>
      </c>
      <c r="C42" s="632">
        <v>5.86</v>
      </c>
      <c r="D42" s="629">
        <v>18.5</v>
      </c>
      <c r="E42" s="632">
        <v>7.38</v>
      </c>
      <c r="F42" s="629">
        <v>16.5</v>
      </c>
      <c r="G42" s="632">
        <v>5.12</v>
      </c>
      <c r="H42" s="629">
        <v>18.5</v>
      </c>
      <c r="I42" s="632">
        <v>3.4</v>
      </c>
      <c r="J42" s="629">
        <v>12.5</v>
      </c>
      <c r="K42" s="632">
        <v>5.12</v>
      </c>
      <c r="L42" s="629">
        <v>12.5</v>
      </c>
      <c r="M42" s="628">
        <v>6.4</v>
      </c>
      <c r="N42" s="629">
        <v>18.5</v>
      </c>
      <c r="O42" s="628">
        <v>1.6104000000000012</v>
      </c>
      <c r="P42" s="629">
        <v>12.5</v>
      </c>
      <c r="Q42" s="628">
        <v>6.4</v>
      </c>
    </row>
    <row r="43" spans="1:17" s="634" customFormat="1" ht="10.15" customHeight="1">
      <c r="B43" s="629">
        <v>18.600000000000001</v>
      </c>
      <c r="C43" s="632">
        <v>5.95</v>
      </c>
      <c r="D43" s="629">
        <v>18.600000000000001</v>
      </c>
      <c r="E43" s="632">
        <v>7.5</v>
      </c>
      <c r="F43" s="629">
        <v>16.600000000000001</v>
      </c>
      <c r="G43" s="632">
        <v>5.2</v>
      </c>
      <c r="H43" s="629">
        <v>18.600000000000001</v>
      </c>
      <c r="I43" s="632">
        <v>3.4</v>
      </c>
      <c r="J43" s="629">
        <v>12.6</v>
      </c>
      <c r="K43" s="632">
        <v>5.2</v>
      </c>
      <c r="L43" s="629">
        <v>12.6</v>
      </c>
      <c r="M43" s="628">
        <v>6.5</v>
      </c>
      <c r="N43" s="629">
        <v>18.600000000000101</v>
      </c>
      <c r="O43" s="628">
        <v>1.6360000000000012</v>
      </c>
      <c r="P43" s="629">
        <v>12.6</v>
      </c>
      <c r="Q43" s="628">
        <v>6.5</v>
      </c>
    </row>
    <row r="44" spans="1:17" s="634" customFormat="1" ht="10.15" customHeight="1">
      <c r="B44" s="629">
        <v>18.7</v>
      </c>
      <c r="C44" s="632">
        <v>6.04</v>
      </c>
      <c r="D44" s="629">
        <v>18.7</v>
      </c>
      <c r="E44" s="632">
        <v>7.62</v>
      </c>
      <c r="F44" s="629">
        <v>16.7</v>
      </c>
      <c r="G44" s="632">
        <v>5.2799999999999994</v>
      </c>
      <c r="H44" s="629">
        <v>18.7</v>
      </c>
      <c r="I44" s="632">
        <v>3.4</v>
      </c>
      <c r="J44" s="629">
        <v>12.7</v>
      </c>
      <c r="K44" s="632">
        <v>5.2799999999999994</v>
      </c>
      <c r="L44" s="629">
        <v>12.7</v>
      </c>
      <c r="M44" s="628">
        <v>6.6</v>
      </c>
      <c r="N44" s="629">
        <v>18.7</v>
      </c>
      <c r="O44" s="628">
        <v>1.6616000000000013</v>
      </c>
      <c r="P44" s="629">
        <v>12.7</v>
      </c>
      <c r="Q44" s="628">
        <v>6.6</v>
      </c>
    </row>
    <row r="45" spans="1:17" s="634" customFormat="1" ht="10.15" customHeight="1">
      <c r="B45" s="629">
        <v>18.8</v>
      </c>
      <c r="C45" s="632">
        <v>6.13</v>
      </c>
      <c r="D45" s="629">
        <v>18.8</v>
      </c>
      <c r="E45" s="632">
        <v>7.74</v>
      </c>
      <c r="F45" s="629">
        <v>16.8</v>
      </c>
      <c r="G45" s="632">
        <v>5.36</v>
      </c>
      <c r="H45" s="629">
        <v>18.8</v>
      </c>
      <c r="I45" s="632">
        <v>3.4</v>
      </c>
      <c r="J45" s="629">
        <v>12.8</v>
      </c>
      <c r="K45" s="632">
        <v>5.36</v>
      </c>
      <c r="L45" s="629">
        <v>12.8</v>
      </c>
      <c r="M45" s="628">
        <v>6.7</v>
      </c>
      <c r="N45" s="629">
        <v>18.8000000000001</v>
      </c>
      <c r="O45" s="628">
        <v>1.6872000000000014</v>
      </c>
      <c r="P45" s="629">
        <v>12.8</v>
      </c>
      <c r="Q45" s="628">
        <v>6.7</v>
      </c>
    </row>
    <row r="46" spans="1:17" s="634" customFormat="1" ht="10.15" customHeight="1">
      <c r="B46" s="631">
        <v>18.899999999999999</v>
      </c>
      <c r="C46" s="632">
        <v>6.2200000000000006</v>
      </c>
      <c r="D46" s="631">
        <v>18.899999999999999</v>
      </c>
      <c r="E46" s="632">
        <v>7.8599999999999994</v>
      </c>
      <c r="F46" s="631">
        <v>16.899999999999999</v>
      </c>
      <c r="G46" s="632">
        <v>5.4399999999999995</v>
      </c>
      <c r="H46" s="631">
        <v>18.899999999999999</v>
      </c>
      <c r="I46" s="632">
        <v>3.4</v>
      </c>
      <c r="J46" s="631">
        <v>12.9</v>
      </c>
      <c r="K46" s="632">
        <v>5.4399999999999995</v>
      </c>
      <c r="L46" s="631">
        <v>12.9</v>
      </c>
      <c r="M46" s="628">
        <v>6.8</v>
      </c>
      <c r="N46" s="631">
        <v>18.899999999999999</v>
      </c>
      <c r="O46" s="633">
        <v>1.7128000000000014</v>
      </c>
      <c r="P46" s="631">
        <v>12.9</v>
      </c>
      <c r="Q46" s="628">
        <v>6.8</v>
      </c>
    </row>
    <row r="47" spans="1:17" s="634" customFormat="1" ht="10.15" customHeight="1">
      <c r="A47" s="638"/>
      <c r="B47" s="629">
        <v>19</v>
      </c>
      <c r="C47" s="632">
        <v>6.3100000000000005</v>
      </c>
      <c r="D47" s="629">
        <v>19</v>
      </c>
      <c r="E47" s="632">
        <v>7.9799999999999995</v>
      </c>
      <c r="F47" s="629">
        <v>17</v>
      </c>
      <c r="G47" s="632">
        <v>5.5200000000000005</v>
      </c>
      <c r="H47" s="629">
        <v>19</v>
      </c>
      <c r="I47" s="632">
        <v>3.7</v>
      </c>
      <c r="J47" s="629">
        <v>13</v>
      </c>
      <c r="K47" s="632">
        <v>5.5200000000000005</v>
      </c>
      <c r="L47" s="629">
        <v>13</v>
      </c>
      <c r="M47" s="628">
        <v>6.9</v>
      </c>
      <c r="N47" s="629">
        <v>19</v>
      </c>
      <c r="O47" s="628">
        <v>1.7384000000000015</v>
      </c>
      <c r="P47" s="629">
        <v>13</v>
      </c>
      <c r="Q47" s="628">
        <v>6.9</v>
      </c>
    </row>
    <row r="48" spans="1:17" s="634" customFormat="1" ht="10.15" customHeight="1">
      <c r="B48" s="629">
        <v>19.100000000000001</v>
      </c>
      <c r="C48" s="632">
        <v>6.4</v>
      </c>
      <c r="D48" s="629">
        <v>19.100000000000001</v>
      </c>
      <c r="E48" s="632">
        <v>8.1</v>
      </c>
      <c r="F48" s="629">
        <v>17.100000000000001</v>
      </c>
      <c r="G48" s="632">
        <v>5.6</v>
      </c>
      <c r="H48" s="629">
        <v>19.100000000000001</v>
      </c>
      <c r="I48" s="632">
        <v>3.7</v>
      </c>
      <c r="J48" s="629">
        <v>13.1</v>
      </c>
      <c r="K48" s="632">
        <v>5.6</v>
      </c>
      <c r="L48" s="629">
        <v>13.100000000000099</v>
      </c>
      <c r="M48" s="628">
        <v>7</v>
      </c>
      <c r="N48" s="629">
        <v>19.100000000000101</v>
      </c>
      <c r="O48" s="628">
        <v>1.7640000000000016</v>
      </c>
      <c r="P48" s="629">
        <v>13.1</v>
      </c>
      <c r="Q48" s="628">
        <v>7</v>
      </c>
    </row>
    <row r="49" spans="2:17" s="634" customFormat="1" ht="10.15" customHeight="1">
      <c r="B49" s="629">
        <v>19.2</v>
      </c>
      <c r="C49" s="632">
        <v>6.49</v>
      </c>
      <c r="D49" s="629">
        <v>19.2</v>
      </c>
      <c r="E49" s="632">
        <v>8.2200000000000006</v>
      </c>
      <c r="F49" s="629">
        <v>17.2</v>
      </c>
      <c r="G49" s="632">
        <v>5.68</v>
      </c>
      <c r="H49" s="629">
        <v>19.2</v>
      </c>
      <c r="I49" s="632">
        <v>3.7</v>
      </c>
      <c r="J49" s="629">
        <v>13.2</v>
      </c>
      <c r="K49" s="632">
        <v>5.68</v>
      </c>
      <c r="L49" s="629">
        <v>13.200000000000101</v>
      </c>
      <c r="M49" s="628">
        <v>7.1</v>
      </c>
      <c r="N49" s="629">
        <v>19.200000000000099</v>
      </c>
      <c r="O49" s="628">
        <v>1.7896000000000016</v>
      </c>
      <c r="P49" s="629">
        <v>13.2</v>
      </c>
      <c r="Q49" s="628">
        <v>7.1</v>
      </c>
    </row>
    <row r="50" spans="2:17" s="634" customFormat="1" ht="10.15" customHeight="1">
      <c r="B50" s="629">
        <v>19.3</v>
      </c>
      <c r="C50" s="632">
        <v>6.58</v>
      </c>
      <c r="D50" s="629">
        <v>19.3</v>
      </c>
      <c r="E50" s="632">
        <v>8.34</v>
      </c>
      <c r="F50" s="629">
        <v>17.3</v>
      </c>
      <c r="G50" s="632">
        <v>5.76</v>
      </c>
      <c r="H50" s="629">
        <v>19.3</v>
      </c>
      <c r="I50" s="632">
        <v>3.7</v>
      </c>
      <c r="J50" s="629">
        <v>13.3</v>
      </c>
      <c r="K50" s="632">
        <v>5.76</v>
      </c>
      <c r="L50" s="629">
        <v>13.3000000000001</v>
      </c>
      <c r="M50" s="628">
        <v>7.2</v>
      </c>
      <c r="N50" s="629">
        <v>19.3000000000001</v>
      </c>
      <c r="O50" s="628">
        <v>1.8152000000000017</v>
      </c>
      <c r="P50" s="629">
        <v>13.3</v>
      </c>
      <c r="Q50" s="628">
        <v>7.2</v>
      </c>
    </row>
    <row r="51" spans="2:17" s="634" customFormat="1" ht="10.15" customHeight="1">
      <c r="B51" s="629">
        <v>19.399999999999999</v>
      </c>
      <c r="C51" s="632">
        <v>6.67</v>
      </c>
      <c r="D51" s="629">
        <v>19.399999999999999</v>
      </c>
      <c r="E51" s="632">
        <v>8.4599999999999991</v>
      </c>
      <c r="F51" s="629">
        <v>17.399999999999999</v>
      </c>
      <c r="G51" s="632">
        <v>5.84</v>
      </c>
      <c r="H51" s="629">
        <v>19.399999999999999</v>
      </c>
      <c r="I51" s="632">
        <v>3.7</v>
      </c>
      <c r="J51" s="629">
        <v>13.4</v>
      </c>
      <c r="K51" s="632">
        <v>5.84</v>
      </c>
      <c r="L51" s="629">
        <v>13.4000000000001</v>
      </c>
      <c r="M51" s="628">
        <v>7.3</v>
      </c>
      <c r="N51" s="629">
        <v>19.400000000000102</v>
      </c>
      <c r="O51" s="628">
        <v>1.8408000000000018</v>
      </c>
      <c r="P51" s="629">
        <v>13.4</v>
      </c>
      <c r="Q51" s="628">
        <v>7.3</v>
      </c>
    </row>
    <row r="52" spans="2:17" s="634" customFormat="1" ht="10.15" customHeight="1">
      <c r="B52" s="629">
        <v>19.5</v>
      </c>
      <c r="C52" s="632">
        <v>6.76</v>
      </c>
      <c r="D52" s="629">
        <v>19.5</v>
      </c>
      <c r="E52" s="632">
        <v>8.58</v>
      </c>
      <c r="F52" s="629">
        <v>17.5</v>
      </c>
      <c r="G52" s="632">
        <v>5.92</v>
      </c>
      <c r="H52" s="629">
        <v>19.5</v>
      </c>
      <c r="I52" s="632">
        <v>3.7</v>
      </c>
      <c r="J52" s="629">
        <v>13.5</v>
      </c>
      <c r="K52" s="632">
        <v>5.92</v>
      </c>
      <c r="L52" s="629">
        <v>13.500000000000099</v>
      </c>
      <c r="M52" s="628">
        <v>7.4</v>
      </c>
      <c r="N52" s="629">
        <v>19.500000000000099</v>
      </c>
      <c r="O52" s="628">
        <v>1.8664000000000018</v>
      </c>
      <c r="P52" s="629">
        <v>13.5</v>
      </c>
      <c r="Q52" s="628">
        <v>7.4</v>
      </c>
    </row>
    <row r="53" spans="2:17" s="634" customFormat="1" ht="10.15" customHeight="1">
      <c r="B53" s="629">
        <v>19.600000000000001</v>
      </c>
      <c r="C53" s="632">
        <v>6.85</v>
      </c>
      <c r="D53" s="629">
        <v>19.600000000000001</v>
      </c>
      <c r="E53" s="632">
        <v>8.6999999999999993</v>
      </c>
      <c r="F53" s="629">
        <v>17.600000000000001</v>
      </c>
      <c r="G53" s="632">
        <v>6</v>
      </c>
      <c r="H53" s="629">
        <v>19.600000000000001</v>
      </c>
      <c r="I53" s="632">
        <v>3.7</v>
      </c>
      <c r="J53" s="629">
        <v>13.6</v>
      </c>
      <c r="K53" s="632">
        <v>6</v>
      </c>
      <c r="L53" s="629">
        <v>13.600000000000099</v>
      </c>
      <c r="M53" s="628">
        <v>7.5</v>
      </c>
      <c r="N53" s="629">
        <v>19.600000000000101</v>
      </c>
      <c r="O53" s="628">
        <v>1.8920000000000019</v>
      </c>
      <c r="P53" s="629">
        <v>13.6</v>
      </c>
      <c r="Q53" s="628">
        <v>7.5</v>
      </c>
    </row>
    <row r="54" spans="2:17" s="634" customFormat="1" ht="10.15" customHeight="1">
      <c r="B54" s="629">
        <v>19.7</v>
      </c>
      <c r="C54" s="632">
        <v>6.94</v>
      </c>
      <c r="D54" s="629">
        <v>19.7</v>
      </c>
      <c r="E54" s="632">
        <v>8.82</v>
      </c>
      <c r="F54" s="629">
        <v>17.7</v>
      </c>
      <c r="G54" s="632">
        <v>6.08</v>
      </c>
      <c r="H54" s="629">
        <v>19.7</v>
      </c>
      <c r="I54" s="632">
        <v>3.7</v>
      </c>
      <c r="J54" s="629">
        <v>13.7</v>
      </c>
      <c r="K54" s="632">
        <v>6.08</v>
      </c>
      <c r="L54" s="629">
        <v>13.700000000000101</v>
      </c>
      <c r="M54" s="628">
        <v>7.6</v>
      </c>
      <c r="N54" s="629">
        <v>19.700000000000099</v>
      </c>
      <c r="O54" s="628">
        <v>1.917600000000002</v>
      </c>
      <c r="P54" s="629">
        <v>13.7</v>
      </c>
      <c r="Q54" s="628">
        <v>7.6</v>
      </c>
    </row>
    <row r="55" spans="2:17" s="634" customFormat="1" ht="10.15" customHeight="1">
      <c r="B55" s="629">
        <v>19.8</v>
      </c>
      <c r="C55" s="632">
        <v>7.0299999999999994</v>
      </c>
      <c r="D55" s="629">
        <v>19.8</v>
      </c>
      <c r="E55" s="632">
        <v>8.9400000000000013</v>
      </c>
      <c r="F55" s="629">
        <v>17.8</v>
      </c>
      <c r="G55" s="632">
        <v>6.16</v>
      </c>
      <c r="H55" s="629">
        <v>19.8</v>
      </c>
      <c r="I55" s="632">
        <v>3.7</v>
      </c>
      <c r="J55" s="629">
        <v>13.8</v>
      </c>
      <c r="K55" s="632">
        <v>6.16</v>
      </c>
      <c r="L55" s="629">
        <v>13.8000000000001</v>
      </c>
      <c r="M55" s="628">
        <v>7.7</v>
      </c>
      <c r="N55" s="629">
        <v>19.8000000000001</v>
      </c>
      <c r="O55" s="628">
        <v>1.943200000000002</v>
      </c>
      <c r="P55" s="629">
        <v>13.8</v>
      </c>
      <c r="Q55" s="628">
        <v>7.7</v>
      </c>
    </row>
    <row r="56" spans="2:17" s="634" customFormat="1" ht="10.15" customHeight="1">
      <c r="B56" s="631">
        <v>19.899999999999999</v>
      </c>
      <c r="C56" s="632">
        <v>7.12</v>
      </c>
      <c r="D56" s="631">
        <v>19.899999999999999</v>
      </c>
      <c r="E56" s="632">
        <v>9.0599999999999987</v>
      </c>
      <c r="F56" s="631">
        <v>17.899999999999999</v>
      </c>
      <c r="G56" s="632">
        <v>6.24</v>
      </c>
      <c r="H56" s="631">
        <v>19.899999999999999</v>
      </c>
      <c r="I56" s="632">
        <v>3.7</v>
      </c>
      <c r="J56" s="631">
        <v>13.9</v>
      </c>
      <c r="K56" s="632">
        <v>6.24</v>
      </c>
      <c r="L56" s="631">
        <v>13.9000000000001</v>
      </c>
      <c r="M56" s="628">
        <v>7.8</v>
      </c>
      <c r="N56" s="631">
        <v>19.900000000000102</v>
      </c>
      <c r="O56" s="633">
        <v>1.9688000000000021</v>
      </c>
      <c r="P56" s="631">
        <v>13.9</v>
      </c>
      <c r="Q56" s="628">
        <v>7.8</v>
      </c>
    </row>
    <row r="57" spans="2:17" s="634" customFormat="1" ht="10.15" customHeight="1">
      <c r="B57" s="629">
        <v>20</v>
      </c>
      <c r="C57" s="632">
        <v>7.2099999999999991</v>
      </c>
      <c r="D57" s="629">
        <v>20</v>
      </c>
      <c r="E57" s="632">
        <v>9.18</v>
      </c>
      <c r="F57" s="629">
        <v>18</v>
      </c>
      <c r="G57" s="632">
        <v>6.32</v>
      </c>
      <c r="H57" s="629">
        <v>20</v>
      </c>
      <c r="I57" s="632">
        <v>4</v>
      </c>
      <c r="J57" s="629">
        <v>14</v>
      </c>
      <c r="K57" s="632">
        <v>6.32</v>
      </c>
      <c r="L57" s="629">
        <v>14.000000000000099</v>
      </c>
      <c r="M57" s="628">
        <v>7.9</v>
      </c>
      <c r="N57" s="629">
        <v>20.000000000000099</v>
      </c>
      <c r="O57" s="628">
        <v>1.9944000000000022</v>
      </c>
      <c r="P57" s="629">
        <v>14</v>
      </c>
      <c r="Q57" s="628">
        <v>7.9</v>
      </c>
    </row>
    <row r="58" spans="2:17" s="634" customFormat="1" ht="10.15" customHeight="1">
      <c r="B58" s="629">
        <v>20.100000000000001</v>
      </c>
      <c r="C58" s="632">
        <v>7.3</v>
      </c>
      <c r="D58" s="629">
        <v>20.100000000000001</v>
      </c>
      <c r="E58" s="632">
        <v>9.3000000000000007</v>
      </c>
      <c r="F58" s="629">
        <v>18.100000000000001</v>
      </c>
      <c r="G58" s="632">
        <v>6.4</v>
      </c>
      <c r="H58" s="629">
        <v>20.100000000000001</v>
      </c>
      <c r="I58" s="632">
        <v>4</v>
      </c>
      <c r="J58" s="629">
        <v>14.1</v>
      </c>
      <c r="K58" s="632">
        <v>6.4</v>
      </c>
      <c r="L58" s="629">
        <v>14.100000000000099</v>
      </c>
      <c r="M58" s="628">
        <v>8</v>
      </c>
      <c r="N58" s="629">
        <v>20.100000000000101</v>
      </c>
      <c r="O58" s="628">
        <v>2.0200000000000022</v>
      </c>
      <c r="P58" s="629">
        <v>14.1</v>
      </c>
      <c r="Q58" s="628">
        <v>8</v>
      </c>
    </row>
    <row r="59" spans="2:17" s="634" customFormat="1" ht="10.15" customHeight="1">
      <c r="B59" s="629">
        <v>20.2</v>
      </c>
      <c r="C59" s="632">
        <v>7.3900000000000006</v>
      </c>
      <c r="D59" s="629">
        <v>20.2</v>
      </c>
      <c r="E59" s="632">
        <v>9.42</v>
      </c>
      <c r="F59" s="629">
        <v>18.2</v>
      </c>
      <c r="G59" s="632">
        <v>6.4799999999999995</v>
      </c>
      <c r="H59" s="629">
        <v>20.2</v>
      </c>
      <c r="I59" s="632">
        <v>4</v>
      </c>
      <c r="J59" s="629">
        <v>14.2</v>
      </c>
      <c r="K59" s="632">
        <v>6.4799999999999995</v>
      </c>
      <c r="L59" s="629">
        <v>14.200000000000101</v>
      </c>
      <c r="M59" s="628">
        <v>8.1</v>
      </c>
      <c r="N59" s="629">
        <v>20.200000000000099</v>
      </c>
      <c r="O59" s="628">
        <v>2.0456000000000021</v>
      </c>
      <c r="P59" s="629">
        <v>14.2</v>
      </c>
      <c r="Q59" s="628">
        <v>8.1</v>
      </c>
    </row>
    <row r="60" spans="2:17" s="634" customFormat="1" ht="10.15" customHeight="1">
      <c r="B60" s="629">
        <v>20.3</v>
      </c>
      <c r="C60" s="632">
        <v>7.4799999999999995</v>
      </c>
      <c r="D60" s="629">
        <v>20.3</v>
      </c>
      <c r="E60" s="632">
        <v>9.5400000000000009</v>
      </c>
      <c r="F60" s="629">
        <v>18.3</v>
      </c>
      <c r="G60" s="632">
        <v>6.56</v>
      </c>
      <c r="H60" s="629">
        <v>20.3</v>
      </c>
      <c r="I60" s="632">
        <v>4</v>
      </c>
      <c r="J60" s="629">
        <v>14.3</v>
      </c>
      <c r="K60" s="632">
        <v>6.56</v>
      </c>
      <c r="L60" s="629">
        <v>14.3000000000001</v>
      </c>
      <c r="M60" s="628">
        <v>8.1999999999999993</v>
      </c>
      <c r="N60" s="629">
        <v>20.3000000000001</v>
      </c>
      <c r="O60" s="628">
        <v>2.0712000000000019</v>
      </c>
      <c r="P60" s="629">
        <v>14.3</v>
      </c>
      <c r="Q60" s="628">
        <v>8.1999999999999993</v>
      </c>
    </row>
    <row r="61" spans="2:17" s="634" customFormat="1" ht="10.15" customHeight="1">
      <c r="B61" s="629">
        <v>20.399999999999999</v>
      </c>
      <c r="C61" s="632">
        <v>7.57</v>
      </c>
      <c r="D61" s="629">
        <v>20.399999999999999</v>
      </c>
      <c r="E61" s="632">
        <v>9.66</v>
      </c>
      <c r="F61" s="629">
        <v>18.399999999999999</v>
      </c>
      <c r="G61" s="632">
        <v>6.6400000000000006</v>
      </c>
      <c r="H61" s="629">
        <v>20.399999999999999</v>
      </c>
      <c r="I61" s="632">
        <v>4</v>
      </c>
      <c r="J61" s="629">
        <v>14.4</v>
      </c>
      <c r="K61" s="632">
        <v>6.6400000000000006</v>
      </c>
      <c r="L61" s="629">
        <v>14.4000000000001</v>
      </c>
      <c r="M61" s="628">
        <v>8.3000000000000007</v>
      </c>
      <c r="N61" s="629">
        <v>20.400000000000102</v>
      </c>
      <c r="O61" s="628">
        <v>2.0968000000000018</v>
      </c>
      <c r="P61" s="629">
        <v>14.4</v>
      </c>
      <c r="Q61" s="628">
        <v>8.3000000000000007</v>
      </c>
    </row>
    <row r="62" spans="2:17" s="634" customFormat="1" ht="10.15" customHeight="1">
      <c r="B62" s="629">
        <v>20.5</v>
      </c>
      <c r="C62" s="632">
        <v>7.6599999999999993</v>
      </c>
      <c r="D62" s="629">
        <v>20.5</v>
      </c>
      <c r="E62" s="632">
        <v>9.7799999999999994</v>
      </c>
      <c r="F62" s="629">
        <v>18.5</v>
      </c>
      <c r="G62" s="632">
        <v>6.7200000000000006</v>
      </c>
      <c r="H62" s="629">
        <v>20.5</v>
      </c>
      <c r="I62" s="632">
        <v>4</v>
      </c>
      <c r="J62" s="629">
        <v>14.5</v>
      </c>
      <c r="K62" s="632">
        <v>6.7200000000000006</v>
      </c>
      <c r="L62" s="629">
        <v>14.500000000000099</v>
      </c>
      <c r="M62" s="628">
        <v>8.4</v>
      </c>
      <c r="N62" s="629">
        <v>20.500000000000099</v>
      </c>
      <c r="O62" s="628">
        <v>2.1224000000000016</v>
      </c>
      <c r="P62" s="629">
        <v>14.5</v>
      </c>
      <c r="Q62" s="628">
        <v>8.4</v>
      </c>
    </row>
    <row r="63" spans="2:17" s="634" customFormat="1" ht="10.15" customHeight="1">
      <c r="B63" s="629">
        <v>20.6</v>
      </c>
      <c r="C63" s="632">
        <v>7.75</v>
      </c>
      <c r="D63" s="629">
        <v>20.6</v>
      </c>
      <c r="E63" s="632">
        <v>9.9</v>
      </c>
      <c r="F63" s="629">
        <v>18.600000000000001</v>
      </c>
      <c r="G63" s="632">
        <v>6.8</v>
      </c>
      <c r="H63" s="629">
        <v>20.6</v>
      </c>
      <c r="I63" s="632">
        <v>4</v>
      </c>
      <c r="J63" s="629">
        <v>14.6</v>
      </c>
      <c r="K63" s="632">
        <v>6.8</v>
      </c>
      <c r="L63" s="629">
        <v>14.600000000000099</v>
      </c>
      <c r="M63" s="628">
        <v>8.5</v>
      </c>
      <c r="N63" s="629">
        <v>20.600000000000101</v>
      </c>
      <c r="O63" s="628">
        <v>2.1480000000000015</v>
      </c>
      <c r="P63" s="629">
        <v>14.6</v>
      </c>
      <c r="Q63" s="628">
        <v>8.5</v>
      </c>
    </row>
    <row r="64" spans="2:17" s="634" customFormat="1" ht="10.15" customHeight="1">
      <c r="B64" s="629">
        <v>20.7</v>
      </c>
      <c r="C64" s="632">
        <v>7.8400000000000007</v>
      </c>
      <c r="D64" s="629">
        <v>20.7</v>
      </c>
      <c r="E64" s="632">
        <v>10.02</v>
      </c>
      <c r="F64" s="629">
        <v>18.7</v>
      </c>
      <c r="G64" s="632">
        <v>6.88</v>
      </c>
      <c r="H64" s="629">
        <v>20.7</v>
      </c>
      <c r="I64" s="632">
        <v>4</v>
      </c>
      <c r="J64" s="629">
        <v>14.7</v>
      </c>
      <c r="K64" s="632">
        <v>6.88</v>
      </c>
      <c r="L64" s="629">
        <v>14.700000000000101</v>
      </c>
      <c r="M64" s="628">
        <v>8.6</v>
      </c>
      <c r="N64" s="629">
        <v>20.700000000000099</v>
      </c>
      <c r="O64" s="628">
        <v>2.1736000000000013</v>
      </c>
      <c r="P64" s="629">
        <v>14.7</v>
      </c>
      <c r="Q64" s="628">
        <v>8.6</v>
      </c>
    </row>
    <row r="65" spans="1:17" s="634" customFormat="1" ht="10.15" customHeight="1">
      <c r="B65" s="629">
        <v>20.8</v>
      </c>
      <c r="C65" s="632">
        <v>7.93</v>
      </c>
      <c r="D65" s="629">
        <v>20.8</v>
      </c>
      <c r="E65" s="632">
        <v>10.14</v>
      </c>
      <c r="F65" s="629">
        <v>18.8</v>
      </c>
      <c r="G65" s="632">
        <v>6.9599999999999991</v>
      </c>
      <c r="H65" s="629">
        <v>20.8</v>
      </c>
      <c r="I65" s="632">
        <v>4</v>
      </c>
      <c r="J65" s="629">
        <v>14.8</v>
      </c>
      <c r="K65" s="632">
        <v>6.9599999999999991</v>
      </c>
      <c r="L65" s="629">
        <v>14.8000000000001</v>
      </c>
      <c r="M65" s="628">
        <v>8.6999999999999993</v>
      </c>
      <c r="N65" s="629">
        <v>20.8000000000001</v>
      </c>
      <c r="O65" s="628">
        <v>2.1992000000000012</v>
      </c>
      <c r="P65" s="629">
        <v>14.8</v>
      </c>
      <c r="Q65" s="628">
        <v>8.6999999999999993</v>
      </c>
    </row>
    <row r="66" spans="1:17" s="634" customFormat="1" ht="10.15" customHeight="1">
      <c r="B66" s="631">
        <v>20.9</v>
      </c>
      <c r="C66" s="632">
        <v>8.02</v>
      </c>
      <c r="D66" s="631">
        <v>20.9</v>
      </c>
      <c r="E66" s="632">
        <v>10.26</v>
      </c>
      <c r="F66" s="631">
        <v>18.899999999999999</v>
      </c>
      <c r="G66" s="632">
        <v>7.0400000000000009</v>
      </c>
      <c r="H66" s="631">
        <v>20.9</v>
      </c>
      <c r="I66" s="632">
        <v>4</v>
      </c>
      <c r="J66" s="631">
        <v>14.9</v>
      </c>
      <c r="K66" s="632">
        <v>7.0400000000000009</v>
      </c>
      <c r="L66" s="631">
        <v>14.9000000000001</v>
      </c>
      <c r="M66" s="628">
        <v>8.8000000000000007</v>
      </c>
      <c r="N66" s="631">
        <v>20.900000000000102</v>
      </c>
      <c r="O66" s="633">
        <v>2.224800000000001</v>
      </c>
      <c r="P66" s="631">
        <v>14.9</v>
      </c>
      <c r="Q66" s="628">
        <v>8.8000000000000007</v>
      </c>
    </row>
    <row r="67" spans="1:17" s="634" customFormat="1" ht="10.15" customHeight="1">
      <c r="A67" s="638"/>
      <c r="B67" s="629">
        <v>21</v>
      </c>
      <c r="C67" s="632">
        <v>8.11</v>
      </c>
      <c r="D67" s="629">
        <v>21</v>
      </c>
      <c r="E67" s="632">
        <v>10.379999999999999</v>
      </c>
      <c r="F67" s="629">
        <v>19</v>
      </c>
      <c r="G67" s="632">
        <v>7.12</v>
      </c>
      <c r="H67" s="629">
        <v>21</v>
      </c>
      <c r="I67" s="632">
        <v>4.3</v>
      </c>
      <c r="J67" s="629">
        <v>15</v>
      </c>
      <c r="K67" s="632">
        <v>7.1400000000000006</v>
      </c>
      <c r="L67" s="629">
        <v>15.000000000000099</v>
      </c>
      <c r="M67" s="628">
        <v>8.9</v>
      </c>
      <c r="N67" s="629">
        <v>21.000000000000099</v>
      </c>
      <c r="O67" s="628">
        <v>2.2504000000000008</v>
      </c>
      <c r="P67" s="629">
        <v>15</v>
      </c>
      <c r="Q67" s="628">
        <v>8.9</v>
      </c>
    </row>
    <row r="68" spans="1:17" s="634" customFormat="1" ht="10.15" customHeight="1">
      <c r="B68" s="629">
        <v>21.1</v>
      </c>
      <c r="C68" s="632">
        <v>8.1999999999999993</v>
      </c>
      <c r="D68" s="629">
        <v>21.1</v>
      </c>
      <c r="E68" s="632">
        <v>10.5</v>
      </c>
      <c r="F68" s="629">
        <v>19.100000000000001</v>
      </c>
      <c r="G68" s="632">
        <v>7.2</v>
      </c>
      <c r="H68" s="629">
        <v>21.1</v>
      </c>
      <c r="I68" s="632">
        <v>4.3</v>
      </c>
      <c r="J68" s="629">
        <v>15.1</v>
      </c>
      <c r="K68" s="632">
        <v>7.24</v>
      </c>
      <c r="L68" s="629">
        <v>15.100000000000099</v>
      </c>
      <c r="M68" s="628">
        <v>9</v>
      </c>
      <c r="N68" s="629">
        <v>21.100000000000101</v>
      </c>
      <c r="O68" s="628">
        <v>2.2760000000000007</v>
      </c>
      <c r="P68" s="629">
        <v>15.1</v>
      </c>
      <c r="Q68" s="628">
        <v>9</v>
      </c>
    </row>
    <row r="69" spans="1:17" s="634" customFormat="1" ht="10.15" customHeight="1">
      <c r="B69" s="629">
        <v>21.2</v>
      </c>
      <c r="C69" s="632">
        <v>8.2900000000000009</v>
      </c>
      <c r="D69" s="629">
        <v>21.2</v>
      </c>
      <c r="E69" s="632">
        <v>10.620000000000001</v>
      </c>
      <c r="F69" s="629">
        <v>19.2</v>
      </c>
      <c r="G69" s="632">
        <v>7.2799999999999994</v>
      </c>
      <c r="H69" s="629">
        <v>21.2</v>
      </c>
      <c r="I69" s="632">
        <v>4.3</v>
      </c>
      <c r="J69" s="629">
        <v>15.2</v>
      </c>
      <c r="K69" s="632">
        <v>7.3400000000000007</v>
      </c>
      <c r="L69" s="629">
        <v>15.200000000000101</v>
      </c>
      <c r="M69" s="628">
        <v>9.1</v>
      </c>
      <c r="N69" s="629">
        <v>21.200000000000099</v>
      </c>
      <c r="O69" s="628">
        <v>2.3016000000000005</v>
      </c>
      <c r="P69" s="629">
        <v>15.2</v>
      </c>
      <c r="Q69" s="628">
        <v>9.1</v>
      </c>
    </row>
    <row r="70" spans="1:17" s="634" customFormat="1" ht="10.15" customHeight="1">
      <c r="B70" s="629">
        <v>21.3</v>
      </c>
      <c r="C70" s="632">
        <v>8.379999999999999</v>
      </c>
      <c r="D70" s="629">
        <v>21.3000000000001</v>
      </c>
      <c r="E70" s="632">
        <v>10.74</v>
      </c>
      <c r="F70" s="629">
        <v>19.3</v>
      </c>
      <c r="G70" s="632">
        <v>7.3599999999999994</v>
      </c>
      <c r="H70" s="629">
        <v>21.3</v>
      </c>
      <c r="I70" s="632">
        <v>4.3</v>
      </c>
      <c r="J70" s="629">
        <v>15.3</v>
      </c>
      <c r="K70" s="632">
        <v>7.44</v>
      </c>
      <c r="L70" s="629">
        <v>15.3000000000001</v>
      </c>
      <c r="M70" s="628">
        <v>9.1999999999999993</v>
      </c>
      <c r="N70" s="629">
        <v>21.3000000000001</v>
      </c>
      <c r="O70" s="628">
        <v>2.3272000000000004</v>
      </c>
      <c r="P70" s="629">
        <v>15.3</v>
      </c>
      <c r="Q70" s="628">
        <v>9.1999999999999993</v>
      </c>
    </row>
    <row r="71" spans="1:17" s="634" customFormat="1" ht="10.15" customHeight="1">
      <c r="B71" s="629">
        <v>21.4</v>
      </c>
      <c r="C71" s="632">
        <v>8.4700000000000006</v>
      </c>
      <c r="D71" s="629">
        <v>21.4</v>
      </c>
      <c r="E71" s="632">
        <v>10.86</v>
      </c>
      <c r="F71" s="629">
        <v>19.399999999999999</v>
      </c>
      <c r="G71" s="632">
        <v>7.44</v>
      </c>
      <c r="H71" s="629">
        <v>21.4</v>
      </c>
      <c r="I71" s="632">
        <v>4.3</v>
      </c>
      <c r="J71" s="629">
        <v>15.4</v>
      </c>
      <c r="K71" s="632">
        <v>7.5400000000000009</v>
      </c>
      <c r="L71" s="629">
        <v>15.4000000000001</v>
      </c>
      <c r="M71" s="628">
        <v>9.3000000000000007</v>
      </c>
      <c r="N71" s="629">
        <v>21.400000000000102</v>
      </c>
      <c r="O71" s="628">
        <v>2.3528000000000002</v>
      </c>
      <c r="P71" s="629">
        <v>15.4</v>
      </c>
      <c r="Q71" s="628">
        <v>9.3000000000000007</v>
      </c>
    </row>
    <row r="72" spans="1:17" s="634" customFormat="1" ht="10.15" customHeight="1">
      <c r="B72" s="629">
        <v>21.5</v>
      </c>
      <c r="C72" s="632">
        <v>8.5599999999999987</v>
      </c>
      <c r="D72" s="629">
        <v>21.5</v>
      </c>
      <c r="E72" s="632">
        <v>10.98</v>
      </c>
      <c r="F72" s="629">
        <v>19.5</v>
      </c>
      <c r="G72" s="632">
        <v>7.5200000000000005</v>
      </c>
      <c r="H72" s="629">
        <v>21.5</v>
      </c>
      <c r="I72" s="632">
        <v>4.3</v>
      </c>
      <c r="J72" s="629">
        <v>15.5</v>
      </c>
      <c r="K72" s="632">
        <v>7.6400000000000006</v>
      </c>
      <c r="L72" s="629">
        <v>15.500000000000099</v>
      </c>
      <c r="M72" s="628">
        <v>9.4</v>
      </c>
      <c r="N72" s="629">
        <v>21.500000000000099</v>
      </c>
      <c r="O72" s="628">
        <v>2.3784000000000001</v>
      </c>
      <c r="P72" s="629">
        <v>15.5</v>
      </c>
      <c r="Q72" s="628">
        <v>9.4</v>
      </c>
    </row>
    <row r="73" spans="1:17" s="634" customFormat="1" ht="10.15" customHeight="1">
      <c r="B73" s="629">
        <v>21.6</v>
      </c>
      <c r="C73" s="632">
        <v>8.65</v>
      </c>
      <c r="D73" s="629">
        <v>21.600000000000101</v>
      </c>
      <c r="E73" s="632">
        <v>11.1</v>
      </c>
      <c r="F73" s="629">
        <v>19.600000000000001</v>
      </c>
      <c r="G73" s="632">
        <v>7.6</v>
      </c>
      <c r="H73" s="629">
        <v>21.6</v>
      </c>
      <c r="I73" s="632">
        <v>4.3</v>
      </c>
      <c r="J73" s="629">
        <v>15.6</v>
      </c>
      <c r="K73" s="632">
        <v>7.74</v>
      </c>
      <c r="L73" s="629">
        <v>15.600000000000099</v>
      </c>
      <c r="M73" s="628">
        <v>9.5</v>
      </c>
      <c r="N73" s="629">
        <v>21.600000000000101</v>
      </c>
      <c r="O73" s="628">
        <v>2.4039999999999999</v>
      </c>
      <c r="P73" s="629">
        <v>15.6</v>
      </c>
      <c r="Q73" s="628">
        <v>9.5</v>
      </c>
    </row>
    <row r="74" spans="1:17" s="634" customFormat="1" ht="10.15" customHeight="1">
      <c r="B74" s="629">
        <v>21.7</v>
      </c>
      <c r="C74" s="632">
        <v>8.74</v>
      </c>
      <c r="D74" s="629">
        <v>21.7</v>
      </c>
      <c r="E74" s="632">
        <v>11.22</v>
      </c>
      <c r="F74" s="629">
        <v>19.7</v>
      </c>
      <c r="G74" s="632">
        <v>7.68</v>
      </c>
      <c r="H74" s="629">
        <v>21.7</v>
      </c>
      <c r="I74" s="632">
        <v>4.3</v>
      </c>
      <c r="J74" s="629">
        <v>15.7</v>
      </c>
      <c r="K74" s="632">
        <v>7.8400000000000007</v>
      </c>
      <c r="L74" s="629">
        <v>15.700000000000101</v>
      </c>
      <c r="M74" s="628">
        <v>9.6</v>
      </c>
      <c r="N74" s="629">
        <v>21.700000000000099</v>
      </c>
      <c r="O74" s="628">
        <v>2.4295999999999998</v>
      </c>
      <c r="P74" s="629">
        <v>15.7</v>
      </c>
      <c r="Q74" s="628">
        <v>9.6</v>
      </c>
    </row>
    <row r="75" spans="1:17" s="634" customFormat="1" ht="10.15" customHeight="1">
      <c r="B75" s="629">
        <v>21.8</v>
      </c>
      <c r="C75" s="632">
        <v>8.83</v>
      </c>
      <c r="D75" s="629">
        <v>21.8000000000001</v>
      </c>
      <c r="E75" s="632">
        <v>11.34</v>
      </c>
      <c r="F75" s="629">
        <v>19.8</v>
      </c>
      <c r="G75" s="632">
        <v>7.76</v>
      </c>
      <c r="H75" s="629">
        <v>21.8</v>
      </c>
      <c r="I75" s="632">
        <v>4.3</v>
      </c>
      <c r="J75" s="629">
        <v>15.8</v>
      </c>
      <c r="K75" s="632">
        <v>7.94</v>
      </c>
      <c r="L75" s="629">
        <v>15.8000000000001</v>
      </c>
      <c r="M75" s="628">
        <v>9.6999999999999993</v>
      </c>
      <c r="N75" s="629">
        <v>21.8000000000001</v>
      </c>
      <c r="O75" s="628">
        <v>2.4551999999999996</v>
      </c>
      <c r="P75" s="629">
        <v>15.8</v>
      </c>
      <c r="Q75" s="628">
        <v>9.6999999999999993</v>
      </c>
    </row>
    <row r="76" spans="1:17" s="634" customFormat="1" ht="10.15" customHeight="1">
      <c r="B76" s="631">
        <v>21.9</v>
      </c>
      <c r="C76" s="632">
        <v>8.92</v>
      </c>
      <c r="D76" s="631">
        <v>21.900000000000102</v>
      </c>
      <c r="E76" s="632">
        <v>11.459999999999999</v>
      </c>
      <c r="F76" s="631">
        <v>19.899999999999999</v>
      </c>
      <c r="G76" s="632">
        <v>7.8400000000000007</v>
      </c>
      <c r="H76" s="631">
        <v>21.9</v>
      </c>
      <c r="I76" s="632">
        <v>4.3</v>
      </c>
      <c r="J76" s="631">
        <v>15.9</v>
      </c>
      <c r="K76" s="632">
        <v>8.0400000000000009</v>
      </c>
      <c r="L76" s="631">
        <v>15.9000000000001</v>
      </c>
      <c r="M76" s="628">
        <v>9.8000000000000007</v>
      </c>
      <c r="N76" s="631">
        <v>21.900000000000102</v>
      </c>
      <c r="O76" s="633">
        <v>2.4807999999999995</v>
      </c>
      <c r="P76" s="631">
        <v>15.9</v>
      </c>
      <c r="Q76" s="628">
        <v>9.8000000000000007</v>
      </c>
    </row>
    <row r="77" spans="1:17" s="634" customFormat="1" ht="10.15" customHeight="1">
      <c r="B77" s="629">
        <v>22</v>
      </c>
      <c r="C77" s="632">
        <v>9.01</v>
      </c>
      <c r="D77" s="629">
        <v>22.000000000000099</v>
      </c>
      <c r="E77" s="632">
        <v>11.58</v>
      </c>
      <c r="F77" s="629">
        <v>20</v>
      </c>
      <c r="G77" s="632">
        <v>7.92</v>
      </c>
      <c r="H77" s="629">
        <v>22</v>
      </c>
      <c r="I77" s="632">
        <v>4.5999999999999996</v>
      </c>
      <c r="J77" s="629">
        <v>16</v>
      </c>
      <c r="K77" s="632">
        <v>8.14</v>
      </c>
      <c r="L77" s="629">
        <v>16.000000000000099</v>
      </c>
      <c r="M77" s="628">
        <v>9.9</v>
      </c>
      <c r="N77" s="629">
        <v>22.000000000000099</v>
      </c>
      <c r="O77" s="628">
        <v>2.5063999999999993</v>
      </c>
      <c r="P77" s="629">
        <v>16</v>
      </c>
      <c r="Q77" s="628">
        <v>9.9</v>
      </c>
    </row>
    <row r="78" spans="1:17" s="634" customFormat="1" ht="10.15" customHeight="1">
      <c r="B78" s="629">
        <v>22.1</v>
      </c>
      <c r="C78" s="632">
        <v>9.1</v>
      </c>
      <c r="D78" s="629">
        <v>22.100000000000101</v>
      </c>
      <c r="E78" s="632">
        <v>11.7</v>
      </c>
      <c r="F78" s="629">
        <v>20.100000000000001</v>
      </c>
      <c r="G78" s="632">
        <v>8</v>
      </c>
      <c r="H78" s="629">
        <v>22.1</v>
      </c>
      <c r="I78" s="632">
        <v>4.5999999999999996</v>
      </c>
      <c r="J78" s="629">
        <v>16.100000000000001</v>
      </c>
      <c r="K78" s="632">
        <v>8.24</v>
      </c>
      <c r="L78" s="629">
        <v>16.100000000000101</v>
      </c>
      <c r="M78" s="628">
        <v>10</v>
      </c>
      <c r="N78" s="629">
        <v>22.100000000000101</v>
      </c>
      <c r="O78" s="628">
        <v>2.5319999999999991</v>
      </c>
      <c r="P78" s="629">
        <v>16.100000000000001</v>
      </c>
      <c r="Q78" s="628">
        <v>10</v>
      </c>
    </row>
    <row r="79" spans="1:17" s="634" customFormat="1" ht="10.15" customHeight="1">
      <c r="B79" s="629">
        <v>22.2</v>
      </c>
      <c r="C79" s="632">
        <v>9.1900000000000013</v>
      </c>
      <c r="D79" s="629">
        <v>22.200000000000099</v>
      </c>
      <c r="E79" s="632">
        <v>11.82</v>
      </c>
      <c r="F79" s="629">
        <v>20.2</v>
      </c>
      <c r="G79" s="632">
        <v>8.08</v>
      </c>
      <c r="H79" s="629">
        <v>22.2</v>
      </c>
      <c r="I79" s="632">
        <v>4.5999999999999996</v>
      </c>
      <c r="J79" s="629">
        <v>16.2</v>
      </c>
      <c r="K79" s="632">
        <v>8.34</v>
      </c>
      <c r="L79" s="629">
        <v>16.200000000000099</v>
      </c>
      <c r="M79" s="628">
        <v>10.1</v>
      </c>
      <c r="N79" s="629">
        <v>22.200000000000099</v>
      </c>
      <c r="O79" s="628">
        <v>2.557599999999999</v>
      </c>
      <c r="P79" s="629">
        <v>16.2</v>
      </c>
      <c r="Q79" s="628">
        <v>10.1</v>
      </c>
    </row>
    <row r="80" spans="1:17" s="634" customFormat="1" ht="10.15" customHeight="1">
      <c r="B80" s="629">
        <v>22.3</v>
      </c>
      <c r="C80" s="632">
        <v>9.2799999999999994</v>
      </c>
      <c r="D80" s="629">
        <v>22.3000000000001</v>
      </c>
      <c r="E80" s="632">
        <v>11.940000000000001</v>
      </c>
      <c r="F80" s="629">
        <v>20.3</v>
      </c>
      <c r="G80" s="632">
        <v>8.16</v>
      </c>
      <c r="H80" s="629">
        <v>22.3</v>
      </c>
      <c r="I80" s="632">
        <v>4.5999999999999996</v>
      </c>
      <c r="J80" s="629">
        <v>16.3</v>
      </c>
      <c r="K80" s="632">
        <v>8.4400000000000013</v>
      </c>
      <c r="L80" s="629">
        <v>16.3000000000001</v>
      </c>
      <c r="M80" s="628">
        <v>10.199999999999999</v>
      </c>
      <c r="N80" s="629">
        <v>22.3000000000001</v>
      </c>
      <c r="O80" s="628">
        <v>2.5831999999999988</v>
      </c>
      <c r="P80" s="629">
        <v>16.3</v>
      </c>
      <c r="Q80" s="628">
        <v>10.199999999999999</v>
      </c>
    </row>
    <row r="81" spans="2:21" s="634" customFormat="1" ht="10.15" customHeight="1">
      <c r="B81" s="629">
        <v>22.4</v>
      </c>
      <c r="C81" s="632">
        <v>9.370000000000001</v>
      </c>
      <c r="D81" s="629">
        <v>22.400000000000102</v>
      </c>
      <c r="E81" s="632">
        <v>12.059999999999999</v>
      </c>
      <c r="F81" s="629">
        <v>20.399999999999999</v>
      </c>
      <c r="G81" s="632">
        <v>8.24</v>
      </c>
      <c r="H81" s="629">
        <v>22.4</v>
      </c>
      <c r="I81" s="632">
        <v>4.5999999999999996</v>
      </c>
      <c r="J81" s="629">
        <v>16.399999999999999</v>
      </c>
      <c r="K81" s="632">
        <v>8.5400000000000009</v>
      </c>
      <c r="L81" s="629">
        <v>16.400000000000102</v>
      </c>
      <c r="M81" s="628">
        <v>10.3</v>
      </c>
      <c r="N81" s="629">
        <v>22.400000000000102</v>
      </c>
      <c r="O81" s="628">
        <v>2.6087999999999987</v>
      </c>
      <c r="P81" s="629">
        <v>16.399999999999999</v>
      </c>
      <c r="Q81" s="628">
        <v>10.3</v>
      </c>
    </row>
    <row r="82" spans="2:21" s="634" customFormat="1" ht="10.15" customHeight="1">
      <c r="B82" s="629">
        <v>22.5</v>
      </c>
      <c r="C82" s="632">
        <v>9.4599999999999991</v>
      </c>
      <c r="D82" s="629">
        <v>22.500000000000099</v>
      </c>
      <c r="E82" s="632">
        <v>12.18</v>
      </c>
      <c r="F82" s="629">
        <v>20.5</v>
      </c>
      <c r="G82" s="632">
        <v>8.32</v>
      </c>
      <c r="H82" s="629">
        <v>22.5</v>
      </c>
      <c r="I82" s="632">
        <v>4.5999999999999996</v>
      </c>
      <c r="J82" s="629">
        <v>16.5</v>
      </c>
      <c r="K82" s="632">
        <v>8.64</v>
      </c>
      <c r="L82" s="629">
        <v>16.500000000000099</v>
      </c>
      <c r="M82" s="628">
        <v>10.4</v>
      </c>
      <c r="N82" s="629">
        <v>22.500000000000099</v>
      </c>
      <c r="O82" s="628">
        <v>2.6343999999999985</v>
      </c>
      <c r="P82" s="629">
        <v>16.5</v>
      </c>
      <c r="Q82" s="628">
        <v>10.4</v>
      </c>
    </row>
    <row r="83" spans="2:21" s="634" customFormat="1" ht="10.15" customHeight="1">
      <c r="B83" s="629">
        <v>22.6</v>
      </c>
      <c r="C83" s="632">
        <v>9.5500000000000007</v>
      </c>
      <c r="D83" s="629">
        <v>22.600000000000101</v>
      </c>
      <c r="E83" s="632">
        <v>12.3</v>
      </c>
      <c r="F83" s="629">
        <v>20.6</v>
      </c>
      <c r="G83" s="632">
        <v>8.4</v>
      </c>
      <c r="H83" s="629">
        <v>22.6</v>
      </c>
      <c r="I83" s="632">
        <v>4.5999999999999996</v>
      </c>
      <c r="J83" s="629">
        <v>16.600000000000001</v>
      </c>
      <c r="K83" s="632">
        <v>8.74</v>
      </c>
      <c r="L83" s="629">
        <v>16.600000000000101</v>
      </c>
      <c r="M83" s="628">
        <v>10.5</v>
      </c>
      <c r="N83" s="629">
        <v>22.600000000000101</v>
      </c>
      <c r="O83" s="628">
        <v>2.6599999999999984</v>
      </c>
      <c r="P83" s="629">
        <v>16.600000000000001</v>
      </c>
      <c r="Q83" s="628">
        <v>10.5</v>
      </c>
    </row>
    <row r="84" spans="2:21" s="634" customFormat="1" ht="10.15" customHeight="1">
      <c r="B84" s="629">
        <v>22.7</v>
      </c>
      <c r="C84" s="632">
        <v>9.64</v>
      </c>
      <c r="D84" s="629">
        <v>22.700000000000099</v>
      </c>
      <c r="E84" s="632">
        <v>12.42</v>
      </c>
      <c r="F84" s="629">
        <v>20.7</v>
      </c>
      <c r="G84" s="632">
        <v>8.48</v>
      </c>
      <c r="H84" s="629">
        <v>22.7</v>
      </c>
      <c r="I84" s="632">
        <v>4.5999999999999996</v>
      </c>
      <c r="J84" s="629">
        <v>16.7</v>
      </c>
      <c r="K84" s="632">
        <v>8.84</v>
      </c>
      <c r="L84" s="629">
        <v>16.700000000000099</v>
      </c>
      <c r="M84" s="628">
        <v>10.6</v>
      </c>
      <c r="N84" s="629">
        <v>22.700000000000099</v>
      </c>
      <c r="O84" s="628">
        <v>2.6855999999999982</v>
      </c>
      <c r="P84" s="629">
        <v>16.7</v>
      </c>
      <c r="Q84" s="628">
        <v>10.6</v>
      </c>
    </row>
    <row r="85" spans="2:21" s="634" customFormat="1" ht="10.15" customHeight="1">
      <c r="B85" s="629">
        <v>22.8</v>
      </c>
      <c r="C85" s="632">
        <v>9.73</v>
      </c>
      <c r="D85" s="629">
        <v>22.8000000000001</v>
      </c>
      <c r="E85" s="632">
        <v>12.540000000000001</v>
      </c>
      <c r="F85" s="629">
        <v>20.8</v>
      </c>
      <c r="G85" s="632">
        <v>8.5599999999999987</v>
      </c>
      <c r="H85" s="629">
        <v>22.8</v>
      </c>
      <c r="I85" s="632">
        <v>4.5999999999999996</v>
      </c>
      <c r="J85" s="629">
        <v>16.8</v>
      </c>
      <c r="K85" s="632">
        <v>8.9400000000000013</v>
      </c>
      <c r="L85" s="629">
        <v>16.8000000000001</v>
      </c>
      <c r="M85" s="628">
        <v>10.7</v>
      </c>
      <c r="N85" s="629">
        <v>22.8000000000001</v>
      </c>
      <c r="O85" s="628">
        <v>2.7111999999999981</v>
      </c>
      <c r="P85" s="629">
        <v>16.8</v>
      </c>
      <c r="Q85" s="628">
        <v>10.7</v>
      </c>
    </row>
    <row r="86" spans="2:21" s="634" customFormat="1" ht="10.15" customHeight="1">
      <c r="B86" s="631">
        <v>22.9</v>
      </c>
      <c r="C86" s="632">
        <v>9.82</v>
      </c>
      <c r="D86" s="631">
        <v>22.900000000000102</v>
      </c>
      <c r="E86" s="632">
        <v>12.66</v>
      </c>
      <c r="F86" s="631">
        <v>20.9</v>
      </c>
      <c r="G86" s="632">
        <v>8.64</v>
      </c>
      <c r="H86" s="631">
        <v>22.9</v>
      </c>
      <c r="I86" s="632">
        <v>4.5999999999999996</v>
      </c>
      <c r="J86" s="631">
        <v>16.899999999999999</v>
      </c>
      <c r="K86" s="632">
        <v>9.0400000000000009</v>
      </c>
      <c r="L86" s="631">
        <v>16.900000000000102</v>
      </c>
      <c r="M86" s="628">
        <v>10.8</v>
      </c>
      <c r="N86" s="631">
        <v>22.900000000000102</v>
      </c>
      <c r="O86" s="633">
        <v>2.7367999999999979</v>
      </c>
      <c r="P86" s="631">
        <v>16.899999999999999</v>
      </c>
      <c r="Q86" s="628">
        <v>10.8</v>
      </c>
      <c r="R86" s="635"/>
      <c r="S86" s="123"/>
      <c r="T86" s="606"/>
      <c r="U86" s="123"/>
    </row>
    <row r="87" spans="2:21" s="634" customFormat="1" ht="10.15" customHeight="1" thickBot="1">
      <c r="B87" s="629">
        <v>23</v>
      </c>
      <c r="C87" s="632">
        <v>9.91</v>
      </c>
      <c r="D87" s="629">
        <v>23.000000000000099</v>
      </c>
      <c r="E87" s="632">
        <v>12.78</v>
      </c>
      <c r="F87" s="630">
        <v>21</v>
      </c>
      <c r="G87" s="632">
        <v>8.7200000000000006</v>
      </c>
      <c r="H87" s="630">
        <v>23</v>
      </c>
      <c r="I87" s="632">
        <v>4.9000000000000004</v>
      </c>
      <c r="J87" s="630">
        <v>17</v>
      </c>
      <c r="K87" s="632">
        <v>9.14</v>
      </c>
      <c r="L87" s="630">
        <v>17.000000000000099</v>
      </c>
      <c r="M87" s="628">
        <v>10.9</v>
      </c>
      <c r="N87" s="637">
        <v>23.000000000000099</v>
      </c>
      <c r="O87" s="636">
        <v>2.7623999999999977</v>
      </c>
      <c r="P87" s="630">
        <v>17.000000000000099</v>
      </c>
      <c r="Q87" s="628">
        <v>10.9</v>
      </c>
      <c r="R87" s="635"/>
      <c r="S87" s="123"/>
      <c r="T87" s="606"/>
      <c r="U87" s="123"/>
    </row>
    <row r="88" spans="2:21" ht="10.15" customHeight="1">
      <c r="B88" s="629">
        <v>23.1</v>
      </c>
      <c r="C88" s="632">
        <v>10</v>
      </c>
      <c r="D88" s="629">
        <v>23.100000000000101</v>
      </c>
      <c r="E88" s="632">
        <v>12.9</v>
      </c>
      <c r="F88" s="629">
        <v>21.1</v>
      </c>
      <c r="G88" s="632">
        <v>8.8000000000000007</v>
      </c>
      <c r="H88" s="629">
        <v>23.1</v>
      </c>
      <c r="I88" s="632">
        <v>4.9000000000000004</v>
      </c>
      <c r="J88" s="629">
        <v>17.100000000000001</v>
      </c>
      <c r="K88" s="632">
        <v>9.24</v>
      </c>
      <c r="L88" s="629">
        <v>17.100000000000001</v>
      </c>
      <c r="M88" s="628">
        <v>11</v>
      </c>
      <c r="N88" s="390"/>
      <c r="O88" s="390"/>
      <c r="P88" s="629">
        <v>17.100000000000001</v>
      </c>
      <c r="Q88" s="628">
        <v>11</v>
      </c>
    </row>
    <row r="89" spans="2:21" ht="10.15" customHeight="1">
      <c r="B89" s="629">
        <v>23.2</v>
      </c>
      <c r="C89" s="632">
        <v>10.09</v>
      </c>
      <c r="D89" s="629">
        <v>23.200000000000099</v>
      </c>
      <c r="E89" s="632">
        <v>13.02</v>
      </c>
      <c r="F89" s="629">
        <v>21.2</v>
      </c>
      <c r="G89" s="632">
        <v>8.879999999999999</v>
      </c>
      <c r="H89" s="629">
        <v>23.2</v>
      </c>
      <c r="I89" s="632">
        <v>4.9000000000000004</v>
      </c>
      <c r="J89" s="629">
        <v>17.2</v>
      </c>
      <c r="K89" s="632">
        <v>9.34</v>
      </c>
      <c r="L89" s="629">
        <v>17.2</v>
      </c>
      <c r="M89" s="628">
        <v>11.1</v>
      </c>
      <c r="N89" s="390"/>
      <c r="O89" s="390"/>
      <c r="P89" s="629">
        <v>17.2</v>
      </c>
      <c r="Q89" s="628">
        <v>11.1</v>
      </c>
    </row>
    <row r="90" spans="2:21" ht="10.15" customHeight="1">
      <c r="B90" s="629">
        <v>23.3000000000001</v>
      </c>
      <c r="C90" s="632">
        <v>10.18</v>
      </c>
      <c r="D90" s="629">
        <v>23.3000000000001</v>
      </c>
      <c r="E90" s="632">
        <v>13.14</v>
      </c>
      <c r="F90" s="629">
        <v>21.3</v>
      </c>
      <c r="G90" s="632">
        <v>8.9599999999999991</v>
      </c>
      <c r="H90" s="629">
        <v>23.3</v>
      </c>
      <c r="I90" s="632">
        <v>4.9000000000000004</v>
      </c>
      <c r="J90" s="629">
        <v>17.3</v>
      </c>
      <c r="K90" s="632">
        <v>9.4400000000000013</v>
      </c>
      <c r="L90" s="629">
        <v>17.3</v>
      </c>
      <c r="M90" s="628">
        <v>11.2</v>
      </c>
      <c r="N90" s="390"/>
      <c r="O90" s="390"/>
      <c r="P90" s="629">
        <v>17.3</v>
      </c>
      <c r="Q90" s="628">
        <v>11.2</v>
      </c>
    </row>
    <row r="91" spans="2:21" ht="10.15" customHeight="1">
      <c r="B91" s="629">
        <v>23.4</v>
      </c>
      <c r="C91" s="632">
        <v>10.27</v>
      </c>
      <c r="D91" s="629">
        <v>23.400000000000102</v>
      </c>
      <c r="E91" s="632">
        <v>13.26</v>
      </c>
      <c r="F91" s="629">
        <v>21.4</v>
      </c>
      <c r="G91" s="632">
        <v>9.0400000000000009</v>
      </c>
      <c r="H91" s="629">
        <v>23.4</v>
      </c>
      <c r="I91" s="632">
        <v>4.9000000000000004</v>
      </c>
      <c r="J91" s="629">
        <v>17.399999999999999</v>
      </c>
      <c r="K91" s="632">
        <v>9.5400000000000009</v>
      </c>
      <c r="L91" s="629">
        <v>17.399999999999999</v>
      </c>
      <c r="M91" s="628">
        <v>11.3</v>
      </c>
      <c r="N91" s="390"/>
      <c r="O91" s="390"/>
      <c r="P91" s="629">
        <v>17.399999999999999</v>
      </c>
      <c r="Q91" s="628">
        <v>11.3</v>
      </c>
    </row>
    <row r="92" spans="2:21" ht="12.4" customHeight="1">
      <c r="B92" s="629">
        <v>23.5</v>
      </c>
      <c r="C92" s="632">
        <v>10.36</v>
      </c>
      <c r="D92" s="629">
        <v>23.500000000000099</v>
      </c>
      <c r="E92" s="632">
        <v>13.38</v>
      </c>
      <c r="F92" s="629">
        <v>21.5</v>
      </c>
      <c r="G92" s="632">
        <v>9.120000000000001</v>
      </c>
      <c r="H92" s="629">
        <v>23.5</v>
      </c>
      <c r="I92" s="632">
        <v>4.9000000000000004</v>
      </c>
      <c r="J92" s="629">
        <v>17.5</v>
      </c>
      <c r="K92" s="632">
        <v>9.64</v>
      </c>
      <c r="L92" s="629">
        <v>17.5</v>
      </c>
      <c r="M92" s="628">
        <v>11.4</v>
      </c>
      <c r="N92" s="390"/>
      <c r="O92" s="390"/>
      <c r="P92" s="629">
        <v>17.5</v>
      </c>
      <c r="Q92" s="628">
        <v>11.4</v>
      </c>
    </row>
    <row r="93" spans="2:21" ht="12.4" customHeight="1">
      <c r="B93" s="629">
        <v>23.600000000000101</v>
      </c>
      <c r="C93" s="632">
        <v>10.45</v>
      </c>
      <c r="D93" s="629">
        <v>23.600000000000101</v>
      </c>
      <c r="E93" s="632">
        <v>13.5</v>
      </c>
      <c r="F93" s="629">
        <v>21.6</v>
      </c>
      <c r="G93" s="632">
        <v>9.1999999999999993</v>
      </c>
      <c r="H93" s="629">
        <v>23.6</v>
      </c>
      <c r="I93" s="632">
        <v>4.9000000000000004</v>
      </c>
      <c r="J93" s="629">
        <v>17.600000000000001</v>
      </c>
      <c r="K93" s="632">
        <v>9.74</v>
      </c>
      <c r="L93" s="629">
        <v>17.600000000000001</v>
      </c>
      <c r="M93" s="628">
        <v>11.5</v>
      </c>
      <c r="N93" s="390"/>
      <c r="O93" s="390"/>
      <c r="P93" s="629">
        <v>17.600000000000001</v>
      </c>
      <c r="Q93" s="628">
        <v>11.5</v>
      </c>
    </row>
    <row r="94" spans="2:21" ht="12.4" customHeight="1">
      <c r="B94" s="629">
        <v>23.7</v>
      </c>
      <c r="C94" s="632">
        <v>10.540000000000001</v>
      </c>
      <c r="D94" s="629">
        <v>23.700000000000099</v>
      </c>
      <c r="E94" s="632">
        <v>13.62</v>
      </c>
      <c r="F94" s="629">
        <v>21.7</v>
      </c>
      <c r="G94" s="632">
        <v>9.2799999999999994</v>
      </c>
      <c r="H94" s="629">
        <v>23.7</v>
      </c>
      <c r="I94" s="632">
        <v>4.9000000000000004</v>
      </c>
      <c r="J94" s="629">
        <v>17.7</v>
      </c>
      <c r="K94" s="632">
        <v>9.84</v>
      </c>
      <c r="L94" s="629">
        <v>17.7</v>
      </c>
      <c r="M94" s="628">
        <v>11.6</v>
      </c>
      <c r="N94" s="390"/>
      <c r="O94" s="390"/>
      <c r="P94" s="629">
        <v>17.7</v>
      </c>
      <c r="Q94" s="628">
        <v>11.6</v>
      </c>
    </row>
    <row r="95" spans="2:21" ht="12.4" customHeight="1">
      <c r="B95" s="629">
        <v>23.8000000000001</v>
      </c>
      <c r="C95" s="632">
        <v>10.629999999999999</v>
      </c>
      <c r="D95" s="629">
        <v>23.8000000000001</v>
      </c>
      <c r="E95" s="632">
        <v>13.74</v>
      </c>
      <c r="F95" s="629">
        <v>21.8</v>
      </c>
      <c r="G95" s="632">
        <v>9.36</v>
      </c>
      <c r="H95" s="629">
        <v>23.8</v>
      </c>
      <c r="I95" s="632">
        <v>4.9000000000000004</v>
      </c>
      <c r="J95" s="629">
        <v>17.8</v>
      </c>
      <c r="K95" s="632">
        <v>9.9400000000000013</v>
      </c>
      <c r="L95" s="629">
        <v>17.8</v>
      </c>
      <c r="M95" s="628">
        <v>11.7</v>
      </c>
      <c r="N95" s="390"/>
      <c r="O95" s="390"/>
      <c r="P95" s="629">
        <v>17.8</v>
      </c>
      <c r="Q95" s="628">
        <v>11.7</v>
      </c>
    </row>
    <row r="96" spans="2:21" ht="12.4" customHeight="1">
      <c r="B96" s="631">
        <v>23.900000000000102</v>
      </c>
      <c r="C96" s="632">
        <v>10.72</v>
      </c>
      <c r="D96" s="631">
        <v>23.900000000000102</v>
      </c>
      <c r="E96" s="632">
        <v>13.86</v>
      </c>
      <c r="F96" s="629">
        <v>21.9</v>
      </c>
      <c r="G96" s="632">
        <v>9.4400000000000013</v>
      </c>
      <c r="H96" s="629">
        <v>23.9</v>
      </c>
      <c r="I96" s="632">
        <v>4.9000000000000004</v>
      </c>
      <c r="J96" s="629">
        <v>17.899999999999999</v>
      </c>
      <c r="K96" s="632">
        <v>10.040000000000001</v>
      </c>
      <c r="L96" s="629">
        <v>17.899999999999999</v>
      </c>
      <c r="M96" s="628">
        <v>11.8</v>
      </c>
      <c r="N96" s="390"/>
      <c r="O96" s="390"/>
      <c r="P96" s="629">
        <v>17.899999999999999</v>
      </c>
      <c r="Q96" s="628">
        <v>11.8</v>
      </c>
    </row>
    <row r="97" spans="2:17" ht="12.4" customHeight="1">
      <c r="B97" s="629">
        <v>24.000000000000099</v>
      </c>
      <c r="C97" s="632">
        <v>10.809999999999999</v>
      </c>
      <c r="D97" s="629">
        <v>24.000000000000099</v>
      </c>
      <c r="E97" s="632">
        <v>13.98</v>
      </c>
      <c r="F97" s="630">
        <v>22</v>
      </c>
      <c r="G97" s="632">
        <v>9.52</v>
      </c>
      <c r="H97" s="630">
        <v>24</v>
      </c>
      <c r="I97" s="632">
        <v>5.2</v>
      </c>
      <c r="J97" s="630">
        <v>18</v>
      </c>
      <c r="K97" s="632">
        <v>10.14</v>
      </c>
      <c r="L97" s="630">
        <v>18</v>
      </c>
      <c r="M97" s="628">
        <v>11.9</v>
      </c>
      <c r="N97" s="390"/>
      <c r="O97" s="390"/>
      <c r="P97" s="630">
        <v>18</v>
      </c>
      <c r="Q97" s="628">
        <v>11.9</v>
      </c>
    </row>
    <row r="98" spans="2:17" ht="10.15" customHeight="1">
      <c r="B98" s="629">
        <v>24.100000000000101</v>
      </c>
      <c r="C98" s="632">
        <v>10.9</v>
      </c>
      <c r="D98" s="629">
        <v>24.100000000000101</v>
      </c>
      <c r="E98" s="632">
        <v>14.1</v>
      </c>
      <c r="F98" s="629">
        <v>22.1</v>
      </c>
      <c r="G98" s="632">
        <v>9.6</v>
      </c>
      <c r="H98" s="629">
        <v>24.1</v>
      </c>
      <c r="I98" s="632">
        <v>5.2</v>
      </c>
      <c r="J98" s="629">
        <v>18.100000000000001</v>
      </c>
      <c r="K98" s="632">
        <v>10.24</v>
      </c>
      <c r="L98" s="629">
        <v>18.100000000000001</v>
      </c>
      <c r="M98" s="628">
        <v>12</v>
      </c>
      <c r="N98" s="390"/>
      <c r="O98" s="390"/>
      <c r="P98" s="629">
        <v>18.100000000000001</v>
      </c>
      <c r="Q98" s="628">
        <v>12</v>
      </c>
    </row>
    <row r="99" spans="2:17" ht="10.15" customHeight="1">
      <c r="B99" s="629">
        <v>24.200000000000099</v>
      </c>
      <c r="C99" s="632">
        <v>10.99</v>
      </c>
      <c r="D99" s="629">
        <v>24.200000000000099</v>
      </c>
      <c r="E99" s="632">
        <v>14.219999999999999</v>
      </c>
      <c r="F99" s="629">
        <v>22.2</v>
      </c>
      <c r="G99" s="632">
        <v>9.68</v>
      </c>
      <c r="H99" s="629">
        <v>24.2</v>
      </c>
      <c r="I99" s="632">
        <v>5.2</v>
      </c>
      <c r="J99" s="629">
        <v>18.2</v>
      </c>
      <c r="K99" s="632">
        <v>10.34</v>
      </c>
      <c r="L99" s="629">
        <v>18.2</v>
      </c>
      <c r="M99" s="628">
        <v>12.1</v>
      </c>
      <c r="N99" s="390"/>
      <c r="O99" s="390"/>
      <c r="P99" s="629">
        <v>18.2</v>
      </c>
      <c r="Q99" s="628">
        <v>12.1</v>
      </c>
    </row>
    <row r="100" spans="2:17" ht="10.15" customHeight="1">
      <c r="B100" s="629">
        <v>24.3000000000001</v>
      </c>
      <c r="C100" s="632">
        <v>11.08</v>
      </c>
      <c r="D100" s="629">
        <v>24.3000000000001</v>
      </c>
      <c r="E100" s="632">
        <v>14.34</v>
      </c>
      <c r="F100" s="629">
        <v>22.3</v>
      </c>
      <c r="G100" s="632">
        <v>9.76</v>
      </c>
      <c r="H100" s="629">
        <v>24.3</v>
      </c>
      <c r="I100" s="632">
        <v>5.2</v>
      </c>
      <c r="J100" s="629">
        <v>18.3</v>
      </c>
      <c r="K100" s="632">
        <v>10.440000000000001</v>
      </c>
      <c r="L100" s="629">
        <v>18.3</v>
      </c>
      <c r="M100" s="628">
        <v>12.2</v>
      </c>
      <c r="N100" s="390"/>
      <c r="O100" s="390"/>
      <c r="P100" s="629">
        <v>18.3</v>
      </c>
      <c r="Q100" s="628">
        <v>12.2</v>
      </c>
    </row>
    <row r="101" spans="2:17" ht="10.15" customHeight="1">
      <c r="B101" s="629">
        <v>24.400000000000102</v>
      </c>
      <c r="C101" s="632">
        <v>11.17</v>
      </c>
      <c r="D101" s="629">
        <v>24.400000000000102</v>
      </c>
      <c r="E101" s="632">
        <v>14.459999999999999</v>
      </c>
      <c r="F101" s="629">
        <v>22.4</v>
      </c>
      <c r="G101" s="632">
        <v>9.84</v>
      </c>
      <c r="H101" s="629">
        <v>24.4</v>
      </c>
      <c r="I101" s="632">
        <v>5.2</v>
      </c>
      <c r="J101" s="629">
        <v>18.399999999999999</v>
      </c>
      <c r="K101" s="632">
        <v>10.540000000000001</v>
      </c>
      <c r="L101" s="629">
        <v>18.399999999999999</v>
      </c>
      <c r="M101" s="628">
        <v>12.3</v>
      </c>
      <c r="N101" s="390"/>
      <c r="O101" s="390"/>
      <c r="P101" s="629">
        <v>18.399999999999999</v>
      </c>
      <c r="Q101" s="628">
        <v>12.3</v>
      </c>
    </row>
    <row r="102" spans="2:17" ht="10.15" customHeight="1">
      <c r="B102" s="629">
        <v>24.500000000000099</v>
      </c>
      <c r="C102" s="632">
        <v>11.26</v>
      </c>
      <c r="D102" s="629">
        <v>24.500000000000099</v>
      </c>
      <c r="E102" s="632">
        <v>14.580000000000002</v>
      </c>
      <c r="F102" s="629">
        <v>22.5</v>
      </c>
      <c r="G102" s="632">
        <v>9.92</v>
      </c>
      <c r="H102" s="629">
        <v>24.5</v>
      </c>
      <c r="I102" s="632">
        <v>5.2</v>
      </c>
      <c r="J102" s="629">
        <v>18.5</v>
      </c>
      <c r="K102" s="632">
        <v>10.64</v>
      </c>
      <c r="L102" s="629">
        <v>18.5</v>
      </c>
      <c r="M102" s="628">
        <v>12.4</v>
      </c>
      <c r="N102" s="390"/>
      <c r="O102" s="390"/>
      <c r="P102" s="629">
        <v>18.5</v>
      </c>
      <c r="Q102" s="628">
        <v>12.4</v>
      </c>
    </row>
    <row r="103" spans="2:17" ht="10.15" customHeight="1">
      <c r="B103" s="629">
        <v>24.600000000000101</v>
      </c>
      <c r="C103" s="632">
        <v>11.35</v>
      </c>
      <c r="D103" s="629">
        <v>24.600000000000101</v>
      </c>
      <c r="E103" s="632">
        <v>14.7</v>
      </c>
      <c r="F103" s="629">
        <v>22.6</v>
      </c>
      <c r="G103" s="632">
        <v>10</v>
      </c>
      <c r="H103" s="629">
        <v>24.6</v>
      </c>
      <c r="I103" s="632">
        <v>5.2</v>
      </c>
      <c r="J103" s="629">
        <v>18.600000000000001</v>
      </c>
      <c r="K103" s="632">
        <v>10.74</v>
      </c>
      <c r="L103" s="629">
        <v>18.600000000000001</v>
      </c>
      <c r="M103" s="628">
        <v>12.5</v>
      </c>
      <c r="N103" s="390"/>
      <c r="O103" s="390"/>
      <c r="P103" s="629">
        <v>18.600000000000001</v>
      </c>
      <c r="Q103" s="628">
        <v>12.5</v>
      </c>
    </row>
    <row r="104" spans="2:17" ht="10.15" customHeight="1">
      <c r="B104" s="629">
        <v>24.700000000000099</v>
      </c>
      <c r="C104" s="632">
        <v>11.44</v>
      </c>
      <c r="D104" s="629">
        <v>24.700000000000099</v>
      </c>
      <c r="E104" s="632">
        <v>14.819999999999999</v>
      </c>
      <c r="F104" s="629">
        <v>22.7</v>
      </c>
      <c r="G104" s="632">
        <v>10.08</v>
      </c>
      <c r="H104" s="629">
        <v>24.7</v>
      </c>
      <c r="I104" s="632">
        <v>5.2</v>
      </c>
      <c r="J104" s="629">
        <v>18.7</v>
      </c>
      <c r="K104" s="632">
        <v>10.84</v>
      </c>
      <c r="L104" s="629">
        <v>18.7</v>
      </c>
      <c r="M104" s="628">
        <v>12.6</v>
      </c>
      <c r="N104" s="390"/>
      <c r="O104" s="390"/>
      <c r="P104" s="629">
        <v>18.7</v>
      </c>
      <c r="Q104" s="628">
        <v>12.6</v>
      </c>
    </row>
    <row r="105" spans="2:17" ht="10.15" customHeight="1">
      <c r="B105" s="629">
        <v>24.8000000000001</v>
      </c>
      <c r="C105" s="632">
        <v>11.53</v>
      </c>
      <c r="D105" s="629">
        <v>24.8000000000001</v>
      </c>
      <c r="E105" s="632">
        <v>14.940000000000001</v>
      </c>
      <c r="F105" s="629">
        <v>22.8</v>
      </c>
      <c r="G105" s="632">
        <v>10.16</v>
      </c>
      <c r="H105" s="629">
        <v>24.8</v>
      </c>
      <c r="I105" s="632">
        <v>5.2</v>
      </c>
      <c r="J105" s="629">
        <v>18.8</v>
      </c>
      <c r="K105" s="632">
        <v>10.940000000000001</v>
      </c>
      <c r="L105" s="629">
        <v>18.8</v>
      </c>
      <c r="M105" s="628">
        <v>12.7</v>
      </c>
      <c r="N105" s="390"/>
      <c r="O105" s="390"/>
      <c r="P105" s="629">
        <v>18.8</v>
      </c>
      <c r="Q105" s="628">
        <v>12.7</v>
      </c>
    </row>
    <row r="106" spans="2:17" ht="10.15" customHeight="1" thickBot="1">
      <c r="B106" s="624">
        <v>24.900000000000102</v>
      </c>
      <c r="C106" s="623">
        <v>11.62</v>
      </c>
      <c r="D106" s="631">
        <v>24.900000000000102</v>
      </c>
      <c r="E106" s="632">
        <v>15.059999999999999</v>
      </c>
      <c r="F106" s="629">
        <v>22.9</v>
      </c>
      <c r="G106" s="632">
        <v>10.24</v>
      </c>
      <c r="H106" s="629">
        <v>24.9</v>
      </c>
      <c r="I106" s="632">
        <v>5.2</v>
      </c>
      <c r="J106" s="629">
        <v>18.899999999999999</v>
      </c>
      <c r="K106" s="632">
        <v>11.040000000000001</v>
      </c>
      <c r="L106" s="629">
        <v>18.899999999999999</v>
      </c>
      <c r="M106" s="628">
        <v>12.8</v>
      </c>
      <c r="N106" s="390"/>
      <c r="O106" s="390"/>
      <c r="P106" s="629">
        <v>18.899999999999999</v>
      </c>
      <c r="Q106" s="628">
        <v>12.8</v>
      </c>
    </row>
    <row r="107" spans="2:17" ht="10.15" customHeight="1">
      <c r="B107" s="390"/>
      <c r="C107" s="390"/>
      <c r="D107" s="629">
        <v>25.000000000000099</v>
      </c>
      <c r="E107" s="632">
        <v>15.180000000000001</v>
      </c>
      <c r="F107" s="630">
        <v>23</v>
      </c>
      <c r="G107" s="632">
        <v>10.32</v>
      </c>
      <c r="H107" s="630">
        <v>25</v>
      </c>
      <c r="I107" s="632">
        <v>5.5</v>
      </c>
      <c r="J107" s="630">
        <v>19</v>
      </c>
      <c r="K107" s="632">
        <v>11.14</v>
      </c>
      <c r="L107" s="630">
        <v>19</v>
      </c>
      <c r="M107" s="628">
        <v>12.9</v>
      </c>
      <c r="N107" s="390"/>
      <c r="O107" s="390"/>
      <c r="P107" s="630">
        <v>19</v>
      </c>
      <c r="Q107" s="628">
        <v>12.9</v>
      </c>
    </row>
    <row r="108" spans="2:17" ht="10.15" customHeight="1">
      <c r="B108" s="390"/>
      <c r="C108" s="390"/>
      <c r="D108" s="629">
        <v>25.100000000000101</v>
      </c>
      <c r="E108" s="632">
        <v>15.3</v>
      </c>
      <c r="F108" s="629">
        <v>23.1</v>
      </c>
      <c r="G108" s="632">
        <v>10.4</v>
      </c>
      <c r="H108" s="629">
        <v>25.1</v>
      </c>
      <c r="I108" s="632">
        <v>5.5</v>
      </c>
      <c r="J108" s="629">
        <v>19.100000000000001</v>
      </c>
      <c r="K108" s="632">
        <v>11.24</v>
      </c>
      <c r="L108" s="629">
        <v>19.100000000000001</v>
      </c>
      <c r="M108" s="628">
        <v>13</v>
      </c>
      <c r="N108" s="390"/>
      <c r="O108" s="390"/>
      <c r="P108" s="629">
        <v>19.100000000000001</v>
      </c>
      <c r="Q108" s="628">
        <v>13</v>
      </c>
    </row>
    <row r="109" spans="2:17" ht="10.15" customHeight="1">
      <c r="B109" s="390"/>
      <c r="C109" s="390"/>
      <c r="D109" s="629">
        <v>25.200000000000099</v>
      </c>
      <c r="E109" s="632">
        <v>15.419999999999998</v>
      </c>
      <c r="F109" s="629">
        <v>23.2</v>
      </c>
      <c r="G109" s="632">
        <v>10.48</v>
      </c>
      <c r="H109" s="629">
        <v>25.2</v>
      </c>
      <c r="I109" s="632">
        <v>5.5</v>
      </c>
      <c r="J109" s="629">
        <v>19.2</v>
      </c>
      <c r="K109" s="632">
        <v>11.34</v>
      </c>
      <c r="L109" s="629">
        <v>19.2</v>
      </c>
      <c r="M109" s="628">
        <v>13.1</v>
      </c>
      <c r="N109" s="390"/>
      <c r="O109" s="390"/>
      <c r="P109" s="629">
        <v>19.2</v>
      </c>
      <c r="Q109" s="628">
        <v>13.1</v>
      </c>
    </row>
    <row r="110" spans="2:17" ht="10.15" customHeight="1">
      <c r="B110" s="390"/>
      <c r="C110" s="390"/>
      <c r="D110" s="629">
        <v>25.3000000000001</v>
      </c>
      <c r="E110" s="632">
        <v>15.540000000000001</v>
      </c>
      <c r="F110" s="629">
        <v>23.3</v>
      </c>
      <c r="G110" s="632">
        <v>10.559999999999999</v>
      </c>
      <c r="H110" s="629">
        <v>25.3</v>
      </c>
      <c r="I110" s="632">
        <v>5.5</v>
      </c>
      <c r="J110" s="629">
        <v>19.3</v>
      </c>
      <c r="K110" s="632">
        <v>11.440000000000001</v>
      </c>
      <c r="L110" s="629">
        <v>19.3</v>
      </c>
      <c r="M110" s="628">
        <v>13.2</v>
      </c>
      <c r="N110" s="390"/>
      <c r="O110" s="390"/>
      <c r="P110" s="629">
        <v>19.3</v>
      </c>
      <c r="Q110" s="628">
        <v>13.2</v>
      </c>
    </row>
    <row r="111" spans="2:17" ht="10.15" customHeight="1">
      <c r="B111" s="390"/>
      <c r="C111" s="390"/>
      <c r="D111" s="629">
        <v>25.400000000000102</v>
      </c>
      <c r="E111" s="632">
        <v>15.66</v>
      </c>
      <c r="F111" s="629">
        <v>23.4</v>
      </c>
      <c r="G111" s="632">
        <v>10.64</v>
      </c>
      <c r="H111" s="629">
        <v>25.4</v>
      </c>
      <c r="I111" s="632">
        <v>5.5</v>
      </c>
      <c r="J111" s="629">
        <v>19.399999999999999</v>
      </c>
      <c r="K111" s="632">
        <v>11.54</v>
      </c>
      <c r="L111" s="629">
        <v>19.399999999999999</v>
      </c>
      <c r="M111" s="628">
        <v>13.3</v>
      </c>
      <c r="N111" s="390"/>
      <c r="O111" s="390"/>
      <c r="P111" s="629">
        <v>19.399999999999999</v>
      </c>
      <c r="Q111" s="628">
        <v>13.3</v>
      </c>
    </row>
    <row r="112" spans="2:17" ht="10.15" customHeight="1">
      <c r="B112" s="390"/>
      <c r="C112" s="390"/>
      <c r="D112" s="629">
        <v>25.500000000000099</v>
      </c>
      <c r="E112" s="632">
        <v>15.780000000000001</v>
      </c>
      <c r="F112" s="629">
        <v>23.5</v>
      </c>
      <c r="G112" s="632">
        <v>10.72</v>
      </c>
      <c r="H112" s="629">
        <v>25.5</v>
      </c>
      <c r="I112" s="632">
        <v>5.5</v>
      </c>
      <c r="J112" s="629">
        <v>19.5</v>
      </c>
      <c r="K112" s="632">
        <v>11.64</v>
      </c>
      <c r="L112" s="629">
        <v>19.5</v>
      </c>
      <c r="M112" s="628">
        <v>13.4</v>
      </c>
      <c r="N112" s="390"/>
      <c r="O112" s="390"/>
      <c r="P112" s="629">
        <v>19.5</v>
      </c>
      <c r="Q112" s="628">
        <v>13.4</v>
      </c>
    </row>
    <row r="113" spans="2:17" ht="10.15" customHeight="1">
      <c r="B113" s="390"/>
      <c r="C113" s="390"/>
      <c r="D113" s="629">
        <v>25.600000000000101</v>
      </c>
      <c r="E113" s="632">
        <v>15.9</v>
      </c>
      <c r="F113" s="629">
        <v>23.6</v>
      </c>
      <c r="G113" s="632">
        <v>10.8</v>
      </c>
      <c r="H113" s="629">
        <v>25.6</v>
      </c>
      <c r="I113" s="632">
        <v>5.5</v>
      </c>
      <c r="J113" s="629">
        <v>19.600000000000001</v>
      </c>
      <c r="K113" s="632">
        <v>11.74</v>
      </c>
      <c r="L113" s="629">
        <v>19.600000000000001</v>
      </c>
      <c r="M113" s="628">
        <v>13.5</v>
      </c>
      <c r="N113" s="390"/>
      <c r="O113" s="390"/>
      <c r="P113" s="629">
        <v>19.600000000000001</v>
      </c>
      <c r="Q113" s="628">
        <v>13.5</v>
      </c>
    </row>
    <row r="114" spans="2:17" ht="10.15" customHeight="1">
      <c r="B114" s="390"/>
      <c r="C114" s="390"/>
      <c r="D114" s="629">
        <v>25.700000000000099</v>
      </c>
      <c r="E114" s="632">
        <v>16.02</v>
      </c>
      <c r="F114" s="629">
        <v>23.7</v>
      </c>
      <c r="G114" s="632">
        <v>10.879999999999999</v>
      </c>
      <c r="H114" s="629">
        <v>25.7</v>
      </c>
      <c r="I114" s="632">
        <v>5.5</v>
      </c>
      <c r="J114" s="629">
        <v>19.6999999999999</v>
      </c>
      <c r="K114" s="632">
        <v>11.84</v>
      </c>
      <c r="L114" s="629">
        <v>19.7</v>
      </c>
      <c r="M114" s="628">
        <v>13.6</v>
      </c>
      <c r="N114" s="390"/>
      <c r="O114" s="390"/>
      <c r="P114" s="629">
        <v>19.7</v>
      </c>
      <c r="Q114" s="628">
        <v>13.6</v>
      </c>
    </row>
    <row r="115" spans="2:17" ht="10.15" customHeight="1">
      <c r="B115" s="390"/>
      <c r="C115" s="390"/>
      <c r="D115" s="629">
        <v>25.8000000000001</v>
      </c>
      <c r="E115" s="632">
        <v>16.14</v>
      </c>
      <c r="F115" s="629">
        <v>23.8</v>
      </c>
      <c r="G115" s="632">
        <v>10.959999999999999</v>
      </c>
      <c r="H115" s="629">
        <v>25.8</v>
      </c>
      <c r="I115" s="632">
        <v>5.5</v>
      </c>
      <c r="J115" s="629">
        <v>19.799999999999901</v>
      </c>
      <c r="K115" s="632">
        <v>11.940000000000001</v>
      </c>
      <c r="L115" s="629">
        <v>19.8</v>
      </c>
      <c r="M115" s="628">
        <v>13.7</v>
      </c>
      <c r="N115" s="390"/>
      <c r="O115" s="390"/>
      <c r="P115" s="629">
        <v>19.8</v>
      </c>
      <c r="Q115" s="628">
        <v>13.7</v>
      </c>
    </row>
    <row r="116" spans="2:17" ht="10.15" customHeight="1">
      <c r="B116" s="390"/>
      <c r="C116" s="390"/>
      <c r="D116" s="631">
        <v>25.900000000000102</v>
      </c>
      <c r="E116" s="632">
        <v>16.259999999999998</v>
      </c>
      <c r="F116" s="629">
        <v>23.9</v>
      </c>
      <c r="G116" s="632">
        <v>11.040000000000001</v>
      </c>
      <c r="H116" s="629">
        <v>25.9</v>
      </c>
      <c r="I116" s="632">
        <v>5.5</v>
      </c>
      <c r="J116" s="629">
        <v>19.899999999999899</v>
      </c>
      <c r="K116" s="632">
        <v>12.040000000000001</v>
      </c>
      <c r="L116" s="629">
        <v>19.899999999999999</v>
      </c>
      <c r="M116" s="628">
        <v>13.8</v>
      </c>
      <c r="N116" s="390"/>
      <c r="O116" s="390"/>
      <c r="P116" s="629">
        <v>19.899999999999999</v>
      </c>
      <c r="Q116" s="628">
        <v>13.8</v>
      </c>
    </row>
    <row r="117" spans="2:17" ht="10.15" customHeight="1">
      <c r="B117" s="390"/>
      <c r="C117" s="390"/>
      <c r="D117" s="629">
        <v>26.000000000000099</v>
      </c>
      <c r="E117" s="632">
        <v>16.380000000000003</v>
      </c>
      <c r="F117" s="630">
        <v>24</v>
      </c>
      <c r="G117" s="632">
        <v>11.120000000000001</v>
      </c>
      <c r="H117" s="630">
        <v>26</v>
      </c>
      <c r="I117" s="632">
        <v>5.8</v>
      </c>
      <c r="J117" s="630">
        <v>19.999999999999901</v>
      </c>
      <c r="K117" s="632">
        <v>12.14</v>
      </c>
      <c r="L117" s="630">
        <v>20</v>
      </c>
      <c r="M117" s="628">
        <v>13.9</v>
      </c>
      <c r="N117" s="390"/>
      <c r="O117" s="390"/>
      <c r="P117" s="630">
        <v>20</v>
      </c>
      <c r="Q117" s="628">
        <v>13.9</v>
      </c>
    </row>
    <row r="118" spans="2:17" ht="10.15" customHeight="1">
      <c r="B118" s="390"/>
      <c r="C118" s="390"/>
      <c r="D118" s="629">
        <v>26.100000000000101</v>
      </c>
      <c r="E118" s="632">
        <v>16.5</v>
      </c>
      <c r="F118" s="629">
        <v>24.1</v>
      </c>
      <c r="G118" s="632">
        <v>11.2</v>
      </c>
      <c r="H118" s="629">
        <v>26.1</v>
      </c>
      <c r="I118" s="632">
        <v>5.8</v>
      </c>
      <c r="J118" s="629">
        <v>20.099999999999898</v>
      </c>
      <c r="K118" s="632">
        <v>12.24</v>
      </c>
      <c r="L118" s="629">
        <v>20.100000000000001</v>
      </c>
      <c r="M118" s="628">
        <v>14</v>
      </c>
      <c r="N118" s="390"/>
      <c r="O118" s="390"/>
      <c r="P118" s="629">
        <v>20.100000000000001</v>
      </c>
      <c r="Q118" s="628">
        <v>14</v>
      </c>
    </row>
    <row r="119" spans="2:17" ht="10.15" customHeight="1">
      <c r="B119" s="390"/>
      <c r="C119" s="390"/>
      <c r="D119" s="629">
        <v>26.200000000000099</v>
      </c>
      <c r="E119" s="632">
        <v>16.619999999999997</v>
      </c>
      <c r="F119" s="629">
        <v>24.2</v>
      </c>
      <c r="G119" s="632">
        <v>11.28</v>
      </c>
      <c r="H119" s="629">
        <v>26.2</v>
      </c>
      <c r="I119" s="632">
        <v>5.8</v>
      </c>
      <c r="J119" s="629">
        <v>20.1999999999999</v>
      </c>
      <c r="K119" s="632">
        <v>12.34</v>
      </c>
      <c r="L119" s="629">
        <v>20.2</v>
      </c>
      <c r="M119" s="628">
        <v>14.1</v>
      </c>
      <c r="N119" s="390"/>
      <c r="O119" s="390"/>
      <c r="P119" s="629">
        <v>20.2</v>
      </c>
      <c r="Q119" s="628">
        <v>14.1</v>
      </c>
    </row>
    <row r="120" spans="2:17" ht="10.15" customHeight="1">
      <c r="B120" s="390"/>
      <c r="C120" s="390"/>
      <c r="D120" s="629">
        <v>26.3000000000001</v>
      </c>
      <c r="E120" s="632">
        <v>16.740000000000002</v>
      </c>
      <c r="F120" s="629">
        <v>24.3</v>
      </c>
      <c r="G120" s="632">
        <v>11.36</v>
      </c>
      <c r="H120" s="629">
        <v>26.3</v>
      </c>
      <c r="I120" s="632">
        <v>5.8</v>
      </c>
      <c r="J120" s="629">
        <v>20.299999999999901</v>
      </c>
      <c r="K120" s="632">
        <v>12.440000000000001</v>
      </c>
      <c r="L120" s="629">
        <v>20.3</v>
      </c>
      <c r="M120" s="628">
        <v>14.2</v>
      </c>
      <c r="N120" s="390"/>
      <c r="O120" s="390"/>
      <c r="P120" s="629">
        <v>20.3</v>
      </c>
      <c r="Q120" s="628">
        <v>14.2</v>
      </c>
    </row>
    <row r="121" spans="2:17" ht="10.15" customHeight="1">
      <c r="B121" s="390"/>
      <c r="C121" s="390"/>
      <c r="D121" s="629">
        <v>26.400000000000102</v>
      </c>
      <c r="E121" s="632">
        <v>16.86</v>
      </c>
      <c r="F121" s="629">
        <v>24.4</v>
      </c>
      <c r="G121" s="632">
        <v>11.440000000000001</v>
      </c>
      <c r="H121" s="629">
        <v>26.4</v>
      </c>
      <c r="I121" s="632">
        <v>5.8</v>
      </c>
      <c r="J121" s="629">
        <v>20.399999999999899</v>
      </c>
      <c r="K121" s="632">
        <v>12.540000000000001</v>
      </c>
      <c r="L121" s="629">
        <v>20.399999999999999</v>
      </c>
      <c r="M121" s="628">
        <v>14.3</v>
      </c>
      <c r="N121" s="390"/>
      <c r="O121" s="390"/>
      <c r="P121" s="629">
        <v>20.399999999999999</v>
      </c>
      <c r="Q121" s="628">
        <v>14.3</v>
      </c>
    </row>
    <row r="122" spans="2:17" ht="10.15" customHeight="1">
      <c r="B122" s="390"/>
      <c r="C122" s="390"/>
      <c r="D122" s="629">
        <v>26.500000000000099</v>
      </c>
      <c r="E122" s="632">
        <v>16.98</v>
      </c>
      <c r="F122" s="629">
        <v>24.5</v>
      </c>
      <c r="G122" s="632">
        <v>11.52</v>
      </c>
      <c r="H122" s="629">
        <v>26.5</v>
      </c>
      <c r="I122" s="632">
        <v>5.8</v>
      </c>
      <c r="J122" s="629">
        <v>20.499999999999901</v>
      </c>
      <c r="K122" s="632">
        <v>12.64</v>
      </c>
      <c r="L122" s="629">
        <v>20.5</v>
      </c>
      <c r="M122" s="628">
        <v>14.4</v>
      </c>
      <c r="N122" s="390"/>
      <c r="O122" s="390"/>
      <c r="P122" s="629">
        <v>20.5</v>
      </c>
      <c r="Q122" s="628">
        <v>14.4</v>
      </c>
    </row>
    <row r="123" spans="2:17" ht="10.15" customHeight="1">
      <c r="B123" s="390"/>
      <c r="C123" s="390"/>
      <c r="D123" s="629">
        <v>26.600000000000101</v>
      </c>
      <c r="E123" s="632">
        <v>17.100000000000001</v>
      </c>
      <c r="F123" s="629">
        <v>24.6</v>
      </c>
      <c r="G123" s="632">
        <v>11.6</v>
      </c>
      <c r="H123" s="629">
        <v>26.6</v>
      </c>
      <c r="I123" s="632">
        <v>5.8</v>
      </c>
      <c r="J123" s="629">
        <v>20.599999999999898</v>
      </c>
      <c r="K123" s="632">
        <v>12.74</v>
      </c>
      <c r="L123" s="629">
        <v>20.600000000000101</v>
      </c>
      <c r="M123" s="628">
        <v>14.5</v>
      </c>
      <c r="N123" s="390"/>
      <c r="O123" s="390"/>
      <c r="P123" s="629">
        <v>20.600000000000101</v>
      </c>
      <c r="Q123" s="628">
        <v>14.5</v>
      </c>
    </row>
    <row r="124" spans="2:17" ht="10.15" customHeight="1">
      <c r="B124" s="390"/>
      <c r="C124" s="390"/>
      <c r="D124" s="629">
        <v>26.700000000000099</v>
      </c>
      <c r="E124" s="632">
        <v>17.22</v>
      </c>
      <c r="F124" s="629">
        <v>24.7</v>
      </c>
      <c r="G124" s="632">
        <v>11.68</v>
      </c>
      <c r="H124" s="629">
        <v>26.7</v>
      </c>
      <c r="I124" s="632">
        <v>5.8</v>
      </c>
      <c r="J124" s="629">
        <v>20.6999999999999</v>
      </c>
      <c r="K124" s="632">
        <v>12.84</v>
      </c>
      <c r="L124" s="629">
        <v>20.7</v>
      </c>
      <c r="M124" s="628">
        <v>14.6</v>
      </c>
      <c r="N124" s="390"/>
      <c r="O124" s="390"/>
      <c r="P124" s="629">
        <v>20.7</v>
      </c>
      <c r="Q124" s="628">
        <v>14.6</v>
      </c>
    </row>
    <row r="125" spans="2:17" ht="10.15" customHeight="1">
      <c r="B125" s="390"/>
      <c r="C125" s="390"/>
      <c r="D125" s="629">
        <v>26.8000000000001</v>
      </c>
      <c r="E125" s="632">
        <v>17.34</v>
      </c>
      <c r="F125" s="629">
        <v>24.8</v>
      </c>
      <c r="G125" s="632">
        <v>11.76</v>
      </c>
      <c r="H125" s="629">
        <v>26.8</v>
      </c>
      <c r="I125" s="632">
        <v>5.8</v>
      </c>
      <c r="J125" s="629">
        <v>20.799999999999901</v>
      </c>
      <c r="K125" s="632">
        <v>12.940000000000001</v>
      </c>
      <c r="L125" s="629">
        <v>20.8000000000001</v>
      </c>
      <c r="M125" s="628">
        <v>14.7</v>
      </c>
      <c r="N125" s="390"/>
      <c r="O125" s="390"/>
      <c r="P125" s="629">
        <v>20.8000000000001</v>
      </c>
      <c r="Q125" s="628">
        <v>14.7</v>
      </c>
    </row>
    <row r="126" spans="2:17" ht="10.15" customHeight="1">
      <c r="B126" s="390"/>
      <c r="C126" s="390"/>
      <c r="D126" s="631">
        <v>26.900000000000102</v>
      </c>
      <c r="E126" s="632">
        <v>17.46</v>
      </c>
      <c r="F126" s="629">
        <v>24.9</v>
      </c>
      <c r="G126" s="632">
        <v>11.84</v>
      </c>
      <c r="H126" s="629">
        <v>26.9</v>
      </c>
      <c r="I126" s="632">
        <v>5.8</v>
      </c>
      <c r="J126" s="629">
        <v>20.899999999999899</v>
      </c>
      <c r="K126" s="632">
        <v>13.040000000000001</v>
      </c>
      <c r="L126" s="629">
        <v>20.9</v>
      </c>
      <c r="M126" s="628">
        <v>14.8</v>
      </c>
      <c r="N126" s="390"/>
      <c r="O126" s="390"/>
      <c r="P126" s="629">
        <v>20.9</v>
      </c>
      <c r="Q126" s="628">
        <v>14.8</v>
      </c>
    </row>
    <row r="127" spans="2:17" ht="10.15" customHeight="1">
      <c r="B127" s="390"/>
      <c r="C127" s="390"/>
      <c r="D127" s="629">
        <v>27.000000000000099</v>
      </c>
      <c r="E127" s="632">
        <v>17.580000000000002</v>
      </c>
      <c r="F127" s="630">
        <v>25</v>
      </c>
      <c r="G127" s="632">
        <v>11.92</v>
      </c>
      <c r="H127" s="630">
        <v>27</v>
      </c>
      <c r="I127" s="632">
        <v>6.1</v>
      </c>
      <c r="J127" s="630">
        <v>20.999999999999901</v>
      </c>
      <c r="K127" s="632">
        <v>13.14</v>
      </c>
      <c r="L127" s="630">
        <v>21</v>
      </c>
      <c r="M127" s="628">
        <v>14.9</v>
      </c>
      <c r="N127" s="390"/>
      <c r="O127" s="390"/>
      <c r="P127" s="630">
        <v>21</v>
      </c>
      <c r="Q127" s="628">
        <v>14.9</v>
      </c>
    </row>
    <row r="128" spans="2:17" ht="10.15" customHeight="1">
      <c r="B128" s="390"/>
      <c r="C128" s="390"/>
      <c r="D128" s="629">
        <v>27.100000000000101</v>
      </c>
      <c r="E128" s="632">
        <v>17.7</v>
      </c>
      <c r="F128" s="629">
        <v>25.1</v>
      </c>
      <c r="G128" s="632">
        <v>12</v>
      </c>
      <c r="H128" s="629">
        <v>27.1</v>
      </c>
      <c r="I128" s="632">
        <v>6.1</v>
      </c>
      <c r="J128" s="629">
        <v>21.099999999999898</v>
      </c>
      <c r="K128" s="632">
        <v>13.24</v>
      </c>
      <c r="L128" s="629">
        <v>21.100000000000101</v>
      </c>
      <c r="M128" s="628">
        <v>15</v>
      </c>
      <c r="N128" s="390"/>
      <c r="O128" s="390"/>
      <c r="P128" s="629">
        <v>21.100000000000101</v>
      </c>
      <c r="Q128" s="628">
        <v>15</v>
      </c>
    </row>
    <row r="129" spans="2:17" ht="10.15" customHeight="1">
      <c r="B129" s="390"/>
      <c r="C129" s="390"/>
      <c r="D129" s="629">
        <v>27.200000000000099</v>
      </c>
      <c r="E129" s="632">
        <v>17.82</v>
      </c>
      <c r="F129" s="629">
        <v>25.2</v>
      </c>
      <c r="G129" s="632">
        <v>12.08</v>
      </c>
      <c r="H129" s="629">
        <v>27.2</v>
      </c>
      <c r="I129" s="632">
        <v>6.1</v>
      </c>
      <c r="J129" s="629">
        <v>21.1999999999999</v>
      </c>
      <c r="K129" s="632">
        <v>13.34</v>
      </c>
      <c r="L129" s="629">
        <v>21.200000000000099</v>
      </c>
      <c r="M129" s="628">
        <v>15.1</v>
      </c>
      <c r="N129" s="390"/>
      <c r="O129" s="390"/>
      <c r="P129" s="629">
        <v>21.200000000000099</v>
      </c>
      <c r="Q129" s="628">
        <v>15.1</v>
      </c>
    </row>
    <row r="130" spans="2:17" ht="10.15" customHeight="1">
      <c r="B130" s="390"/>
      <c r="C130" s="390"/>
      <c r="D130" s="629">
        <v>27.3000000000001</v>
      </c>
      <c r="E130" s="632">
        <v>17.940000000000001</v>
      </c>
      <c r="F130" s="629">
        <v>25.3</v>
      </c>
      <c r="G130" s="632">
        <v>12.16</v>
      </c>
      <c r="H130" s="629">
        <v>27.3</v>
      </c>
      <c r="I130" s="632">
        <v>6.1</v>
      </c>
      <c r="J130" s="629">
        <v>21.299999999999901</v>
      </c>
      <c r="K130" s="632">
        <v>13.440000000000001</v>
      </c>
      <c r="L130" s="629">
        <v>21.3000000000001</v>
      </c>
      <c r="M130" s="628">
        <v>15.2</v>
      </c>
      <c r="N130" s="390"/>
      <c r="O130" s="390"/>
      <c r="P130" s="629">
        <v>21.3000000000001</v>
      </c>
      <c r="Q130" s="628">
        <v>15.2</v>
      </c>
    </row>
    <row r="131" spans="2:17" ht="10.15" customHeight="1">
      <c r="B131" s="390"/>
      <c r="C131" s="390"/>
      <c r="D131" s="629">
        <v>27.400000000000102</v>
      </c>
      <c r="E131" s="632">
        <v>18.059999999999999</v>
      </c>
      <c r="F131" s="629">
        <v>25.4</v>
      </c>
      <c r="G131" s="632">
        <v>12.24</v>
      </c>
      <c r="H131" s="629">
        <v>27.4</v>
      </c>
      <c r="I131" s="632">
        <v>6.1</v>
      </c>
      <c r="J131" s="629">
        <v>21.399999999999899</v>
      </c>
      <c r="K131" s="632">
        <v>13.540000000000001</v>
      </c>
      <c r="L131" s="629">
        <v>21.400000000000102</v>
      </c>
      <c r="M131" s="628">
        <v>15.3</v>
      </c>
      <c r="N131" s="390"/>
      <c r="O131" s="390"/>
      <c r="P131" s="629">
        <v>21.400000000000102</v>
      </c>
      <c r="Q131" s="628">
        <v>15.3</v>
      </c>
    </row>
    <row r="132" spans="2:17" ht="10.15" customHeight="1">
      <c r="B132" s="390"/>
      <c r="C132" s="390"/>
      <c r="D132" s="629">
        <v>27.500000000000099</v>
      </c>
      <c r="E132" s="632">
        <v>18.18</v>
      </c>
      <c r="F132" s="629">
        <v>25.5</v>
      </c>
      <c r="G132" s="632">
        <v>12.32</v>
      </c>
      <c r="H132" s="629">
        <v>27.5</v>
      </c>
      <c r="I132" s="632">
        <v>6.1</v>
      </c>
      <c r="J132" s="629">
        <v>21.499999999999901</v>
      </c>
      <c r="K132" s="632">
        <v>13.64</v>
      </c>
      <c r="L132" s="629">
        <v>21.500000000000099</v>
      </c>
      <c r="M132" s="628">
        <v>15.4</v>
      </c>
      <c r="N132" s="390"/>
      <c r="O132" s="390"/>
      <c r="P132" s="629">
        <v>21.500000000000099</v>
      </c>
      <c r="Q132" s="628">
        <v>15.4</v>
      </c>
    </row>
    <row r="133" spans="2:17" ht="10.15" customHeight="1">
      <c r="B133" s="390"/>
      <c r="C133" s="390"/>
      <c r="D133" s="629">
        <v>27.600000000000101</v>
      </c>
      <c r="E133" s="632">
        <v>18.3</v>
      </c>
      <c r="F133" s="629">
        <v>25.6</v>
      </c>
      <c r="G133" s="632">
        <v>12.4</v>
      </c>
      <c r="H133" s="629">
        <v>27.6</v>
      </c>
      <c r="I133" s="632">
        <v>6.1</v>
      </c>
      <c r="J133" s="629">
        <v>21.599999999999898</v>
      </c>
      <c r="K133" s="632">
        <v>13.74</v>
      </c>
      <c r="L133" s="629">
        <v>21.600000000000101</v>
      </c>
      <c r="M133" s="628">
        <v>15.5</v>
      </c>
      <c r="N133" s="390"/>
      <c r="O133" s="390"/>
      <c r="P133" s="629">
        <v>21.600000000000101</v>
      </c>
      <c r="Q133" s="628">
        <v>15.5</v>
      </c>
    </row>
    <row r="134" spans="2:17" ht="10.15" customHeight="1">
      <c r="B134" s="390"/>
      <c r="C134" s="390"/>
      <c r="D134" s="629">
        <v>27.700000000000099</v>
      </c>
      <c r="E134" s="632">
        <v>18.419999999999998</v>
      </c>
      <c r="F134" s="629">
        <v>25.7</v>
      </c>
      <c r="G134" s="632">
        <v>12.48</v>
      </c>
      <c r="H134" s="629">
        <v>27.7</v>
      </c>
      <c r="I134" s="632">
        <v>6.1</v>
      </c>
      <c r="J134" s="629">
        <v>21.6999999999999</v>
      </c>
      <c r="K134" s="632">
        <v>13.84</v>
      </c>
      <c r="L134" s="629">
        <v>21.700000000000099</v>
      </c>
      <c r="M134" s="628">
        <v>15.6</v>
      </c>
      <c r="N134" s="390"/>
      <c r="O134" s="390"/>
      <c r="P134" s="629">
        <v>21.700000000000099</v>
      </c>
      <c r="Q134" s="628">
        <v>15.6</v>
      </c>
    </row>
    <row r="135" spans="2:17" ht="10.15" customHeight="1">
      <c r="B135" s="390"/>
      <c r="C135" s="390"/>
      <c r="D135" s="629">
        <v>27.8000000000001</v>
      </c>
      <c r="E135" s="632">
        <v>18.54</v>
      </c>
      <c r="F135" s="629">
        <v>25.8</v>
      </c>
      <c r="G135" s="632">
        <v>12.559999999999999</v>
      </c>
      <c r="H135" s="629">
        <v>27.8</v>
      </c>
      <c r="I135" s="632">
        <v>6.1</v>
      </c>
      <c r="J135" s="629">
        <v>21.799999999999901</v>
      </c>
      <c r="K135" s="632">
        <v>13.940000000000001</v>
      </c>
      <c r="L135" s="629">
        <v>21.8000000000001</v>
      </c>
      <c r="M135" s="628">
        <v>15.7</v>
      </c>
      <c r="N135" s="390"/>
      <c r="O135" s="390"/>
      <c r="P135" s="629">
        <v>21.8000000000001</v>
      </c>
      <c r="Q135" s="628">
        <v>15.7</v>
      </c>
    </row>
    <row r="136" spans="2:17" ht="10.15" customHeight="1">
      <c r="B136" s="390"/>
      <c r="C136" s="390"/>
      <c r="D136" s="631">
        <v>27.900000000000102</v>
      </c>
      <c r="E136" s="632">
        <v>18.66</v>
      </c>
      <c r="F136" s="629">
        <v>25.9</v>
      </c>
      <c r="G136" s="632">
        <v>12.64</v>
      </c>
      <c r="H136" s="629">
        <v>27.9</v>
      </c>
      <c r="I136" s="632">
        <v>6.1</v>
      </c>
      <c r="J136" s="629">
        <v>21.899999999999899</v>
      </c>
      <c r="K136" s="632">
        <v>14.040000000000001</v>
      </c>
      <c r="L136" s="629">
        <v>21.900000000000102</v>
      </c>
      <c r="M136" s="628">
        <v>15.8</v>
      </c>
      <c r="N136" s="390"/>
      <c r="O136" s="390"/>
      <c r="P136" s="629">
        <v>21.900000000000102</v>
      </c>
      <c r="Q136" s="628">
        <v>15.8</v>
      </c>
    </row>
    <row r="137" spans="2:17" ht="10.15" customHeight="1">
      <c r="B137" s="390"/>
      <c r="C137" s="390"/>
      <c r="D137" s="629">
        <v>28.000000000000099</v>
      </c>
      <c r="E137" s="632">
        <v>18.78</v>
      </c>
      <c r="F137" s="630">
        <v>26</v>
      </c>
      <c r="G137" s="632">
        <v>12.72</v>
      </c>
      <c r="H137" s="630">
        <v>28</v>
      </c>
      <c r="I137" s="632">
        <v>6.4</v>
      </c>
      <c r="J137" s="630">
        <v>21.999999999999901</v>
      </c>
      <c r="K137" s="632">
        <v>14.14</v>
      </c>
      <c r="L137" s="630">
        <v>22.000000000000099</v>
      </c>
      <c r="M137" s="628">
        <v>15.9</v>
      </c>
      <c r="N137" s="390"/>
      <c r="O137" s="390"/>
      <c r="P137" s="630">
        <v>22.000000000000099</v>
      </c>
      <c r="Q137" s="628">
        <v>15.9</v>
      </c>
    </row>
    <row r="138" spans="2:17" ht="10.15" customHeight="1">
      <c r="B138" s="390"/>
      <c r="C138" s="390"/>
      <c r="D138" s="629">
        <v>28.100000000000101</v>
      </c>
      <c r="E138" s="632">
        <v>18.899999999999999</v>
      </c>
      <c r="F138" s="629">
        <v>26.1</v>
      </c>
      <c r="G138" s="632">
        <v>12.8</v>
      </c>
      <c r="H138" s="629">
        <v>28.1</v>
      </c>
      <c r="I138" s="632">
        <v>6.4</v>
      </c>
      <c r="J138" s="629">
        <v>22.099999999999898</v>
      </c>
      <c r="K138" s="632">
        <v>14.24</v>
      </c>
      <c r="L138" s="629">
        <v>22.100000000000101</v>
      </c>
      <c r="M138" s="628">
        <v>16</v>
      </c>
      <c r="N138" s="390"/>
      <c r="O138" s="390"/>
      <c r="P138" s="629">
        <v>22.100000000000101</v>
      </c>
      <c r="Q138" s="628">
        <v>16</v>
      </c>
    </row>
    <row r="139" spans="2:17" ht="10.15" customHeight="1">
      <c r="B139" s="390"/>
      <c r="C139" s="390"/>
      <c r="D139" s="629">
        <v>28.200000000000099</v>
      </c>
      <c r="E139" s="632">
        <v>19.02</v>
      </c>
      <c r="F139" s="629">
        <v>26.2</v>
      </c>
      <c r="G139" s="632">
        <v>12.88</v>
      </c>
      <c r="H139" s="629">
        <v>28.200000000000003</v>
      </c>
      <c r="I139" s="632">
        <v>6.4</v>
      </c>
      <c r="J139" s="629">
        <v>22.1999999999999</v>
      </c>
      <c r="K139" s="632">
        <v>14.34</v>
      </c>
      <c r="L139" s="629">
        <v>22.200000000000099</v>
      </c>
      <c r="M139" s="628">
        <v>16.100000000000001</v>
      </c>
      <c r="N139" s="390"/>
      <c r="O139" s="390"/>
      <c r="P139" s="629">
        <v>22.200000000000099</v>
      </c>
      <c r="Q139" s="628">
        <v>16.100000000000001</v>
      </c>
    </row>
    <row r="140" spans="2:17" ht="10.15" customHeight="1">
      <c r="B140" s="390"/>
      <c r="C140" s="390"/>
      <c r="D140" s="629">
        <v>28.3000000000001</v>
      </c>
      <c r="E140" s="632">
        <v>19.14</v>
      </c>
      <c r="F140" s="629">
        <v>26.3</v>
      </c>
      <c r="G140" s="632">
        <v>12.959999999999999</v>
      </c>
      <c r="H140" s="629">
        <v>28.300000000000004</v>
      </c>
      <c r="I140" s="632">
        <v>6.4</v>
      </c>
      <c r="J140" s="629">
        <v>22.299999999999901</v>
      </c>
      <c r="K140" s="632">
        <v>14.440000000000001</v>
      </c>
      <c r="L140" s="629">
        <v>22.3000000000001</v>
      </c>
      <c r="M140" s="628">
        <v>16.2</v>
      </c>
      <c r="N140" s="390"/>
      <c r="O140" s="390"/>
      <c r="P140" s="629">
        <v>22.3000000000001</v>
      </c>
      <c r="Q140" s="628">
        <v>16.2</v>
      </c>
    </row>
    <row r="141" spans="2:17" ht="10.15" customHeight="1">
      <c r="B141" s="390"/>
      <c r="C141" s="390"/>
      <c r="D141" s="629">
        <v>28.400000000000102</v>
      </c>
      <c r="E141" s="632">
        <v>19.259999999999998</v>
      </c>
      <c r="F141" s="629">
        <v>26.4</v>
      </c>
      <c r="G141" s="632">
        <v>13.040000000000001</v>
      </c>
      <c r="H141" s="629">
        <v>28.400000000000006</v>
      </c>
      <c r="I141" s="632">
        <v>6.4</v>
      </c>
      <c r="J141" s="629">
        <v>22.399999999999899</v>
      </c>
      <c r="K141" s="632">
        <v>14.540000000000001</v>
      </c>
      <c r="L141" s="629">
        <v>22.400000000000102</v>
      </c>
      <c r="M141" s="628">
        <v>16.3</v>
      </c>
      <c r="N141" s="390"/>
      <c r="O141" s="390"/>
      <c r="P141" s="629">
        <v>22.400000000000102</v>
      </c>
      <c r="Q141" s="628">
        <v>16.3</v>
      </c>
    </row>
    <row r="142" spans="2:17" ht="10.15" customHeight="1">
      <c r="B142" s="390"/>
      <c r="C142" s="390"/>
      <c r="D142" s="629">
        <v>28.500000000000099</v>
      </c>
      <c r="E142" s="632">
        <v>19.380000000000003</v>
      </c>
      <c r="F142" s="629">
        <v>26.5</v>
      </c>
      <c r="G142" s="632">
        <v>13.12</v>
      </c>
      <c r="H142" s="629">
        <v>28.500000000000007</v>
      </c>
      <c r="I142" s="632">
        <v>6.4</v>
      </c>
      <c r="J142" s="629">
        <v>22.499999999999901</v>
      </c>
      <c r="K142" s="632">
        <v>14.64</v>
      </c>
      <c r="L142" s="629">
        <v>22.500000000000099</v>
      </c>
      <c r="M142" s="628">
        <v>16.399999999999999</v>
      </c>
      <c r="N142" s="390"/>
      <c r="O142" s="390"/>
      <c r="P142" s="629">
        <v>22.500000000000099</v>
      </c>
      <c r="Q142" s="628">
        <v>16.399999999999999</v>
      </c>
    </row>
    <row r="143" spans="2:17" ht="10.15" customHeight="1">
      <c r="B143" s="390"/>
      <c r="C143" s="390"/>
      <c r="D143" s="629">
        <v>28.6000000000002</v>
      </c>
      <c r="E143" s="632">
        <v>19.5</v>
      </c>
      <c r="F143" s="629">
        <v>26.6</v>
      </c>
      <c r="G143" s="632">
        <v>13.2</v>
      </c>
      <c r="H143" s="629">
        <v>28.600000000000009</v>
      </c>
      <c r="I143" s="632">
        <v>6.4</v>
      </c>
      <c r="J143" s="629">
        <v>22.599999999999898</v>
      </c>
      <c r="K143" s="632">
        <v>14.74</v>
      </c>
      <c r="L143" s="629">
        <v>22.600000000000101</v>
      </c>
      <c r="M143" s="628">
        <v>16.5</v>
      </c>
      <c r="N143" s="390"/>
      <c r="O143" s="390"/>
      <c r="P143" s="629">
        <v>22.600000000000101</v>
      </c>
      <c r="Q143" s="628">
        <v>16.5</v>
      </c>
    </row>
    <row r="144" spans="2:17" ht="10.15" customHeight="1">
      <c r="B144" s="390"/>
      <c r="C144" s="390"/>
      <c r="D144" s="629">
        <v>28.700000000000198</v>
      </c>
      <c r="E144" s="632">
        <v>19.619999999999997</v>
      </c>
      <c r="F144" s="629">
        <v>26.7</v>
      </c>
      <c r="G144" s="632">
        <v>13.280000000000001</v>
      </c>
      <c r="H144" s="629">
        <v>28.70000000000001</v>
      </c>
      <c r="I144" s="632">
        <v>6.4</v>
      </c>
      <c r="J144" s="629">
        <v>22.6999999999999</v>
      </c>
      <c r="K144" s="632">
        <v>14.84</v>
      </c>
      <c r="L144" s="629">
        <v>22.700000000000099</v>
      </c>
      <c r="M144" s="628">
        <v>16.600000000000001</v>
      </c>
      <c r="N144" s="390"/>
      <c r="O144" s="390"/>
      <c r="P144" s="629">
        <v>22.700000000000099</v>
      </c>
      <c r="Q144" s="628">
        <v>16.600000000000001</v>
      </c>
    </row>
    <row r="145" spans="2:17" ht="10.15" customHeight="1">
      <c r="B145" s="390"/>
      <c r="C145" s="390"/>
      <c r="D145" s="629">
        <v>28.8000000000002</v>
      </c>
      <c r="E145" s="632">
        <v>19.740000000000002</v>
      </c>
      <c r="F145" s="629">
        <v>26.8</v>
      </c>
      <c r="G145" s="632">
        <v>13.36</v>
      </c>
      <c r="H145" s="629">
        <v>28.800000000000011</v>
      </c>
      <c r="I145" s="632">
        <v>6.4</v>
      </c>
      <c r="J145" s="629">
        <v>22.799999999999901</v>
      </c>
      <c r="K145" s="632">
        <v>14.940000000000001</v>
      </c>
      <c r="L145" s="629">
        <v>22.8000000000001</v>
      </c>
      <c r="M145" s="628">
        <v>16.7</v>
      </c>
      <c r="N145" s="390"/>
      <c r="O145" s="390"/>
      <c r="P145" s="629">
        <v>22.8000000000001</v>
      </c>
      <c r="Q145" s="628">
        <v>16.7</v>
      </c>
    </row>
    <row r="146" spans="2:17" ht="10.15" customHeight="1" thickBot="1">
      <c r="B146" s="390"/>
      <c r="C146" s="390"/>
      <c r="D146" s="631">
        <v>28.900000000000201</v>
      </c>
      <c r="E146" s="632">
        <v>19.86</v>
      </c>
      <c r="F146" s="624">
        <v>26.9</v>
      </c>
      <c r="G146" s="623">
        <v>13.440000000000001</v>
      </c>
      <c r="H146" s="629">
        <v>28.900000000000013</v>
      </c>
      <c r="I146" s="632">
        <v>6.4</v>
      </c>
      <c r="J146" s="629">
        <v>22.899999999999899</v>
      </c>
      <c r="K146" s="632">
        <v>15.040000000000001</v>
      </c>
      <c r="L146" s="629">
        <v>22.900000000000102</v>
      </c>
      <c r="M146" s="628">
        <v>16.8</v>
      </c>
      <c r="N146" s="390"/>
      <c r="O146" s="390"/>
      <c r="P146" s="629">
        <v>22.900000000000102</v>
      </c>
      <c r="Q146" s="628">
        <v>16.8</v>
      </c>
    </row>
    <row r="147" spans="2:17" ht="10.15" customHeight="1">
      <c r="B147" s="390"/>
      <c r="C147" s="390"/>
      <c r="D147" s="630">
        <v>29.000000000000199</v>
      </c>
      <c r="E147" s="3951">
        <v>19.98</v>
      </c>
      <c r="F147" s="3950"/>
      <c r="G147" s="390"/>
      <c r="H147" s="630">
        <v>29.000000000000014</v>
      </c>
      <c r="I147" s="632">
        <v>6.7</v>
      </c>
      <c r="J147" s="630">
        <v>22.999999999999901</v>
      </c>
      <c r="K147" s="632">
        <v>15.14</v>
      </c>
      <c r="L147" s="630">
        <v>23.000000000000099</v>
      </c>
      <c r="M147" s="628">
        <v>16.899999999999999</v>
      </c>
      <c r="N147" s="390"/>
      <c r="O147" s="390"/>
      <c r="P147" s="630">
        <v>23.000000000000099</v>
      </c>
      <c r="Q147" s="628">
        <v>16.899999999999999</v>
      </c>
    </row>
    <row r="148" spans="2:17" ht="10.15" customHeight="1">
      <c r="B148" s="390"/>
      <c r="C148" s="390"/>
      <c r="D148" s="629">
        <v>29.1000000000002</v>
      </c>
      <c r="E148" s="3951">
        <v>20.100000000000001</v>
      </c>
      <c r="F148" s="390"/>
      <c r="G148" s="390"/>
      <c r="H148" s="629">
        <v>29.100000000000016</v>
      </c>
      <c r="I148" s="632">
        <v>6.7</v>
      </c>
      <c r="J148" s="629">
        <v>23.099999999999898</v>
      </c>
      <c r="K148" s="632">
        <v>15.24</v>
      </c>
      <c r="L148" s="629">
        <v>23.100000000000101</v>
      </c>
      <c r="M148" s="628">
        <v>17</v>
      </c>
      <c r="N148" s="390"/>
      <c r="O148" s="390"/>
      <c r="P148" s="629">
        <v>23.100000000000101</v>
      </c>
      <c r="Q148" s="628">
        <v>17</v>
      </c>
    </row>
    <row r="149" spans="2:17" ht="10.15" customHeight="1">
      <c r="B149" s="390"/>
      <c r="C149" s="390"/>
      <c r="D149" s="629">
        <v>29.200000000000198</v>
      </c>
      <c r="E149" s="3951">
        <v>20.22</v>
      </c>
      <c r="F149" s="390"/>
      <c r="G149" s="390"/>
      <c r="H149" s="629">
        <v>29.200000000000017</v>
      </c>
      <c r="I149" s="632">
        <v>6.7</v>
      </c>
      <c r="J149" s="629">
        <v>23.1999999999999</v>
      </c>
      <c r="K149" s="632">
        <v>15.34</v>
      </c>
      <c r="L149" s="629">
        <v>23.200000000000099</v>
      </c>
      <c r="M149" s="628">
        <v>17.100000000000001</v>
      </c>
      <c r="N149" s="390"/>
      <c r="O149" s="390"/>
      <c r="P149" s="629">
        <v>23.200000000000099</v>
      </c>
      <c r="Q149" s="628">
        <v>17.100000000000001</v>
      </c>
    </row>
    <row r="150" spans="2:17" ht="10.15" customHeight="1">
      <c r="B150" s="390"/>
      <c r="C150" s="390"/>
      <c r="D150" s="629">
        <v>29.3000000000002</v>
      </c>
      <c r="E150" s="3951">
        <v>20.34</v>
      </c>
      <c r="F150" s="390"/>
      <c r="G150" s="390"/>
      <c r="H150" s="629">
        <v>29.300000000000018</v>
      </c>
      <c r="I150" s="632">
        <v>6.7</v>
      </c>
      <c r="J150" s="629">
        <v>23.299999999999901</v>
      </c>
      <c r="K150" s="632">
        <v>15.440000000000001</v>
      </c>
      <c r="L150" s="629">
        <v>23.3000000000001</v>
      </c>
      <c r="M150" s="628">
        <v>17.2</v>
      </c>
      <c r="N150" s="390"/>
      <c r="O150" s="390"/>
      <c r="P150" s="629">
        <v>23.3000000000001</v>
      </c>
      <c r="Q150" s="628">
        <v>17.2</v>
      </c>
    </row>
    <row r="151" spans="2:17" ht="10.15" customHeight="1">
      <c r="B151" s="390"/>
      <c r="C151" s="390"/>
      <c r="D151" s="629">
        <v>29.400000000000201</v>
      </c>
      <c r="E151" s="3951">
        <v>20.46</v>
      </c>
      <c r="F151" s="390"/>
      <c r="G151" s="390"/>
      <c r="H151" s="629">
        <v>29.40000000000002</v>
      </c>
      <c r="I151" s="632">
        <v>6.7</v>
      </c>
      <c r="J151" s="629">
        <v>23.399999999999899</v>
      </c>
      <c r="K151" s="632">
        <v>15.540000000000001</v>
      </c>
      <c r="L151" s="629">
        <v>23.400000000000102</v>
      </c>
      <c r="M151" s="628">
        <v>17.3</v>
      </c>
      <c r="N151" s="390"/>
      <c r="O151" s="390"/>
      <c r="P151" s="629">
        <v>23.400000000000102</v>
      </c>
      <c r="Q151" s="628">
        <v>17.3</v>
      </c>
    </row>
    <row r="152" spans="2:17" ht="10.15" customHeight="1">
      <c r="B152" s="390"/>
      <c r="C152" s="390"/>
      <c r="D152" s="629">
        <v>29.500000000000199</v>
      </c>
      <c r="E152" s="3951">
        <v>20.580000000000002</v>
      </c>
      <c r="F152" s="390"/>
      <c r="G152" s="390"/>
      <c r="H152" s="629">
        <v>29.500000000000021</v>
      </c>
      <c r="I152" s="632">
        <v>6.7</v>
      </c>
      <c r="J152" s="629">
        <v>23.499999999999901</v>
      </c>
      <c r="K152" s="632">
        <v>15.64</v>
      </c>
      <c r="L152" s="629">
        <v>23.500000000000099</v>
      </c>
      <c r="M152" s="628">
        <v>17.399999999999999</v>
      </c>
      <c r="N152" s="390"/>
      <c r="O152" s="390"/>
      <c r="P152" s="629">
        <v>23.500000000000099</v>
      </c>
      <c r="Q152" s="628">
        <v>17.399999999999999</v>
      </c>
    </row>
    <row r="153" spans="2:17" ht="10.15" customHeight="1">
      <c r="B153" s="390"/>
      <c r="C153" s="390"/>
      <c r="D153" s="629">
        <v>29.6000000000002</v>
      </c>
      <c r="E153" s="3951">
        <v>20.7</v>
      </c>
      <c r="F153" s="390"/>
      <c r="G153" s="390"/>
      <c r="H153" s="629">
        <v>29.600000000000023</v>
      </c>
      <c r="I153" s="632">
        <v>6.7</v>
      </c>
      <c r="J153" s="629">
        <v>23.599999999999898</v>
      </c>
      <c r="K153" s="632">
        <v>15.74</v>
      </c>
      <c r="L153" s="629">
        <v>23.600000000000101</v>
      </c>
      <c r="M153" s="628">
        <v>17.5</v>
      </c>
      <c r="N153" s="390"/>
      <c r="O153" s="390"/>
      <c r="P153" s="629">
        <v>23.600000000000101</v>
      </c>
      <c r="Q153" s="628">
        <v>17.5</v>
      </c>
    </row>
    <row r="154" spans="2:17" ht="10.15" customHeight="1">
      <c r="B154" s="390"/>
      <c r="C154" s="390"/>
      <c r="D154" s="629">
        <v>29.700000000000198</v>
      </c>
      <c r="E154" s="3951">
        <v>20.82</v>
      </c>
      <c r="F154" s="390"/>
      <c r="G154" s="390"/>
      <c r="H154" s="629">
        <v>29.700000000000024</v>
      </c>
      <c r="I154" s="632">
        <v>6.7</v>
      </c>
      <c r="J154" s="629">
        <v>23.6999999999999</v>
      </c>
      <c r="K154" s="632">
        <v>15.84</v>
      </c>
      <c r="L154" s="629">
        <v>23.700000000000099</v>
      </c>
      <c r="M154" s="628">
        <v>17.600000000000001</v>
      </c>
      <c r="N154" s="390"/>
      <c r="O154" s="390"/>
      <c r="P154" s="629">
        <v>23.700000000000099</v>
      </c>
      <c r="Q154" s="628">
        <v>17.600000000000001</v>
      </c>
    </row>
    <row r="155" spans="2:17" ht="10.15" customHeight="1">
      <c r="B155" s="390"/>
      <c r="C155" s="390"/>
      <c r="D155" s="629">
        <v>29.8000000000002</v>
      </c>
      <c r="E155" s="3951">
        <v>20.94</v>
      </c>
      <c r="F155" s="390"/>
      <c r="G155" s="390"/>
      <c r="H155" s="629">
        <v>29.800000000000026</v>
      </c>
      <c r="I155" s="632">
        <v>6.7</v>
      </c>
      <c r="J155" s="629">
        <v>23.799999999999901</v>
      </c>
      <c r="K155" s="632">
        <v>15.940000000000001</v>
      </c>
      <c r="L155" s="629">
        <v>23.8000000000001</v>
      </c>
      <c r="M155" s="628">
        <v>17.7</v>
      </c>
      <c r="N155" s="390"/>
      <c r="O155" s="390"/>
      <c r="P155" s="629">
        <v>23.8000000000001</v>
      </c>
      <c r="Q155" s="628">
        <v>17.7</v>
      </c>
    </row>
    <row r="156" spans="2:17" ht="10.15" customHeight="1" thickBot="1">
      <c r="B156" s="390"/>
      <c r="C156" s="625"/>
      <c r="D156" s="624">
        <v>29.900000000000201</v>
      </c>
      <c r="E156" s="623">
        <v>21.06</v>
      </c>
      <c r="F156" s="627"/>
      <c r="G156" s="627"/>
      <c r="H156" s="629">
        <v>29.900000000000027</v>
      </c>
      <c r="I156" s="632">
        <v>6.7</v>
      </c>
      <c r="J156" s="624">
        <v>23.899999999999899</v>
      </c>
      <c r="K156" s="623">
        <v>16.04</v>
      </c>
      <c r="L156" s="624">
        <v>23.900000000000102</v>
      </c>
      <c r="M156" s="623">
        <v>17.8</v>
      </c>
      <c r="N156" s="626"/>
      <c r="O156" s="625"/>
      <c r="P156" s="624">
        <v>23.900000000000102</v>
      </c>
      <c r="Q156" s="623">
        <v>17.8</v>
      </c>
    </row>
    <row r="157" spans="2:17" ht="10.15" customHeight="1">
      <c r="B157" s="33"/>
      <c r="C157" s="33"/>
      <c r="D157" s="33"/>
      <c r="E157" s="33"/>
      <c r="F157" s="33"/>
      <c r="G157" s="33"/>
      <c r="H157" s="630">
        <v>30.000000000000028</v>
      </c>
      <c r="I157" s="3951">
        <v>7</v>
      </c>
      <c r="N157" s="33"/>
    </row>
    <row r="158" spans="2:17" ht="10.15" customHeight="1">
      <c r="B158" s="33"/>
      <c r="C158" s="33"/>
      <c r="D158" s="33"/>
      <c r="E158" s="33"/>
      <c r="F158" s="33"/>
      <c r="G158" s="33"/>
      <c r="H158" s="629">
        <v>30.10000000000003</v>
      </c>
      <c r="I158" s="3951">
        <v>7</v>
      </c>
      <c r="N158" s="33"/>
    </row>
    <row r="159" spans="2:17" ht="10.15" customHeight="1">
      <c r="B159" s="33"/>
      <c r="C159" s="33"/>
      <c r="D159" s="33"/>
      <c r="E159" s="33"/>
      <c r="F159" s="33"/>
      <c r="G159" s="33"/>
      <c r="H159" s="629">
        <v>30.200000000000031</v>
      </c>
      <c r="I159" s="3951">
        <v>7</v>
      </c>
      <c r="N159" s="33"/>
    </row>
    <row r="160" spans="2:17" ht="10.15" customHeight="1">
      <c r="B160" s="33"/>
      <c r="C160" s="33"/>
      <c r="D160" s="33"/>
      <c r="E160" s="33"/>
      <c r="F160" s="33"/>
      <c r="G160" s="33"/>
      <c r="H160" s="629">
        <v>30.3</v>
      </c>
      <c r="I160" s="3951">
        <v>7</v>
      </c>
      <c r="N160" s="33"/>
    </row>
    <row r="161" spans="2:14" ht="10.15" customHeight="1">
      <c r="B161" s="33"/>
      <c r="C161" s="33"/>
      <c r="D161" s="33"/>
      <c r="E161" s="33"/>
      <c r="F161" s="33"/>
      <c r="G161" s="33"/>
      <c r="H161" s="629">
        <v>30.400000000000034</v>
      </c>
      <c r="I161" s="3951">
        <v>7</v>
      </c>
      <c r="N161" s="33"/>
    </row>
    <row r="162" spans="2:14" ht="10.15" customHeight="1">
      <c r="B162" s="33"/>
      <c r="C162" s="33"/>
      <c r="D162" s="33"/>
      <c r="E162" s="33"/>
      <c r="F162" s="33"/>
      <c r="G162" s="33"/>
      <c r="H162" s="629">
        <v>30.500000000000036</v>
      </c>
      <c r="I162" s="3951">
        <v>7</v>
      </c>
      <c r="N162" s="33"/>
    </row>
    <row r="163" spans="2:14" ht="10.15" customHeight="1">
      <c r="B163" s="33"/>
      <c r="C163" s="33"/>
      <c r="D163" s="33"/>
      <c r="E163" s="33"/>
      <c r="F163" s="33"/>
      <c r="G163" s="33"/>
      <c r="H163" s="629">
        <v>30.600000000000037</v>
      </c>
      <c r="I163" s="3951">
        <v>7</v>
      </c>
      <c r="N163" s="33"/>
    </row>
    <row r="164" spans="2:14" ht="10.15" customHeight="1">
      <c r="B164" s="33"/>
      <c r="C164" s="33"/>
      <c r="D164" s="33"/>
      <c r="E164" s="33"/>
      <c r="F164" s="33"/>
      <c r="G164" s="33"/>
      <c r="H164" s="629">
        <v>30.700000000000038</v>
      </c>
      <c r="I164" s="3951">
        <v>7</v>
      </c>
      <c r="N164" s="33"/>
    </row>
    <row r="165" spans="2:14" ht="10.15" customHeight="1">
      <c r="B165" s="33"/>
      <c r="C165" s="33"/>
      <c r="D165" s="33"/>
      <c r="E165" s="33"/>
      <c r="F165" s="33"/>
      <c r="G165" s="33"/>
      <c r="H165" s="629">
        <v>30.80000000000004</v>
      </c>
      <c r="I165" s="3951">
        <v>7</v>
      </c>
      <c r="N165" s="33"/>
    </row>
    <row r="166" spans="2:14" ht="10.15" customHeight="1">
      <c r="B166" s="33"/>
      <c r="C166" s="33"/>
      <c r="D166" s="33"/>
      <c r="E166" s="33"/>
      <c r="F166" s="33"/>
      <c r="G166" s="33"/>
      <c r="H166" s="629">
        <v>30.900000000000041</v>
      </c>
      <c r="I166" s="3951">
        <v>7</v>
      </c>
      <c r="N166" s="33"/>
    </row>
    <row r="167" spans="2:14" ht="10.15" customHeight="1">
      <c r="B167" s="33"/>
      <c r="C167" s="33"/>
      <c r="D167" s="33"/>
      <c r="E167" s="33"/>
      <c r="F167" s="33"/>
      <c r="G167" s="33"/>
      <c r="H167" s="630">
        <v>31</v>
      </c>
      <c r="I167" s="3951">
        <v>7.3</v>
      </c>
      <c r="N167" s="33"/>
    </row>
    <row r="168" spans="2:14" ht="10.15" customHeight="1">
      <c r="B168" s="33"/>
      <c r="C168" s="33"/>
      <c r="D168" s="33"/>
      <c r="E168" s="33"/>
      <c r="F168" s="33"/>
      <c r="G168" s="33"/>
      <c r="H168" s="629">
        <v>31.1</v>
      </c>
      <c r="I168" s="3951">
        <v>7.3</v>
      </c>
      <c r="N168" s="33"/>
    </row>
    <row r="169" spans="2:14" ht="10.15" customHeight="1">
      <c r="B169" s="33"/>
      <c r="C169" s="33"/>
      <c r="D169" s="33"/>
      <c r="E169" s="33"/>
      <c r="F169" s="33"/>
      <c r="G169" s="33"/>
      <c r="H169" s="629">
        <v>31.2</v>
      </c>
      <c r="I169" s="3951">
        <v>7.3</v>
      </c>
      <c r="N169" s="33"/>
    </row>
    <row r="170" spans="2:14" ht="10.15" customHeight="1">
      <c r="B170" s="33"/>
      <c r="C170" s="33"/>
      <c r="D170" s="33"/>
      <c r="E170" s="33"/>
      <c r="F170" s="33"/>
      <c r="G170" s="33"/>
      <c r="H170" s="629">
        <v>31.3</v>
      </c>
      <c r="I170" s="3951">
        <v>7.3</v>
      </c>
      <c r="N170" s="33"/>
    </row>
    <row r="171" spans="2:14" ht="10.15" customHeight="1">
      <c r="B171" s="33"/>
      <c r="C171" s="33"/>
      <c r="D171" s="33"/>
      <c r="E171" s="33"/>
      <c r="F171" s="33"/>
      <c r="G171" s="33"/>
      <c r="H171" s="629">
        <v>31.4</v>
      </c>
      <c r="I171" s="3951">
        <v>7.3</v>
      </c>
      <c r="N171" s="33"/>
    </row>
    <row r="172" spans="2:14" ht="10.15" customHeight="1">
      <c r="B172" s="33"/>
      <c r="C172" s="33"/>
      <c r="D172" s="33"/>
      <c r="E172" s="33"/>
      <c r="F172" s="33"/>
      <c r="G172" s="33"/>
      <c r="H172" s="629">
        <v>31.5</v>
      </c>
      <c r="I172" s="3951">
        <v>7.3</v>
      </c>
      <c r="N172" s="33"/>
    </row>
    <row r="173" spans="2:14" ht="10.15" customHeight="1">
      <c r="B173" s="33"/>
      <c r="C173" s="33"/>
      <c r="D173" s="33"/>
      <c r="E173" s="33"/>
      <c r="F173" s="33"/>
      <c r="G173" s="33"/>
      <c r="H173" s="629">
        <v>31.6</v>
      </c>
      <c r="I173" s="3951">
        <v>7.3</v>
      </c>
      <c r="N173" s="33"/>
    </row>
    <row r="174" spans="2:14" ht="10.15" customHeight="1">
      <c r="B174" s="33"/>
      <c r="C174" s="33"/>
      <c r="D174" s="33"/>
      <c r="E174" s="33"/>
      <c r="F174" s="33"/>
      <c r="G174" s="33"/>
      <c r="H174" s="629">
        <v>31.7</v>
      </c>
      <c r="I174" s="3951">
        <v>7.3</v>
      </c>
      <c r="N174" s="33"/>
    </row>
    <row r="175" spans="2:14" ht="10.15" customHeight="1">
      <c r="B175" s="33"/>
      <c r="C175" s="33"/>
      <c r="D175" s="33"/>
      <c r="E175" s="33"/>
      <c r="F175" s="33"/>
      <c r="G175" s="33"/>
      <c r="H175" s="629">
        <v>31.8</v>
      </c>
      <c r="I175" s="3951">
        <v>7.3</v>
      </c>
      <c r="N175" s="33"/>
    </row>
    <row r="176" spans="2:14" ht="10.15" customHeight="1">
      <c r="B176" s="33"/>
      <c r="C176" s="33"/>
      <c r="D176" s="33"/>
      <c r="E176" s="33"/>
      <c r="F176" s="33"/>
      <c r="G176" s="33"/>
      <c r="H176" s="629">
        <v>31.9</v>
      </c>
      <c r="I176" s="3951">
        <v>7.3</v>
      </c>
      <c r="N176" s="33"/>
    </row>
    <row r="177" spans="2:14" ht="10.15" customHeight="1">
      <c r="B177" s="33"/>
      <c r="C177" s="33"/>
      <c r="D177" s="33"/>
      <c r="E177" s="33"/>
      <c r="F177" s="33"/>
      <c r="G177" s="33"/>
      <c r="H177" s="630">
        <v>32</v>
      </c>
      <c r="I177" s="3951">
        <v>7.6</v>
      </c>
      <c r="N177" s="33"/>
    </row>
    <row r="178" spans="2:14" ht="10.15" customHeight="1">
      <c r="B178" s="33"/>
      <c r="C178" s="33"/>
      <c r="D178" s="33"/>
      <c r="E178" s="33"/>
      <c r="F178" s="33"/>
      <c r="G178" s="33"/>
      <c r="H178" s="629">
        <v>32.1</v>
      </c>
      <c r="I178" s="3951">
        <v>7.6</v>
      </c>
      <c r="N178" s="33"/>
    </row>
    <row r="179" spans="2:14" ht="10.15" customHeight="1">
      <c r="B179" s="33"/>
      <c r="C179" s="33"/>
      <c r="D179" s="33"/>
      <c r="E179" s="33"/>
      <c r="F179" s="33"/>
      <c r="G179" s="33"/>
      <c r="H179" s="629">
        <v>32.200000000000003</v>
      </c>
      <c r="I179" s="3951">
        <v>7.6</v>
      </c>
      <c r="N179" s="33"/>
    </row>
    <row r="180" spans="2:14" ht="10.15" customHeight="1">
      <c r="B180" s="33"/>
      <c r="C180" s="33"/>
      <c r="D180" s="33"/>
      <c r="E180" s="33"/>
      <c r="F180" s="33"/>
      <c r="G180" s="33"/>
      <c r="H180" s="629">
        <v>32.299999999999997</v>
      </c>
      <c r="I180" s="3951">
        <v>7.6</v>
      </c>
      <c r="N180" s="33"/>
    </row>
    <row r="181" spans="2:14" ht="10.15" customHeight="1">
      <c r="B181" s="33"/>
      <c r="C181" s="33"/>
      <c r="D181" s="33"/>
      <c r="E181" s="33"/>
      <c r="F181" s="33"/>
      <c r="G181" s="33"/>
      <c r="H181" s="629">
        <v>32.4</v>
      </c>
      <c r="I181" s="3951">
        <v>7.6</v>
      </c>
      <c r="N181" s="33"/>
    </row>
    <row r="182" spans="2:14" ht="10.15" customHeight="1">
      <c r="B182" s="33"/>
      <c r="C182" s="33"/>
      <c r="D182" s="33"/>
      <c r="E182" s="33"/>
      <c r="F182" s="33"/>
      <c r="G182" s="33"/>
      <c r="H182" s="629">
        <v>32.5</v>
      </c>
      <c r="I182" s="3951">
        <v>7.6</v>
      </c>
      <c r="N182" s="33"/>
    </row>
    <row r="183" spans="2:14" ht="10.15" customHeight="1">
      <c r="B183" s="33"/>
      <c r="C183" s="33"/>
      <c r="D183" s="33"/>
      <c r="E183" s="33"/>
      <c r="F183" s="33"/>
      <c r="G183" s="33"/>
      <c r="H183" s="629">
        <v>32.6</v>
      </c>
      <c r="I183" s="3951">
        <v>7.6</v>
      </c>
      <c r="N183" s="33"/>
    </row>
    <row r="184" spans="2:14" ht="10.15" customHeight="1">
      <c r="B184" s="33"/>
      <c r="C184" s="33"/>
      <c r="D184" s="33"/>
      <c r="E184" s="33"/>
      <c r="F184" s="33"/>
      <c r="G184" s="33"/>
      <c r="H184" s="629">
        <v>32.700000000000003</v>
      </c>
      <c r="I184" s="3951">
        <v>7.6</v>
      </c>
      <c r="N184" s="33"/>
    </row>
    <row r="185" spans="2:14" ht="10.15" customHeight="1">
      <c r="B185" s="33"/>
      <c r="C185" s="33"/>
      <c r="D185" s="33"/>
      <c r="E185" s="33"/>
      <c r="F185" s="33"/>
      <c r="G185" s="33"/>
      <c r="H185" s="629">
        <v>32.799999999999997</v>
      </c>
      <c r="I185" s="3951">
        <v>7.6</v>
      </c>
      <c r="N185" s="33"/>
    </row>
    <row r="186" spans="2:14" ht="10.15" customHeight="1">
      <c r="B186" s="33"/>
      <c r="C186" s="33"/>
      <c r="D186" s="33"/>
      <c r="E186" s="33"/>
      <c r="F186" s="33"/>
      <c r="G186" s="33"/>
      <c r="H186" s="629">
        <v>32.9</v>
      </c>
      <c r="I186" s="3951">
        <v>7.6</v>
      </c>
      <c r="N186" s="33"/>
    </row>
    <row r="187" spans="2:14" ht="10.15" customHeight="1">
      <c r="B187" s="33"/>
      <c r="C187" s="33"/>
      <c r="D187" s="33"/>
      <c r="E187" s="33"/>
      <c r="F187" s="33"/>
      <c r="G187" s="33"/>
      <c r="H187" s="630">
        <v>33</v>
      </c>
      <c r="I187" s="3951">
        <v>7.9</v>
      </c>
      <c r="N187" s="33"/>
    </row>
    <row r="188" spans="2:14" ht="10.15" customHeight="1">
      <c r="B188" s="33"/>
      <c r="C188" s="33"/>
      <c r="D188" s="33"/>
      <c r="E188" s="33"/>
      <c r="F188" s="33"/>
      <c r="G188" s="33"/>
      <c r="H188" s="629">
        <v>33.1</v>
      </c>
      <c r="I188" s="3951">
        <v>7.9</v>
      </c>
      <c r="N188" s="33"/>
    </row>
    <row r="189" spans="2:14" ht="10.15" customHeight="1">
      <c r="B189" s="33"/>
      <c r="C189" s="33"/>
      <c r="D189" s="33"/>
      <c r="E189" s="33"/>
      <c r="F189" s="33"/>
      <c r="G189" s="33"/>
      <c r="H189" s="629">
        <v>33.200000000000003</v>
      </c>
      <c r="I189" s="3951">
        <v>7.9</v>
      </c>
      <c r="N189" s="33"/>
    </row>
    <row r="190" spans="2:14" ht="10.15" customHeight="1">
      <c r="B190" s="33"/>
      <c r="C190" s="33"/>
      <c r="D190" s="33"/>
      <c r="E190" s="33"/>
      <c r="F190" s="33"/>
      <c r="G190" s="33"/>
      <c r="H190" s="629">
        <v>33.299999999999997</v>
      </c>
      <c r="I190" s="3951">
        <v>7.9</v>
      </c>
      <c r="N190" s="33"/>
    </row>
    <row r="191" spans="2:14" ht="10.15" customHeight="1">
      <c r="B191" s="33"/>
      <c r="C191" s="33"/>
      <c r="D191" s="33"/>
      <c r="E191" s="33"/>
      <c r="F191" s="33"/>
      <c r="G191" s="33"/>
      <c r="H191" s="629">
        <v>33.4</v>
      </c>
      <c r="I191" s="3951">
        <v>7.9</v>
      </c>
      <c r="N191" s="33"/>
    </row>
    <row r="192" spans="2:14" ht="10.15" customHeight="1">
      <c r="B192" s="33"/>
      <c r="C192" s="33"/>
      <c r="D192" s="33"/>
      <c r="E192" s="33"/>
      <c r="F192" s="33"/>
      <c r="G192" s="33"/>
      <c r="H192" s="629">
        <v>33.5</v>
      </c>
      <c r="I192" s="3951">
        <v>7.9</v>
      </c>
      <c r="N192" s="33"/>
    </row>
    <row r="193" spans="2:14" ht="10.15" customHeight="1">
      <c r="B193" s="33"/>
      <c r="C193" s="33"/>
      <c r="D193" s="33"/>
      <c r="E193" s="33"/>
      <c r="F193" s="33"/>
      <c r="G193" s="33"/>
      <c r="H193" s="629">
        <v>33.6</v>
      </c>
      <c r="I193" s="3951">
        <v>7.9</v>
      </c>
      <c r="N193" s="33"/>
    </row>
    <row r="194" spans="2:14" ht="10.15" customHeight="1">
      <c r="B194" s="33"/>
      <c r="C194" s="33"/>
      <c r="D194" s="33"/>
      <c r="E194" s="33"/>
      <c r="F194" s="33"/>
      <c r="G194" s="33"/>
      <c r="H194" s="629">
        <v>33.700000000000003</v>
      </c>
      <c r="I194" s="3951">
        <v>7.9</v>
      </c>
      <c r="N194" s="33"/>
    </row>
    <row r="195" spans="2:14" ht="10.15" customHeight="1">
      <c r="B195" s="33"/>
      <c r="C195" s="33"/>
      <c r="D195" s="33"/>
      <c r="E195" s="33"/>
      <c r="F195" s="33"/>
      <c r="G195" s="33"/>
      <c r="H195" s="629">
        <v>33.800000000000082</v>
      </c>
      <c r="I195" s="3951">
        <v>7.9</v>
      </c>
      <c r="N195" s="33"/>
    </row>
    <row r="196" spans="2:14" ht="10.15" customHeight="1">
      <c r="B196" s="33"/>
      <c r="C196" s="33"/>
      <c r="D196" s="33"/>
      <c r="E196" s="33"/>
      <c r="F196" s="33"/>
      <c r="G196" s="33"/>
      <c r="H196" s="629">
        <v>33.9</v>
      </c>
      <c r="I196" s="3951">
        <v>7.9</v>
      </c>
      <c r="N196" s="33"/>
    </row>
    <row r="197" spans="2:14" ht="10.15" customHeight="1">
      <c r="B197" s="33"/>
      <c r="C197" s="33"/>
      <c r="D197" s="33"/>
      <c r="E197" s="33"/>
      <c r="F197" s="33"/>
      <c r="G197" s="33"/>
      <c r="H197" s="630">
        <v>34</v>
      </c>
      <c r="I197" s="3951">
        <v>8.1999999999999993</v>
      </c>
      <c r="N197" s="33"/>
    </row>
    <row r="198" spans="2:14" ht="10.15" customHeight="1">
      <c r="B198" s="33"/>
      <c r="C198" s="33"/>
      <c r="D198" s="33"/>
      <c r="E198" s="33"/>
      <c r="F198" s="33"/>
      <c r="G198" s="33"/>
      <c r="H198" s="629">
        <v>34.1</v>
      </c>
      <c r="I198" s="3951">
        <v>8.1999999999999993</v>
      </c>
      <c r="N198" s="33"/>
    </row>
    <row r="199" spans="2:14" ht="10.15" customHeight="1">
      <c r="B199" s="33"/>
      <c r="C199" s="33"/>
      <c r="D199" s="33"/>
      <c r="E199" s="33"/>
      <c r="F199" s="33"/>
      <c r="G199" s="33"/>
      <c r="H199" s="629">
        <v>34.200000000000003</v>
      </c>
      <c r="I199" s="3951">
        <v>8.1999999999999993</v>
      </c>
      <c r="N199" s="33"/>
    </row>
    <row r="200" spans="2:14" ht="10.15" customHeight="1">
      <c r="B200" s="33"/>
      <c r="C200" s="33"/>
      <c r="D200" s="33"/>
      <c r="E200" s="33"/>
      <c r="F200" s="33"/>
      <c r="G200" s="33"/>
      <c r="H200" s="629">
        <v>34.299999999999997</v>
      </c>
      <c r="I200" s="3951">
        <v>8.1999999999999993</v>
      </c>
      <c r="N200" s="33"/>
    </row>
    <row r="201" spans="2:14" ht="10.15" customHeight="1">
      <c r="B201" s="33"/>
      <c r="C201" s="33"/>
      <c r="D201" s="33"/>
      <c r="E201" s="33"/>
      <c r="F201" s="33"/>
      <c r="G201" s="33"/>
      <c r="H201" s="629">
        <v>34.4</v>
      </c>
      <c r="I201" s="3951">
        <v>8.1999999999999993</v>
      </c>
      <c r="N201" s="33"/>
    </row>
    <row r="202" spans="2:14" ht="10.15" customHeight="1">
      <c r="B202" s="33"/>
      <c r="C202" s="33"/>
      <c r="D202" s="33"/>
      <c r="E202" s="33"/>
      <c r="F202" s="33"/>
      <c r="G202" s="33"/>
      <c r="H202" s="629">
        <v>34.5</v>
      </c>
      <c r="I202" s="3951">
        <v>8.1999999999999993</v>
      </c>
      <c r="N202" s="33"/>
    </row>
    <row r="203" spans="2:14" ht="10.15" customHeight="1">
      <c r="B203" s="33"/>
      <c r="C203" s="33"/>
      <c r="D203" s="33"/>
      <c r="E203" s="33"/>
      <c r="F203" s="33"/>
      <c r="G203" s="33"/>
      <c r="H203" s="629">
        <v>34.6</v>
      </c>
      <c r="I203" s="3951">
        <v>8.1999999999999993</v>
      </c>
      <c r="N203" s="33"/>
    </row>
    <row r="204" spans="2:14" ht="10.15" customHeight="1">
      <c r="B204" s="33"/>
      <c r="C204" s="33"/>
      <c r="D204" s="33"/>
      <c r="E204" s="33"/>
      <c r="F204" s="33"/>
      <c r="G204" s="33"/>
      <c r="H204" s="629">
        <v>34.700000000000003</v>
      </c>
      <c r="I204" s="3951">
        <v>8.1999999999999993</v>
      </c>
      <c r="N204" s="33"/>
    </row>
    <row r="205" spans="2:14" ht="10.15" customHeight="1">
      <c r="B205" s="33"/>
      <c r="C205" s="33"/>
      <c r="D205" s="33"/>
      <c r="E205" s="33"/>
      <c r="F205" s="33"/>
      <c r="G205" s="33"/>
      <c r="H205" s="629">
        <v>34.799999999999997</v>
      </c>
      <c r="I205" s="3951">
        <v>8.1999999999999993</v>
      </c>
      <c r="N205" s="33"/>
    </row>
    <row r="206" spans="2:14" ht="10.15" customHeight="1">
      <c r="B206" s="33"/>
      <c r="C206" s="33"/>
      <c r="D206" s="33"/>
      <c r="E206" s="33"/>
      <c r="F206" s="33"/>
      <c r="G206" s="33"/>
      <c r="H206" s="629">
        <v>34.9</v>
      </c>
      <c r="I206" s="3951">
        <v>8.1999999999999993</v>
      </c>
      <c r="N206" s="33"/>
    </row>
    <row r="207" spans="2:14" ht="10.15" customHeight="1">
      <c r="B207" s="33"/>
      <c r="C207" s="33"/>
      <c r="D207" s="33"/>
      <c r="E207" s="33"/>
      <c r="F207" s="33"/>
      <c r="G207" s="33"/>
      <c r="H207" s="630">
        <v>35</v>
      </c>
      <c r="I207" s="3951">
        <v>8.5</v>
      </c>
      <c r="N207" s="33"/>
    </row>
    <row r="208" spans="2:14" ht="10.15" customHeight="1">
      <c r="B208" s="33"/>
      <c r="C208" s="33"/>
      <c r="D208" s="33"/>
      <c r="E208" s="33"/>
      <c r="F208" s="33"/>
      <c r="G208" s="33"/>
      <c r="H208" s="629">
        <v>35.1</v>
      </c>
      <c r="I208" s="3951">
        <v>8.5</v>
      </c>
      <c r="N208" s="33"/>
    </row>
    <row r="209" spans="2:14" ht="10.15" customHeight="1">
      <c r="B209" s="33"/>
      <c r="C209" s="33"/>
      <c r="D209" s="33"/>
      <c r="E209" s="33"/>
      <c r="F209" s="33"/>
      <c r="G209" s="33"/>
      <c r="H209" s="629">
        <v>35.200000000000003</v>
      </c>
      <c r="I209" s="3951">
        <v>8.5</v>
      </c>
      <c r="N209" s="33"/>
    </row>
    <row r="210" spans="2:14" ht="10.15" customHeight="1">
      <c r="B210" s="33"/>
      <c r="C210" s="33"/>
      <c r="D210" s="33"/>
      <c r="E210" s="33"/>
      <c r="F210" s="33"/>
      <c r="G210" s="33"/>
      <c r="H210" s="629">
        <v>35.299999999999997</v>
      </c>
      <c r="I210" s="3951">
        <v>8.5</v>
      </c>
      <c r="N210" s="33"/>
    </row>
    <row r="211" spans="2:14" ht="10.15" customHeight="1">
      <c r="B211" s="33"/>
      <c r="C211" s="33"/>
      <c r="D211" s="33"/>
      <c r="E211" s="33"/>
      <c r="F211" s="33"/>
      <c r="G211" s="33"/>
      <c r="H211" s="629">
        <v>35.4</v>
      </c>
      <c r="I211" s="3951">
        <v>8.5</v>
      </c>
      <c r="N211" s="33"/>
    </row>
    <row r="212" spans="2:14" ht="10.15" customHeight="1">
      <c r="B212" s="33"/>
      <c r="C212" s="33"/>
      <c r="D212" s="33"/>
      <c r="E212" s="33"/>
      <c r="F212" s="33"/>
      <c r="G212" s="33"/>
      <c r="H212" s="629">
        <v>35.5</v>
      </c>
      <c r="I212" s="3951">
        <v>8.5</v>
      </c>
      <c r="N212" s="33"/>
    </row>
    <row r="213" spans="2:14" ht="10.15" customHeight="1">
      <c r="B213" s="33"/>
      <c r="C213" s="33"/>
      <c r="D213" s="33"/>
      <c r="E213" s="33"/>
      <c r="F213" s="33"/>
      <c r="G213" s="33"/>
      <c r="H213" s="629">
        <v>35.6</v>
      </c>
      <c r="I213" s="3951">
        <v>8.5</v>
      </c>
      <c r="N213" s="33"/>
    </row>
    <row r="214" spans="2:14" ht="10.15" customHeight="1">
      <c r="B214" s="33"/>
      <c r="C214" s="33"/>
      <c r="D214" s="33"/>
      <c r="E214" s="33"/>
      <c r="F214" s="33"/>
      <c r="G214" s="33"/>
      <c r="H214" s="629">
        <v>35.700000000000003</v>
      </c>
      <c r="I214" s="3951">
        <v>8.5</v>
      </c>
      <c r="N214" s="33"/>
    </row>
    <row r="215" spans="2:14" ht="10.15" customHeight="1">
      <c r="B215" s="33"/>
      <c r="C215" s="33"/>
      <c r="D215" s="33"/>
      <c r="E215" s="33"/>
      <c r="F215" s="33"/>
      <c r="G215" s="33"/>
      <c r="H215" s="629">
        <v>35.799999999999997</v>
      </c>
      <c r="I215" s="3951">
        <v>8.5</v>
      </c>
      <c r="N215" s="33"/>
    </row>
    <row r="216" spans="2:14" ht="10.15" customHeight="1">
      <c r="B216" s="33"/>
      <c r="C216" s="33"/>
      <c r="D216" s="33"/>
      <c r="E216" s="33"/>
      <c r="F216" s="33"/>
      <c r="G216" s="33"/>
      <c r="H216" s="629">
        <v>35.9</v>
      </c>
      <c r="I216" s="3951">
        <v>8.5</v>
      </c>
      <c r="N216" s="33"/>
    </row>
    <row r="217" spans="2:14" ht="10.15" customHeight="1">
      <c r="B217" s="33"/>
      <c r="C217" s="33"/>
      <c r="D217" s="33"/>
      <c r="E217" s="33"/>
      <c r="F217" s="33"/>
      <c r="G217" s="33"/>
      <c r="H217" s="630">
        <v>36</v>
      </c>
      <c r="I217" s="3951">
        <v>8.8000000000000007</v>
      </c>
      <c r="N217" s="33"/>
    </row>
    <row r="218" spans="2:14" ht="10.15" customHeight="1">
      <c r="B218" s="33"/>
      <c r="C218" s="33"/>
      <c r="D218" s="33"/>
      <c r="E218" s="33"/>
      <c r="F218" s="33"/>
      <c r="G218" s="33"/>
      <c r="H218" s="629">
        <v>36.1</v>
      </c>
      <c r="I218" s="3951">
        <v>8.8000000000000007</v>
      </c>
      <c r="N218" s="33"/>
    </row>
    <row r="219" spans="2:14" ht="10.15" customHeight="1">
      <c r="B219" s="33"/>
      <c r="C219" s="33"/>
      <c r="D219" s="33"/>
      <c r="E219" s="33"/>
      <c r="F219" s="33"/>
      <c r="G219" s="33"/>
      <c r="H219" s="629">
        <v>36.200000000000003</v>
      </c>
      <c r="I219" s="3951">
        <v>8.8000000000000007</v>
      </c>
      <c r="N219" s="33"/>
    </row>
    <row r="220" spans="2:14" ht="10.15" customHeight="1">
      <c r="B220" s="33"/>
      <c r="C220" s="33"/>
      <c r="D220" s="33"/>
      <c r="E220" s="33"/>
      <c r="F220" s="33"/>
      <c r="G220" s="33"/>
      <c r="H220" s="629">
        <v>36.299999999999997</v>
      </c>
      <c r="I220" s="3951">
        <v>8.8000000000000007</v>
      </c>
      <c r="N220" s="33"/>
    </row>
    <row r="221" spans="2:14" ht="10.15" customHeight="1">
      <c r="B221" s="33"/>
      <c r="C221" s="33"/>
      <c r="D221" s="33"/>
      <c r="E221" s="33"/>
      <c r="F221" s="33"/>
      <c r="G221" s="33"/>
      <c r="H221" s="629">
        <v>36.4</v>
      </c>
      <c r="I221" s="3951">
        <v>8.8000000000000007</v>
      </c>
      <c r="N221" s="33"/>
    </row>
    <row r="222" spans="2:14" ht="10.15" customHeight="1">
      <c r="B222" s="33"/>
      <c r="C222" s="33"/>
      <c r="D222" s="33"/>
      <c r="E222" s="33"/>
      <c r="F222" s="33"/>
      <c r="G222" s="33"/>
      <c r="H222" s="629">
        <v>36.5</v>
      </c>
      <c r="I222" s="3951">
        <v>8.8000000000000007</v>
      </c>
      <c r="N222" s="33"/>
    </row>
    <row r="223" spans="2:14" ht="10.15" customHeight="1">
      <c r="B223" s="33"/>
      <c r="C223" s="33"/>
      <c r="D223" s="33"/>
      <c r="E223" s="33"/>
      <c r="F223" s="33"/>
      <c r="G223" s="33"/>
      <c r="H223" s="629">
        <v>36.6</v>
      </c>
      <c r="I223" s="3951">
        <v>8.8000000000000007</v>
      </c>
      <c r="N223" s="33"/>
    </row>
    <row r="224" spans="2:14" ht="10.15" customHeight="1">
      <c r="B224" s="33"/>
      <c r="C224" s="33"/>
      <c r="D224" s="33"/>
      <c r="E224" s="33"/>
      <c r="F224" s="33"/>
      <c r="G224" s="33"/>
      <c r="H224" s="629">
        <v>36.700000000000003</v>
      </c>
      <c r="I224" s="3951">
        <v>8.8000000000000007</v>
      </c>
      <c r="N224" s="33"/>
    </row>
    <row r="225" spans="2:14" ht="10.15" customHeight="1">
      <c r="B225" s="33"/>
      <c r="C225" s="33"/>
      <c r="D225" s="33"/>
      <c r="E225" s="33"/>
      <c r="F225" s="33"/>
      <c r="G225" s="33"/>
      <c r="H225" s="629">
        <v>36.799999999999997</v>
      </c>
      <c r="I225" s="3951">
        <v>8.8000000000000007</v>
      </c>
      <c r="N225" s="33"/>
    </row>
    <row r="226" spans="2:14" ht="10.15" customHeight="1">
      <c r="B226" s="33"/>
      <c r="C226" s="33"/>
      <c r="D226" s="33"/>
      <c r="E226" s="33"/>
      <c r="F226" s="33"/>
      <c r="G226" s="33"/>
      <c r="H226" s="629">
        <v>36.9</v>
      </c>
      <c r="I226" s="3951">
        <v>8.8000000000000007</v>
      </c>
      <c r="N226" s="33"/>
    </row>
    <row r="227" spans="2:14" ht="10.15" customHeight="1">
      <c r="B227" s="33"/>
      <c r="C227" s="33"/>
      <c r="D227" s="33"/>
      <c r="E227" s="33"/>
      <c r="F227" s="33"/>
      <c r="G227" s="33"/>
      <c r="H227" s="630">
        <v>37</v>
      </c>
      <c r="I227" s="3951">
        <v>9.1</v>
      </c>
      <c r="N227" s="33"/>
    </row>
    <row r="228" spans="2:14" ht="10.15" customHeight="1">
      <c r="B228" s="33"/>
      <c r="C228" s="33"/>
      <c r="D228" s="33"/>
      <c r="E228" s="33"/>
      <c r="F228" s="33"/>
      <c r="G228" s="33"/>
      <c r="H228" s="629">
        <v>37.1</v>
      </c>
      <c r="I228" s="3951">
        <v>9.1</v>
      </c>
      <c r="N228" s="33"/>
    </row>
    <row r="229" spans="2:14" ht="10.15" customHeight="1">
      <c r="B229" s="33"/>
      <c r="C229" s="33"/>
      <c r="D229" s="33"/>
      <c r="E229" s="33"/>
      <c r="F229" s="33"/>
      <c r="G229" s="33"/>
      <c r="H229" s="629">
        <v>37.200000000000003</v>
      </c>
      <c r="I229" s="3951">
        <v>9.1</v>
      </c>
      <c r="N229" s="33"/>
    </row>
    <row r="230" spans="2:14" ht="10.15" customHeight="1">
      <c r="B230" s="33"/>
      <c r="C230" s="33"/>
      <c r="D230" s="33"/>
      <c r="E230" s="33"/>
      <c r="F230" s="33"/>
      <c r="G230" s="33"/>
      <c r="H230" s="629">
        <v>37.299999999999997</v>
      </c>
      <c r="I230" s="3951">
        <v>9.1</v>
      </c>
      <c r="N230" s="33"/>
    </row>
    <row r="231" spans="2:14" ht="10.15" customHeight="1">
      <c r="B231" s="33"/>
      <c r="C231" s="33"/>
      <c r="D231" s="33"/>
      <c r="E231" s="33"/>
      <c r="F231" s="33"/>
      <c r="G231" s="33"/>
      <c r="H231" s="629">
        <v>37.4</v>
      </c>
      <c r="I231" s="3951">
        <v>9.1</v>
      </c>
      <c r="N231" s="33"/>
    </row>
    <row r="232" spans="2:14" ht="10.15" customHeight="1">
      <c r="B232" s="33"/>
      <c r="C232" s="33"/>
      <c r="D232" s="33"/>
      <c r="E232" s="33"/>
      <c r="F232" s="33"/>
      <c r="G232" s="33"/>
      <c r="H232" s="629">
        <v>37.5</v>
      </c>
      <c r="I232" s="3951">
        <v>9.1</v>
      </c>
      <c r="N232" s="33"/>
    </row>
    <row r="233" spans="2:14" ht="10.15" customHeight="1">
      <c r="B233" s="33"/>
      <c r="C233" s="33"/>
      <c r="D233" s="33"/>
      <c r="E233" s="33"/>
      <c r="F233" s="33"/>
      <c r="G233" s="33"/>
      <c r="H233" s="629">
        <v>37.6</v>
      </c>
      <c r="I233" s="3951">
        <v>9.1</v>
      </c>
      <c r="N233" s="33"/>
    </row>
    <row r="234" spans="2:14" ht="10.15" customHeight="1">
      <c r="B234" s="33"/>
      <c r="C234" s="33"/>
      <c r="D234" s="33"/>
      <c r="E234" s="33"/>
      <c r="F234" s="33"/>
      <c r="G234" s="33"/>
      <c r="H234" s="629">
        <v>37.700000000000003</v>
      </c>
      <c r="I234" s="3951">
        <v>9.1</v>
      </c>
      <c r="N234" s="33"/>
    </row>
    <row r="235" spans="2:14" ht="10.15" customHeight="1">
      <c r="B235" s="33"/>
      <c r="C235" s="33"/>
      <c r="D235" s="33"/>
      <c r="E235" s="33"/>
      <c r="F235" s="33"/>
      <c r="G235" s="33"/>
      <c r="H235" s="629">
        <v>37.799999999999997</v>
      </c>
      <c r="I235" s="3951">
        <v>9.1</v>
      </c>
      <c r="N235" s="33"/>
    </row>
    <row r="236" spans="2:14" ht="10.15" customHeight="1">
      <c r="B236" s="33"/>
      <c r="C236" s="33"/>
      <c r="D236" s="33"/>
      <c r="E236" s="33"/>
      <c r="F236" s="33"/>
      <c r="G236" s="33"/>
      <c r="H236" s="629">
        <v>37.9</v>
      </c>
      <c r="I236" s="3951">
        <v>9.1</v>
      </c>
      <c r="N236" s="33"/>
    </row>
    <row r="237" spans="2:14" ht="10.15" customHeight="1">
      <c r="B237" s="33"/>
      <c r="C237" s="33"/>
      <c r="D237" s="33"/>
      <c r="E237" s="33"/>
      <c r="F237" s="33"/>
      <c r="G237" s="33"/>
      <c r="H237" s="630">
        <v>38</v>
      </c>
      <c r="I237" s="3951">
        <v>9.4</v>
      </c>
      <c r="N237" s="33"/>
    </row>
    <row r="238" spans="2:14" ht="10.15" customHeight="1">
      <c r="B238" s="33"/>
      <c r="C238" s="33"/>
      <c r="D238" s="33"/>
      <c r="E238" s="33"/>
      <c r="F238" s="33"/>
      <c r="G238" s="33"/>
      <c r="H238" s="629">
        <v>38.1</v>
      </c>
      <c r="I238" s="3951">
        <v>9.4</v>
      </c>
      <c r="N238" s="33"/>
    </row>
    <row r="239" spans="2:14" ht="10.15" customHeight="1">
      <c r="B239" s="33"/>
      <c r="C239" s="33"/>
      <c r="D239" s="33"/>
      <c r="E239" s="33"/>
      <c r="F239" s="33"/>
      <c r="G239" s="33"/>
      <c r="H239" s="629">
        <v>38.200000000000003</v>
      </c>
      <c r="I239" s="3951">
        <v>9.4</v>
      </c>
      <c r="N239" s="33"/>
    </row>
    <row r="240" spans="2:14" ht="10.15" customHeight="1">
      <c r="B240" s="33"/>
      <c r="C240" s="33"/>
      <c r="D240" s="33"/>
      <c r="E240" s="33"/>
      <c r="F240" s="33"/>
      <c r="G240" s="33"/>
      <c r="H240" s="629">
        <v>38.299999999999997</v>
      </c>
      <c r="I240" s="3951">
        <v>9.4</v>
      </c>
      <c r="N240" s="33"/>
    </row>
    <row r="241" spans="2:14" ht="10.15" customHeight="1">
      <c r="B241" s="33"/>
      <c r="C241" s="33"/>
      <c r="D241" s="33"/>
      <c r="E241" s="33"/>
      <c r="F241" s="33"/>
      <c r="G241" s="33"/>
      <c r="H241" s="629">
        <v>38.4</v>
      </c>
      <c r="I241" s="3951">
        <v>9.4</v>
      </c>
      <c r="N241" s="33"/>
    </row>
    <row r="242" spans="2:14" ht="10.15" customHeight="1">
      <c r="B242" s="33"/>
      <c r="C242" s="33"/>
      <c r="D242" s="33"/>
      <c r="E242" s="33"/>
      <c r="F242" s="33"/>
      <c r="G242" s="33"/>
      <c r="H242" s="629">
        <v>38.5</v>
      </c>
      <c r="I242" s="3951">
        <v>9.4</v>
      </c>
      <c r="N242" s="33"/>
    </row>
    <row r="243" spans="2:14" ht="10.15" customHeight="1">
      <c r="B243" s="33"/>
      <c r="C243" s="33"/>
      <c r="D243" s="33"/>
      <c r="E243" s="33"/>
      <c r="F243" s="33"/>
      <c r="G243" s="33"/>
      <c r="H243" s="629">
        <v>38.6</v>
      </c>
      <c r="I243" s="3951">
        <v>9.4</v>
      </c>
      <c r="N243" s="33"/>
    </row>
    <row r="244" spans="2:14" ht="10.15" customHeight="1">
      <c r="B244" s="33"/>
      <c r="C244" s="33"/>
      <c r="D244" s="33"/>
      <c r="E244" s="33"/>
      <c r="F244" s="33"/>
      <c r="G244" s="33"/>
      <c r="H244" s="629">
        <v>38.700000000000003</v>
      </c>
      <c r="I244" s="3951">
        <v>9.4</v>
      </c>
      <c r="N244" s="33"/>
    </row>
    <row r="245" spans="2:14" ht="10.15" customHeight="1">
      <c r="B245" s="33"/>
      <c r="C245" s="33"/>
      <c r="D245" s="33"/>
      <c r="E245" s="33"/>
      <c r="F245" s="33"/>
      <c r="G245" s="33"/>
      <c r="H245" s="629">
        <v>38.799999999999997</v>
      </c>
      <c r="I245" s="3951">
        <v>9.4</v>
      </c>
      <c r="N245" s="33"/>
    </row>
    <row r="246" spans="2:14" ht="10.15" customHeight="1">
      <c r="B246" s="33"/>
      <c r="C246" s="33"/>
      <c r="D246" s="33"/>
      <c r="E246" s="33"/>
      <c r="F246" s="33"/>
      <c r="G246" s="33"/>
      <c r="H246" s="629">
        <v>38.9</v>
      </c>
      <c r="I246" s="3951">
        <v>9.4</v>
      </c>
      <c r="N246" s="33"/>
    </row>
    <row r="247" spans="2:14" ht="10.15" customHeight="1">
      <c r="B247" s="33"/>
      <c r="C247" s="33"/>
      <c r="D247" s="33"/>
      <c r="E247" s="33"/>
      <c r="F247" s="33"/>
      <c r="G247" s="33"/>
      <c r="H247" s="630">
        <v>39</v>
      </c>
      <c r="I247" s="3951">
        <v>9.6999999999999993</v>
      </c>
      <c r="N247" s="33"/>
    </row>
    <row r="248" spans="2:14" ht="10.15" customHeight="1">
      <c r="B248" s="33"/>
      <c r="C248" s="33"/>
      <c r="D248" s="33"/>
      <c r="E248" s="33"/>
      <c r="F248" s="33"/>
      <c r="G248" s="33"/>
      <c r="H248" s="629">
        <v>39.1</v>
      </c>
      <c r="I248" s="3951">
        <v>9.6999999999999993</v>
      </c>
      <c r="N248" s="33"/>
    </row>
    <row r="249" spans="2:14" ht="10.15" customHeight="1">
      <c r="B249" s="33"/>
      <c r="C249" s="33"/>
      <c r="D249" s="33"/>
      <c r="E249" s="33"/>
      <c r="F249" s="33"/>
      <c r="G249" s="33"/>
      <c r="H249" s="629">
        <v>39.200000000000003</v>
      </c>
      <c r="I249" s="3951">
        <v>9.6999999999999993</v>
      </c>
      <c r="N249" s="33"/>
    </row>
    <row r="250" spans="2:14" ht="10.15" customHeight="1">
      <c r="B250" s="33"/>
      <c r="C250" s="33"/>
      <c r="D250" s="33"/>
      <c r="E250" s="33"/>
      <c r="F250" s="33"/>
      <c r="G250" s="33"/>
      <c r="H250" s="629">
        <v>39.299999999999997</v>
      </c>
      <c r="I250" s="3951">
        <v>9.6999999999999993</v>
      </c>
      <c r="N250" s="33"/>
    </row>
    <row r="251" spans="2:14" ht="10.15" customHeight="1">
      <c r="B251" s="33"/>
      <c r="C251" s="33"/>
      <c r="D251" s="33"/>
      <c r="E251" s="33"/>
      <c r="F251" s="33"/>
      <c r="G251" s="33"/>
      <c r="H251" s="629">
        <v>39.4</v>
      </c>
      <c r="I251" s="3951">
        <v>9.6999999999999993</v>
      </c>
      <c r="N251" s="33"/>
    </row>
    <row r="252" spans="2:14" ht="10.15" customHeight="1">
      <c r="B252" s="33"/>
      <c r="C252" s="33"/>
      <c r="D252" s="33"/>
      <c r="E252" s="33"/>
      <c r="F252" s="33"/>
      <c r="G252" s="33"/>
      <c r="H252" s="629">
        <v>39.5</v>
      </c>
      <c r="I252" s="3951">
        <v>9.6999999999999993</v>
      </c>
      <c r="N252" s="33"/>
    </row>
    <row r="253" spans="2:14" ht="10.15" customHeight="1">
      <c r="B253" s="33"/>
      <c r="C253" s="33"/>
      <c r="D253" s="33"/>
      <c r="E253" s="33"/>
      <c r="F253" s="33"/>
      <c r="G253" s="33"/>
      <c r="H253" s="629">
        <v>39.6</v>
      </c>
      <c r="I253" s="3951">
        <v>9.6999999999999993</v>
      </c>
      <c r="N253" s="33"/>
    </row>
    <row r="254" spans="2:14" ht="10.15" customHeight="1">
      <c r="B254" s="33"/>
      <c r="C254" s="33"/>
      <c r="D254" s="33"/>
      <c r="E254" s="33"/>
      <c r="F254" s="33"/>
      <c r="G254" s="33"/>
      <c r="H254" s="629">
        <v>39.700000000000003</v>
      </c>
      <c r="I254" s="3951">
        <v>9.6999999999999993</v>
      </c>
      <c r="N254" s="33"/>
    </row>
    <row r="255" spans="2:14" ht="10.15" customHeight="1">
      <c r="B255" s="33"/>
      <c r="C255" s="33"/>
      <c r="D255" s="33"/>
      <c r="E255" s="33"/>
      <c r="F255" s="33"/>
      <c r="G255" s="33"/>
      <c r="H255" s="629">
        <v>39.799999999999997</v>
      </c>
      <c r="I255" s="3951">
        <v>9.6999999999999993</v>
      </c>
      <c r="N255" s="33"/>
    </row>
    <row r="256" spans="2:14" ht="10.15" customHeight="1" thickBot="1">
      <c r="B256" s="33"/>
      <c r="C256" s="33"/>
      <c r="D256" s="33"/>
      <c r="E256" s="33"/>
      <c r="F256" s="33"/>
      <c r="G256" s="33"/>
      <c r="H256" s="624">
        <v>39.9</v>
      </c>
      <c r="I256" s="623">
        <v>9.6999999999999993</v>
      </c>
      <c r="N256" s="33"/>
    </row>
    <row r="257" spans="2:14" ht="10.15" customHeight="1">
      <c r="B257" s="33"/>
      <c r="C257" s="33"/>
      <c r="D257" s="33"/>
      <c r="E257" s="33"/>
      <c r="F257" s="33"/>
      <c r="G257" s="33"/>
      <c r="I257" s="33"/>
      <c r="N257" s="33"/>
    </row>
    <row r="258" spans="2:14" ht="10.15" customHeight="1">
      <c r="B258" s="33"/>
      <c r="C258" s="33"/>
      <c r="D258" s="33"/>
      <c r="E258" s="33"/>
      <c r="F258" s="33"/>
      <c r="G258" s="33"/>
      <c r="I258" s="33"/>
      <c r="N258" s="33"/>
    </row>
    <row r="259" spans="2:14" ht="10.15" customHeight="1">
      <c r="B259" s="33"/>
      <c r="C259" s="33"/>
      <c r="D259" s="33"/>
      <c r="E259" s="33"/>
      <c r="F259" s="33"/>
      <c r="G259" s="33"/>
      <c r="I259" s="33"/>
      <c r="N259" s="33"/>
    </row>
    <row r="260" spans="2:14" ht="10.15" customHeight="1">
      <c r="B260" s="33"/>
      <c r="C260" s="33"/>
      <c r="D260" s="33"/>
      <c r="E260" s="33"/>
      <c r="F260" s="33"/>
      <c r="G260" s="33"/>
      <c r="I260" s="33"/>
      <c r="N260" s="33"/>
    </row>
    <row r="261" spans="2:14" ht="10.15" customHeight="1">
      <c r="B261" s="33"/>
      <c r="C261" s="33"/>
      <c r="D261" s="33"/>
      <c r="E261" s="33"/>
      <c r="F261" s="33"/>
      <c r="G261" s="33"/>
      <c r="I261" s="33"/>
      <c r="N261" s="33"/>
    </row>
    <row r="262" spans="2:14" ht="10.15" customHeight="1">
      <c r="B262" s="33"/>
      <c r="C262" s="33"/>
      <c r="D262" s="33"/>
      <c r="E262" s="33"/>
      <c r="F262" s="33"/>
      <c r="G262" s="33"/>
      <c r="I262" s="33"/>
      <c r="N262" s="33"/>
    </row>
    <row r="263" spans="2:14" ht="10.15" customHeight="1">
      <c r="B263" s="33"/>
      <c r="C263" s="33"/>
      <c r="D263" s="33"/>
      <c r="E263" s="33"/>
      <c r="F263" s="33"/>
      <c r="G263" s="33"/>
      <c r="I263" s="33"/>
      <c r="N263" s="33"/>
    </row>
    <row r="264" spans="2:14" ht="10.15" customHeight="1">
      <c r="B264" s="33"/>
      <c r="C264" s="33"/>
      <c r="D264" s="33"/>
      <c r="E264" s="33"/>
      <c r="F264" s="33"/>
      <c r="G264" s="33"/>
      <c r="I264" s="33"/>
      <c r="N264" s="33"/>
    </row>
    <row r="265" spans="2:14" ht="10.15" customHeight="1">
      <c r="B265" s="33"/>
      <c r="C265" s="33"/>
      <c r="D265" s="33"/>
      <c r="E265" s="33"/>
      <c r="F265" s="33"/>
      <c r="G265" s="33"/>
      <c r="I265" s="33"/>
      <c r="N265" s="33"/>
    </row>
    <row r="266" spans="2:14" ht="10.15" customHeight="1">
      <c r="B266" s="33"/>
      <c r="C266" s="33"/>
      <c r="D266" s="33"/>
      <c r="E266" s="33"/>
      <c r="F266" s="33"/>
      <c r="G266" s="33"/>
      <c r="I266" s="33"/>
      <c r="N266" s="33"/>
    </row>
    <row r="267" spans="2:14" ht="10.15" customHeight="1">
      <c r="B267" s="33"/>
      <c r="C267" s="33"/>
      <c r="D267" s="33"/>
      <c r="E267" s="33"/>
      <c r="F267" s="33"/>
      <c r="G267" s="33"/>
      <c r="I267" s="33"/>
      <c r="N267" s="33"/>
    </row>
    <row r="268" spans="2:14" ht="10.15" customHeight="1">
      <c r="B268" s="33"/>
      <c r="C268" s="33"/>
      <c r="D268" s="33"/>
      <c r="E268" s="33"/>
      <c r="F268" s="33"/>
      <c r="G268" s="33"/>
      <c r="I268" s="33"/>
      <c r="N268" s="33"/>
    </row>
    <row r="269" spans="2:14" ht="10.15" customHeight="1">
      <c r="B269" s="33"/>
      <c r="C269" s="33"/>
      <c r="D269" s="33"/>
      <c r="E269" s="33"/>
      <c r="F269" s="33"/>
      <c r="G269" s="33"/>
      <c r="I269" s="33"/>
      <c r="N269" s="33"/>
    </row>
    <row r="270" spans="2:14" ht="10.15" customHeight="1">
      <c r="B270" s="33"/>
      <c r="C270" s="33"/>
      <c r="D270" s="33"/>
      <c r="E270" s="33"/>
      <c r="F270" s="33"/>
      <c r="G270" s="33"/>
      <c r="I270" s="33"/>
      <c r="N270" s="33"/>
    </row>
    <row r="271" spans="2:14" ht="10.15" customHeight="1">
      <c r="B271" s="33"/>
      <c r="C271" s="33"/>
      <c r="D271" s="33"/>
      <c r="E271" s="33"/>
      <c r="F271" s="33"/>
      <c r="G271" s="33"/>
      <c r="I271" s="33"/>
      <c r="N271" s="33"/>
    </row>
    <row r="272" spans="2:14" ht="10.15" customHeight="1">
      <c r="B272" s="33"/>
      <c r="C272" s="33"/>
      <c r="D272" s="33"/>
      <c r="E272" s="33"/>
      <c r="F272" s="33"/>
      <c r="G272" s="33"/>
      <c r="I272" s="33"/>
      <c r="N272" s="33"/>
    </row>
    <row r="273" spans="2:14" ht="10.15" customHeight="1">
      <c r="B273" s="33"/>
      <c r="C273" s="33"/>
      <c r="D273" s="33"/>
      <c r="E273" s="33"/>
      <c r="F273" s="33"/>
      <c r="G273" s="33"/>
      <c r="I273" s="33"/>
      <c r="N273" s="33"/>
    </row>
    <row r="274" spans="2:14" ht="10.15" customHeight="1">
      <c r="B274" s="33"/>
      <c r="C274" s="33"/>
      <c r="D274" s="33"/>
      <c r="E274" s="33"/>
      <c r="F274" s="33"/>
      <c r="G274" s="33"/>
      <c r="I274" s="33"/>
      <c r="N274" s="33"/>
    </row>
    <row r="275" spans="2:14" ht="10.15" customHeight="1">
      <c r="B275" s="33"/>
      <c r="C275" s="33"/>
      <c r="D275" s="33"/>
      <c r="E275" s="33"/>
      <c r="F275" s="33"/>
      <c r="G275" s="33"/>
      <c r="I275" s="33"/>
      <c r="N275" s="33"/>
    </row>
    <row r="276" spans="2:14" ht="10.15" customHeight="1">
      <c r="B276" s="33"/>
      <c r="C276" s="33"/>
      <c r="D276" s="33"/>
      <c r="E276" s="33"/>
      <c r="F276" s="33"/>
      <c r="G276" s="33"/>
      <c r="I276" s="33"/>
      <c r="N276" s="33"/>
    </row>
    <row r="277" spans="2:14" ht="10.15" customHeight="1">
      <c r="B277" s="33"/>
      <c r="C277" s="33"/>
      <c r="D277" s="33"/>
      <c r="E277" s="33"/>
      <c r="F277" s="33"/>
      <c r="G277" s="33"/>
      <c r="I277" s="33"/>
      <c r="N277" s="33"/>
    </row>
    <row r="278" spans="2:14" ht="10.15" customHeight="1">
      <c r="B278" s="33"/>
      <c r="C278" s="33"/>
      <c r="D278" s="33"/>
      <c r="E278" s="33"/>
      <c r="F278" s="33"/>
      <c r="G278" s="33"/>
      <c r="I278" s="33"/>
      <c r="N278" s="33"/>
    </row>
    <row r="279" spans="2:14" ht="10.15" customHeight="1">
      <c r="B279" s="33"/>
      <c r="C279" s="33"/>
      <c r="D279" s="33"/>
      <c r="E279" s="33"/>
      <c r="F279" s="33"/>
      <c r="G279" s="33"/>
      <c r="I279" s="33"/>
      <c r="N279" s="33"/>
    </row>
    <row r="280" spans="2:14" ht="10.15" customHeight="1">
      <c r="B280" s="33"/>
      <c r="C280" s="33"/>
      <c r="D280" s="33"/>
      <c r="E280" s="33"/>
      <c r="F280" s="33"/>
      <c r="G280" s="33"/>
      <c r="I280" s="33"/>
      <c r="N280" s="33"/>
    </row>
    <row r="281" spans="2:14" ht="10.15" customHeight="1">
      <c r="B281" s="33"/>
      <c r="C281" s="33"/>
      <c r="D281" s="33"/>
      <c r="E281" s="33"/>
      <c r="F281" s="33"/>
      <c r="G281" s="33"/>
      <c r="I281" s="33"/>
      <c r="N281" s="33"/>
    </row>
    <row r="282" spans="2:14" ht="10.15" customHeight="1">
      <c r="B282" s="33"/>
      <c r="C282" s="33"/>
      <c r="D282" s="33"/>
      <c r="E282" s="33"/>
      <c r="F282" s="33"/>
      <c r="G282" s="33"/>
      <c r="I282" s="33"/>
      <c r="N282" s="33"/>
    </row>
    <row r="283" spans="2:14" ht="10.15" customHeight="1">
      <c r="B283" s="33"/>
      <c r="C283" s="33"/>
      <c r="D283" s="33"/>
      <c r="E283" s="33"/>
      <c r="F283" s="33"/>
      <c r="G283" s="33"/>
      <c r="I283" s="33"/>
      <c r="N283" s="33"/>
    </row>
    <row r="284" spans="2:14" ht="10.15" customHeight="1">
      <c r="B284" s="33"/>
      <c r="C284" s="33"/>
      <c r="D284" s="33"/>
      <c r="E284" s="33"/>
      <c r="F284" s="33"/>
      <c r="G284" s="33"/>
      <c r="I284" s="33"/>
      <c r="N284" s="33"/>
    </row>
    <row r="285" spans="2:14" ht="10.15" customHeight="1">
      <c r="B285" s="33"/>
      <c r="C285" s="33"/>
      <c r="D285" s="33"/>
      <c r="E285" s="33"/>
      <c r="F285" s="33"/>
      <c r="G285" s="33"/>
      <c r="I285" s="33"/>
      <c r="N285" s="33"/>
    </row>
    <row r="286" spans="2:14" ht="10.15" customHeight="1">
      <c r="B286" s="33"/>
      <c r="C286" s="33"/>
      <c r="D286" s="33"/>
      <c r="E286" s="33"/>
      <c r="F286" s="33"/>
      <c r="G286" s="33"/>
      <c r="I286" s="33"/>
      <c r="N286" s="33"/>
    </row>
    <row r="287" spans="2:14" ht="10.15" customHeight="1">
      <c r="B287" s="33"/>
      <c r="C287" s="33"/>
      <c r="D287" s="33"/>
      <c r="E287" s="33"/>
      <c r="F287" s="33"/>
      <c r="G287" s="33"/>
      <c r="I287" s="33"/>
      <c r="N287" s="33"/>
    </row>
    <row r="288" spans="2:14" ht="10.15" customHeight="1">
      <c r="B288" s="33"/>
      <c r="C288" s="33"/>
      <c r="D288" s="33"/>
      <c r="E288" s="33"/>
      <c r="F288" s="33"/>
      <c r="G288" s="33"/>
      <c r="I288" s="33"/>
      <c r="N288" s="33"/>
    </row>
    <row r="289" spans="2:14" ht="10.15" customHeight="1">
      <c r="B289" s="33"/>
      <c r="C289" s="33"/>
      <c r="D289" s="33"/>
      <c r="E289" s="33"/>
      <c r="F289" s="33"/>
      <c r="G289" s="33"/>
      <c r="I289" s="33"/>
      <c r="N289" s="33"/>
    </row>
    <row r="290" spans="2:14" ht="10.15" customHeight="1">
      <c r="B290" s="33"/>
      <c r="C290" s="33"/>
      <c r="D290" s="33"/>
      <c r="E290" s="33"/>
      <c r="F290" s="33"/>
      <c r="G290" s="33"/>
      <c r="I290" s="33"/>
      <c r="N290" s="33"/>
    </row>
    <row r="291" spans="2:14" ht="10.15" customHeight="1">
      <c r="B291" s="33"/>
      <c r="C291" s="33"/>
      <c r="D291" s="33"/>
      <c r="E291" s="33"/>
      <c r="F291" s="33"/>
      <c r="G291" s="33"/>
      <c r="I291" s="33"/>
      <c r="N291" s="33"/>
    </row>
    <row r="292" spans="2:14" ht="10.15" customHeight="1">
      <c r="B292" s="33"/>
      <c r="C292" s="33"/>
      <c r="D292" s="33"/>
      <c r="E292" s="33"/>
      <c r="F292" s="33"/>
      <c r="G292" s="33"/>
      <c r="I292" s="33"/>
      <c r="N292" s="33"/>
    </row>
    <row r="293" spans="2:14" ht="10.15" customHeight="1">
      <c r="B293" s="33"/>
      <c r="C293" s="33"/>
      <c r="D293" s="33"/>
      <c r="E293" s="33"/>
      <c r="F293" s="33"/>
      <c r="G293" s="33"/>
      <c r="I293" s="33"/>
      <c r="N293" s="33"/>
    </row>
    <row r="294" spans="2:14" ht="10.15" customHeight="1">
      <c r="B294" s="33"/>
      <c r="C294" s="33"/>
      <c r="D294" s="33"/>
      <c r="E294" s="33"/>
      <c r="F294" s="33"/>
      <c r="G294" s="33"/>
      <c r="I294" s="33"/>
      <c r="N294" s="33"/>
    </row>
    <row r="295" spans="2:14" ht="10.15" customHeight="1">
      <c r="B295" s="33"/>
      <c r="C295" s="33"/>
      <c r="D295" s="33"/>
      <c r="E295" s="33"/>
      <c r="F295" s="33"/>
      <c r="G295" s="33"/>
      <c r="I295" s="33"/>
      <c r="N295" s="33"/>
    </row>
    <row r="296" spans="2:14" ht="10.15" customHeight="1">
      <c r="B296" s="33"/>
      <c r="C296" s="33"/>
      <c r="D296" s="33"/>
      <c r="E296" s="33"/>
      <c r="F296" s="33"/>
      <c r="G296" s="33"/>
      <c r="I296" s="33"/>
      <c r="N296" s="33"/>
    </row>
    <row r="297" spans="2:14" ht="10.15" customHeight="1">
      <c r="B297" s="33"/>
      <c r="C297" s="33"/>
      <c r="D297" s="33"/>
      <c r="E297" s="33"/>
      <c r="F297" s="33"/>
      <c r="G297" s="33"/>
      <c r="I297" s="33"/>
      <c r="N297" s="33"/>
    </row>
    <row r="298" spans="2:14" ht="10.15" customHeight="1">
      <c r="B298" s="33"/>
      <c r="C298" s="33"/>
      <c r="D298" s="33"/>
      <c r="E298" s="33"/>
      <c r="F298" s="33"/>
      <c r="G298" s="33"/>
      <c r="I298" s="33"/>
      <c r="N298" s="33"/>
    </row>
    <row r="299" spans="2:14" ht="10.15" customHeight="1">
      <c r="B299" s="33"/>
      <c r="C299" s="33"/>
      <c r="D299" s="33"/>
      <c r="E299" s="33"/>
      <c r="F299" s="33"/>
      <c r="G299" s="33"/>
      <c r="I299" s="33"/>
      <c r="N299" s="33"/>
    </row>
    <row r="300" spans="2:14" ht="10.15" customHeight="1">
      <c r="B300" s="33"/>
      <c r="C300" s="33"/>
      <c r="D300" s="33"/>
      <c r="E300" s="33"/>
      <c r="F300" s="33"/>
      <c r="G300" s="33"/>
      <c r="I300" s="33"/>
      <c r="N300" s="33"/>
    </row>
    <row r="301" spans="2:14" ht="10.15" customHeight="1">
      <c r="B301" s="33"/>
      <c r="C301" s="33"/>
      <c r="D301" s="33"/>
      <c r="E301" s="33"/>
      <c r="F301" s="33"/>
      <c r="G301" s="33"/>
      <c r="I301" s="33"/>
      <c r="N301" s="33"/>
    </row>
    <row r="302" spans="2:14" ht="10.15" customHeight="1">
      <c r="B302" s="33"/>
      <c r="C302" s="33"/>
      <c r="D302" s="33"/>
      <c r="E302" s="33"/>
      <c r="F302" s="33"/>
      <c r="G302" s="33"/>
      <c r="I302" s="33"/>
      <c r="N302" s="33"/>
    </row>
    <row r="303" spans="2:14" ht="10.15" customHeight="1">
      <c r="B303" s="33"/>
      <c r="C303" s="33"/>
      <c r="D303" s="33"/>
      <c r="E303" s="33"/>
      <c r="F303" s="33"/>
      <c r="G303" s="33"/>
      <c r="I303" s="33"/>
      <c r="N303" s="33"/>
    </row>
    <row r="304" spans="2:14" ht="10.15" customHeight="1">
      <c r="B304" s="33"/>
      <c r="C304" s="33"/>
      <c r="D304" s="33"/>
      <c r="E304" s="33"/>
      <c r="F304" s="33"/>
      <c r="G304" s="33"/>
      <c r="I304" s="33"/>
      <c r="N304" s="33"/>
    </row>
    <row r="305" spans="2:14" ht="10.15" customHeight="1">
      <c r="B305" s="33"/>
      <c r="C305" s="33"/>
      <c r="D305" s="33"/>
      <c r="E305" s="33"/>
      <c r="F305" s="33"/>
      <c r="G305" s="33"/>
      <c r="I305" s="33"/>
      <c r="N305" s="33"/>
    </row>
    <row r="306" spans="2:14" ht="10.15" customHeight="1">
      <c r="B306" s="33"/>
      <c r="C306" s="33"/>
      <c r="D306" s="33"/>
      <c r="E306" s="33"/>
      <c r="F306" s="33"/>
      <c r="G306" s="33"/>
      <c r="I306" s="33"/>
      <c r="N306" s="33"/>
    </row>
    <row r="307" spans="2:14" ht="10.15" customHeight="1">
      <c r="B307" s="33"/>
      <c r="C307" s="33"/>
      <c r="D307" s="33"/>
      <c r="E307" s="33"/>
      <c r="F307" s="33"/>
      <c r="G307" s="33"/>
      <c r="I307" s="33"/>
      <c r="N307" s="33"/>
    </row>
    <row r="308" spans="2:14" ht="10.15" customHeight="1">
      <c r="B308" s="33"/>
      <c r="C308" s="33"/>
      <c r="D308" s="33"/>
      <c r="E308" s="33"/>
      <c r="F308" s="33"/>
      <c r="G308" s="33"/>
      <c r="I308" s="33"/>
      <c r="N308" s="33"/>
    </row>
    <row r="309" spans="2:14" ht="10.15" customHeight="1">
      <c r="B309" s="33"/>
      <c r="C309" s="33"/>
      <c r="D309" s="33"/>
      <c r="E309" s="33"/>
      <c r="F309" s="33"/>
      <c r="G309" s="33"/>
      <c r="I309" s="33"/>
      <c r="N309" s="33"/>
    </row>
    <row r="310" spans="2:14" ht="10.15" customHeight="1">
      <c r="B310" s="33"/>
      <c r="C310" s="33"/>
      <c r="D310" s="33"/>
      <c r="E310" s="33"/>
      <c r="F310" s="33"/>
      <c r="G310" s="33"/>
      <c r="I310" s="33"/>
      <c r="N310" s="33"/>
    </row>
    <row r="311" spans="2:14" ht="10.15" customHeight="1">
      <c r="B311" s="33"/>
      <c r="C311" s="33"/>
      <c r="D311" s="33"/>
      <c r="E311" s="33"/>
      <c r="F311" s="33"/>
      <c r="G311" s="33"/>
      <c r="I311" s="33"/>
      <c r="N311" s="33"/>
    </row>
    <row r="312" spans="2:14" ht="10.15" customHeight="1">
      <c r="B312" s="33"/>
      <c r="C312" s="33"/>
      <c r="D312" s="33"/>
      <c r="E312" s="33"/>
      <c r="F312" s="33"/>
      <c r="G312" s="33"/>
      <c r="I312" s="33"/>
      <c r="N312" s="33"/>
    </row>
    <row r="313" spans="2:14" ht="10.15" customHeight="1">
      <c r="B313" s="33"/>
      <c r="C313" s="33"/>
      <c r="D313" s="33"/>
      <c r="E313" s="33"/>
      <c r="F313" s="33"/>
      <c r="G313" s="33"/>
      <c r="I313" s="33"/>
      <c r="N313" s="33"/>
    </row>
    <row r="314" spans="2:14" ht="10.15" customHeight="1">
      <c r="B314" s="33"/>
      <c r="C314" s="33"/>
      <c r="D314" s="33"/>
      <c r="E314" s="33"/>
      <c r="F314" s="33"/>
      <c r="G314" s="33"/>
      <c r="I314" s="33"/>
      <c r="N314" s="33"/>
    </row>
    <row r="315" spans="2:14" ht="10.15" customHeight="1">
      <c r="B315" s="33"/>
      <c r="C315" s="33"/>
      <c r="D315" s="33"/>
      <c r="E315" s="33"/>
      <c r="F315" s="33"/>
      <c r="G315" s="33"/>
      <c r="I315" s="33"/>
      <c r="N315" s="33"/>
    </row>
    <row r="316" spans="2:14" ht="10.15" customHeight="1">
      <c r="B316" s="33"/>
      <c r="C316" s="33"/>
      <c r="D316" s="33"/>
      <c r="E316" s="33"/>
      <c r="F316" s="33"/>
      <c r="G316" s="33"/>
      <c r="I316" s="33"/>
      <c r="N316" s="33"/>
    </row>
    <row r="317" spans="2:14" ht="10.15" customHeight="1">
      <c r="B317" s="33"/>
      <c r="C317" s="33"/>
      <c r="D317" s="33"/>
      <c r="E317" s="33"/>
      <c r="F317" s="33"/>
      <c r="G317" s="33"/>
      <c r="I317" s="33"/>
      <c r="N317" s="33"/>
    </row>
    <row r="318" spans="2:14" ht="10.15" customHeight="1">
      <c r="B318" s="33"/>
      <c r="C318" s="33"/>
      <c r="D318" s="33"/>
      <c r="E318" s="33"/>
      <c r="F318" s="33"/>
      <c r="G318" s="33"/>
      <c r="I318" s="33"/>
      <c r="N318" s="33"/>
    </row>
    <row r="319" spans="2:14" ht="10.15" customHeight="1">
      <c r="B319" s="33"/>
      <c r="C319" s="33"/>
      <c r="D319" s="33"/>
      <c r="E319" s="33"/>
      <c r="F319" s="33"/>
      <c r="G319" s="33"/>
      <c r="I319" s="33"/>
      <c r="N319" s="33"/>
    </row>
    <row r="320" spans="2:14" ht="10.15" customHeight="1">
      <c r="B320" s="33"/>
      <c r="C320" s="33"/>
      <c r="D320" s="33"/>
      <c r="E320" s="33"/>
      <c r="F320" s="33"/>
      <c r="G320" s="33"/>
      <c r="I320" s="33"/>
      <c r="N320" s="33"/>
    </row>
    <row r="321" spans="2:14" ht="10.15" customHeight="1">
      <c r="B321" s="33"/>
      <c r="C321" s="33"/>
      <c r="D321" s="33"/>
      <c r="E321" s="33"/>
      <c r="F321" s="33"/>
      <c r="G321" s="33"/>
      <c r="I321" s="33"/>
      <c r="N321" s="33"/>
    </row>
    <row r="322" spans="2:14" ht="10.15" customHeight="1">
      <c r="B322" s="33"/>
      <c r="C322" s="33"/>
      <c r="D322" s="33"/>
      <c r="E322" s="33"/>
      <c r="F322" s="33"/>
      <c r="G322" s="33"/>
      <c r="I322" s="33"/>
      <c r="N322" s="33"/>
    </row>
    <row r="323" spans="2:14" ht="10.15" customHeight="1">
      <c r="B323" s="33"/>
      <c r="C323" s="33"/>
      <c r="D323" s="33"/>
      <c r="E323" s="33"/>
      <c r="F323" s="33"/>
      <c r="G323" s="33"/>
      <c r="I323" s="33"/>
      <c r="N323" s="33"/>
    </row>
    <row r="324" spans="2:14" ht="10.15" customHeight="1">
      <c r="B324" s="33"/>
      <c r="C324" s="33"/>
      <c r="D324" s="33"/>
      <c r="E324" s="33"/>
      <c r="F324" s="33"/>
      <c r="G324" s="33"/>
      <c r="I324" s="33"/>
      <c r="N324" s="33"/>
    </row>
    <row r="325" spans="2:14" ht="10.15" customHeight="1">
      <c r="B325" s="33"/>
      <c r="C325" s="33"/>
      <c r="D325" s="33"/>
      <c r="E325" s="33"/>
      <c r="F325" s="33"/>
      <c r="G325" s="33"/>
      <c r="I325" s="33"/>
      <c r="N325" s="33"/>
    </row>
    <row r="326" spans="2:14" ht="10.15" customHeight="1">
      <c r="B326" s="33"/>
      <c r="C326" s="33"/>
      <c r="D326" s="33"/>
      <c r="E326" s="33"/>
      <c r="F326" s="33"/>
      <c r="G326" s="33"/>
      <c r="I326" s="33"/>
      <c r="N326" s="33"/>
    </row>
    <row r="327" spans="2:14" ht="10.15" customHeight="1">
      <c r="B327" s="33"/>
      <c r="C327" s="33"/>
      <c r="D327" s="33"/>
      <c r="E327" s="33"/>
      <c r="F327" s="33"/>
      <c r="G327" s="33"/>
      <c r="I327" s="33"/>
      <c r="N327" s="33"/>
    </row>
    <row r="328" spans="2:14" ht="10.15" customHeight="1">
      <c r="B328" s="33"/>
      <c r="C328" s="33"/>
      <c r="D328" s="33"/>
      <c r="E328" s="33"/>
      <c r="F328" s="33"/>
      <c r="G328" s="33"/>
      <c r="I328" s="33"/>
      <c r="N328" s="33"/>
    </row>
    <row r="329" spans="2:14" ht="10.15" customHeight="1">
      <c r="B329" s="33"/>
      <c r="C329" s="33"/>
      <c r="D329" s="33"/>
      <c r="E329" s="33"/>
      <c r="F329" s="33"/>
      <c r="G329" s="33"/>
      <c r="I329" s="33"/>
      <c r="N329" s="33"/>
    </row>
    <row r="330" spans="2:14" ht="10.15" customHeight="1">
      <c r="B330" s="33"/>
      <c r="C330" s="33"/>
      <c r="D330" s="33"/>
      <c r="E330" s="33"/>
      <c r="F330" s="33"/>
      <c r="G330" s="33"/>
      <c r="I330" s="33"/>
      <c r="N330" s="33"/>
    </row>
    <row r="331" spans="2:14" ht="10.15" customHeight="1">
      <c r="B331" s="33"/>
      <c r="C331" s="33"/>
      <c r="D331" s="33"/>
      <c r="E331" s="33"/>
      <c r="F331" s="33"/>
      <c r="G331" s="33"/>
      <c r="I331" s="33"/>
      <c r="N331" s="33"/>
    </row>
    <row r="332" spans="2:14" ht="10.15" customHeight="1">
      <c r="B332" s="33"/>
      <c r="C332" s="33"/>
      <c r="D332" s="33"/>
      <c r="E332" s="33"/>
      <c r="F332" s="33"/>
      <c r="G332" s="33"/>
      <c r="I332" s="33"/>
      <c r="N332" s="33"/>
    </row>
    <row r="333" spans="2:14" ht="10.15" customHeight="1">
      <c r="B333" s="33"/>
      <c r="C333" s="33"/>
      <c r="D333" s="33"/>
      <c r="E333" s="33"/>
      <c r="F333" s="33"/>
      <c r="G333" s="33"/>
      <c r="I333" s="33"/>
      <c r="N333" s="33"/>
    </row>
    <row r="334" spans="2:14" ht="10.15" customHeight="1">
      <c r="B334" s="33"/>
      <c r="C334" s="33"/>
      <c r="D334" s="33"/>
      <c r="E334" s="33"/>
      <c r="F334" s="33"/>
      <c r="G334" s="33"/>
      <c r="I334" s="33"/>
      <c r="N334" s="33"/>
    </row>
    <row r="335" spans="2:14" ht="10.15" customHeight="1">
      <c r="B335" s="33"/>
      <c r="C335" s="33"/>
      <c r="D335" s="33"/>
      <c r="E335" s="33"/>
      <c r="F335" s="33"/>
      <c r="G335" s="33"/>
      <c r="I335" s="33"/>
      <c r="N335" s="33"/>
    </row>
    <row r="336" spans="2:14" ht="10.15" customHeight="1">
      <c r="B336" s="33"/>
      <c r="C336" s="33"/>
      <c r="D336" s="33"/>
      <c r="E336" s="33"/>
      <c r="F336" s="33"/>
      <c r="G336" s="33"/>
      <c r="I336" s="33"/>
      <c r="N336" s="33"/>
    </row>
    <row r="337" spans="2:14" ht="10.15" customHeight="1">
      <c r="B337" s="33"/>
      <c r="C337" s="33"/>
      <c r="D337" s="33"/>
      <c r="E337" s="33"/>
      <c r="F337" s="33"/>
      <c r="G337" s="33"/>
      <c r="I337" s="33"/>
      <c r="N337" s="33"/>
    </row>
    <row r="338" spans="2:14" ht="10.15" customHeight="1">
      <c r="B338" s="33"/>
      <c r="C338" s="33"/>
      <c r="D338" s="33"/>
      <c r="E338" s="33"/>
      <c r="F338" s="33"/>
      <c r="G338" s="33"/>
      <c r="I338" s="33"/>
      <c r="N338" s="33"/>
    </row>
    <row r="339" spans="2:14" ht="10.15" customHeight="1">
      <c r="B339" s="33"/>
      <c r="C339" s="33"/>
      <c r="D339" s="33"/>
      <c r="E339" s="33"/>
      <c r="F339" s="33"/>
      <c r="G339" s="33"/>
      <c r="I339" s="33"/>
      <c r="N339" s="33"/>
    </row>
    <row r="340" spans="2:14" ht="10.15" customHeight="1">
      <c r="B340" s="33"/>
      <c r="C340" s="33"/>
      <c r="D340" s="33"/>
      <c r="E340" s="33"/>
      <c r="F340" s="33"/>
      <c r="G340" s="33"/>
      <c r="I340" s="33"/>
      <c r="N340" s="33"/>
    </row>
    <row r="341" spans="2:14" ht="10.15" customHeight="1">
      <c r="B341" s="33"/>
      <c r="C341" s="33"/>
      <c r="D341" s="33"/>
      <c r="E341" s="33"/>
      <c r="F341" s="33"/>
      <c r="G341" s="33"/>
      <c r="I341" s="33"/>
      <c r="N341" s="33"/>
    </row>
    <row r="342" spans="2:14" ht="10.15" customHeight="1">
      <c r="B342" s="33"/>
      <c r="C342" s="33"/>
      <c r="D342" s="33"/>
      <c r="E342" s="33"/>
      <c r="F342" s="33"/>
      <c r="G342" s="33"/>
      <c r="I342" s="33"/>
      <c r="N342" s="33"/>
    </row>
    <row r="343" spans="2:14" ht="10.15" customHeight="1">
      <c r="B343" s="33"/>
      <c r="C343" s="33"/>
      <c r="D343" s="33"/>
      <c r="E343" s="33"/>
      <c r="F343" s="33"/>
      <c r="G343" s="33"/>
      <c r="I343" s="33"/>
      <c r="N343" s="33"/>
    </row>
    <row r="344" spans="2:14" ht="10.15" customHeight="1">
      <c r="B344" s="33"/>
      <c r="C344" s="33"/>
      <c r="D344" s="33"/>
      <c r="E344" s="33"/>
      <c r="F344" s="33"/>
      <c r="G344" s="33"/>
      <c r="I344" s="33"/>
      <c r="N344" s="33"/>
    </row>
    <row r="345" spans="2:14" ht="10.15" customHeight="1">
      <c r="B345" s="33"/>
      <c r="C345" s="33"/>
      <c r="D345" s="33"/>
      <c r="E345" s="33"/>
      <c r="F345" s="33"/>
      <c r="G345" s="33"/>
      <c r="I345" s="33"/>
      <c r="N345" s="33"/>
    </row>
    <row r="346" spans="2:14" ht="10.15" customHeight="1">
      <c r="B346" s="33"/>
      <c r="C346" s="33"/>
      <c r="D346" s="33"/>
      <c r="E346" s="33"/>
      <c r="F346" s="33"/>
      <c r="G346" s="33"/>
      <c r="I346" s="33"/>
      <c r="N346" s="33"/>
    </row>
    <row r="347" spans="2:14" ht="10.15" customHeight="1">
      <c r="B347" s="33"/>
      <c r="C347" s="33"/>
      <c r="D347" s="33"/>
      <c r="E347" s="33"/>
      <c r="F347" s="33"/>
      <c r="G347" s="33"/>
      <c r="I347" s="33"/>
      <c r="N347" s="33"/>
    </row>
    <row r="348" spans="2:14" ht="10.15" customHeight="1">
      <c r="B348" s="33"/>
      <c r="C348" s="33"/>
      <c r="D348" s="33"/>
      <c r="E348" s="33"/>
      <c r="F348" s="33"/>
      <c r="G348" s="33"/>
      <c r="I348" s="33"/>
      <c r="N348" s="33"/>
    </row>
    <row r="349" spans="2:14" ht="10.15" customHeight="1">
      <c r="B349" s="33"/>
      <c r="C349" s="33"/>
      <c r="D349" s="33"/>
      <c r="E349" s="33"/>
      <c r="F349" s="33"/>
      <c r="G349" s="33"/>
      <c r="I349" s="33"/>
      <c r="N349" s="33"/>
    </row>
    <row r="350" spans="2:14" ht="10.15" customHeight="1">
      <c r="B350" s="33"/>
      <c r="C350" s="33"/>
      <c r="D350" s="33"/>
      <c r="E350" s="33"/>
      <c r="F350" s="33"/>
      <c r="G350" s="33"/>
      <c r="I350" s="33"/>
      <c r="N350" s="33"/>
    </row>
    <row r="351" spans="2:14" ht="10.15" customHeight="1">
      <c r="B351" s="33"/>
      <c r="C351" s="33"/>
      <c r="D351" s="33"/>
      <c r="E351" s="33"/>
      <c r="F351" s="33"/>
      <c r="G351" s="33"/>
      <c r="I351" s="33"/>
      <c r="N351" s="33"/>
    </row>
    <row r="352" spans="2:14" ht="10.15" customHeight="1">
      <c r="B352" s="33"/>
      <c r="C352" s="33"/>
      <c r="D352" s="33"/>
      <c r="E352" s="33"/>
      <c r="F352" s="33"/>
      <c r="G352" s="33"/>
      <c r="I352" s="33"/>
      <c r="N352" s="33"/>
    </row>
    <row r="353" spans="2:14" ht="10.15" customHeight="1">
      <c r="B353" s="33"/>
      <c r="C353" s="33"/>
      <c r="D353" s="33"/>
      <c r="E353" s="33"/>
      <c r="F353" s="33"/>
      <c r="G353" s="33"/>
      <c r="I353" s="33"/>
      <c r="N353" s="33"/>
    </row>
    <row r="354" spans="2:14" ht="10.15" customHeight="1">
      <c r="B354" s="33"/>
      <c r="C354" s="33"/>
      <c r="D354" s="33"/>
      <c r="E354" s="33"/>
      <c r="F354" s="33"/>
      <c r="G354" s="33"/>
      <c r="I354" s="33"/>
      <c r="N354" s="33"/>
    </row>
    <row r="355" spans="2:14" ht="10.15" customHeight="1">
      <c r="B355" s="33"/>
      <c r="C355" s="33"/>
      <c r="D355" s="33"/>
      <c r="E355" s="33"/>
      <c r="F355" s="33"/>
      <c r="G355" s="33"/>
      <c r="I355" s="33"/>
      <c r="N355" s="33"/>
    </row>
    <row r="356" spans="2:14" ht="10.15" customHeight="1">
      <c r="B356" s="33"/>
      <c r="C356" s="33"/>
      <c r="D356" s="33"/>
      <c r="E356" s="33"/>
      <c r="F356" s="33"/>
      <c r="G356" s="33"/>
      <c r="I356" s="33"/>
      <c r="N356" s="33"/>
    </row>
    <row r="357" spans="2:14" ht="10.15" customHeight="1">
      <c r="B357" s="33"/>
      <c r="C357" s="33"/>
      <c r="D357" s="33"/>
      <c r="E357" s="33"/>
      <c r="F357" s="33"/>
      <c r="G357" s="33"/>
      <c r="I357" s="33"/>
      <c r="N357" s="33"/>
    </row>
    <row r="358" spans="2:14" ht="10.15" customHeight="1">
      <c r="B358" s="33"/>
      <c r="C358" s="33"/>
      <c r="D358" s="33"/>
      <c r="E358" s="33"/>
      <c r="F358" s="33"/>
      <c r="G358" s="33"/>
      <c r="I358" s="33"/>
      <c r="N358" s="33"/>
    </row>
    <row r="359" spans="2:14" ht="10.15" customHeight="1">
      <c r="B359" s="33"/>
      <c r="C359" s="33"/>
      <c r="D359" s="33"/>
      <c r="E359" s="33"/>
      <c r="F359" s="33"/>
      <c r="G359" s="33"/>
      <c r="I359" s="33"/>
      <c r="N359" s="33"/>
    </row>
    <row r="360" spans="2:14" ht="10.15" customHeight="1">
      <c r="B360" s="33"/>
      <c r="C360" s="33"/>
      <c r="D360" s="33"/>
      <c r="E360" s="33"/>
      <c r="F360" s="33"/>
      <c r="G360" s="33"/>
      <c r="I360" s="33"/>
      <c r="N360" s="33"/>
    </row>
    <row r="361" spans="2:14" ht="10.15" customHeight="1">
      <c r="B361" s="33"/>
      <c r="C361" s="33"/>
      <c r="D361" s="33"/>
      <c r="E361" s="33"/>
      <c r="F361" s="33"/>
      <c r="G361" s="33"/>
      <c r="I361" s="33"/>
      <c r="N361" s="33"/>
    </row>
    <row r="362" spans="2:14" ht="10.15" customHeight="1">
      <c r="B362" s="33"/>
      <c r="C362" s="33"/>
      <c r="D362" s="33"/>
      <c r="E362" s="33"/>
      <c r="F362" s="33"/>
      <c r="G362" s="33"/>
      <c r="I362" s="33"/>
      <c r="N362" s="33"/>
    </row>
    <row r="363" spans="2:14" ht="10.15" customHeight="1">
      <c r="B363" s="33"/>
      <c r="C363" s="33"/>
      <c r="D363" s="33"/>
      <c r="E363" s="33"/>
      <c r="F363" s="33"/>
      <c r="G363" s="33"/>
      <c r="I363" s="33"/>
      <c r="N363" s="33"/>
    </row>
    <row r="364" spans="2:14" ht="10.15" customHeight="1">
      <c r="B364" s="33"/>
      <c r="C364" s="33"/>
      <c r="D364" s="33"/>
      <c r="E364" s="33"/>
      <c r="F364" s="33"/>
      <c r="G364" s="33"/>
      <c r="I364" s="33"/>
      <c r="N364" s="33"/>
    </row>
    <row r="365" spans="2:14" ht="10.15" customHeight="1">
      <c r="B365" s="33"/>
      <c r="C365" s="33"/>
      <c r="D365" s="33"/>
      <c r="E365" s="33"/>
      <c r="F365" s="33"/>
      <c r="G365" s="33"/>
      <c r="I365" s="33"/>
      <c r="N365" s="33"/>
    </row>
    <row r="366" spans="2:14" ht="10.15" customHeight="1">
      <c r="B366" s="33"/>
      <c r="C366" s="33"/>
      <c r="D366" s="33"/>
      <c r="E366" s="33"/>
      <c r="F366" s="33"/>
      <c r="G366" s="33"/>
      <c r="I366" s="33"/>
      <c r="N366" s="33"/>
    </row>
    <row r="367" spans="2:14" ht="10.15" customHeight="1">
      <c r="B367" s="33"/>
      <c r="C367" s="33"/>
      <c r="D367" s="33"/>
      <c r="E367" s="33"/>
      <c r="F367" s="33"/>
      <c r="G367" s="33"/>
      <c r="I367" s="33"/>
      <c r="N367" s="33"/>
    </row>
    <row r="368" spans="2:14" ht="10.15" customHeight="1">
      <c r="B368" s="33"/>
      <c r="C368" s="33"/>
      <c r="D368" s="33"/>
      <c r="E368" s="33"/>
      <c r="F368" s="33"/>
      <c r="G368" s="33"/>
      <c r="I368" s="33"/>
      <c r="N368" s="33"/>
    </row>
    <row r="369" spans="2:14" ht="10.15" customHeight="1">
      <c r="B369" s="33"/>
      <c r="C369" s="33"/>
      <c r="D369" s="33"/>
      <c r="E369" s="33"/>
      <c r="F369" s="33"/>
      <c r="G369" s="33"/>
      <c r="I369" s="33"/>
      <c r="N369" s="33"/>
    </row>
    <row r="370" spans="2:14" ht="10.15" customHeight="1">
      <c r="B370" s="33"/>
      <c r="C370" s="33"/>
      <c r="D370" s="33"/>
      <c r="E370" s="33"/>
      <c r="F370" s="33"/>
      <c r="G370" s="33"/>
      <c r="I370" s="33"/>
      <c r="N370" s="33"/>
    </row>
    <row r="371" spans="2:14" ht="10.15" customHeight="1">
      <c r="B371" s="33"/>
      <c r="C371" s="33"/>
      <c r="D371" s="33"/>
      <c r="E371" s="33"/>
      <c r="F371" s="33"/>
      <c r="G371" s="33"/>
      <c r="I371" s="33"/>
      <c r="N371" s="33"/>
    </row>
    <row r="372" spans="2:14" ht="10.15" customHeight="1">
      <c r="B372" s="33"/>
      <c r="C372" s="33"/>
      <c r="D372" s="33"/>
      <c r="E372" s="33"/>
      <c r="F372" s="33"/>
      <c r="G372" s="33"/>
      <c r="I372" s="33"/>
      <c r="N372" s="33"/>
    </row>
    <row r="373" spans="2:14" ht="10.15" customHeight="1">
      <c r="B373" s="33"/>
      <c r="C373" s="33"/>
      <c r="D373" s="33"/>
      <c r="E373" s="33"/>
      <c r="F373" s="33"/>
      <c r="G373" s="33"/>
      <c r="I373" s="33"/>
      <c r="N373" s="33"/>
    </row>
    <row r="374" spans="2:14" ht="10.15" customHeight="1">
      <c r="B374" s="33"/>
      <c r="C374" s="33"/>
      <c r="D374" s="33"/>
      <c r="E374" s="33"/>
      <c r="F374" s="33"/>
      <c r="G374" s="33"/>
      <c r="I374" s="33"/>
      <c r="N374" s="33"/>
    </row>
    <row r="375" spans="2:14" ht="10.15" customHeight="1">
      <c r="B375" s="33"/>
      <c r="C375" s="33"/>
      <c r="D375" s="33"/>
      <c r="E375" s="33"/>
      <c r="F375" s="33"/>
      <c r="G375" s="33"/>
      <c r="I375" s="33"/>
      <c r="N375" s="33"/>
    </row>
    <row r="376" spans="2:14" ht="10.15" customHeight="1">
      <c r="B376" s="33"/>
      <c r="C376" s="33"/>
      <c r="D376" s="33"/>
      <c r="E376" s="33"/>
      <c r="F376" s="33"/>
      <c r="G376" s="33"/>
      <c r="I376" s="33"/>
      <c r="N376" s="33"/>
    </row>
    <row r="377" spans="2:14" ht="10.15" customHeight="1">
      <c r="B377" s="33"/>
      <c r="C377" s="33"/>
      <c r="D377" s="33"/>
      <c r="E377" s="33"/>
      <c r="F377" s="33"/>
      <c r="G377" s="33"/>
      <c r="I377" s="33"/>
      <c r="N377" s="33"/>
    </row>
    <row r="378" spans="2:14" ht="10.15" customHeight="1">
      <c r="B378" s="33"/>
      <c r="C378" s="33"/>
      <c r="D378" s="33"/>
      <c r="E378" s="33"/>
      <c r="F378" s="33"/>
      <c r="G378" s="33"/>
      <c r="I378" s="33"/>
      <c r="N378" s="33"/>
    </row>
    <row r="379" spans="2:14" ht="10.15" customHeight="1">
      <c r="B379" s="33"/>
      <c r="C379" s="33"/>
      <c r="D379" s="33"/>
      <c r="E379" s="33"/>
      <c r="F379" s="33"/>
      <c r="G379" s="33"/>
      <c r="I379" s="33"/>
      <c r="N379" s="33"/>
    </row>
    <row r="380" spans="2:14" ht="10.15" customHeight="1">
      <c r="B380" s="33"/>
      <c r="C380" s="33"/>
      <c r="D380" s="33"/>
      <c r="E380" s="33"/>
      <c r="F380" s="33"/>
      <c r="G380" s="33"/>
      <c r="I380" s="33"/>
      <c r="N380" s="33"/>
    </row>
    <row r="381" spans="2:14" ht="10.15" customHeight="1">
      <c r="B381" s="33"/>
      <c r="C381" s="33"/>
      <c r="D381" s="33"/>
      <c r="E381" s="33"/>
      <c r="F381" s="33"/>
      <c r="G381" s="33"/>
      <c r="I381" s="33"/>
      <c r="N381" s="33"/>
    </row>
    <row r="382" spans="2:14" ht="10.15" customHeight="1">
      <c r="B382" s="33"/>
      <c r="C382" s="33"/>
      <c r="D382" s="33"/>
      <c r="E382" s="33"/>
      <c r="F382" s="33"/>
      <c r="G382" s="33"/>
      <c r="I382" s="33"/>
      <c r="N382" s="33"/>
    </row>
    <row r="383" spans="2:14" ht="10.15" customHeight="1">
      <c r="B383" s="33"/>
      <c r="C383" s="33"/>
      <c r="D383" s="33"/>
      <c r="E383" s="33"/>
      <c r="F383" s="33"/>
      <c r="G383" s="33"/>
      <c r="I383" s="33"/>
      <c r="N383" s="33"/>
    </row>
    <row r="384" spans="2:14" ht="10.15" customHeight="1">
      <c r="B384" s="33"/>
      <c r="C384" s="33"/>
      <c r="D384" s="33"/>
      <c r="E384" s="33"/>
      <c r="F384" s="33"/>
      <c r="G384" s="33"/>
      <c r="I384" s="33"/>
      <c r="N384" s="33"/>
    </row>
    <row r="385" spans="2:14" ht="10.15" customHeight="1">
      <c r="B385" s="33"/>
      <c r="C385" s="33"/>
      <c r="D385" s="33"/>
      <c r="E385" s="33"/>
      <c r="F385" s="33"/>
      <c r="G385" s="33"/>
      <c r="I385" s="33"/>
      <c r="N385" s="33"/>
    </row>
    <row r="386" spans="2:14" ht="10.15" customHeight="1">
      <c r="B386" s="33"/>
      <c r="C386" s="33"/>
      <c r="D386" s="33"/>
      <c r="E386" s="33"/>
      <c r="F386" s="33"/>
      <c r="G386" s="33"/>
      <c r="I386" s="33"/>
      <c r="N386" s="33"/>
    </row>
    <row r="387" spans="2:14" ht="10.15" customHeight="1">
      <c r="B387" s="33"/>
      <c r="C387" s="33"/>
      <c r="D387" s="33"/>
      <c r="E387" s="33"/>
      <c r="F387" s="33"/>
      <c r="G387" s="33"/>
      <c r="I387" s="33"/>
      <c r="N387" s="33"/>
    </row>
    <row r="388" spans="2:14" ht="10.15" customHeight="1">
      <c r="B388" s="33"/>
      <c r="C388" s="33"/>
      <c r="D388" s="33"/>
      <c r="E388" s="33"/>
      <c r="F388" s="33"/>
      <c r="G388" s="33"/>
      <c r="I388" s="33"/>
      <c r="N388" s="33"/>
    </row>
    <row r="389" spans="2:14" ht="10.15" customHeight="1">
      <c r="B389" s="33"/>
      <c r="C389" s="33"/>
      <c r="D389" s="33"/>
      <c r="E389" s="33"/>
      <c r="F389" s="33"/>
      <c r="G389" s="33"/>
      <c r="I389" s="33"/>
      <c r="N389" s="33"/>
    </row>
    <row r="390" spans="2:14" ht="10.15" customHeight="1">
      <c r="B390" s="33"/>
      <c r="C390" s="33"/>
      <c r="D390" s="33"/>
      <c r="E390" s="33"/>
      <c r="F390" s="33"/>
      <c r="G390" s="33"/>
      <c r="I390" s="33"/>
      <c r="N390" s="33"/>
    </row>
    <row r="391" spans="2:14" ht="10.15" customHeight="1">
      <c r="B391" s="33"/>
      <c r="C391" s="33"/>
      <c r="D391" s="33"/>
      <c r="E391" s="33"/>
      <c r="F391" s="33"/>
      <c r="G391" s="33"/>
      <c r="I391" s="33"/>
      <c r="N391" s="33"/>
    </row>
    <row r="392" spans="2:14" ht="10.15" customHeight="1">
      <c r="B392" s="33"/>
      <c r="C392" s="33"/>
      <c r="D392" s="33"/>
      <c r="E392" s="33"/>
      <c r="F392" s="33"/>
      <c r="G392" s="33"/>
      <c r="I392" s="33"/>
      <c r="N392" s="33"/>
    </row>
    <row r="393" spans="2:14" ht="10.15" customHeight="1">
      <c r="B393" s="33"/>
      <c r="C393" s="33"/>
      <c r="D393" s="33"/>
      <c r="E393" s="33"/>
      <c r="F393" s="33"/>
      <c r="G393" s="33"/>
      <c r="I393" s="33"/>
      <c r="N393" s="33"/>
    </row>
    <row r="394" spans="2:14" ht="10.15" customHeight="1">
      <c r="B394" s="33"/>
      <c r="C394" s="33"/>
      <c r="D394" s="33"/>
      <c r="E394" s="33"/>
      <c r="F394" s="33"/>
      <c r="G394" s="33"/>
      <c r="I394" s="33"/>
      <c r="N394" s="33"/>
    </row>
    <row r="395" spans="2:14" ht="10.15" customHeight="1">
      <c r="B395" s="33"/>
      <c r="C395" s="33"/>
      <c r="D395" s="33"/>
      <c r="E395" s="33"/>
      <c r="F395" s="33"/>
      <c r="G395" s="33"/>
      <c r="I395" s="33"/>
      <c r="N395" s="33"/>
    </row>
    <row r="396" spans="2:14" ht="10.15" customHeight="1">
      <c r="B396" s="33"/>
      <c r="C396" s="33"/>
      <c r="D396" s="33"/>
      <c r="E396" s="33"/>
      <c r="F396" s="33"/>
      <c r="G396" s="33"/>
      <c r="I396" s="33"/>
      <c r="N396" s="33"/>
    </row>
    <row r="397" spans="2:14" ht="10.15" customHeight="1">
      <c r="B397" s="33"/>
      <c r="C397" s="33"/>
      <c r="D397" s="33"/>
      <c r="E397" s="33"/>
      <c r="F397" s="33"/>
      <c r="G397" s="33"/>
      <c r="I397" s="33"/>
      <c r="N397" s="33"/>
    </row>
    <row r="398" spans="2:14" ht="10.15" customHeight="1">
      <c r="B398" s="33"/>
      <c r="C398" s="33"/>
      <c r="D398" s="33"/>
      <c r="E398" s="33"/>
      <c r="F398" s="33"/>
      <c r="G398" s="33"/>
      <c r="I398" s="33"/>
      <c r="N398" s="33"/>
    </row>
    <row r="399" spans="2:14" ht="10.15" customHeight="1">
      <c r="B399" s="33"/>
      <c r="C399" s="33"/>
      <c r="D399" s="33"/>
      <c r="E399" s="33"/>
      <c r="F399" s="33"/>
      <c r="G399" s="33"/>
      <c r="I399" s="33"/>
      <c r="N399" s="33"/>
    </row>
    <row r="400" spans="2:14" ht="10.15" customHeight="1">
      <c r="B400" s="33"/>
      <c r="C400" s="33"/>
      <c r="D400" s="33"/>
      <c r="E400" s="33"/>
      <c r="F400" s="33"/>
      <c r="G400" s="33"/>
      <c r="I400" s="33"/>
      <c r="N400" s="33"/>
    </row>
    <row r="401" spans="2:14" ht="10.15" customHeight="1">
      <c r="B401" s="33"/>
      <c r="C401" s="33"/>
      <c r="D401" s="33"/>
      <c r="E401" s="33"/>
      <c r="F401" s="33"/>
      <c r="G401" s="33"/>
      <c r="I401" s="33"/>
      <c r="N401" s="33"/>
    </row>
    <row r="402" spans="2:14" ht="10.15" customHeight="1">
      <c r="B402" s="33"/>
      <c r="C402" s="33"/>
      <c r="D402" s="33"/>
      <c r="E402" s="33"/>
      <c r="F402" s="33"/>
      <c r="G402" s="33"/>
      <c r="I402" s="33"/>
      <c r="N402" s="33"/>
    </row>
    <row r="403" spans="2:14" ht="10.15" customHeight="1">
      <c r="B403" s="33"/>
      <c r="C403" s="33"/>
      <c r="D403" s="33"/>
      <c r="E403" s="33"/>
      <c r="F403" s="33"/>
      <c r="G403" s="33"/>
      <c r="I403" s="33"/>
      <c r="N403" s="33"/>
    </row>
    <row r="404" spans="2:14" ht="10.15" customHeight="1">
      <c r="B404" s="33"/>
      <c r="C404" s="33"/>
      <c r="D404" s="33"/>
      <c r="E404" s="33"/>
      <c r="F404" s="33"/>
      <c r="G404" s="33"/>
      <c r="I404" s="33"/>
      <c r="N404" s="33"/>
    </row>
    <row r="405" spans="2:14" ht="10.15" customHeight="1">
      <c r="B405" s="33"/>
      <c r="C405" s="33"/>
      <c r="D405" s="33"/>
      <c r="E405" s="33"/>
      <c r="F405" s="33"/>
      <c r="G405" s="33"/>
      <c r="I405" s="33"/>
      <c r="N405" s="33"/>
    </row>
    <row r="406" spans="2:14" ht="10.15" customHeight="1">
      <c r="B406" s="33"/>
      <c r="C406" s="33"/>
      <c r="D406" s="33"/>
      <c r="E406" s="33"/>
      <c r="F406" s="33"/>
      <c r="G406" s="33"/>
      <c r="I406" s="33"/>
      <c r="N406" s="33"/>
    </row>
    <row r="407" spans="2:14" ht="10.15" customHeight="1">
      <c r="B407" s="33"/>
      <c r="C407" s="33"/>
      <c r="D407" s="33"/>
      <c r="E407" s="33"/>
      <c r="F407" s="33"/>
      <c r="G407" s="33"/>
      <c r="I407" s="33"/>
      <c r="N407" s="33"/>
    </row>
    <row r="408" spans="2:14" ht="10.15" customHeight="1">
      <c r="B408" s="33"/>
      <c r="C408" s="33"/>
      <c r="D408" s="33"/>
      <c r="E408" s="33"/>
      <c r="F408" s="33"/>
      <c r="G408" s="33"/>
      <c r="I408" s="33"/>
      <c r="N408" s="33"/>
    </row>
    <row r="409" spans="2:14" ht="10.15" customHeight="1">
      <c r="B409" s="33"/>
      <c r="C409" s="33"/>
      <c r="D409" s="33"/>
      <c r="E409" s="33"/>
      <c r="F409" s="33"/>
      <c r="G409" s="33"/>
      <c r="I409" s="33"/>
      <c r="N409" s="33"/>
    </row>
    <row r="410" spans="2:14" ht="10.15" customHeight="1">
      <c r="B410" s="33"/>
      <c r="C410" s="33"/>
      <c r="D410" s="33"/>
      <c r="E410" s="33"/>
      <c r="F410" s="33"/>
      <c r="G410" s="33"/>
      <c r="I410" s="33"/>
      <c r="N410" s="33"/>
    </row>
    <row r="411" spans="2:14" ht="10.15" customHeight="1">
      <c r="B411" s="33"/>
      <c r="C411" s="33"/>
      <c r="D411" s="33"/>
      <c r="E411" s="33"/>
      <c r="F411" s="33"/>
      <c r="G411" s="33"/>
      <c r="I411" s="33"/>
      <c r="N411" s="33"/>
    </row>
    <row r="412" spans="2:14" ht="10.15" customHeight="1">
      <c r="B412" s="33"/>
      <c r="C412" s="33"/>
      <c r="D412" s="33"/>
      <c r="E412" s="33"/>
      <c r="F412" s="33"/>
      <c r="G412" s="33"/>
      <c r="I412" s="33"/>
      <c r="N412" s="33"/>
    </row>
    <row r="413" spans="2:14" ht="10.15" customHeight="1">
      <c r="B413" s="33"/>
      <c r="C413" s="33"/>
      <c r="D413" s="33"/>
      <c r="E413" s="33"/>
      <c r="F413" s="33"/>
      <c r="G413" s="33"/>
      <c r="I413" s="33"/>
      <c r="N413" s="33"/>
    </row>
    <row r="414" spans="2:14" ht="10.15" customHeight="1">
      <c r="B414" s="33"/>
      <c r="C414" s="33"/>
      <c r="D414" s="33"/>
      <c r="E414" s="33"/>
      <c r="F414" s="33"/>
      <c r="G414" s="33"/>
      <c r="I414" s="33"/>
      <c r="N414" s="33"/>
    </row>
    <row r="415" spans="2:14" ht="10.15" customHeight="1">
      <c r="B415" s="33"/>
      <c r="C415" s="33"/>
      <c r="D415" s="33"/>
      <c r="E415" s="33"/>
      <c r="F415" s="33"/>
      <c r="G415" s="33"/>
      <c r="I415" s="33"/>
      <c r="N415" s="33"/>
    </row>
    <row r="416" spans="2:14" ht="10.15" customHeight="1">
      <c r="B416" s="33"/>
      <c r="C416" s="33"/>
      <c r="D416" s="33"/>
      <c r="E416" s="33"/>
      <c r="F416" s="33"/>
      <c r="G416" s="33"/>
      <c r="I416" s="33"/>
      <c r="N416" s="33"/>
    </row>
    <row r="417" spans="2:14" ht="10.15" customHeight="1">
      <c r="B417" s="33"/>
      <c r="C417" s="33"/>
      <c r="D417" s="33"/>
      <c r="E417" s="33"/>
      <c r="F417" s="33"/>
      <c r="G417" s="33"/>
      <c r="I417" s="33"/>
      <c r="N417" s="33"/>
    </row>
    <row r="418" spans="2:14" ht="10.15" customHeight="1">
      <c r="B418" s="33"/>
      <c r="C418" s="33"/>
      <c r="D418" s="33"/>
      <c r="E418" s="33"/>
      <c r="F418" s="33"/>
      <c r="G418" s="33"/>
      <c r="I418" s="33"/>
      <c r="N418" s="33"/>
    </row>
    <row r="419" spans="2:14" ht="10.15" customHeight="1">
      <c r="B419" s="33"/>
      <c r="C419" s="33"/>
      <c r="D419" s="33"/>
      <c r="E419" s="33"/>
      <c r="F419" s="33"/>
      <c r="G419" s="33"/>
      <c r="I419" s="33"/>
      <c r="N419" s="33"/>
    </row>
    <row r="420" spans="2:14" ht="10.15" customHeight="1">
      <c r="B420" s="33"/>
      <c r="C420" s="33"/>
      <c r="D420" s="33"/>
      <c r="E420" s="33"/>
      <c r="F420" s="33"/>
      <c r="G420" s="33"/>
      <c r="I420" s="33"/>
      <c r="N420" s="33"/>
    </row>
    <row r="421" spans="2:14" ht="10.15" customHeight="1">
      <c r="B421" s="33"/>
      <c r="C421" s="33"/>
      <c r="D421" s="33"/>
      <c r="E421" s="33"/>
      <c r="F421" s="33"/>
      <c r="G421" s="33"/>
      <c r="I421" s="33"/>
      <c r="N421" s="33"/>
    </row>
    <row r="422" spans="2:14" ht="10.15" customHeight="1">
      <c r="B422" s="33"/>
      <c r="C422" s="33"/>
      <c r="D422" s="33"/>
      <c r="E422" s="33"/>
      <c r="F422" s="33"/>
      <c r="G422" s="33"/>
      <c r="I422" s="33"/>
      <c r="N422" s="33"/>
    </row>
    <row r="423" spans="2:14" ht="10.15" customHeight="1">
      <c r="B423" s="33"/>
      <c r="C423" s="33"/>
      <c r="D423" s="33"/>
      <c r="E423" s="33"/>
      <c r="F423" s="33"/>
      <c r="G423" s="33"/>
      <c r="I423" s="33"/>
      <c r="N423" s="33"/>
    </row>
    <row r="424" spans="2:14" ht="10.15" customHeight="1">
      <c r="B424" s="33"/>
      <c r="C424" s="33"/>
      <c r="D424" s="33"/>
      <c r="E424" s="33"/>
      <c r="F424" s="33"/>
      <c r="G424" s="33"/>
      <c r="I424" s="33"/>
      <c r="N424" s="33"/>
    </row>
    <row r="425" spans="2:14" ht="10.15" customHeight="1">
      <c r="B425" s="33"/>
      <c r="C425" s="33"/>
      <c r="D425" s="33"/>
      <c r="E425" s="33"/>
      <c r="F425" s="33"/>
      <c r="G425" s="33"/>
      <c r="I425" s="33"/>
      <c r="N425" s="33"/>
    </row>
    <row r="426" spans="2:14" ht="10.15" customHeight="1">
      <c r="B426" s="33"/>
      <c r="C426" s="33"/>
      <c r="D426" s="33"/>
      <c r="E426" s="33"/>
      <c r="F426" s="33"/>
      <c r="G426" s="33"/>
      <c r="I426" s="33"/>
      <c r="N426" s="33"/>
    </row>
    <row r="427" spans="2:14" ht="10.15" customHeight="1">
      <c r="B427" s="33"/>
      <c r="C427" s="33"/>
      <c r="D427" s="33"/>
      <c r="E427" s="33"/>
      <c r="F427" s="33"/>
      <c r="G427" s="33"/>
      <c r="I427" s="33"/>
      <c r="N427" s="33"/>
    </row>
    <row r="428" spans="2:14" ht="10.15" customHeight="1">
      <c r="B428" s="33"/>
      <c r="C428" s="33"/>
      <c r="D428" s="33"/>
      <c r="E428" s="33"/>
      <c r="F428" s="33"/>
      <c r="G428" s="33"/>
      <c r="I428" s="33"/>
      <c r="N428" s="33"/>
    </row>
    <row r="429" spans="2:14" ht="10.15" customHeight="1">
      <c r="B429" s="33"/>
      <c r="C429" s="33"/>
      <c r="D429" s="33"/>
      <c r="E429" s="33"/>
      <c r="F429" s="33"/>
      <c r="G429" s="33"/>
      <c r="I429" s="33"/>
      <c r="N429" s="33"/>
    </row>
    <row r="430" spans="2:14" ht="10.15" customHeight="1">
      <c r="B430" s="33"/>
      <c r="C430" s="33"/>
      <c r="D430" s="33"/>
      <c r="E430" s="33"/>
      <c r="F430" s="33"/>
      <c r="G430" s="33"/>
      <c r="I430" s="33"/>
      <c r="N430" s="33"/>
    </row>
    <row r="431" spans="2:14" ht="10.15" customHeight="1">
      <c r="B431" s="33"/>
      <c r="C431" s="33"/>
      <c r="D431" s="33"/>
      <c r="E431" s="33"/>
      <c r="F431" s="33"/>
      <c r="G431" s="33"/>
      <c r="I431" s="33"/>
      <c r="N431" s="33"/>
    </row>
    <row r="432" spans="2:14" ht="10.15" customHeight="1">
      <c r="B432" s="33"/>
      <c r="C432" s="33"/>
      <c r="D432" s="33"/>
      <c r="E432" s="33"/>
      <c r="F432" s="33"/>
      <c r="G432" s="33"/>
      <c r="I432" s="33"/>
      <c r="N432" s="33"/>
    </row>
    <row r="433" spans="2:14" ht="10.15" customHeight="1">
      <c r="B433" s="33"/>
      <c r="C433" s="33"/>
      <c r="D433" s="33"/>
      <c r="E433" s="33"/>
      <c r="F433" s="33"/>
      <c r="G433" s="33"/>
      <c r="I433" s="33"/>
      <c r="N433" s="33"/>
    </row>
    <row r="434" spans="2:14" ht="10.15" customHeight="1">
      <c r="B434" s="33"/>
      <c r="C434" s="33"/>
      <c r="D434" s="33"/>
      <c r="E434" s="33"/>
      <c r="F434" s="33"/>
      <c r="G434" s="33"/>
      <c r="I434" s="33"/>
      <c r="N434" s="33"/>
    </row>
    <row r="435" spans="2:14" ht="10.15" customHeight="1">
      <c r="B435" s="33"/>
      <c r="C435" s="33"/>
      <c r="D435" s="33"/>
      <c r="E435" s="33"/>
      <c r="F435" s="33"/>
      <c r="G435" s="33"/>
      <c r="I435" s="33"/>
      <c r="N435" s="33"/>
    </row>
    <row r="436" spans="2:14" ht="10.15" customHeight="1">
      <c r="B436" s="33"/>
      <c r="C436" s="33"/>
      <c r="D436" s="33"/>
      <c r="E436" s="33"/>
      <c r="F436" s="33"/>
      <c r="G436" s="33"/>
      <c r="I436" s="33"/>
      <c r="N436" s="33"/>
    </row>
    <row r="437" spans="2:14" ht="10.15" customHeight="1">
      <c r="B437" s="33"/>
      <c r="C437" s="33"/>
      <c r="D437" s="33"/>
      <c r="E437" s="33"/>
      <c r="F437" s="33"/>
      <c r="G437" s="33"/>
      <c r="I437" s="33"/>
      <c r="N437" s="33"/>
    </row>
    <row r="438" spans="2:14" ht="10.15" customHeight="1">
      <c r="B438" s="33"/>
      <c r="C438" s="33"/>
      <c r="D438" s="33"/>
      <c r="E438" s="33"/>
      <c r="F438" s="33"/>
      <c r="G438" s="33"/>
      <c r="I438" s="33"/>
      <c r="N438" s="33"/>
    </row>
    <row r="439" spans="2:14" ht="10.15" customHeight="1">
      <c r="B439" s="33"/>
      <c r="C439" s="33"/>
      <c r="D439" s="33"/>
      <c r="E439" s="33"/>
      <c r="F439" s="33"/>
      <c r="G439" s="33"/>
      <c r="I439" s="33"/>
      <c r="N439" s="33"/>
    </row>
    <row r="440" spans="2:14" ht="10.15" customHeight="1">
      <c r="B440" s="33"/>
      <c r="C440" s="33"/>
      <c r="D440" s="33"/>
      <c r="E440" s="33"/>
      <c r="F440" s="33"/>
      <c r="G440" s="33"/>
      <c r="I440" s="33"/>
      <c r="N440" s="33"/>
    </row>
    <row r="441" spans="2:14" ht="10.15" customHeight="1">
      <c r="B441" s="33"/>
      <c r="C441" s="33"/>
      <c r="D441" s="33"/>
      <c r="E441" s="33"/>
      <c r="F441" s="33"/>
      <c r="G441" s="33"/>
      <c r="I441" s="33"/>
      <c r="N441" s="33"/>
    </row>
    <row r="442" spans="2:14" ht="10.15" customHeight="1">
      <c r="B442" s="33"/>
      <c r="C442" s="33"/>
      <c r="D442" s="33"/>
      <c r="E442" s="33"/>
      <c r="F442" s="33"/>
      <c r="G442" s="33"/>
      <c r="I442" s="33"/>
      <c r="N442" s="33"/>
    </row>
    <row r="443" spans="2:14" ht="10.15" customHeight="1">
      <c r="B443" s="33"/>
      <c r="C443" s="33"/>
      <c r="D443" s="33"/>
      <c r="E443" s="33"/>
      <c r="F443" s="33"/>
      <c r="G443" s="33"/>
      <c r="I443" s="33"/>
      <c r="N443" s="33"/>
    </row>
    <row r="444" spans="2:14" ht="10.15" customHeight="1">
      <c r="B444" s="33"/>
      <c r="C444" s="33"/>
      <c r="D444" s="33"/>
      <c r="E444" s="33"/>
      <c r="F444" s="33"/>
      <c r="G444" s="33"/>
      <c r="I444" s="33"/>
      <c r="N444" s="33"/>
    </row>
    <row r="445" spans="2:14" ht="10.15" customHeight="1">
      <c r="B445" s="33"/>
      <c r="C445" s="33"/>
      <c r="D445" s="33"/>
      <c r="E445" s="33"/>
      <c r="F445" s="33"/>
      <c r="G445" s="33"/>
      <c r="I445" s="33"/>
      <c r="N445" s="33"/>
    </row>
    <row r="446" spans="2:14" ht="10.15" customHeight="1">
      <c r="B446" s="33"/>
      <c r="C446" s="33"/>
      <c r="D446" s="33"/>
      <c r="E446" s="33"/>
      <c r="F446" s="33"/>
      <c r="G446" s="33"/>
      <c r="I446" s="33"/>
      <c r="N446" s="33"/>
    </row>
    <row r="447" spans="2:14" ht="10.15" customHeight="1">
      <c r="B447" s="33"/>
      <c r="C447" s="33"/>
      <c r="D447" s="33"/>
      <c r="E447" s="33"/>
      <c r="F447" s="33"/>
      <c r="G447" s="33"/>
      <c r="I447" s="33"/>
      <c r="N447" s="33"/>
    </row>
    <row r="448" spans="2:14" ht="10.15" customHeight="1">
      <c r="B448" s="33"/>
      <c r="C448" s="33"/>
      <c r="D448" s="33"/>
      <c r="E448" s="33"/>
      <c r="F448" s="33"/>
      <c r="G448" s="33"/>
      <c r="I448" s="33"/>
      <c r="N448" s="33"/>
    </row>
    <row r="449" spans="2:14" ht="10.15" customHeight="1">
      <c r="B449" s="33"/>
      <c r="C449" s="33"/>
      <c r="D449" s="33"/>
      <c r="E449" s="33"/>
      <c r="F449" s="33"/>
      <c r="G449" s="33"/>
      <c r="I449" s="33"/>
      <c r="N449" s="33"/>
    </row>
    <row r="450" spans="2:14" ht="10.15" customHeight="1">
      <c r="B450" s="33"/>
      <c r="C450" s="33"/>
      <c r="D450" s="33"/>
      <c r="E450" s="33"/>
      <c r="F450" s="33"/>
      <c r="G450" s="33"/>
      <c r="I450" s="33"/>
      <c r="N450" s="33"/>
    </row>
    <row r="451" spans="2:14" ht="10.15" customHeight="1">
      <c r="B451" s="33"/>
      <c r="C451" s="33"/>
      <c r="D451" s="33"/>
      <c r="E451" s="33"/>
      <c r="F451" s="33"/>
      <c r="G451" s="33"/>
      <c r="I451" s="33"/>
      <c r="N451" s="33"/>
    </row>
    <row r="452" spans="2:14" ht="10.15" customHeight="1">
      <c r="B452" s="33"/>
      <c r="C452" s="33"/>
      <c r="D452" s="33"/>
      <c r="E452" s="33"/>
      <c r="F452" s="33"/>
      <c r="G452" s="33"/>
      <c r="I452" s="33"/>
      <c r="N452" s="33"/>
    </row>
    <row r="453" spans="2:14" ht="10.15" customHeight="1">
      <c r="B453" s="33"/>
      <c r="C453" s="33"/>
      <c r="D453" s="33"/>
      <c r="E453" s="33"/>
      <c r="F453" s="33"/>
      <c r="G453" s="33"/>
      <c r="I453" s="33"/>
      <c r="N453" s="33"/>
    </row>
    <row r="454" spans="2:14" ht="10.15" customHeight="1">
      <c r="B454" s="33"/>
      <c r="C454" s="33"/>
      <c r="D454" s="33"/>
      <c r="E454" s="33"/>
      <c r="F454" s="33"/>
      <c r="G454" s="33"/>
      <c r="I454" s="33"/>
      <c r="N454" s="33"/>
    </row>
    <row r="455" spans="2:14" ht="10.15" customHeight="1">
      <c r="B455" s="33"/>
      <c r="C455" s="33"/>
      <c r="D455" s="33"/>
      <c r="E455" s="33"/>
      <c r="F455" s="33"/>
      <c r="G455" s="33"/>
      <c r="I455" s="33"/>
      <c r="N455" s="33"/>
    </row>
    <row r="456" spans="2:14" ht="10.15" customHeight="1">
      <c r="B456" s="33"/>
      <c r="C456" s="33"/>
      <c r="D456" s="33"/>
      <c r="E456" s="33"/>
      <c r="F456" s="33"/>
      <c r="G456" s="33"/>
      <c r="I456" s="33"/>
      <c r="N456" s="33"/>
    </row>
    <row r="457" spans="2:14" ht="10.15" customHeight="1">
      <c r="B457" s="33"/>
      <c r="C457" s="33"/>
      <c r="D457" s="33"/>
      <c r="E457" s="33"/>
      <c r="F457" s="33"/>
      <c r="G457" s="33"/>
      <c r="I457" s="33"/>
      <c r="N457" s="33"/>
    </row>
    <row r="458" spans="2:14" ht="10.15" customHeight="1">
      <c r="B458" s="33"/>
      <c r="C458" s="33"/>
      <c r="D458" s="33"/>
      <c r="E458" s="33"/>
      <c r="F458" s="33"/>
      <c r="G458" s="33"/>
      <c r="I458" s="33"/>
      <c r="N458" s="33"/>
    </row>
    <row r="459" spans="2:14" ht="10.15" customHeight="1">
      <c r="B459" s="33"/>
      <c r="C459" s="33"/>
      <c r="D459" s="33"/>
      <c r="E459" s="33"/>
      <c r="F459" s="33"/>
      <c r="G459" s="33"/>
      <c r="I459" s="33"/>
      <c r="N459" s="33"/>
    </row>
    <row r="460" spans="2:14" ht="10.15" customHeight="1">
      <c r="B460" s="33"/>
      <c r="C460" s="33"/>
      <c r="D460" s="33"/>
      <c r="E460" s="33"/>
      <c r="F460" s="33"/>
      <c r="G460" s="33"/>
      <c r="I460" s="33"/>
      <c r="N460" s="33"/>
    </row>
    <row r="461" spans="2:14" ht="10.15" customHeight="1">
      <c r="B461" s="33"/>
      <c r="C461" s="33"/>
      <c r="D461" s="33"/>
      <c r="E461" s="33"/>
      <c r="F461" s="33"/>
      <c r="G461" s="33"/>
      <c r="I461" s="33"/>
      <c r="N461" s="33"/>
    </row>
    <row r="462" spans="2:14" ht="10.15" customHeight="1">
      <c r="B462" s="33"/>
      <c r="C462" s="33"/>
      <c r="D462" s="33"/>
      <c r="E462" s="33"/>
      <c r="F462" s="33"/>
      <c r="G462" s="33"/>
      <c r="I462" s="33"/>
      <c r="N462" s="33"/>
    </row>
    <row r="463" spans="2:14" ht="10.15" customHeight="1">
      <c r="B463" s="33"/>
      <c r="C463" s="33"/>
      <c r="D463" s="33"/>
      <c r="E463" s="33"/>
      <c r="F463" s="33"/>
      <c r="G463" s="33"/>
      <c r="I463" s="33"/>
      <c r="N463" s="33"/>
    </row>
    <row r="464" spans="2:14" ht="10.15" customHeight="1">
      <c r="B464" s="33"/>
      <c r="C464" s="33"/>
      <c r="D464" s="33"/>
      <c r="E464" s="33"/>
      <c r="F464" s="33"/>
      <c r="G464" s="33"/>
      <c r="I464" s="33"/>
      <c r="N464" s="33"/>
    </row>
    <row r="465" spans="2:21" ht="10.15" customHeight="1">
      <c r="B465" s="33"/>
      <c r="C465" s="33"/>
      <c r="D465" s="33"/>
      <c r="E465" s="33"/>
      <c r="F465" s="33"/>
      <c r="G465" s="33"/>
      <c r="I465" s="33"/>
      <c r="N465" s="33"/>
    </row>
    <row r="466" spans="2:21" ht="10.15" customHeight="1">
      <c r="B466" s="33"/>
      <c r="C466" s="33"/>
      <c r="D466" s="33"/>
      <c r="E466" s="33"/>
      <c r="F466" s="33"/>
      <c r="G466" s="33"/>
      <c r="I466" s="33"/>
      <c r="N466" s="33"/>
    </row>
    <row r="467" spans="2:21" ht="10.15" customHeight="1">
      <c r="B467" s="33"/>
      <c r="C467" s="33"/>
      <c r="D467" s="33"/>
      <c r="E467" s="33"/>
      <c r="F467" s="33"/>
      <c r="G467" s="33"/>
      <c r="I467" s="33"/>
      <c r="N467" s="33"/>
    </row>
    <row r="468" spans="2:21" ht="10.15" customHeight="1">
      <c r="B468" s="33"/>
      <c r="C468" s="33"/>
      <c r="D468" s="33"/>
      <c r="E468" s="33"/>
      <c r="F468" s="33"/>
      <c r="G468" s="33"/>
      <c r="I468" s="33"/>
      <c r="N468" s="33"/>
    </row>
    <row r="469" spans="2:21" ht="10.15" customHeight="1">
      <c r="B469" s="33"/>
      <c r="C469" s="33"/>
      <c r="D469" s="33"/>
      <c r="E469" s="33"/>
      <c r="F469" s="33"/>
      <c r="G469" s="33"/>
      <c r="I469" s="33"/>
      <c r="N469" s="33"/>
    </row>
    <row r="470" spans="2:21" ht="10.15" customHeight="1">
      <c r="B470" s="33"/>
      <c r="C470" s="33"/>
      <c r="D470" s="33"/>
      <c r="E470" s="33"/>
      <c r="F470" s="33"/>
      <c r="G470" s="33"/>
      <c r="I470" s="33"/>
      <c r="N470" s="33"/>
    </row>
    <row r="471" spans="2:21" ht="10.15" customHeight="1">
      <c r="B471" s="33"/>
      <c r="C471" s="33"/>
      <c r="D471" s="33"/>
      <c r="E471" s="33"/>
      <c r="F471" s="33"/>
      <c r="G471" s="33"/>
      <c r="I471" s="33"/>
      <c r="N471" s="33"/>
    </row>
    <row r="472" spans="2:21" ht="10.15" customHeight="1">
      <c r="B472" s="33"/>
      <c r="C472" s="33"/>
      <c r="D472" s="33"/>
      <c r="E472" s="33"/>
      <c r="F472" s="33"/>
      <c r="G472" s="33"/>
      <c r="I472" s="33"/>
      <c r="N472" s="33"/>
    </row>
    <row r="473" spans="2:21" ht="10.15" customHeight="1">
      <c r="B473" s="33"/>
      <c r="C473" s="33"/>
      <c r="D473" s="33"/>
      <c r="E473" s="33"/>
      <c r="F473" s="33"/>
      <c r="G473" s="33"/>
      <c r="I473" s="33"/>
      <c r="N473" s="33"/>
    </row>
    <row r="474" spans="2:21" ht="10.15" customHeight="1">
      <c r="B474" s="33"/>
      <c r="C474" s="33"/>
      <c r="D474" s="33"/>
      <c r="E474" s="33"/>
      <c r="F474" s="33"/>
      <c r="G474" s="33"/>
      <c r="I474" s="33"/>
      <c r="N474" s="33"/>
    </row>
    <row r="475" spans="2:21" s="615" customFormat="1" ht="10.15" customHeight="1">
      <c r="B475" s="616"/>
      <c r="C475" s="616"/>
      <c r="E475" s="617"/>
      <c r="F475" s="620"/>
      <c r="G475" s="620"/>
      <c r="H475" s="622"/>
      <c r="I475" s="621"/>
      <c r="J475" s="621"/>
      <c r="K475" s="620"/>
      <c r="L475" s="4409"/>
      <c r="M475" s="4409"/>
      <c r="O475" s="619"/>
      <c r="P475" s="617"/>
      <c r="Q475" s="617"/>
      <c r="R475" s="618"/>
      <c r="S475" s="616"/>
      <c r="T475" s="617"/>
      <c r="U475" s="616"/>
    </row>
    <row r="476" spans="2:21" s="615" customFormat="1" ht="10.15" customHeight="1">
      <c r="B476" s="616"/>
      <c r="C476" s="616"/>
      <c r="E476" s="617"/>
      <c r="F476" s="620"/>
      <c r="G476" s="620"/>
      <c r="H476" s="622"/>
      <c r="I476" s="621"/>
      <c r="J476" s="621"/>
      <c r="K476" s="620"/>
      <c r="L476" s="4409"/>
      <c r="M476" s="4409"/>
      <c r="O476" s="619"/>
      <c r="P476" s="617"/>
      <c r="Q476" s="617"/>
      <c r="R476" s="618"/>
      <c r="S476" s="616"/>
      <c r="T476" s="617"/>
      <c r="U476" s="616"/>
    </row>
    <row r="477" spans="2:21" s="615" customFormat="1" ht="10.15" customHeight="1">
      <c r="B477" s="616"/>
      <c r="C477" s="616"/>
      <c r="E477" s="617"/>
      <c r="F477" s="620"/>
      <c r="G477" s="620"/>
      <c r="H477" s="622"/>
      <c r="I477" s="621"/>
      <c r="J477" s="621"/>
      <c r="K477" s="620"/>
      <c r="L477" s="4409"/>
      <c r="M477" s="4409"/>
      <c r="O477" s="619"/>
      <c r="P477" s="617"/>
      <c r="Q477" s="617"/>
      <c r="R477" s="618"/>
      <c r="S477" s="616"/>
      <c r="T477" s="617"/>
      <c r="U477" s="616"/>
    </row>
    <row r="478" spans="2:21" s="615" customFormat="1" ht="10.15" customHeight="1">
      <c r="B478" s="616"/>
      <c r="C478" s="616"/>
      <c r="E478" s="617"/>
      <c r="F478" s="620"/>
      <c r="G478" s="620"/>
      <c r="H478" s="622"/>
      <c r="I478" s="621"/>
      <c r="J478" s="621"/>
      <c r="K478" s="620"/>
      <c r="L478" s="4409"/>
      <c r="M478" s="4409"/>
      <c r="O478" s="619"/>
      <c r="P478" s="617"/>
      <c r="Q478" s="617"/>
      <c r="R478" s="618"/>
      <c r="S478" s="616"/>
      <c r="T478" s="617"/>
      <c r="U478" s="616"/>
    </row>
    <row r="479" spans="2:21" s="615" customFormat="1" ht="10.15" customHeight="1">
      <c r="B479" s="616"/>
      <c r="C479" s="616"/>
      <c r="E479" s="617"/>
      <c r="F479" s="620"/>
      <c r="G479" s="620"/>
      <c r="H479" s="622"/>
      <c r="I479" s="621"/>
      <c r="J479" s="621"/>
      <c r="K479" s="620"/>
      <c r="L479" s="4409"/>
      <c r="M479" s="4409"/>
      <c r="O479" s="619"/>
      <c r="P479" s="617"/>
      <c r="Q479" s="617"/>
      <c r="R479" s="618"/>
      <c r="S479" s="616"/>
      <c r="T479" s="617"/>
      <c r="U479" s="616"/>
    </row>
    <row r="480" spans="2:21" s="615" customFormat="1" ht="10.15" customHeight="1">
      <c r="B480" s="616"/>
      <c r="C480" s="616"/>
      <c r="E480" s="617"/>
      <c r="F480" s="620"/>
      <c r="G480" s="620"/>
      <c r="H480" s="622"/>
      <c r="I480" s="621"/>
      <c r="J480" s="621"/>
      <c r="K480" s="620"/>
      <c r="L480" s="4409"/>
      <c r="M480" s="4409"/>
      <c r="O480" s="619"/>
      <c r="P480" s="617"/>
      <c r="Q480" s="617"/>
      <c r="R480" s="618"/>
      <c r="S480" s="616"/>
      <c r="T480" s="617"/>
      <c r="U480" s="616"/>
    </row>
    <row r="481" spans="2:21" s="615" customFormat="1" ht="10.15" customHeight="1">
      <c r="B481" s="616"/>
      <c r="C481" s="616"/>
      <c r="E481" s="617"/>
      <c r="F481" s="620"/>
      <c r="G481" s="620"/>
      <c r="H481" s="622"/>
      <c r="I481" s="621"/>
      <c r="J481" s="621"/>
      <c r="K481" s="620"/>
      <c r="L481" s="4409"/>
      <c r="M481" s="4409"/>
      <c r="O481" s="619"/>
      <c r="P481" s="617"/>
      <c r="Q481" s="617"/>
      <c r="R481" s="618"/>
      <c r="S481" s="616"/>
      <c r="T481" s="617"/>
      <c r="U481" s="616"/>
    </row>
    <row r="482" spans="2:21" s="615" customFormat="1" ht="10.15" customHeight="1">
      <c r="B482" s="616"/>
      <c r="C482" s="616"/>
      <c r="E482" s="617"/>
      <c r="F482" s="620"/>
      <c r="G482" s="620"/>
      <c r="H482" s="622"/>
      <c r="I482" s="621"/>
      <c r="J482" s="621"/>
      <c r="K482" s="620"/>
      <c r="L482" s="4409"/>
      <c r="M482" s="4409"/>
      <c r="O482" s="619"/>
      <c r="P482" s="617"/>
      <c r="Q482" s="617"/>
      <c r="R482" s="618"/>
      <c r="S482" s="616"/>
      <c r="T482" s="617"/>
      <c r="U482" s="616"/>
    </row>
    <row r="483" spans="2:21" s="615" customFormat="1" ht="10.15" customHeight="1">
      <c r="B483" s="616"/>
      <c r="C483" s="616"/>
      <c r="E483" s="617"/>
      <c r="F483" s="620"/>
      <c r="G483" s="620"/>
      <c r="H483" s="622"/>
      <c r="I483" s="621"/>
      <c r="J483" s="621"/>
      <c r="K483" s="620"/>
      <c r="L483" s="4409"/>
      <c r="M483" s="4409"/>
      <c r="O483" s="619"/>
      <c r="P483" s="617"/>
      <c r="Q483" s="617"/>
      <c r="R483" s="618"/>
      <c r="S483" s="616"/>
      <c r="T483" s="617"/>
      <c r="U483" s="616"/>
    </row>
    <row r="484" spans="2:21" s="615" customFormat="1" ht="10.15" customHeight="1">
      <c r="B484" s="616"/>
      <c r="C484" s="616"/>
      <c r="E484" s="617"/>
      <c r="F484" s="620"/>
      <c r="G484" s="620"/>
      <c r="H484" s="622"/>
      <c r="I484" s="621"/>
      <c r="J484" s="621"/>
      <c r="K484" s="620"/>
      <c r="L484" s="4409"/>
      <c r="M484" s="4409"/>
      <c r="O484" s="619"/>
      <c r="P484" s="617"/>
      <c r="Q484" s="617"/>
      <c r="R484" s="618"/>
      <c r="S484" s="616"/>
      <c r="T484" s="617"/>
      <c r="U484" s="616"/>
    </row>
    <row r="485" spans="2:21" s="615" customFormat="1" ht="10.15" customHeight="1">
      <c r="B485" s="616"/>
      <c r="C485" s="616"/>
      <c r="E485" s="617"/>
      <c r="F485" s="620"/>
      <c r="G485" s="620"/>
      <c r="H485" s="622"/>
      <c r="I485" s="621"/>
      <c r="J485" s="621"/>
      <c r="K485" s="620"/>
      <c r="L485" s="4409"/>
      <c r="M485" s="4409"/>
      <c r="O485" s="619"/>
      <c r="P485" s="617"/>
      <c r="Q485" s="617"/>
      <c r="R485" s="618"/>
      <c r="S485" s="616"/>
      <c r="T485" s="617"/>
      <c r="U485" s="616"/>
    </row>
    <row r="486" spans="2:21" s="615" customFormat="1" ht="10.15" customHeight="1">
      <c r="B486" s="616"/>
      <c r="C486" s="616"/>
      <c r="E486" s="617"/>
      <c r="F486" s="620"/>
      <c r="G486" s="620"/>
      <c r="H486" s="622"/>
      <c r="I486" s="621"/>
      <c r="J486" s="621"/>
      <c r="K486" s="620"/>
      <c r="L486" s="4409"/>
      <c r="M486" s="4409"/>
      <c r="O486" s="619"/>
      <c r="P486" s="617"/>
      <c r="Q486" s="617"/>
      <c r="R486" s="618"/>
      <c r="S486" s="616"/>
      <c r="T486" s="617"/>
      <c r="U486" s="616"/>
    </row>
    <row r="487" spans="2:21" s="615" customFormat="1" ht="10.15" customHeight="1">
      <c r="B487" s="616"/>
      <c r="C487" s="616"/>
      <c r="E487" s="617"/>
      <c r="F487" s="620"/>
      <c r="G487" s="620"/>
      <c r="H487" s="622"/>
      <c r="I487" s="621"/>
      <c r="J487" s="621"/>
      <c r="K487" s="620"/>
      <c r="L487" s="4409"/>
      <c r="M487" s="4409"/>
      <c r="O487" s="619"/>
      <c r="P487" s="617"/>
      <c r="Q487" s="617"/>
      <c r="R487" s="618"/>
      <c r="S487" s="616"/>
      <c r="T487" s="617"/>
      <c r="U487" s="616"/>
    </row>
    <row r="488" spans="2:21" s="615" customFormat="1" ht="10.15" customHeight="1">
      <c r="B488" s="616"/>
      <c r="C488" s="616"/>
      <c r="E488" s="617"/>
      <c r="F488" s="620"/>
      <c r="G488" s="620"/>
      <c r="H488" s="622"/>
      <c r="I488" s="621"/>
      <c r="J488" s="621"/>
      <c r="K488" s="620"/>
      <c r="L488" s="4409"/>
      <c r="M488" s="4409"/>
      <c r="O488" s="619"/>
      <c r="P488" s="617"/>
      <c r="Q488" s="617"/>
      <c r="R488" s="618"/>
      <c r="S488" s="616"/>
      <c r="T488" s="617"/>
      <c r="U488" s="616"/>
    </row>
    <row r="489" spans="2:21" s="615" customFormat="1" ht="10.15" customHeight="1">
      <c r="B489" s="616"/>
      <c r="C489" s="616"/>
      <c r="E489" s="617"/>
      <c r="F489" s="620"/>
      <c r="G489" s="620"/>
      <c r="H489" s="622"/>
      <c r="I489" s="621"/>
      <c r="J489" s="621"/>
      <c r="K489" s="620"/>
      <c r="L489" s="4409"/>
      <c r="M489" s="4409"/>
      <c r="O489" s="619"/>
      <c r="P489" s="617"/>
      <c r="Q489" s="617"/>
      <c r="R489" s="618"/>
      <c r="S489" s="616"/>
      <c r="T489" s="617"/>
      <c r="U489" s="616"/>
    </row>
    <row r="490" spans="2:21" s="615" customFormat="1" ht="10.15" customHeight="1">
      <c r="B490" s="616"/>
      <c r="C490" s="616"/>
      <c r="E490" s="617"/>
      <c r="F490" s="620"/>
      <c r="G490" s="620"/>
      <c r="H490" s="622"/>
      <c r="I490" s="621"/>
      <c r="J490" s="621"/>
      <c r="K490" s="620"/>
      <c r="L490" s="4409"/>
      <c r="M490" s="4409"/>
      <c r="O490" s="619"/>
      <c r="P490" s="617"/>
      <c r="Q490" s="617"/>
      <c r="R490" s="618"/>
      <c r="S490" s="616"/>
      <c r="T490" s="617"/>
      <c r="U490" s="616"/>
    </row>
    <row r="491" spans="2:21" s="615" customFormat="1" ht="10.15" customHeight="1">
      <c r="B491" s="616"/>
      <c r="C491" s="616"/>
      <c r="E491" s="617"/>
      <c r="F491" s="620"/>
      <c r="G491" s="620"/>
      <c r="H491" s="622"/>
      <c r="I491" s="621"/>
      <c r="J491" s="621"/>
      <c r="K491" s="620"/>
      <c r="L491" s="4409"/>
      <c r="M491" s="4409"/>
      <c r="O491" s="619"/>
      <c r="P491" s="617"/>
      <c r="Q491" s="617"/>
      <c r="R491" s="618"/>
      <c r="S491" s="616"/>
      <c r="T491" s="617"/>
      <c r="U491" s="616"/>
    </row>
    <row r="492" spans="2:21" s="615" customFormat="1" ht="10.15" customHeight="1">
      <c r="B492" s="616"/>
      <c r="C492" s="616"/>
      <c r="E492" s="617"/>
      <c r="F492" s="620"/>
      <c r="G492" s="620"/>
      <c r="H492" s="622"/>
      <c r="I492" s="621"/>
      <c r="J492" s="621"/>
      <c r="K492" s="620"/>
      <c r="L492" s="4409"/>
      <c r="M492" s="4409"/>
      <c r="O492" s="619"/>
      <c r="P492" s="617"/>
      <c r="Q492" s="617"/>
      <c r="R492" s="618"/>
      <c r="S492" s="616"/>
      <c r="T492" s="617"/>
      <c r="U492" s="616"/>
    </row>
    <row r="493" spans="2:21" s="615" customFormat="1" ht="10.15" customHeight="1">
      <c r="B493" s="616"/>
      <c r="C493" s="616"/>
      <c r="E493" s="617"/>
      <c r="F493" s="620"/>
      <c r="G493" s="620"/>
      <c r="H493" s="622"/>
      <c r="I493" s="621"/>
      <c r="J493" s="621"/>
      <c r="K493" s="620"/>
      <c r="L493" s="4409"/>
      <c r="M493" s="4409"/>
      <c r="O493" s="619"/>
      <c r="P493" s="617"/>
      <c r="Q493" s="617"/>
      <c r="R493" s="618"/>
      <c r="S493" s="616"/>
      <c r="T493" s="617"/>
      <c r="U493" s="616"/>
    </row>
    <row r="494" spans="2:21" s="615" customFormat="1" ht="10.15" customHeight="1">
      <c r="B494" s="616"/>
      <c r="C494" s="616"/>
      <c r="E494" s="617"/>
      <c r="F494" s="620"/>
      <c r="G494" s="620"/>
      <c r="H494" s="622"/>
      <c r="I494" s="621"/>
      <c r="J494" s="621"/>
      <c r="K494" s="620"/>
      <c r="L494" s="4409"/>
      <c r="M494" s="4409"/>
      <c r="O494" s="619"/>
      <c r="P494" s="617"/>
      <c r="Q494" s="617"/>
      <c r="R494" s="618"/>
      <c r="S494" s="616"/>
      <c r="T494" s="617"/>
      <c r="U494" s="616"/>
    </row>
    <row r="495" spans="2:21" s="615" customFormat="1" ht="10.15" customHeight="1">
      <c r="B495" s="616"/>
      <c r="C495" s="616"/>
      <c r="E495" s="617"/>
      <c r="F495" s="620"/>
      <c r="G495" s="620"/>
      <c r="H495" s="622"/>
      <c r="I495" s="621"/>
      <c r="J495" s="621"/>
      <c r="K495" s="620"/>
      <c r="L495" s="4409"/>
      <c r="M495" s="4409"/>
      <c r="O495" s="619"/>
      <c r="P495" s="617"/>
      <c r="Q495" s="617"/>
      <c r="R495" s="618"/>
      <c r="S495" s="616"/>
      <c r="T495" s="617"/>
      <c r="U495" s="616"/>
    </row>
    <row r="496" spans="2:21" s="615" customFormat="1" ht="10.15" customHeight="1">
      <c r="B496" s="616"/>
      <c r="C496" s="616"/>
      <c r="E496" s="617"/>
      <c r="F496" s="620"/>
      <c r="G496" s="620"/>
      <c r="H496" s="622"/>
      <c r="I496" s="621"/>
      <c r="J496" s="621"/>
      <c r="K496" s="620"/>
      <c r="L496" s="4409"/>
      <c r="M496" s="4409"/>
      <c r="O496" s="619"/>
      <c r="P496" s="617"/>
      <c r="Q496" s="617"/>
      <c r="R496" s="618"/>
      <c r="S496" s="616"/>
      <c r="T496" s="617"/>
      <c r="U496" s="616"/>
    </row>
    <row r="497" spans="2:21" s="615" customFormat="1" ht="10.15" customHeight="1">
      <c r="B497" s="616"/>
      <c r="C497" s="616"/>
      <c r="E497" s="617"/>
      <c r="F497" s="620"/>
      <c r="G497" s="620"/>
      <c r="H497" s="622"/>
      <c r="I497" s="621"/>
      <c r="J497" s="621"/>
      <c r="K497" s="620"/>
      <c r="L497" s="4409"/>
      <c r="M497" s="4409"/>
      <c r="O497" s="619"/>
      <c r="P497" s="617"/>
      <c r="Q497" s="617"/>
      <c r="R497" s="618"/>
      <c r="S497" s="616"/>
      <c r="T497" s="617"/>
      <c r="U497" s="616"/>
    </row>
    <row r="498" spans="2:21" s="615" customFormat="1" ht="10.15" customHeight="1">
      <c r="B498" s="616"/>
      <c r="C498" s="616"/>
      <c r="E498" s="617"/>
      <c r="F498" s="620"/>
      <c r="G498" s="620"/>
      <c r="H498" s="622"/>
      <c r="I498" s="621"/>
      <c r="J498" s="621"/>
      <c r="K498" s="620"/>
      <c r="L498" s="4409"/>
      <c r="M498" s="4409"/>
      <c r="O498" s="619"/>
      <c r="P498" s="617"/>
      <c r="Q498" s="617"/>
      <c r="R498" s="618"/>
      <c r="S498" s="616"/>
      <c r="T498" s="617"/>
      <c r="U498" s="616"/>
    </row>
    <row r="499" spans="2:21" s="615" customFormat="1" ht="10.15" customHeight="1">
      <c r="B499" s="616"/>
      <c r="C499" s="616"/>
      <c r="E499" s="617"/>
      <c r="F499" s="620"/>
      <c r="G499" s="620"/>
      <c r="H499" s="622"/>
      <c r="I499" s="621"/>
      <c r="J499" s="621"/>
      <c r="K499" s="620"/>
      <c r="L499" s="4409"/>
      <c r="M499" s="4409"/>
      <c r="O499" s="619"/>
      <c r="P499" s="617"/>
      <c r="Q499" s="617"/>
      <c r="R499" s="618"/>
      <c r="S499" s="616"/>
      <c r="T499" s="617"/>
      <c r="U499" s="616"/>
    </row>
    <row r="500" spans="2:21" s="615" customFormat="1" ht="10.15" customHeight="1">
      <c r="B500" s="616"/>
      <c r="C500" s="616"/>
      <c r="E500" s="617"/>
      <c r="F500" s="620"/>
      <c r="G500" s="620"/>
      <c r="H500" s="622"/>
      <c r="I500" s="621"/>
      <c r="J500" s="621"/>
      <c r="K500" s="620"/>
      <c r="L500" s="4409"/>
      <c r="M500" s="4409"/>
      <c r="O500" s="619"/>
      <c r="P500" s="617"/>
      <c r="Q500" s="617"/>
      <c r="R500" s="618"/>
      <c r="S500" s="616"/>
      <c r="T500" s="617"/>
      <c r="U500" s="616"/>
    </row>
    <row r="501" spans="2:21" s="615" customFormat="1" ht="10.15" customHeight="1">
      <c r="B501" s="616"/>
      <c r="C501" s="616"/>
      <c r="E501" s="617"/>
      <c r="F501" s="620"/>
      <c r="G501" s="620"/>
      <c r="H501" s="622"/>
      <c r="I501" s="621"/>
      <c r="J501" s="621"/>
      <c r="K501" s="620"/>
      <c r="L501" s="4409"/>
      <c r="M501" s="4409"/>
      <c r="O501" s="619"/>
      <c r="P501" s="617"/>
      <c r="Q501" s="617"/>
      <c r="R501" s="618"/>
      <c r="S501" s="616"/>
      <c r="T501" s="617"/>
      <c r="U501" s="616"/>
    </row>
    <row r="502" spans="2:21" s="615" customFormat="1" ht="10.15" customHeight="1">
      <c r="B502" s="616"/>
      <c r="C502" s="616"/>
      <c r="E502" s="617"/>
      <c r="F502" s="620"/>
      <c r="G502" s="620"/>
      <c r="H502" s="622"/>
      <c r="I502" s="621"/>
      <c r="J502" s="621"/>
      <c r="K502" s="620"/>
      <c r="L502" s="4409"/>
      <c r="M502" s="4409"/>
      <c r="O502" s="619"/>
      <c r="P502" s="617"/>
      <c r="Q502" s="617"/>
      <c r="R502" s="618"/>
      <c r="S502" s="616"/>
      <c r="T502" s="617"/>
      <c r="U502" s="616"/>
    </row>
    <row r="503" spans="2:21" s="615" customFormat="1" ht="10.15" customHeight="1">
      <c r="B503" s="616"/>
      <c r="C503" s="616"/>
      <c r="E503" s="617"/>
      <c r="F503" s="620"/>
      <c r="G503" s="620"/>
      <c r="H503" s="622"/>
      <c r="I503" s="621"/>
      <c r="J503" s="621"/>
      <c r="K503" s="620"/>
      <c r="L503" s="4409"/>
      <c r="M503" s="4409"/>
      <c r="O503" s="619"/>
      <c r="P503" s="617"/>
      <c r="Q503" s="617"/>
      <c r="R503" s="618"/>
      <c r="S503" s="616"/>
      <c r="T503" s="617"/>
      <c r="U503" s="616"/>
    </row>
    <row r="504" spans="2:21" s="615" customFormat="1" ht="10.15" customHeight="1">
      <c r="B504" s="616"/>
      <c r="C504" s="616"/>
      <c r="E504" s="617"/>
      <c r="F504" s="620"/>
      <c r="G504" s="620"/>
      <c r="H504" s="622"/>
      <c r="I504" s="621"/>
      <c r="J504" s="621"/>
      <c r="K504" s="620"/>
      <c r="L504" s="4409"/>
      <c r="M504" s="4409"/>
      <c r="O504" s="619"/>
      <c r="P504" s="617"/>
      <c r="Q504" s="617"/>
      <c r="R504" s="618"/>
      <c r="S504" s="616"/>
      <c r="T504" s="617"/>
      <c r="U504" s="616"/>
    </row>
    <row r="505" spans="2:21" s="615" customFormat="1" ht="10.15" customHeight="1">
      <c r="B505" s="616"/>
      <c r="C505" s="616"/>
      <c r="E505" s="617"/>
      <c r="F505" s="620"/>
      <c r="G505" s="620"/>
      <c r="H505" s="622"/>
      <c r="I505" s="621"/>
      <c r="J505" s="621"/>
      <c r="K505" s="620"/>
      <c r="L505" s="4409"/>
      <c r="M505" s="4409"/>
      <c r="O505" s="619"/>
      <c r="P505" s="617"/>
      <c r="Q505" s="617"/>
      <c r="R505" s="618"/>
      <c r="S505" s="616"/>
      <c r="T505" s="617"/>
      <c r="U505" s="616"/>
    </row>
    <row r="506" spans="2:21" s="615" customFormat="1" ht="10.15" customHeight="1">
      <c r="B506" s="616"/>
      <c r="C506" s="616"/>
      <c r="E506" s="617"/>
      <c r="F506" s="620"/>
      <c r="G506" s="620"/>
      <c r="H506" s="622"/>
      <c r="I506" s="621"/>
      <c r="J506" s="621"/>
      <c r="K506" s="620"/>
      <c r="L506" s="4409"/>
      <c r="M506" s="4409"/>
      <c r="O506" s="619"/>
      <c r="P506" s="617"/>
      <c r="Q506" s="617"/>
      <c r="R506" s="618"/>
      <c r="S506" s="616"/>
      <c r="T506" s="617"/>
      <c r="U506" s="616"/>
    </row>
    <row r="507" spans="2:21" s="615" customFormat="1" ht="10.15" customHeight="1">
      <c r="B507" s="616"/>
      <c r="C507" s="616"/>
      <c r="E507" s="617"/>
      <c r="F507" s="620"/>
      <c r="G507" s="620"/>
      <c r="H507" s="622"/>
      <c r="I507" s="621"/>
      <c r="J507" s="621"/>
      <c r="K507" s="620"/>
      <c r="L507" s="4409"/>
      <c r="M507" s="4409"/>
      <c r="O507" s="619"/>
      <c r="P507" s="617"/>
      <c r="Q507" s="617"/>
      <c r="R507" s="618"/>
      <c r="S507" s="616"/>
      <c r="T507" s="617"/>
      <c r="U507" s="616"/>
    </row>
    <row r="508" spans="2:21" s="615" customFormat="1" ht="10.15" customHeight="1">
      <c r="B508" s="616"/>
      <c r="C508" s="616"/>
      <c r="E508" s="617"/>
      <c r="F508" s="620"/>
      <c r="G508" s="620"/>
      <c r="H508" s="622"/>
      <c r="I508" s="621"/>
      <c r="J508" s="621"/>
      <c r="K508" s="620"/>
      <c r="L508" s="4409"/>
      <c r="M508" s="4409"/>
      <c r="O508" s="619"/>
      <c r="P508" s="617"/>
      <c r="Q508" s="617"/>
      <c r="R508" s="618"/>
      <c r="S508" s="616"/>
      <c r="T508" s="617"/>
      <c r="U508" s="616"/>
    </row>
    <row r="509" spans="2:21" s="615" customFormat="1" ht="10.15" customHeight="1">
      <c r="B509" s="616"/>
      <c r="C509" s="616"/>
      <c r="E509" s="617"/>
      <c r="F509" s="620"/>
      <c r="G509" s="620"/>
      <c r="H509" s="622"/>
      <c r="I509" s="621"/>
      <c r="J509" s="621"/>
      <c r="K509" s="620"/>
      <c r="L509" s="4409"/>
      <c r="M509" s="4409"/>
      <c r="O509" s="619"/>
      <c r="P509" s="617"/>
      <c r="Q509" s="617"/>
      <c r="R509" s="618"/>
      <c r="S509" s="616"/>
      <c r="T509" s="617"/>
      <c r="U509" s="616"/>
    </row>
    <row r="510" spans="2:21" s="615" customFormat="1" ht="10.15" customHeight="1">
      <c r="B510" s="616"/>
      <c r="C510" s="616"/>
      <c r="E510" s="617"/>
      <c r="F510" s="620"/>
      <c r="G510" s="620"/>
      <c r="H510" s="622"/>
      <c r="I510" s="621"/>
      <c r="J510" s="621"/>
      <c r="K510" s="620"/>
      <c r="L510" s="4409"/>
      <c r="M510" s="4409"/>
      <c r="O510" s="619"/>
      <c r="P510" s="617"/>
      <c r="Q510" s="617"/>
      <c r="R510" s="618"/>
      <c r="S510" s="616"/>
      <c r="T510" s="617"/>
      <c r="U510" s="616"/>
    </row>
    <row r="511" spans="2:21" s="615" customFormat="1" ht="10.15" customHeight="1">
      <c r="B511" s="616"/>
      <c r="C511" s="616"/>
      <c r="E511" s="617"/>
      <c r="F511" s="620"/>
      <c r="G511" s="620"/>
      <c r="H511" s="622"/>
      <c r="I511" s="621"/>
      <c r="J511" s="621"/>
      <c r="K511" s="620"/>
      <c r="L511" s="4409"/>
      <c r="M511" s="4409"/>
      <c r="O511" s="619"/>
      <c r="P511" s="617"/>
      <c r="Q511" s="617"/>
      <c r="R511" s="618"/>
      <c r="S511" s="616"/>
      <c r="T511" s="617"/>
      <c r="U511" s="616"/>
    </row>
    <row r="512" spans="2:21" s="615" customFormat="1" ht="10.15" customHeight="1">
      <c r="B512" s="616"/>
      <c r="C512" s="616"/>
      <c r="E512" s="617"/>
      <c r="F512" s="620"/>
      <c r="G512" s="620"/>
      <c r="H512" s="622"/>
      <c r="I512" s="621"/>
      <c r="J512" s="621"/>
      <c r="K512" s="620"/>
      <c r="L512" s="4409"/>
      <c r="M512" s="4409"/>
      <c r="O512" s="619"/>
      <c r="P512" s="617"/>
      <c r="Q512" s="617"/>
      <c r="R512" s="618"/>
      <c r="S512" s="616"/>
      <c r="T512" s="617"/>
      <c r="U512" s="616"/>
    </row>
    <row r="513" spans="2:21" s="615" customFormat="1" ht="10.15" customHeight="1">
      <c r="B513" s="616"/>
      <c r="C513" s="616"/>
      <c r="E513" s="617"/>
      <c r="F513" s="620"/>
      <c r="G513" s="620"/>
      <c r="H513" s="622"/>
      <c r="I513" s="621"/>
      <c r="J513" s="621"/>
      <c r="K513" s="620"/>
      <c r="L513" s="4409"/>
      <c r="M513" s="4409"/>
      <c r="O513" s="619"/>
      <c r="P513" s="617"/>
      <c r="Q513" s="617"/>
      <c r="R513" s="618"/>
      <c r="S513" s="616"/>
      <c r="T513" s="617"/>
      <c r="U513" s="616"/>
    </row>
    <row r="514" spans="2:21" s="615" customFormat="1" ht="10.15" customHeight="1">
      <c r="B514" s="616"/>
      <c r="C514" s="616"/>
      <c r="E514" s="617"/>
      <c r="F514" s="620"/>
      <c r="G514" s="620"/>
      <c r="H514" s="622"/>
      <c r="I514" s="621"/>
      <c r="J514" s="621"/>
      <c r="K514" s="620"/>
      <c r="L514" s="4409"/>
      <c r="M514" s="4409"/>
      <c r="O514" s="619"/>
      <c r="P514" s="617"/>
      <c r="Q514" s="617"/>
      <c r="R514" s="618"/>
      <c r="S514" s="616"/>
      <c r="T514" s="617"/>
      <c r="U514" s="616"/>
    </row>
    <row r="515" spans="2:21" s="615" customFormat="1" ht="10.15" customHeight="1">
      <c r="B515" s="616"/>
      <c r="C515" s="616"/>
      <c r="E515" s="617"/>
      <c r="F515" s="620"/>
      <c r="G515" s="620"/>
      <c r="H515" s="622"/>
      <c r="I515" s="621"/>
      <c r="J515" s="621"/>
      <c r="K515" s="620"/>
      <c r="L515" s="4409"/>
      <c r="M515" s="4409"/>
      <c r="O515" s="619"/>
      <c r="P515" s="617"/>
      <c r="Q515" s="617"/>
      <c r="R515" s="618"/>
      <c r="S515" s="616"/>
      <c r="T515" s="617"/>
      <c r="U515" s="616"/>
    </row>
    <row r="516" spans="2:21" s="615" customFormat="1" ht="10.15" customHeight="1">
      <c r="B516" s="616"/>
      <c r="C516" s="616"/>
      <c r="E516" s="617"/>
      <c r="F516" s="620"/>
      <c r="G516" s="620"/>
      <c r="H516" s="622"/>
      <c r="I516" s="621"/>
      <c r="J516" s="621"/>
      <c r="K516" s="620"/>
      <c r="L516" s="4409"/>
      <c r="M516" s="4409"/>
      <c r="O516" s="619"/>
      <c r="P516" s="617"/>
      <c r="Q516" s="617"/>
      <c r="R516" s="618"/>
      <c r="S516" s="616"/>
      <c r="T516" s="617"/>
      <c r="U516" s="616"/>
    </row>
    <row r="517" spans="2:21" s="615" customFormat="1" ht="10.15" customHeight="1">
      <c r="B517" s="616"/>
      <c r="C517" s="616"/>
      <c r="E517" s="617"/>
      <c r="F517" s="620"/>
      <c r="G517" s="620"/>
      <c r="H517" s="622"/>
      <c r="I517" s="621"/>
      <c r="J517" s="621"/>
      <c r="K517" s="620"/>
      <c r="L517" s="4409"/>
      <c r="M517" s="4409"/>
      <c r="O517" s="619"/>
      <c r="P517" s="617"/>
      <c r="Q517" s="617"/>
      <c r="R517" s="618"/>
      <c r="S517" s="616"/>
      <c r="T517" s="617"/>
      <c r="U517" s="616"/>
    </row>
    <row r="518" spans="2:21" s="615" customFormat="1" ht="10.15" customHeight="1">
      <c r="B518" s="616"/>
      <c r="C518" s="616"/>
      <c r="E518" s="617"/>
      <c r="F518" s="620"/>
      <c r="G518" s="620"/>
      <c r="H518" s="622"/>
      <c r="I518" s="621"/>
      <c r="J518" s="621"/>
      <c r="K518" s="620"/>
      <c r="L518" s="4409"/>
      <c r="M518" s="4409"/>
      <c r="O518" s="619"/>
      <c r="P518" s="617"/>
      <c r="Q518" s="617"/>
      <c r="R518" s="618"/>
      <c r="S518" s="616"/>
      <c r="T518" s="617"/>
      <c r="U518" s="616"/>
    </row>
    <row r="519" spans="2:21" s="615" customFormat="1" ht="10.15" customHeight="1">
      <c r="B519" s="616"/>
      <c r="C519" s="616"/>
      <c r="E519" s="617"/>
      <c r="F519" s="620"/>
      <c r="G519" s="620"/>
      <c r="H519" s="622"/>
      <c r="I519" s="621"/>
      <c r="J519" s="621"/>
      <c r="K519" s="620"/>
      <c r="L519" s="4409"/>
      <c r="M519" s="4409"/>
      <c r="O519" s="619"/>
      <c r="P519" s="617"/>
      <c r="Q519" s="617"/>
      <c r="R519" s="618"/>
      <c r="S519" s="616"/>
      <c r="T519" s="617"/>
      <c r="U519" s="616"/>
    </row>
    <row r="520" spans="2:21" s="615" customFormat="1" ht="10.15" customHeight="1">
      <c r="B520" s="616"/>
      <c r="C520" s="616"/>
      <c r="E520" s="617"/>
      <c r="F520" s="620"/>
      <c r="G520" s="620"/>
      <c r="H520" s="622"/>
      <c r="I520" s="621"/>
      <c r="J520" s="621"/>
      <c r="K520" s="620"/>
      <c r="L520" s="4409"/>
      <c r="M520" s="4409"/>
      <c r="O520" s="619"/>
      <c r="P520" s="617"/>
      <c r="Q520" s="617"/>
      <c r="R520" s="618"/>
      <c r="S520" s="616"/>
      <c r="T520" s="617"/>
      <c r="U520" s="616"/>
    </row>
    <row r="521" spans="2:21" s="615" customFormat="1" ht="10.15" customHeight="1">
      <c r="B521" s="616"/>
      <c r="C521" s="616"/>
      <c r="E521" s="617"/>
      <c r="F521" s="620"/>
      <c r="G521" s="620"/>
      <c r="H521" s="622"/>
      <c r="I521" s="621"/>
      <c r="J521" s="621"/>
      <c r="K521" s="620"/>
      <c r="L521" s="4409"/>
      <c r="M521" s="4409"/>
      <c r="O521" s="619"/>
      <c r="P521" s="617"/>
      <c r="Q521" s="617"/>
      <c r="R521" s="618"/>
      <c r="S521" s="616"/>
      <c r="T521" s="617"/>
      <c r="U521" s="616"/>
    </row>
    <row r="522" spans="2:21" s="615" customFormat="1" ht="10.15" customHeight="1">
      <c r="B522" s="616"/>
      <c r="C522" s="616"/>
      <c r="E522" s="617"/>
      <c r="F522" s="620"/>
      <c r="G522" s="620"/>
      <c r="H522" s="622"/>
      <c r="I522" s="621"/>
      <c r="J522" s="621"/>
      <c r="K522" s="620"/>
      <c r="L522" s="4409"/>
      <c r="M522" s="4409"/>
      <c r="O522" s="619"/>
      <c r="P522" s="617"/>
      <c r="Q522" s="617"/>
      <c r="R522" s="618"/>
      <c r="S522" s="616"/>
      <c r="T522" s="617"/>
      <c r="U522" s="616"/>
    </row>
    <row r="523" spans="2:21" s="615" customFormat="1" ht="10.15" customHeight="1">
      <c r="B523" s="616"/>
      <c r="C523" s="616"/>
      <c r="E523" s="617"/>
      <c r="F523" s="620"/>
      <c r="G523" s="620"/>
      <c r="H523" s="622"/>
      <c r="I523" s="621"/>
      <c r="J523" s="621"/>
      <c r="K523" s="620"/>
      <c r="L523" s="4409"/>
      <c r="M523" s="4409"/>
      <c r="O523" s="619"/>
      <c r="P523" s="617"/>
      <c r="Q523" s="617"/>
      <c r="R523" s="618"/>
      <c r="S523" s="616"/>
      <c r="T523" s="617"/>
      <c r="U523" s="616"/>
    </row>
    <row r="524" spans="2:21" s="615" customFormat="1" ht="10.15" customHeight="1">
      <c r="B524" s="616"/>
      <c r="C524" s="616"/>
      <c r="E524" s="617"/>
      <c r="F524" s="620"/>
      <c r="G524" s="620"/>
      <c r="H524" s="622"/>
      <c r="I524" s="621"/>
      <c r="J524" s="621"/>
      <c r="K524" s="620"/>
      <c r="L524" s="4409"/>
      <c r="M524" s="4409"/>
      <c r="O524" s="619"/>
      <c r="P524" s="617"/>
      <c r="Q524" s="617"/>
      <c r="R524" s="618"/>
      <c r="S524" s="616"/>
      <c r="T524" s="617"/>
      <c r="U524" s="616"/>
    </row>
    <row r="525" spans="2:21" s="615" customFormat="1" ht="10.15" customHeight="1">
      <c r="B525" s="616"/>
      <c r="C525" s="616"/>
      <c r="E525" s="617"/>
      <c r="F525" s="620"/>
      <c r="G525" s="620"/>
      <c r="H525" s="622"/>
      <c r="I525" s="621"/>
      <c r="J525" s="621"/>
      <c r="K525" s="620"/>
      <c r="L525" s="4409"/>
      <c r="M525" s="4409"/>
      <c r="O525" s="619"/>
      <c r="P525" s="617"/>
      <c r="Q525" s="617"/>
      <c r="R525" s="618"/>
      <c r="S525" s="616"/>
      <c r="T525" s="617"/>
      <c r="U525" s="616"/>
    </row>
    <row r="526" spans="2:21" s="615" customFormat="1" ht="10.15" customHeight="1">
      <c r="B526" s="616"/>
      <c r="C526" s="616"/>
      <c r="E526" s="617"/>
      <c r="F526" s="620"/>
      <c r="G526" s="620"/>
      <c r="H526" s="622"/>
      <c r="I526" s="621"/>
      <c r="J526" s="621"/>
      <c r="K526" s="620"/>
      <c r="L526" s="4409"/>
      <c r="M526" s="4409"/>
      <c r="O526" s="619"/>
      <c r="P526" s="617"/>
      <c r="Q526" s="617"/>
      <c r="R526" s="618"/>
      <c r="S526" s="616"/>
      <c r="T526" s="617"/>
      <c r="U526" s="616"/>
    </row>
    <row r="527" spans="2:21" s="615" customFormat="1" ht="10.15" customHeight="1">
      <c r="B527" s="616"/>
      <c r="C527" s="616"/>
      <c r="E527" s="617"/>
      <c r="F527" s="620"/>
      <c r="G527" s="620"/>
      <c r="H527" s="622"/>
      <c r="I527" s="621"/>
      <c r="J527" s="621"/>
      <c r="K527" s="620"/>
      <c r="L527" s="4409"/>
      <c r="M527" s="4409"/>
      <c r="O527" s="619"/>
      <c r="P527" s="617"/>
      <c r="Q527" s="617"/>
      <c r="R527" s="618"/>
      <c r="S527" s="616"/>
      <c r="T527" s="617"/>
      <c r="U527" s="616"/>
    </row>
    <row r="528" spans="2:21" s="615" customFormat="1" ht="10.15" customHeight="1">
      <c r="B528" s="616"/>
      <c r="C528" s="616"/>
      <c r="E528" s="617"/>
      <c r="F528" s="620"/>
      <c r="G528" s="620"/>
      <c r="H528" s="622"/>
      <c r="I528" s="621"/>
      <c r="J528" s="621"/>
      <c r="K528" s="620"/>
      <c r="L528" s="4409"/>
      <c r="M528" s="4409"/>
      <c r="O528" s="619"/>
      <c r="P528" s="617"/>
      <c r="Q528" s="617"/>
      <c r="R528" s="618"/>
      <c r="S528" s="616"/>
      <c r="T528" s="617"/>
      <c r="U528" s="616"/>
    </row>
    <row r="529" spans="2:21" s="615" customFormat="1" ht="10.15" customHeight="1">
      <c r="B529" s="616"/>
      <c r="C529" s="616"/>
      <c r="E529" s="617"/>
      <c r="F529" s="620"/>
      <c r="G529" s="620"/>
      <c r="H529" s="622"/>
      <c r="I529" s="621"/>
      <c r="J529" s="621"/>
      <c r="K529" s="620"/>
      <c r="L529" s="4409"/>
      <c r="M529" s="4409"/>
      <c r="O529" s="619"/>
      <c r="P529" s="617"/>
      <c r="Q529" s="617"/>
      <c r="R529" s="618"/>
      <c r="S529" s="616"/>
      <c r="T529" s="617"/>
      <c r="U529" s="616"/>
    </row>
    <row r="530" spans="2:21" s="615" customFormat="1" ht="10.15" customHeight="1">
      <c r="B530" s="616"/>
      <c r="C530" s="616"/>
      <c r="E530" s="617"/>
      <c r="F530" s="620"/>
      <c r="G530" s="620"/>
      <c r="H530" s="622"/>
      <c r="I530" s="621"/>
      <c r="J530" s="621"/>
      <c r="K530" s="620"/>
      <c r="L530" s="4409"/>
      <c r="M530" s="4409"/>
      <c r="O530" s="619"/>
      <c r="P530" s="617"/>
      <c r="Q530" s="617"/>
      <c r="R530" s="618"/>
      <c r="S530" s="616"/>
      <c r="T530" s="617"/>
      <c r="U530" s="616"/>
    </row>
    <row r="531" spans="2:21" s="615" customFormat="1" ht="10.15" customHeight="1">
      <c r="B531" s="616"/>
      <c r="C531" s="616"/>
      <c r="E531" s="617"/>
      <c r="F531" s="620"/>
      <c r="G531" s="620"/>
      <c r="H531" s="622"/>
      <c r="I531" s="621"/>
      <c r="J531" s="621"/>
      <c r="K531" s="620"/>
      <c r="L531" s="4409"/>
      <c r="M531" s="4409"/>
      <c r="O531" s="619"/>
      <c r="P531" s="617"/>
      <c r="Q531" s="617"/>
      <c r="R531" s="618"/>
      <c r="S531" s="616"/>
      <c r="T531" s="617"/>
      <c r="U531" s="616"/>
    </row>
    <row r="532" spans="2:21" s="615" customFormat="1" ht="10.15" customHeight="1">
      <c r="B532" s="616"/>
      <c r="C532" s="616"/>
      <c r="E532" s="617"/>
      <c r="F532" s="620"/>
      <c r="G532" s="620"/>
      <c r="H532" s="622"/>
      <c r="I532" s="621"/>
      <c r="J532" s="621"/>
      <c r="K532" s="620"/>
      <c r="L532" s="4409"/>
      <c r="M532" s="4409"/>
      <c r="O532" s="619"/>
      <c r="P532" s="617"/>
      <c r="Q532" s="617"/>
      <c r="R532" s="618"/>
      <c r="S532" s="616"/>
      <c r="T532" s="617"/>
      <c r="U532" s="616"/>
    </row>
    <row r="533" spans="2:21" s="615" customFormat="1" ht="10.15" customHeight="1">
      <c r="B533" s="616"/>
      <c r="C533" s="616"/>
      <c r="E533" s="617"/>
      <c r="F533" s="620"/>
      <c r="G533" s="620"/>
      <c r="H533" s="622"/>
      <c r="I533" s="621"/>
      <c r="J533" s="621"/>
      <c r="K533" s="620"/>
      <c r="L533" s="4409"/>
      <c r="M533" s="4409"/>
      <c r="O533" s="619"/>
      <c r="P533" s="617"/>
      <c r="Q533" s="617"/>
      <c r="R533" s="618"/>
      <c r="S533" s="616"/>
      <c r="T533" s="617"/>
      <c r="U533" s="616"/>
    </row>
    <row r="534" spans="2:21" s="615" customFormat="1" ht="10.15" customHeight="1">
      <c r="B534" s="616"/>
      <c r="C534" s="616"/>
      <c r="E534" s="617"/>
      <c r="F534" s="620"/>
      <c r="G534" s="620"/>
      <c r="H534" s="622"/>
      <c r="I534" s="621"/>
      <c r="J534" s="621"/>
      <c r="K534" s="620"/>
      <c r="L534" s="4409"/>
      <c r="M534" s="4409"/>
      <c r="O534" s="619"/>
      <c r="P534" s="617"/>
      <c r="Q534" s="617"/>
      <c r="R534" s="618"/>
      <c r="S534" s="616"/>
      <c r="T534" s="617"/>
      <c r="U534" s="616"/>
    </row>
    <row r="535" spans="2:21" s="615" customFormat="1" ht="10.15" customHeight="1">
      <c r="B535" s="616"/>
      <c r="C535" s="616"/>
      <c r="E535" s="617"/>
      <c r="F535" s="620"/>
      <c r="G535" s="620"/>
      <c r="H535" s="622"/>
      <c r="I535" s="621"/>
      <c r="J535" s="621"/>
      <c r="K535" s="620"/>
      <c r="L535" s="4409"/>
      <c r="M535" s="4409"/>
      <c r="O535" s="619"/>
      <c r="P535" s="617"/>
      <c r="Q535" s="617"/>
      <c r="R535" s="618"/>
      <c r="S535" s="616"/>
      <c r="T535" s="617"/>
      <c r="U535" s="616"/>
    </row>
    <row r="536" spans="2:21" s="615" customFormat="1" ht="10.15" customHeight="1">
      <c r="B536" s="616"/>
      <c r="C536" s="616"/>
      <c r="E536" s="617"/>
      <c r="F536" s="620"/>
      <c r="G536" s="620"/>
      <c r="H536" s="622"/>
      <c r="I536" s="621"/>
      <c r="J536" s="621"/>
      <c r="K536" s="620"/>
      <c r="L536" s="4409"/>
      <c r="M536" s="4409"/>
      <c r="O536" s="619"/>
      <c r="P536" s="617"/>
      <c r="Q536" s="617"/>
      <c r="R536" s="618"/>
      <c r="S536" s="616"/>
      <c r="T536" s="617"/>
      <c r="U536" s="616"/>
    </row>
    <row r="537" spans="2:21" s="615" customFormat="1" ht="10.15" customHeight="1">
      <c r="B537" s="616"/>
      <c r="C537" s="616"/>
      <c r="E537" s="617"/>
      <c r="F537" s="620"/>
      <c r="G537" s="620"/>
      <c r="H537" s="622"/>
      <c r="I537" s="621"/>
      <c r="J537" s="621"/>
      <c r="K537" s="620"/>
      <c r="L537" s="4409"/>
      <c r="M537" s="4409"/>
      <c r="O537" s="619"/>
      <c r="P537" s="617"/>
      <c r="Q537" s="617"/>
      <c r="R537" s="618"/>
      <c r="S537" s="616"/>
      <c r="T537" s="617"/>
      <c r="U537" s="616"/>
    </row>
    <row r="538" spans="2:21" s="615" customFormat="1" ht="10.15" customHeight="1">
      <c r="B538" s="616"/>
      <c r="C538" s="616"/>
      <c r="E538" s="617"/>
      <c r="F538" s="620"/>
      <c r="G538" s="620"/>
      <c r="H538" s="622"/>
      <c r="I538" s="621"/>
      <c r="J538" s="621"/>
      <c r="K538" s="620"/>
      <c r="L538" s="4409"/>
      <c r="M538" s="4409"/>
      <c r="O538" s="619"/>
      <c r="P538" s="617"/>
      <c r="Q538" s="617"/>
      <c r="R538" s="618"/>
      <c r="S538" s="616"/>
      <c r="T538" s="617"/>
      <c r="U538" s="616"/>
    </row>
    <row r="539" spans="2:21" s="615" customFormat="1" ht="10.15" customHeight="1">
      <c r="B539" s="616"/>
      <c r="C539" s="616"/>
      <c r="E539" s="617"/>
      <c r="F539" s="620"/>
      <c r="G539" s="620"/>
      <c r="H539" s="622"/>
      <c r="I539" s="621"/>
      <c r="J539" s="621"/>
      <c r="K539" s="620"/>
      <c r="L539" s="4409"/>
      <c r="M539" s="4409"/>
      <c r="O539" s="619"/>
      <c r="P539" s="617"/>
      <c r="Q539" s="617"/>
      <c r="R539" s="618"/>
      <c r="S539" s="616"/>
      <c r="T539" s="617"/>
      <c r="U539" s="616"/>
    </row>
    <row r="540" spans="2:21" s="615" customFormat="1" ht="10.15" customHeight="1">
      <c r="B540" s="616"/>
      <c r="C540" s="616"/>
      <c r="E540" s="617"/>
      <c r="F540" s="620"/>
      <c r="G540" s="620"/>
      <c r="H540" s="622"/>
      <c r="I540" s="621"/>
      <c r="J540" s="621"/>
      <c r="K540" s="620"/>
      <c r="L540" s="4409"/>
      <c r="M540" s="4409"/>
      <c r="O540" s="619"/>
      <c r="P540" s="617"/>
      <c r="Q540" s="617"/>
      <c r="R540" s="618"/>
      <c r="S540" s="616"/>
      <c r="T540" s="617"/>
      <c r="U540" s="616"/>
    </row>
    <row r="541" spans="2:21" s="615" customFormat="1" ht="10.15" customHeight="1">
      <c r="B541" s="616"/>
      <c r="C541" s="616"/>
      <c r="E541" s="617"/>
      <c r="F541" s="620"/>
      <c r="G541" s="620"/>
      <c r="H541" s="622"/>
      <c r="I541" s="621"/>
      <c r="J541" s="621"/>
      <c r="K541" s="620"/>
      <c r="L541" s="4409"/>
      <c r="M541" s="4409"/>
      <c r="O541" s="619"/>
      <c r="P541" s="617"/>
      <c r="Q541" s="617"/>
      <c r="R541" s="618"/>
      <c r="S541" s="616"/>
      <c r="T541" s="617"/>
      <c r="U541" s="616"/>
    </row>
    <row r="542" spans="2:21" s="615" customFormat="1" ht="10.15" customHeight="1">
      <c r="B542" s="616"/>
      <c r="C542" s="616"/>
      <c r="E542" s="617"/>
      <c r="F542" s="620"/>
      <c r="G542" s="620"/>
      <c r="H542" s="622"/>
      <c r="I542" s="621"/>
      <c r="J542" s="621"/>
      <c r="K542" s="620"/>
      <c r="L542" s="4409"/>
      <c r="M542" s="4409"/>
      <c r="O542" s="619"/>
      <c r="P542" s="617"/>
      <c r="Q542" s="617"/>
      <c r="R542" s="618"/>
      <c r="S542" s="616"/>
      <c r="T542" s="617"/>
      <c r="U542" s="616"/>
    </row>
    <row r="543" spans="2:21" s="615" customFormat="1" ht="10.15" customHeight="1">
      <c r="B543" s="616"/>
      <c r="C543" s="616"/>
      <c r="E543" s="617"/>
      <c r="F543" s="620"/>
      <c r="G543" s="620"/>
      <c r="H543" s="622"/>
      <c r="I543" s="621"/>
      <c r="J543" s="621"/>
      <c r="K543" s="620"/>
      <c r="L543" s="4409"/>
      <c r="M543" s="4409"/>
      <c r="O543" s="619"/>
      <c r="P543" s="617"/>
      <c r="Q543" s="617"/>
      <c r="R543" s="618"/>
      <c r="S543" s="616"/>
      <c r="T543" s="617"/>
      <c r="U543" s="616"/>
    </row>
    <row r="544" spans="2:21" s="615" customFormat="1" ht="10.15" customHeight="1">
      <c r="B544" s="616"/>
      <c r="C544" s="616"/>
      <c r="E544" s="617"/>
      <c r="F544" s="620"/>
      <c r="G544" s="620"/>
      <c r="H544" s="622"/>
      <c r="I544" s="621"/>
      <c r="J544" s="621"/>
      <c r="K544" s="620"/>
      <c r="L544" s="4409"/>
      <c r="M544" s="4409"/>
      <c r="O544" s="619"/>
      <c r="P544" s="617"/>
      <c r="Q544" s="617"/>
      <c r="R544" s="618"/>
      <c r="S544" s="616"/>
      <c r="T544" s="617"/>
      <c r="U544" s="616"/>
    </row>
    <row r="545" spans="2:21" s="615" customFormat="1" ht="10.15" customHeight="1">
      <c r="B545" s="616"/>
      <c r="C545" s="616"/>
      <c r="E545" s="617"/>
      <c r="F545" s="620"/>
      <c r="G545" s="620"/>
      <c r="H545" s="622"/>
      <c r="I545" s="621"/>
      <c r="J545" s="621"/>
      <c r="K545" s="620"/>
      <c r="L545" s="4409"/>
      <c r="M545" s="4409"/>
      <c r="O545" s="619"/>
      <c r="P545" s="617"/>
      <c r="Q545" s="617"/>
      <c r="R545" s="618"/>
      <c r="S545" s="616"/>
      <c r="T545" s="617"/>
      <c r="U545" s="616"/>
    </row>
    <row r="546" spans="2:21" s="615" customFormat="1" ht="10.15" customHeight="1">
      <c r="B546" s="616"/>
      <c r="C546" s="616"/>
      <c r="E546" s="617"/>
      <c r="F546" s="620"/>
      <c r="G546" s="620"/>
      <c r="H546" s="622"/>
      <c r="I546" s="621"/>
      <c r="J546" s="621"/>
      <c r="K546" s="620"/>
      <c r="L546" s="4409"/>
      <c r="M546" s="4409"/>
      <c r="O546" s="619"/>
      <c r="P546" s="617"/>
      <c r="Q546" s="617"/>
      <c r="R546" s="618"/>
      <c r="S546" s="616"/>
      <c r="T546" s="617"/>
      <c r="U546" s="616"/>
    </row>
    <row r="547" spans="2:21" s="615" customFormat="1" ht="10.15" customHeight="1">
      <c r="B547" s="616"/>
      <c r="C547" s="616"/>
      <c r="E547" s="617"/>
      <c r="F547" s="620"/>
      <c r="G547" s="620"/>
      <c r="H547" s="622"/>
      <c r="I547" s="621"/>
      <c r="J547" s="621"/>
      <c r="K547" s="620"/>
      <c r="L547" s="4409"/>
      <c r="M547" s="4409"/>
      <c r="O547" s="619"/>
      <c r="P547" s="617"/>
      <c r="Q547" s="617"/>
      <c r="R547" s="618"/>
      <c r="S547" s="616"/>
      <c r="T547" s="617"/>
      <c r="U547" s="616"/>
    </row>
    <row r="548" spans="2:21" s="615" customFormat="1" ht="10.15" customHeight="1">
      <c r="B548" s="616"/>
      <c r="C548" s="616"/>
      <c r="E548" s="617"/>
      <c r="F548" s="620"/>
      <c r="G548" s="620"/>
      <c r="H548" s="622"/>
      <c r="I548" s="621"/>
      <c r="J548" s="621"/>
      <c r="K548" s="620"/>
      <c r="L548" s="4409"/>
      <c r="M548" s="4409"/>
      <c r="O548" s="619"/>
      <c r="P548" s="617"/>
      <c r="Q548" s="617"/>
      <c r="R548" s="618"/>
      <c r="S548" s="616"/>
      <c r="T548" s="617"/>
      <c r="U548" s="616"/>
    </row>
    <row r="549" spans="2:21" s="615" customFormat="1" ht="10.15" customHeight="1">
      <c r="B549" s="616"/>
      <c r="C549" s="616"/>
      <c r="E549" s="617"/>
      <c r="F549" s="620"/>
      <c r="G549" s="620"/>
      <c r="H549" s="622"/>
      <c r="I549" s="621"/>
      <c r="J549" s="621"/>
      <c r="K549" s="620"/>
      <c r="L549" s="4409"/>
      <c r="M549" s="4409"/>
      <c r="O549" s="619"/>
      <c r="P549" s="617"/>
      <c r="Q549" s="617"/>
      <c r="R549" s="618"/>
      <c r="S549" s="616"/>
      <c r="T549" s="617"/>
      <c r="U549" s="616"/>
    </row>
    <row r="550" spans="2:21" s="615" customFormat="1" ht="10.15" customHeight="1">
      <c r="B550" s="616"/>
      <c r="C550" s="616"/>
      <c r="E550" s="617"/>
      <c r="F550" s="620"/>
      <c r="G550" s="620"/>
      <c r="H550" s="622"/>
      <c r="I550" s="621"/>
      <c r="J550" s="621"/>
      <c r="K550" s="620"/>
      <c r="L550" s="4409"/>
      <c r="M550" s="4409"/>
      <c r="O550" s="619"/>
      <c r="P550" s="617"/>
      <c r="Q550" s="617"/>
      <c r="R550" s="618"/>
      <c r="S550" s="616"/>
      <c r="T550" s="617"/>
      <c r="U550" s="616"/>
    </row>
    <row r="551" spans="2:21" s="615" customFormat="1" ht="10.15" customHeight="1">
      <c r="B551" s="616"/>
      <c r="C551" s="616"/>
      <c r="E551" s="617"/>
      <c r="F551" s="620"/>
      <c r="G551" s="620"/>
      <c r="H551" s="622"/>
      <c r="I551" s="621"/>
      <c r="J551" s="621"/>
      <c r="K551" s="620"/>
      <c r="L551" s="4409"/>
      <c r="M551" s="4409"/>
      <c r="O551" s="619"/>
      <c r="P551" s="617"/>
      <c r="Q551" s="617"/>
      <c r="R551" s="618"/>
      <c r="S551" s="616"/>
      <c r="T551" s="617"/>
      <c r="U551" s="616"/>
    </row>
    <row r="552" spans="2:21" s="615" customFormat="1" ht="10.15" customHeight="1">
      <c r="B552" s="616"/>
      <c r="C552" s="616"/>
      <c r="E552" s="617"/>
      <c r="F552" s="620"/>
      <c r="G552" s="620"/>
      <c r="H552" s="622"/>
      <c r="I552" s="621"/>
      <c r="J552" s="621"/>
      <c r="K552" s="620"/>
      <c r="L552" s="4409"/>
      <c r="M552" s="4409"/>
      <c r="O552" s="619"/>
      <c r="P552" s="617"/>
      <c r="Q552" s="617"/>
      <c r="R552" s="618"/>
      <c r="S552" s="616"/>
      <c r="T552" s="617"/>
      <c r="U552" s="616"/>
    </row>
    <row r="553" spans="2:21" s="615" customFormat="1" ht="10.15" customHeight="1">
      <c r="B553" s="616"/>
      <c r="C553" s="616"/>
      <c r="E553" s="617"/>
      <c r="F553" s="620"/>
      <c r="G553" s="620"/>
      <c r="H553" s="622"/>
      <c r="I553" s="621"/>
      <c r="J553" s="621"/>
      <c r="K553" s="620"/>
      <c r="L553" s="4409"/>
      <c r="M553" s="4409"/>
      <c r="O553" s="619"/>
      <c r="P553" s="617"/>
      <c r="Q553" s="617"/>
      <c r="R553" s="618"/>
      <c r="S553" s="616"/>
      <c r="T553" s="617"/>
      <c r="U553" s="616"/>
    </row>
    <row r="554" spans="2:21" s="615" customFormat="1" ht="10.15" customHeight="1">
      <c r="B554" s="616"/>
      <c r="C554" s="616"/>
      <c r="E554" s="617"/>
      <c r="F554" s="620"/>
      <c r="G554" s="620"/>
      <c r="H554" s="622"/>
      <c r="I554" s="621"/>
      <c r="J554" s="621"/>
      <c r="K554" s="620"/>
      <c r="L554" s="4409"/>
      <c r="M554" s="4409"/>
      <c r="O554" s="619"/>
      <c r="P554" s="617"/>
      <c r="Q554" s="617"/>
      <c r="R554" s="618"/>
      <c r="S554" s="616"/>
      <c r="T554" s="617"/>
      <c r="U554" s="616"/>
    </row>
    <row r="555" spans="2:21" s="615" customFormat="1" ht="10.15" customHeight="1">
      <c r="B555" s="616"/>
      <c r="C555" s="616"/>
      <c r="E555" s="617"/>
      <c r="F555" s="620"/>
      <c r="G555" s="620"/>
      <c r="H555" s="622"/>
      <c r="I555" s="621"/>
      <c r="J555" s="621"/>
      <c r="K555" s="620"/>
      <c r="L555" s="4409"/>
      <c r="M555" s="4409"/>
      <c r="O555" s="619"/>
      <c r="P555" s="617"/>
      <c r="Q555" s="617"/>
      <c r="R555" s="618"/>
      <c r="S555" s="616"/>
      <c r="T555" s="617"/>
      <c r="U555" s="616"/>
    </row>
    <row r="556" spans="2:21" s="615" customFormat="1" ht="10.15" customHeight="1">
      <c r="B556" s="616"/>
      <c r="C556" s="616"/>
      <c r="E556" s="617"/>
      <c r="F556" s="620"/>
      <c r="G556" s="620"/>
      <c r="H556" s="622"/>
      <c r="I556" s="621"/>
      <c r="J556" s="621"/>
      <c r="K556" s="620"/>
      <c r="L556" s="4409"/>
      <c r="M556" s="4409"/>
      <c r="O556" s="619"/>
      <c r="P556" s="617"/>
      <c r="Q556" s="617"/>
      <c r="R556" s="618"/>
      <c r="S556" s="616"/>
      <c r="T556" s="617"/>
      <c r="U556" s="616"/>
    </row>
    <row r="557" spans="2:21" s="615" customFormat="1" ht="10.15" customHeight="1">
      <c r="B557" s="616"/>
      <c r="C557" s="616"/>
      <c r="E557" s="617"/>
      <c r="F557" s="620"/>
      <c r="G557" s="620"/>
      <c r="H557" s="622"/>
      <c r="I557" s="621"/>
      <c r="J557" s="621"/>
      <c r="K557" s="620"/>
      <c r="L557" s="4409"/>
      <c r="M557" s="4409"/>
      <c r="O557" s="619"/>
      <c r="P557" s="617"/>
      <c r="Q557" s="617"/>
      <c r="R557" s="618"/>
      <c r="S557" s="616"/>
      <c r="T557" s="617"/>
      <c r="U557" s="616"/>
    </row>
    <row r="558" spans="2:21" s="615" customFormat="1" ht="10.15" customHeight="1">
      <c r="B558" s="616"/>
      <c r="C558" s="616"/>
      <c r="E558" s="617"/>
      <c r="F558" s="620"/>
      <c r="G558" s="620"/>
      <c r="H558" s="622"/>
      <c r="I558" s="621"/>
      <c r="J558" s="621"/>
      <c r="K558" s="620"/>
      <c r="L558" s="4409"/>
      <c r="M558" s="4409"/>
      <c r="O558" s="619"/>
      <c r="P558" s="617"/>
      <c r="Q558" s="617"/>
      <c r="R558" s="618"/>
      <c r="S558" s="616"/>
      <c r="T558" s="617"/>
      <c r="U558" s="616"/>
    </row>
    <row r="559" spans="2:21" s="615" customFormat="1" ht="10.15" customHeight="1">
      <c r="B559" s="616"/>
      <c r="C559" s="616"/>
      <c r="E559" s="617"/>
      <c r="F559" s="620"/>
      <c r="G559" s="620"/>
      <c r="H559" s="622"/>
      <c r="I559" s="621"/>
      <c r="J559" s="621"/>
      <c r="K559" s="620"/>
      <c r="L559" s="4409"/>
      <c r="M559" s="4409"/>
      <c r="O559" s="619"/>
      <c r="P559" s="617"/>
      <c r="Q559" s="617"/>
      <c r="R559" s="618"/>
      <c r="S559" s="616"/>
      <c r="T559" s="617"/>
      <c r="U559" s="616"/>
    </row>
    <row r="560" spans="2:21" s="615" customFormat="1" ht="10.15" customHeight="1">
      <c r="B560" s="616"/>
      <c r="C560" s="616"/>
      <c r="E560" s="617"/>
      <c r="F560" s="620"/>
      <c r="G560" s="620"/>
      <c r="H560" s="622"/>
      <c r="I560" s="621"/>
      <c r="J560" s="621"/>
      <c r="K560" s="620"/>
      <c r="L560" s="4409"/>
      <c r="M560" s="4409"/>
      <c r="O560" s="619"/>
      <c r="P560" s="617"/>
      <c r="Q560" s="617"/>
      <c r="R560" s="618"/>
      <c r="S560" s="616"/>
      <c r="T560" s="617"/>
      <c r="U560" s="616"/>
    </row>
    <row r="561" spans="2:21" s="615" customFormat="1" ht="10.15" customHeight="1">
      <c r="B561" s="616"/>
      <c r="C561" s="616"/>
      <c r="E561" s="617"/>
      <c r="F561" s="620"/>
      <c r="G561" s="620"/>
      <c r="H561" s="622"/>
      <c r="I561" s="621"/>
      <c r="J561" s="621"/>
      <c r="K561" s="620"/>
      <c r="L561" s="4409"/>
      <c r="M561" s="4409"/>
      <c r="O561" s="619"/>
      <c r="P561" s="617"/>
      <c r="Q561" s="617"/>
      <c r="R561" s="618"/>
      <c r="S561" s="616"/>
      <c r="T561" s="617"/>
      <c r="U561" s="616"/>
    </row>
    <row r="562" spans="2:21" s="615" customFormat="1" ht="10.15" customHeight="1">
      <c r="B562" s="616"/>
      <c r="C562" s="616"/>
      <c r="E562" s="617"/>
      <c r="F562" s="620"/>
      <c r="G562" s="620"/>
      <c r="H562" s="622"/>
      <c r="I562" s="621"/>
      <c r="J562" s="621"/>
      <c r="K562" s="620"/>
      <c r="L562" s="4409"/>
      <c r="M562" s="4409"/>
      <c r="O562" s="619"/>
      <c r="P562" s="617"/>
      <c r="Q562" s="617"/>
      <c r="R562" s="618"/>
      <c r="S562" s="616"/>
      <c r="T562" s="617"/>
      <c r="U562" s="616"/>
    </row>
    <row r="563" spans="2:21" s="615" customFormat="1" ht="10.15" customHeight="1">
      <c r="B563" s="616"/>
      <c r="C563" s="616"/>
      <c r="E563" s="617"/>
      <c r="F563" s="620"/>
      <c r="G563" s="620"/>
      <c r="H563" s="622"/>
      <c r="I563" s="621"/>
      <c r="J563" s="621"/>
      <c r="K563" s="620"/>
      <c r="L563" s="4409"/>
      <c r="M563" s="4409"/>
      <c r="O563" s="619"/>
      <c r="P563" s="617"/>
      <c r="Q563" s="617"/>
      <c r="R563" s="618"/>
      <c r="S563" s="616"/>
      <c r="T563" s="617"/>
      <c r="U563" s="616"/>
    </row>
    <row r="564" spans="2:21" s="615" customFormat="1" ht="10.15" customHeight="1">
      <c r="B564" s="616"/>
      <c r="C564" s="616"/>
      <c r="E564" s="617"/>
      <c r="F564" s="620"/>
      <c r="G564" s="620"/>
      <c r="H564" s="622"/>
      <c r="I564" s="621"/>
      <c r="J564" s="621"/>
      <c r="K564" s="620"/>
      <c r="L564" s="4409"/>
      <c r="M564" s="4409"/>
      <c r="O564" s="619"/>
      <c r="P564" s="617"/>
      <c r="Q564" s="617"/>
      <c r="R564" s="618"/>
      <c r="S564" s="616"/>
      <c r="T564" s="617"/>
      <c r="U564" s="616"/>
    </row>
    <row r="565" spans="2:21" s="615" customFormat="1" ht="10.15" customHeight="1">
      <c r="B565" s="616"/>
      <c r="C565" s="616"/>
      <c r="E565" s="617"/>
      <c r="F565" s="620"/>
      <c r="G565" s="620"/>
      <c r="H565" s="622"/>
      <c r="I565" s="621"/>
      <c r="J565" s="621"/>
      <c r="K565" s="620"/>
      <c r="L565" s="4409"/>
      <c r="M565" s="4409"/>
      <c r="O565" s="619"/>
      <c r="P565" s="617"/>
      <c r="Q565" s="617"/>
      <c r="R565" s="618"/>
      <c r="S565" s="616"/>
      <c r="T565" s="617"/>
      <c r="U565" s="616"/>
    </row>
    <row r="566" spans="2:21" s="615" customFormat="1" ht="10.15" customHeight="1">
      <c r="B566" s="616"/>
      <c r="C566" s="616"/>
      <c r="E566" s="617"/>
      <c r="F566" s="620"/>
      <c r="G566" s="620"/>
      <c r="H566" s="622"/>
      <c r="I566" s="621"/>
      <c r="J566" s="621"/>
      <c r="K566" s="620"/>
      <c r="L566" s="4409"/>
      <c r="M566" s="4409"/>
      <c r="O566" s="619"/>
      <c r="P566" s="617"/>
      <c r="Q566" s="617"/>
      <c r="R566" s="618"/>
      <c r="S566" s="616"/>
      <c r="T566" s="617"/>
      <c r="U566" s="616"/>
    </row>
    <row r="567" spans="2:21" s="615" customFormat="1" ht="10.15" customHeight="1">
      <c r="B567" s="616"/>
      <c r="C567" s="616"/>
      <c r="E567" s="617"/>
      <c r="F567" s="620"/>
      <c r="G567" s="620"/>
      <c r="H567" s="622"/>
      <c r="I567" s="621"/>
      <c r="J567" s="621"/>
      <c r="K567" s="620"/>
      <c r="L567" s="4409"/>
      <c r="M567" s="4409"/>
      <c r="O567" s="619"/>
      <c r="P567" s="617"/>
      <c r="Q567" s="617"/>
      <c r="R567" s="618"/>
      <c r="S567" s="616"/>
      <c r="T567" s="617"/>
      <c r="U567" s="616"/>
    </row>
    <row r="568" spans="2:21" s="615" customFormat="1" ht="10.15" customHeight="1">
      <c r="B568" s="616"/>
      <c r="C568" s="616"/>
      <c r="E568" s="617"/>
      <c r="F568" s="620"/>
      <c r="G568" s="620"/>
      <c r="H568" s="622"/>
      <c r="I568" s="621"/>
      <c r="J568" s="621"/>
      <c r="K568" s="620"/>
      <c r="L568" s="4409"/>
      <c r="M568" s="4409"/>
      <c r="O568" s="619"/>
      <c r="P568" s="617"/>
      <c r="Q568" s="617"/>
      <c r="R568" s="618"/>
      <c r="S568" s="616"/>
      <c r="T568" s="617"/>
      <c r="U568" s="616"/>
    </row>
    <row r="569" spans="2:21" s="615" customFormat="1" ht="10.15" customHeight="1">
      <c r="B569" s="616"/>
      <c r="C569" s="616"/>
      <c r="E569" s="617"/>
      <c r="F569" s="620"/>
      <c r="G569" s="620"/>
      <c r="H569" s="622"/>
      <c r="I569" s="621"/>
      <c r="J569" s="621"/>
      <c r="K569" s="620"/>
      <c r="L569" s="4409"/>
      <c r="M569" s="4409"/>
      <c r="O569" s="619"/>
      <c r="P569" s="617"/>
      <c r="Q569" s="617"/>
      <c r="R569" s="618"/>
      <c r="S569" s="616"/>
      <c r="T569" s="617"/>
      <c r="U569" s="616"/>
    </row>
    <row r="570" spans="2:21" s="615" customFormat="1" ht="10.15" customHeight="1">
      <c r="B570" s="616"/>
      <c r="C570" s="616"/>
      <c r="E570" s="617"/>
      <c r="F570" s="620"/>
      <c r="G570" s="620"/>
      <c r="H570" s="622"/>
      <c r="I570" s="621"/>
      <c r="J570" s="621"/>
      <c r="K570" s="620"/>
      <c r="L570" s="4409"/>
      <c r="M570" s="4409"/>
      <c r="O570" s="619"/>
      <c r="P570" s="617"/>
      <c r="Q570" s="617"/>
      <c r="R570" s="618"/>
      <c r="S570" s="616"/>
      <c r="T570" s="617"/>
      <c r="U570" s="616"/>
    </row>
    <row r="571" spans="2:21" s="615" customFormat="1" ht="10.15" customHeight="1">
      <c r="B571" s="616"/>
      <c r="C571" s="616"/>
      <c r="E571" s="617"/>
      <c r="F571" s="620"/>
      <c r="G571" s="620"/>
      <c r="H571" s="622"/>
      <c r="I571" s="621"/>
      <c r="J571" s="621"/>
      <c r="K571" s="620"/>
      <c r="L571" s="4409"/>
      <c r="M571" s="4409"/>
      <c r="O571" s="619"/>
      <c r="P571" s="617"/>
      <c r="Q571" s="617"/>
      <c r="R571" s="618"/>
      <c r="S571" s="616"/>
      <c r="T571" s="617"/>
      <c r="U571" s="616"/>
    </row>
    <row r="572" spans="2:21" s="615" customFormat="1" ht="10.15" customHeight="1">
      <c r="B572" s="616"/>
      <c r="C572" s="616"/>
      <c r="E572" s="617"/>
      <c r="F572" s="620"/>
      <c r="G572" s="620"/>
      <c r="H572" s="622"/>
      <c r="I572" s="621"/>
      <c r="J572" s="621"/>
      <c r="K572" s="620"/>
      <c r="L572" s="4409"/>
      <c r="M572" s="4409"/>
      <c r="O572" s="619"/>
      <c r="P572" s="617"/>
      <c r="Q572" s="617"/>
      <c r="R572" s="618"/>
      <c r="S572" s="616"/>
      <c r="T572" s="617"/>
      <c r="U572" s="616"/>
    </row>
    <row r="573" spans="2:21" s="615" customFormat="1" ht="10.15" customHeight="1">
      <c r="B573" s="616"/>
      <c r="C573" s="616"/>
      <c r="E573" s="617"/>
      <c r="F573" s="620"/>
      <c r="G573" s="620"/>
      <c r="H573" s="622"/>
      <c r="I573" s="621"/>
      <c r="J573" s="621"/>
      <c r="K573" s="620"/>
      <c r="L573" s="4409"/>
      <c r="M573" s="4409"/>
      <c r="O573" s="619"/>
      <c r="P573" s="617"/>
      <c r="Q573" s="617"/>
      <c r="R573" s="618"/>
      <c r="S573" s="616"/>
      <c r="T573" s="617"/>
      <c r="U573" s="616"/>
    </row>
    <row r="574" spans="2:21" s="615" customFormat="1" ht="10.15" customHeight="1">
      <c r="B574" s="616"/>
      <c r="C574" s="616"/>
      <c r="E574" s="617"/>
      <c r="F574" s="620"/>
      <c r="G574" s="620"/>
      <c r="H574" s="622"/>
      <c r="I574" s="621"/>
      <c r="J574" s="621"/>
      <c r="K574" s="620"/>
      <c r="L574" s="4409"/>
      <c r="M574" s="4409"/>
      <c r="O574" s="619"/>
      <c r="P574" s="617"/>
      <c r="Q574" s="617"/>
      <c r="R574" s="618"/>
      <c r="S574" s="616"/>
      <c r="T574" s="617"/>
      <c r="U574" s="616"/>
    </row>
    <row r="575" spans="2:21" s="615" customFormat="1" ht="10.15" customHeight="1">
      <c r="B575" s="616"/>
      <c r="C575" s="616"/>
      <c r="E575" s="617"/>
      <c r="F575" s="620"/>
      <c r="G575" s="620"/>
      <c r="H575" s="622"/>
      <c r="I575" s="621"/>
      <c r="J575" s="621"/>
      <c r="K575" s="620"/>
      <c r="L575" s="4409"/>
      <c r="M575" s="4409"/>
      <c r="O575" s="619"/>
      <c r="P575" s="617"/>
      <c r="Q575" s="617"/>
      <c r="R575" s="618"/>
      <c r="S575" s="616"/>
      <c r="T575" s="617"/>
      <c r="U575" s="616"/>
    </row>
    <row r="576" spans="2:21" s="615" customFormat="1" ht="10.15" customHeight="1">
      <c r="B576" s="616"/>
      <c r="C576" s="616"/>
      <c r="E576" s="617"/>
      <c r="F576" s="620"/>
      <c r="G576" s="620"/>
      <c r="H576" s="622"/>
      <c r="I576" s="621"/>
      <c r="J576" s="621"/>
      <c r="K576" s="620"/>
      <c r="L576" s="4409"/>
      <c r="M576" s="4409"/>
      <c r="O576" s="619"/>
      <c r="P576" s="617"/>
      <c r="Q576" s="617"/>
      <c r="R576" s="618"/>
      <c r="S576" s="616"/>
      <c r="T576" s="617"/>
      <c r="U576" s="616"/>
    </row>
    <row r="577" spans="2:21" s="615" customFormat="1" ht="10.15" customHeight="1">
      <c r="B577" s="616"/>
      <c r="C577" s="616"/>
      <c r="E577" s="617"/>
      <c r="F577" s="620"/>
      <c r="G577" s="620"/>
      <c r="H577" s="622"/>
      <c r="I577" s="621"/>
      <c r="J577" s="621"/>
      <c r="K577" s="620"/>
      <c r="L577" s="4409"/>
      <c r="M577" s="4409"/>
      <c r="O577" s="619"/>
      <c r="P577" s="617"/>
      <c r="Q577" s="617"/>
      <c r="R577" s="618"/>
      <c r="S577" s="616"/>
      <c r="T577" s="617"/>
      <c r="U577" s="616"/>
    </row>
    <row r="578" spans="2:21" s="615" customFormat="1" ht="10.15" customHeight="1">
      <c r="B578" s="616"/>
      <c r="C578" s="616"/>
      <c r="E578" s="617"/>
      <c r="F578" s="620"/>
      <c r="G578" s="620"/>
      <c r="H578" s="622"/>
      <c r="I578" s="621"/>
      <c r="J578" s="621"/>
      <c r="K578" s="620"/>
      <c r="L578" s="4409"/>
      <c r="M578" s="4409"/>
      <c r="O578" s="619"/>
      <c r="P578" s="617"/>
      <c r="Q578" s="617"/>
      <c r="R578" s="618"/>
      <c r="S578" s="616"/>
      <c r="T578" s="617"/>
      <c r="U578" s="616"/>
    </row>
    <row r="579" spans="2:21" s="615" customFormat="1" ht="10.15" customHeight="1">
      <c r="B579" s="616"/>
      <c r="C579" s="616"/>
      <c r="E579" s="617"/>
      <c r="F579" s="620"/>
      <c r="G579" s="620"/>
      <c r="H579" s="622"/>
      <c r="I579" s="621"/>
      <c r="J579" s="621"/>
      <c r="K579" s="620"/>
      <c r="L579" s="4409"/>
      <c r="M579" s="4409"/>
      <c r="O579" s="619"/>
      <c r="P579" s="617"/>
      <c r="Q579" s="617"/>
      <c r="R579" s="618"/>
      <c r="S579" s="616"/>
      <c r="T579" s="617"/>
      <c r="U579" s="616"/>
    </row>
    <row r="580" spans="2:21" s="615" customFormat="1" ht="10.15" customHeight="1">
      <c r="B580" s="616"/>
      <c r="C580" s="616"/>
      <c r="E580" s="617"/>
      <c r="F580" s="620"/>
      <c r="G580" s="620"/>
      <c r="H580" s="622"/>
      <c r="I580" s="621"/>
      <c r="J580" s="621"/>
      <c r="K580" s="620"/>
      <c r="L580" s="4409"/>
      <c r="M580" s="4409"/>
      <c r="O580" s="619"/>
      <c r="P580" s="617"/>
      <c r="Q580" s="617"/>
      <c r="R580" s="618"/>
      <c r="S580" s="616"/>
      <c r="T580" s="617"/>
      <c r="U580" s="616"/>
    </row>
    <row r="581" spans="2:21" s="615" customFormat="1" ht="10.15" customHeight="1">
      <c r="B581" s="616"/>
      <c r="C581" s="616"/>
      <c r="E581" s="617"/>
      <c r="F581" s="620"/>
      <c r="G581" s="620"/>
      <c r="H581" s="622"/>
      <c r="I581" s="621"/>
      <c r="J581" s="621"/>
      <c r="K581" s="620"/>
      <c r="L581" s="4409"/>
      <c r="M581" s="4409"/>
      <c r="O581" s="619"/>
      <c r="P581" s="617"/>
      <c r="Q581" s="617"/>
      <c r="R581" s="618"/>
      <c r="S581" s="616"/>
      <c r="T581" s="617"/>
      <c r="U581" s="616"/>
    </row>
    <row r="582" spans="2:21" s="615" customFormat="1" ht="10.15" customHeight="1">
      <c r="B582" s="616"/>
      <c r="C582" s="616"/>
      <c r="E582" s="617"/>
      <c r="F582" s="620"/>
      <c r="G582" s="620"/>
      <c r="H582" s="622"/>
      <c r="I582" s="621"/>
      <c r="J582" s="621"/>
      <c r="K582" s="620"/>
      <c r="L582" s="4409"/>
      <c r="M582" s="4409"/>
      <c r="O582" s="619"/>
      <c r="P582" s="617"/>
      <c r="Q582" s="617"/>
      <c r="R582" s="618"/>
      <c r="S582" s="616"/>
      <c r="T582" s="617"/>
      <c r="U582" s="616"/>
    </row>
    <row r="583" spans="2:21" s="615" customFormat="1" ht="10.15" customHeight="1">
      <c r="B583" s="616"/>
      <c r="C583" s="616"/>
      <c r="E583" s="617"/>
      <c r="F583" s="620"/>
      <c r="G583" s="620"/>
      <c r="H583" s="622"/>
      <c r="I583" s="621"/>
      <c r="J583" s="621"/>
      <c r="K583" s="620"/>
      <c r="L583" s="4409"/>
      <c r="M583" s="4409"/>
      <c r="O583" s="619"/>
      <c r="P583" s="617"/>
      <c r="Q583" s="617"/>
      <c r="R583" s="618"/>
      <c r="S583" s="616"/>
      <c r="T583" s="617"/>
      <c r="U583" s="616"/>
    </row>
    <row r="584" spans="2:21" s="615" customFormat="1" ht="10.15" customHeight="1">
      <c r="B584" s="616"/>
      <c r="C584" s="616"/>
      <c r="E584" s="617"/>
      <c r="F584" s="620"/>
      <c r="G584" s="620"/>
      <c r="H584" s="622"/>
      <c r="I584" s="621"/>
      <c r="J584" s="621"/>
      <c r="K584" s="620"/>
      <c r="L584" s="4409"/>
      <c r="M584" s="4409"/>
      <c r="O584" s="619"/>
      <c r="P584" s="617"/>
      <c r="Q584" s="617"/>
      <c r="R584" s="618"/>
      <c r="S584" s="616"/>
      <c r="T584" s="617"/>
      <c r="U584" s="616"/>
    </row>
    <row r="585" spans="2:21" s="615" customFormat="1" ht="10.15" customHeight="1">
      <c r="B585" s="616"/>
      <c r="C585" s="616"/>
      <c r="E585" s="617"/>
      <c r="F585" s="620"/>
      <c r="G585" s="620"/>
      <c r="H585" s="622"/>
      <c r="I585" s="621"/>
      <c r="J585" s="621"/>
      <c r="K585" s="620"/>
      <c r="L585" s="4409"/>
      <c r="M585" s="4409"/>
      <c r="O585" s="619"/>
      <c r="P585" s="617"/>
      <c r="Q585" s="617"/>
      <c r="R585" s="618"/>
      <c r="S585" s="616"/>
      <c r="T585" s="617"/>
      <c r="U585" s="616"/>
    </row>
    <row r="586" spans="2:21" s="615" customFormat="1" ht="10.15" customHeight="1">
      <c r="B586" s="616"/>
      <c r="C586" s="616"/>
      <c r="E586" s="617"/>
      <c r="F586" s="620"/>
      <c r="G586" s="620"/>
      <c r="H586" s="622"/>
      <c r="I586" s="621"/>
      <c r="J586" s="621"/>
      <c r="K586" s="620"/>
      <c r="L586" s="4409"/>
      <c r="M586" s="4409"/>
      <c r="O586" s="619"/>
      <c r="P586" s="617"/>
      <c r="Q586" s="617"/>
      <c r="R586" s="618"/>
      <c r="S586" s="616"/>
      <c r="T586" s="617"/>
      <c r="U586" s="616"/>
    </row>
    <row r="587" spans="2:21" s="615" customFormat="1" ht="10.15" customHeight="1">
      <c r="B587" s="616"/>
      <c r="C587" s="616"/>
      <c r="E587" s="617"/>
      <c r="F587" s="620"/>
      <c r="G587" s="620"/>
      <c r="H587" s="622"/>
      <c r="I587" s="621"/>
      <c r="J587" s="621"/>
      <c r="K587" s="620"/>
      <c r="L587" s="4409"/>
      <c r="M587" s="4409"/>
      <c r="O587" s="619"/>
      <c r="P587" s="617"/>
      <c r="Q587" s="617"/>
      <c r="R587" s="618"/>
      <c r="S587" s="616"/>
      <c r="T587" s="617"/>
      <c r="U587" s="616"/>
    </row>
    <row r="588" spans="2:21" s="615" customFormat="1" ht="10.15" customHeight="1">
      <c r="B588" s="616"/>
      <c r="C588" s="616"/>
      <c r="E588" s="617"/>
      <c r="F588" s="620"/>
      <c r="G588" s="620"/>
      <c r="H588" s="622"/>
      <c r="I588" s="621"/>
      <c r="J588" s="621"/>
      <c r="K588" s="620"/>
      <c r="L588" s="4409"/>
      <c r="M588" s="4409"/>
      <c r="O588" s="619"/>
      <c r="P588" s="617"/>
      <c r="Q588" s="617"/>
      <c r="R588" s="618"/>
      <c r="S588" s="616"/>
      <c r="T588" s="617"/>
      <c r="U588" s="616"/>
    </row>
    <row r="589" spans="2:21" s="615" customFormat="1" ht="10.15" customHeight="1">
      <c r="B589" s="616"/>
      <c r="C589" s="616"/>
      <c r="E589" s="617"/>
      <c r="F589" s="620"/>
      <c r="G589" s="620"/>
      <c r="H589" s="622"/>
      <c r="I589" s="621"/>
      <c r="J589" s="621"/>
      <c r="K589" s="620"/>
      <c r="L589" s="4409"/>
      <c r="M589" s="4409"/>
      <c r="O589" s="619"/>
      <c r="P589" s="617"/>
      <c r="Q589" s="617"/>
      <c r="R589" s="618"/>
      <c r="S589" s="616"/>
      <c r="T589" s="617"/>
      <c r="U589" s="616"/>
    </row>
    <row r="590" spans="2:21" s="615" customFormat="1" ht="10.15" customHeight="1">
      <c r="B590" s="616"/>
      <c r="C590" s="616"/>
      <c r="E590" s="617"/>
      <c r="F590" s="620"/>
      <c r="G590" s="620"/>
      <c r="H590" s="622"/>
      <c r="I590" s="621"/>
      <c r="J590" s="621"/>
      <c r="K590" s="620"/>
      <c r="L590" s="4409"/>
      <c r="M590" s="4409"/>
      <c r="O590" s="619"/>
      <c r="P590" s="617"/>
      <c r="Q590" s="617"/>
      <c r="R590" s="618"/>
      <c r="S590" s="616"/>
      <c r="T590" s="617"/>
      <c r="U590" s="616"/>
    </row>
    <row r="591" spans="2:21" s="615" customFormat="1" ht="10.15" customHeight="1">
      <c r="B591" s="616"/>
      <c r="C591" s="616"/>
      <c r="E591" s="617"/>
      <c r="F591" s="620"/>
      <c r="G591" s="620"/>
      <c r="H591" s="622"/>
      <c r="I591" s="621"/>
      <c r="J591" s="621"/>
      <c r="K591" s="620"/>
      <c r="L591" s="4409"/>
      <c r="M591" s="4409"/>
      <c r="O591" s="619"/>
      <c r="P591" s="617"/>
      <c r="Q591" s="617"/>
      <c r="R591" s="618"/>
      <c r="S591" s="616"/>
      <c r="T591" s="617"/>
      <c r="U591" s="616"/>
    </row>
    <row r="592" spans="2:21" s="615" customFormat="1" ht="10.15" customHeight="1">
      <c r="B592" s="616"/>
      <c r="C592" s="616"/>
      <c r="E592" s="617"/>
      <c r="F592" s="620"/>
      <c r="G592" s="620"/>
      <c r="H592" s="622"/>
      <c r="I592" s="621"/>
      <c r="J592" s="621"/>
      <c r="K592" s="620"/>
      <c r="L592" s="4409"/>
      <c r="M592" s="4409"/>
      <c r="O592" s="619"/>
      <c r="P592" s="617"/>
      <c r="Q592" s="617"/>
      <c r="R592" s="618"/>
      <c r="S592" s="616"/>
      <c r="T592" s="617"/>
      <c r="U592" s="616"/>
    </row>
    <row r="593" spans="2:21" s="615" customFormat="1" ht="10.15" customHeight="1">
      <c r="B593" s="616"/>
      <c r="C593" s="616"/>
      <c r="E593" s="617"/>
      <c r="F593" s="620"/>
      <c r="G593" s="620"/>
      <c r="H593" s="622"/>
      <c r="I593" s="621"/>
      <c r="J593" s="621"/>
      <c r="K593" s="620"/>
      <c r="L593" s="4409"/>
      <c r="M593" s="4409"/>
      <c r="O593" s="619"/>
      <c r="P593" s="617"/>
      <c r="Q593" s="617"/>
      <c r="R593" s="618"/>
      <c r="S593" s="616"/>
      <c r="T593" s="617"/>
      <c r="U593" s="616"/>
    </row>
    <row r="594" spans="2:21" s="615" customFormat="1" ht="10.15" customHeight="1">
      <c r="B594" s="616"/>
      <c r="C594" s="616"/>
      <c r="E594" s="617"/>
      <c r="F594" s="620"/>
      <c r="G594" s="620"/>
      <c r="H594" s="622"/>
      <c r="I594" s="621"/>
      <c r="J594" s="621"/>
      <c r="K594" s="620"/>
      <c r="L594" s="4409"/>
      <c r="M594" s="4409"/>
      <c r="O594" s="619"/>
      <c r="P594" s="617"/>
      <c r="Q594" s="617"/>
      <c r="R594" s="618"/>
      <c r="S594" s="616"/>
      <c r="T594" s="617"/>
      <c r="U594" s="616"/>
    </row>
    <row r="595" spans="2:21" s="615" customFormat="1" ht="10.15" customHeight="1">
      <c r="B595" s="616"/>
      <c r="C595" s="616"/>
      <c r="E595" s="617"/>
      <c r="F595" s="620"/>
      <c r="G595" s="620"/>
      <c r="H595" s="622"/>
      <c r="I595" s="621"/>
      <c r="J595" s="621"/>
      <c r="K595" s="620"/>
      <c r="L595" s="4409"/>
      <c r="M595" s="4409"/>
      <c r="O595" s="619"/>
      <c r="P595" s="617"/>
      <c r="Q595" s="617"/>
      <c r="R595" s="618"/>
      <c r="S595" s="616"/>
      <c r="T595" s="617"/>
      <c r="U595" s="616"/>
    </row>
    <row r="596" spans="2:21" s="615" customFormat="1" ht="10.15" customHeight="1">
      <c r="B596" s="616"/>
      <c r="C596" s="616"/>
      <c r="E596" s="617"/>
      <c r="F596" s="620"/>
      <c r="G596" s="620"/>
      <c r="H596" s="622"/>
      <c r="I596" s="621"/>
      <c r="J596" s="621"/>
      <c r="K596" s="620"/>
      <c r="L596" s="4409"/>
      <c r="M596" s="4409"/>
      <c r="O596" s="619"/>
      <c r="P596" s="617"/>
      <c r="Q596" s="617"/>
      <c r="R596" s="618"/>
      <c r="S596" s="616"/>
      <c r="T596" s="617"/>
      <c r="U596" s="616"/>
    </row>
    <row r="597" spans="2:21" s="615" customFormat="1" ht="10.15" customHeight="1">
      <c r="B597" s="616"/>
      <c r="C597" s="616"/>
      <c r="E597" s="617"/>
      <c r="F597" s="620"/>
      <c r="G597" s="620"/>
      <c r="H597" s="622"/>
      <c r="I597" s="621"/>
      <c r="J597" s="621"/>
      <c r="K597" s="620"/>
      <c r="L597" s="4409"/>
      <c r="M597" s="4409"/>
      <c r="O597" s="619"/>
      <c r="P597" s="617"/>
      <c r="Q597" s="617"/>
      <c r="R597" s="618"/>
      <c r="S597" s="616"/>
      <c r="T597" s="617"/>
      <c r="U597" s="616"/>
    </row>
    <row r="598" spans="2:21" s="615" customFormat="1" ht="10.15" customHeight="1">
      <c r="B598" s="616"/>
      <c r="C598" s="616"/>
      <c r="E598" s="617"/>
      <c r="F598" s="620"/>
      <c r="G598" s="620"/>
      <c r="H598" s="622"/>
      <c r="I598" s="621"/>
      <c r="J598" s="621"/>
      <c r="K598" s="620"/>
      <c r="L598" s="4409"/>
      <c r="M598" s="4409"/>
      <c r="O598" s="619"/>
      <c r="P598" s="617"/>
      <c r="Q598" s="617"/>
      <c r="R598" s="618"/>
      <c r="S598" s="616"/>
      <c r="T598" s="617"/>
      <c r="U598" s="616"/>
    </row>
    <row r="599" spans="2:21" s="615" customFormat="1" ht="10.15" customHeight="1">
      <c r="B599" s="616"/>
      <c r="C599" s="616"/>
      <c r="E599" s="617"/>
      <c r="F599" s="620"/>
      <c r="G599" s="620"/>
      <c r="H599" s="622"/>
      <c r="I599" s="621"/>
      <c r="J599" s="621"/>
      <c r="K599" s="620"/>
      <c r="L599" s="4409"/>
      <c r="M599" s="4409"/>
      <c r="O599" s="619"/>
      <c r="P599" s="617"/>
      <c r="Q599" s="617"/>
      <c r="R599" s="618"/>
      <c r="S599" s="616"/>
      <c r="T599" s="617"/>
      <c r="U599" s="616"/>
    </row>
    <row r="600" spans="2:21" s="615" customFormat="1" ht="10.15" customHeight="1">
      <c r="B600" s="616"/>
      <c r="C600" s="616"/>
      <c r="E600" s="617"/>
      <c r="F600" s="620"/>
      <c r="G600" s="620"/>
      <c r="H600" s="622"/>
      <c r="I600" s="621"/>
      <c r="J600" s="621"/>
      <c r="K600" s="620"/>
      <c r="L600" s="4409"/>
      <c r="M600" s="4409"/>
      <c r="O600" s="619"/>
      <c r="P600" s="617"/>
      <c r="Q600" s="617"/>
      <c r="R600" s="618"/>
      <c r="S600" s="616"/>
      <c r="T600" s="617"/>
      <c r="U600" s="616"/>
    </row>
    <row r="601" spans="2:21" s="615" customFormat="1" ht="10.15" customHeight="1">
      <c r="B601" s="616"/>
      <c r="C601" s="616"/>
      <c r="E601" s="617"/>
      <c r="F601" s="620"/>
      <c r="G601" s="620"/>
      <c r="H601" s="622"/>
      <c r="I601" s="621"/>
      <c r="J601" s="621"/>
      <c r="K601" s="620"/>
      <c r="L601" s="4409"/>
      <c r="M601" s="4409"/>
      <c r="O601" s="619"/>
      <c r="P601" s="617"/>
      <c r="Q601" s="617"/>
      <c r="R601" s="618"/>
      <c r="S601" s="616"/>
      <c r="T601" s="617"/>
      <c r="U601" s="616"/>
    </row>
    <row r="602" spans="2:21" s="615" customFormat="1" ht="10.15" customHeight="1">
      <c r="B602" s="616"/>
      <c r="C602" s="616"/>
      <c r="E602" s="617"/>
      <c r="F602" s="620"/>
      <c r="G602" s="620"/>
      <c r="H602" s="622"/>
      <c r="I602" s="621"/>
      <c r="J602" s="621"/>
      <c r="K602" s="620"/>
      <c r="L602" s="4409"/>
      <c r="M602" s="4409"/>
      <c r="O602" s="619"/>
      <c r="P602" s="617"/>
      <c r="Q602" s="617"/>
      <c r="R602" s="618"/>
      <c r="S602" s="616"/>
      <c r="T602" s="617"/>
      <c r="U602" s="616"/>
    </row>
    <row r="603" spans="2:21" s="615" customFormat="1" ht="10.15" customHeight="1">
      <c r="B603" s="616"/>
      <c r="C603" s="616"/>
      <c r="E603" s="617"/>
      <c r="F603" s="620"/>
      <c r="G603" s="620"/>
      <c r="H603" s="622"/>
      <c r="I603" s="621"/>
      <c r="J603" s="621"/>
      <c r="K603" s="620"/>
      <c r="L603" s="4409"/>
      <c r="M603" s="4409"/>
      <c r="O603" s="619"/>
      <c r="P603" s="617"/>
      <c r="Q603" s="617"/>
      <c r="R603" s="618"/>
      <c r="S603" s="616"/>
      <c r="T603" s="617"/>
      <c r="U603" s="616"/>
    </row>
    <row r="604" spans="2:21" s="615" customFormat="1" ht="10.15" customHeight="1">
      <c r="B604" s="616"/>
      <c r="C604" s="616"/>
      <c r="E604" s="617"/>
      <c r="F604" s="620"/>
      <c r="G604" s="620"/>
      <c r="H604" s="622"/>
      <c r="I604" s="621"/>
      <c r="J604" s="621"/>
      <c r="K604" s="620"/>
      <c r="L604" s="4409"/>
      <c r="M604" s="4409"/>
      <c r="O604" s="619"/>
      <c r="P604" s="617"/>
      <c r="Q604" s="617"/>
      <c r="R604" s="618"/>
      <c r="S604" s="616"/>
      <c r="T604" s="617"/>
      <c r="U604" s="616"/>
    </row>
    <row r="605" spans="2:21" s="615" customFormat="1" ht="10.15" customHeight="1">
      <c r="B605" s="616"/>
      <c r="C605" s="616"/>
      <c r="E605" s="617"/>
      <c r="F605" s="620"/>
      <c r="G605" s="620"/>
      <c r="H605" s="622"/>
      <c r="I605" s="621"/>
      <c r="J605" s="621"/>
      <c r="K605" s="620"/>
      <c r="L605" s="4409"/>
      <c r="M605" s="4409"/>
      <c r="O605" s="619"/>
      <c r="P605" s="617"/>
      <c r="Q605" s="617"/>
      <c r="R605" s="618"/>
      <c r="S605" s="616"/>
      <c r="T605" s="617"/>
      <c r="U605" s="616"/>
    </row>
    <row r="606" spans="2:21" s="615" customFormat="1" ht="10.15" customHeight="1">
      <c r="B606" s="616"/>
      <c r="C606" s="616"/>
      <c r="E606" s="617"/>
      <c r="F606" s="620"/>
      <c r="G606" s="620"/>
      <c r="H606" s="622"/>
      <c r="I606" s="621"/>
      <c r="J606" s="621"/>
      <c r="K606" s="620"/>
      <c r="L606" s="4409"/>
      <c r="M606" s="4409"/>
      <c r="O606" s="619"/>
      <c r="P606" s="617"/>
      <c r="Q606" s="617"/>
      <c r="R606" s="618"/>
      <c r="S606" s="616"/>
      <c r="T606" s="617"/>
      <c r="U606" s="616"/>
    </row>
    <row r="607" spans="2:21" s="615" customFormat="1" ht="10.15" customHeight="1">
      <c r="B607" s="616"/>
      <c r="C607" s="616"/>
      <c r="E607" s="617"/>
      <c r="F607" s="620"/>
      <c r="G607" s="620"/>
      <c r="H607" s="622"/>
      <c r="I607" s="621"/>
      <c r="J607" s="621"/>
      <c r="K607" s="620"/>
      <c r="L607" s="4409"/>
      <c r="M607" s="4409"/>
      <c r="O607" s="619"/>
      <c r="P607" s="617"/>
      <c r="Q607" s="617"/>
      <c r="R607" s="618"/>
      <c r="S607" s="616"/>
      <c r="T607" s="617"/>
      <c r="U607" s="616"/>
    </row>
    <row r="608" spans="2:21" s="615" customFormat="1" ht="10.15" customHeight="1">
      <c r="B608" s="616"/>
      <c r="C608" s="616"/>
      <c r="E608" s="617"/>
      <c r="F608" s="620"/>
      <c r="G608" s="620"/>
      <c r="H608" s="622"/>
      <c r="I608" s="621"/>
      <c r="J608" s="621"/>
      <c r="K608" s="620"/>
      <c r="L608" s="4409"/>
      <c r="M608" s="4409"/>
      <c r="O608" s="619"/>
      <c r="P608" s="617"/>
      <c r="Q608" s="617"/>
      <c r="R608" s="618"/>
      <c r="S608" s="616"/>
      <c r="T608" s="617"/>
      <c r="U608" s="616"/>
    </row>
    <row r="609" spans="2:21" s="615" customFormat="1" ht="10.15" customHeight="1">
      <c r="B609" s="616"/>
      <c r="C609" s="616"/>
      <c r="E609" s="617"/>
      <c r="F609" s="620"/>
      <c r="G609" s="620"/>
      <c r="H609" s="622"/>
      <c r="I609" s="621"/>
      <c r="J609" s="621"/>
      <c r="K609" s="620"/>
      <c r="L609" s="4409"/>
      <c r="M609" s="4409"/>
      <c r="O609" s="619"/>
      <c r="P609" s="617"/>
      <c r="Q609" s="617"/>
      <c r="R609" s="618"/>
      <c r="S609" s="616"/>
      <c r="T609" s="617"/>
      <c r="U609" s="616"/>
    </row>
    <row r="610" spans="2:21" s="615" customFormat="1" ht="10.15" customHeight="1">
      <c r="B610" s="616"/>
      <c r="C610" s="616"/>
      <c r="E610" s="617"/>
      <c r="F610" s="620"/>
      <c r="G610" s="620"/>
      <c r="H610" s="622"/>
      <c r="I610" s="621"/>
      <c r="J610" s="621"/>
      <c r="K610" s="620"/>
      <c r="L610" s="4409"/>
      <c r="M610" s="4409"/>
      <c r="O610" s="619"/>
      <c r="P610" s="617"/>
      <c r="Q610" s="617"/>
      <c r="R610" s="618"/>
      <c r="S610" s="616"/>
      <c r="T610" s="617"/>
      <c r="U610" s="616"/>
    </row>
    <row r="611" spans="2:21" s="615" customFormat="1" ht="10.15" customHeight="1">
      <c r="B611" s="616"/>
      <c r="C611" s="616"/>
      <c r="E611" s="617"/>
      <c r="F611" s="620"/>
      <c r="G611" s="620"/>
      <c r="H611" s="622"/>
      <c r="I611" s="621"/>
      <c r="J611" s="621"/>
      <c r="K611" s="620"/>
      <c r="L611" s="4409"/>
      <c r="M611" s="4409"/>
      <c r="O611" s="619"/>
      <c r="P611" s="617"/>
      <c r="Q611" s="617"/>
      <c r="R611" s="618"/>
      <c r="S611" s="616"/>
      <c r="T611" s="617"/>
      <c r="U611" s="616"/>
    </row>
    <row r="612" spans="2:21" s="615" customFormat="1" ht="10.15" customHeight="1">
      <c r="B612" s="616"/>
      <c r="C612" s="616"/>
      <c r="E612" s="617"/>
      <c r="F612" s="620"/>
      <c r="G612" s="620"/>
      <c r="H612" s="622"/>
      <c r="I612" s="621"/>
      <c r="J612" s="621"/>
      <c r="K612" s="620"/>
      <c r="L612" s="4409"/>
      <c r="M612" s="4409"/>
      <c r="O612" s="619"/>
      <c r="P612" s="617"/>
      <c r="Q612" s="617"/>
      <c r="R612" s="618"/>
      <c r="S612" s="616"/>
      <c r="T612" s="617"/>
      <c r="U612" s="616"/>
    </row>
    <row r="613" spans="2:21" s="615" customFormat="1" ht="10.15" customHeight="1">
      <c r="B613" s="616"/>
      <c r="C613" s="616"/>
      <c r="E613" s="617"/>
      <c r="F613" s="620"/>
      <c r="G613" s="620"/>
      <c r="H613" s="622"/>
      <c r="I613" s="621"/>
      <c r="J613" s="621"/>
      <c r="K613" s="620"/>
      <c r="L613" s="4409"/>
      <c r="M613" s="4409"/>
      <c r="O613" s="619"/>
      <c r="P613" s="617"/>
      <c r="Q613" s="617"/>
      <c r="R613" s="618"/>
      <c r="S613" s="616"/>
      <c r="T613" s="617"/>
      <c r="U613" s="616"/>
    </row>
    <row r="614" spans="2:21" s="615" customFormat="1" ht="10.15" customHeight="1">
      <c r="B614" s="616"/>
      <c r="C614" s="616"/>
      <c r="E614" s="617"/>
      <c r="F614" s="620"/>
      <c r="G614" s="620"/>
      <c r="H614" s="622"/>
      <c r="I614" s="621"/>
      <c r="J614" s="621"/>
      <c r="K614" s="620"/>
      <c r="L614" s="4409"/>
      <c r="M614" s="4409"/>
      <c r="O614" s="619"/>
      <c r="P614" s="617"/>
      <c r="Q614" s="617"/>
      <c r="R614" s="618"/>
      <c r="S614" s="616"/>
      <c r="T614" s="617"/>
      <c r="U614" s="616"/>
    </row>
    <row r="615" spans="2:21" s="615" customFormat="1" ht="10.15" customHeight="1">
      <c r="B615" s="616"/>
      <c r="C615" s="616"/>
      <c r="E615" s="617"/>
      <c r="F615" s="620"/>
      <c r="G615" s="620"/>
      <c r="H615" s="622"/>
      <c r="I615" s="621"/>
      <c r="J615" s="621"/>
      <c r="K615" s="620"/>
      <c r="L615" s="4409"/>
      <c r="M615" s="4409"/>
      <c r="O615" s="619"/>
      <c r="P615" s="617"/>
      <c r="Q615" s="617"/>
      <c r="R615" s="618"/>
      <c r="S615" s="616"/>
      <c r="T615" s="617"/>
      <c r="U615" s="616"/>
    </row>
    <row r="616" spans="2:21" s="615" customFormat="1" ht="10.15" customHeight="1">
      <c r="B616" s="616"/>
      <c r="C616" s="616"/>
      <c r="E616" s="617"/>
      <c r="F616" s="620"/>
      <c r="G616" s="620"/>
      <c r="H616" s="622"/>
      <c r="I616" s="621"/>
      <c r="J616" s="621"/>
      <c r="K616" s="620"/>
      <c r="L616" s="4409"/>
      <c r="M616" s="4409"/>
      <c r="O616" s="619"/>
      <c r="P616" s="617"/>
      <c r="Q616" s="617"/>
      <c r="R616" s="618"/>
      <c r="S616" s="616"/>
      <c r="T616" s="617"/>
      <c r="U616" s="616"/>
    </row>
    <row r="617" spans="2:21" s="615" customFormat="1" ht="10.15" customHeight="1">
      <c r="B617" s="616"/>
      <c r="C617" s="616"/>
      <c r="E617" s="617"/>
      <c r="F617" s="620"/>
      <c r="G617" s="620"/>
      <c r="H617" s="622"/>
      <c r="I617" s="621"/>
      <c r="J617" s="621"/>
      <c r="K617" s="620"/>
      <c r="L617" s="4409"/>
      <c r="M617" s="4409"/>
      <c r="O617" s="619"/>
      <c r="P617" s="617"/>
      <c r="Q617" s="617"/>
      <c r="R617" s="618"/>
      <c r="S617" s="616"/>
      <c r="T617" s="617"/>
      <c r="U617" s="616"/>
    </row>
    <row r="618" spans="2:21" s="615" customFormat="1" ht="10.15" customHeight="1">
      <c r="B618" s="616"/>
      <c r="C618" s="616"/>
      <c r="E618" s="617"/>
      <c r="F618" s="620"/>
      <c r="G618" s="620"/>
      <c r="H618" s="622"/>
      <c r="I618" s="621"/>
      <c r="J618" s="621"/>
      <c r="K618" s="620"/>
      <c r="L618" s="4409"/>
      <c r="M618" s="4409"/>
      <c r="O618" s="619"/>
      <c r="P618" s="617"/>
      <c r="Q618" s="617"/>
      <c r="R618" s="618"/>
      <c r="S618" s="616"/>
      <c r="T618" s="617"/>
      <c r="U618" s="616"/>
    </row>
    <row r="619" spans="2:21" s="615" customFormat="1" ht="10.15" customHeight="1">
      <c r="B619" s="616"/>
      <c r="C619" s="616"/>
      <c r="E619" s="617"/>
      <c r="F619" s="620"/>
      <c r="G619" s="620"/>
      <c r="H619" s="622"/>
      <c r="I619" s="621"/>
      <c r="J619" s="621"/>
      <c r="K619" s="620"/>
      <c r="L619" s="4409"/>
      <c r="M619" s="4409"/>
      <c r="O619" s="619"/>
      <c r="P619" s="617"/>
      <c r="Q619" s="617"/>
      <c r="R619" s="618"/>
      <c r="S619" s="616"/>
      <c r="T619" s="617"/>
      <c r="U619" s="616"/>
    </row>
    <row r="620" spans="2:21" s="615" customFormat="1" ht="10.15" customHeight="1">
      <c r="B620" s="616"/>
      <c r="C620" s="616"/>
      <c r="E620" s="617"/>
      <c r="F620" s="620"/>
      <c r="G620" s="620"/>
      <c r="H620" s="622"/>
      <c r="I620" s="621"/>
      <c r="J620" s="621"/>
      <c r="K620" s="620"/>
      <c r="L620" s="4409"/>
      <c r="M620" s="4409"/>
      <c r="O620" s="619"/>
      <c r="P620" s="617"/>
      <c r="Q620" s="617"/>
      <c r="R620" s="618"/>
      <c r="S620" s="616"/>
      <c r="T620" s="617"/>
      <c r="U620" s="616"/>
    </row>
    <row r="621" spans="2:21" s="615" customFormat="1" ht="10.15" customHeight="1">
      <c r="B621" s="616"/>
      <c r="C621" s="616"/>
      <c r="E621" s="617"/>
      <c r="F621" s="620"/>
      <c r="G621" s="620"/>
      <c r="H621" s="622"/>
      <c r="I621" s="621"/>
      <c r="J621" s="621"/>
      <c r="K621" s="620"/>
      <c r="L621" s="4409"/>
      <c r="M621" s="4409"/>
      <c r="O621" s="619"/>
      <c r="P621" s="617"/>
      <c r="Q621" s="617"/>
      <c r="R621" s="618"/>
      <c r="S621" s="616"/>
      <c r="T621" s="617"/>
      <c r="U621" s="616"/>
    </row>
    <row r="622" spans="2:21" s="615" customFormat="1" ht="10.15" customHeight="1">
      <c r="B622" s="616"/>
      <c r="C622" s="616"/>
      <c r="E622" s="617"/>
      <c r="F622" s="620"/>
      <c r="G622" s="620"/>
      <c r="H622" s="622"/>
      <c r="I622" s="621"/>
      <c r="J622" s="621"/>
      <c r="K622" s="620"/>
      <c r="L622" s="4409"/>
      <c r="M622" s="4409"/>
      <c r="O622" s="619"/>
      <c r="P622" s="617"/>
      <c r="Q622" s="617"/>
      <c r="R622" s="618"/>
      <c r="S622" s="616"/>
      <c r="T622" s="617"/>
      <c r="U622" s="616"/>
    </row>
    <row r="623" spans="2:21" s="615" customFormat="1" ht="10.15" customHeight="1">
      <c r="B623" s="616"/>
      <c r="C623" s="616"/>
      <c r="E623" s="617"/>
      <c r="F623" s="620"/>
      <c r="G623" s="620"/>
      <c r="H623" s="622"/>
      <c r="I623" s="621"/>
      <c r="J623" s="621"/>
      <c r="K623" s="620"/>
      <c r="L623" s="4409"/>
      <c r="M623" s="4409"/>
      <c r="O623" s="619"/>
      <c r="P623" s="617"/>
      <c r="Q623" s="617"/>
      <c r="R623" s="618"/>
      <c r="S623" s="616"/>
      <c r="T623" s="617"/>
      <c r="U623" s="616"/>
    </row>
    <row r="624" spans="2:21" s="615" customFormat="1" ht="10.15" customHeight="1">
      <c r="B624" s="616"/>
      <c r="C624" s="616"/>
      <c r="E624" s="617"/>
      <c r="F624" s="620"/>
      <c r="G624" s="620"/>
      <c r="H624" s="622"/>
      <c r="I624" s="621"/>
      <c r="J624" s="621"/>
      <c r="K624" s="620"/>
      <c r="L624" s="4409"/>
      <c r="M624" s="4409"/>
      <c r="O624" s="619"/>
      <c r="P624" s="617"/>
      <c r="Q624" s="617"/>
      <c r="R624" s="618"/>
      <c r="S624" s="616"/>
      <c r="T624" s="617"/>
      <c r="U624" s="616"/>
    </row>
    <row r="625" spans="2:21" s="615" customFormat="1" ht="10.15" customHeight="1">
      <c r="B625" s="616"/>
      <c r="C625" s="616"/>
      <c r="E625" s="617"/>
      <c r="F625" s="620"/>
      <c r="G625" s="620"/>
      <c r="H625" s="622"/>
      <c r="I625" s="621"/>
      <c r="J625" s="621"/>
      <c r="K625" s="620"/>
      <c r="L625" s="4409"/>
      <c r="M625" s="4409"/>
      <c r="O625" s="619"/>
      <c r="P625" s="617"/>
      <c r="Q625" s="617"/>
      <c r="R625" s="618"/>
      <c r="S625" s="616"/>
      <c r="T625" s="617"/>
      <c r="U625" s="616"/>
    </row>
    <row r="626" spans="2:21" s="615" customFormat="1" ht="10.15" customHeight="1">
      <c r="B626" s="616"/>
      <c r="C626" s="616"/>
      <c r="E626" s="617"/>
      <c r="F626" s="620"/>
      <c r="G626" s="620"/>
      <c r="H626" s="622"/>
      <c r="I626" s="621"/>
      <c r="J626" s="621"/>
      <c r="K626" s="620"/>
      <c r="L626" s="4409"/>
      <c r="M626" s="4409"/>
      <c r="O626" s="619"/>
      <c r="P626" s="617"/>
      <c r="Q626" s="617"/>
      <c r="R626" s="618"/>
      <c r="S626" s="616"/>
      <c r="T626" s="617"/>
      <c r="U626" s="616"/>
    </row>
    <row r="627" spans="2:21" s="615" customFormat="1" ht="10.15" customHeight="1">
      <c r="B627" s="616"/>
      <c r="C627" s="616"/>
      <c r="E627" s="617"/>
      <c r="F627" s="620"/>
      <c r="G627" s="620"/>
      <c r="H627" s="622"/>
      <c r="I627" s="621"/>
      <c r="J627" s="621"/>
      <c r="K627" s="620"/>
      <c r="L627" s="4409"/>
      <c r="M627" s="4409"/>
      <c r="O627" s="619"/>
      <c r="P627" s="617"/>
      <c r="Q627" s="617"/>
      <c r="R627" s="618"/>
      <c r="S627" s="616"/>
      <c r="T627" s="617"/>
      <c r="U627" s="616"/>
    </row>
    <row r="628" spans="2:21" s="615" customFormat="1" ht="10.15" customHeight="1">
      <c r="B628" s="616"/>
      <c r="C628" s="616"/>
      <c r="E628" s="617"/>
      <c r="F628" s="620"/>
      <c r="G628" s="620"/>
      <c r="H628" s="622"/>
      <c r="I628" s="621"/>
      <c r="J628" s="621"/>
      <c r="K628" s="620"/>
      <c r="L628" s="4409"/>
      <c r="M628" s="4409"/>
      <c r="O628" s="619"/>
      <c r="P628" s="617"/>
      <c r="Q628" s="617"/>
      <c r="R628" s="618"/>
      <c r="S628" s="616"/>
      <c r="T628" s="617"/>
      <c r="U628" s="616"/>
    </row>
    <row r="629" spans="2:21" s="615" customFormat="1" ht="10.15" customHeight="1">
      <c r="B629" s="616"/>
      <c r="C629" s="616"/>
      <c r="E629" s="617"/>
      <c r="F629" s="620"/>
      <c r="G629" s="620"/>
      <c r="H629" s="622"/>
      <c r="I629" s="621"/>
      <c r="J629" s="621"/>
      <c r="K629" s="620"/>
      <c r="L629" s="4409"/>
      <c r="M629" s="4409"/>
      <c r="O629" s="619"/>
      <c r="P629" s="617"/>
      <c r="Q629" s="617"/>
      <c r="R629" s="618"/>
      <c r="S629" s="616"/>
      <c r="T629" s="617"/>
      <c r="U629" s="616"/>
    </row>
    <row r="630" spans="2:21" s="615" customFormat="1" ht="10.15" customHeight="1">
      <c r="B630" s="616"/>
      <c r="C630" s="616"/>
      <c r="E630" s="617"/>
      <c r="F630" s="620"/>
      <c r="G630" s="620"/>
      <c r="H630" s="622"/>
      <c r="I630" s="621"/>
      <c r="J630" s="621"/>
      <c r="K630" s="620"/>
      <c r="L630" s="4409"/>
      <c r="M630" s="4409"/>
      <c r="O630" s="619"/>
      <c r="P630" s="617"/>
      <c r="Q630" s="617"/>
      <c r="R630" s="618"/>
      <c r="S630" s="616"/>
      <c r="T630" s="617"/>
      <c r="U630" s="616"/>
    </row>
    <row r="631" spans="2:21" s="615" customFormat="1" ht="10.15" customHeight="1">
      <c r="B631" s="616"/>
      <c r="C631" s="616"/>
      <c r="E631" s="617"/>
      <c r="F631" s="620"/>
      <c r="G631" s="620"/>
      <c r="H631" s="622"/>
      <c r="I631" s="621"/>
      <c r="J631" s="621"/>
      <c r="K631" s="620"/>
      <c r="L631" s="4409"/>
      <c r="M631" s="4409"/>
      <c r="O631" s="619"/>
      <c r="P631" s="617"/>
      <c r="Q631" s="617"/>
      <c r="R631" s="618"/>
      <c r="S631" s="616"/>
      <c r="T631" s="617"/>
      <c r="U631" s="616"/>
    </row>
    <row r="632" spans="2:21" s="615" customFormat="1" ht="10.15" customHeight="1">
      <c r="B632" s="616"/>
      <c r="C632" s="616"/>
      <c r="E632" s="617"/>
      <c r="F632" s="620"/>
      <c r="G632" s="620"/>
      <c r="H632" s="622"/>
      <c r="I632" s="621"/>
      <c r="J632" s="621"/>
      <c r="K632" s="620"/>
      <c r="L632" s="4409"/>
      <c r="M632" s="4409"/>
      <c r="O632" s="619"/>
      <c r="P632" s="617"/>
      <c r="Q632" s="617"/>
      <c r="R632" s="618"/>
      <c r="S632" s="616"/>
      <c r="T632" s="617"/>
      <c r="U632" s="616"/>
    </row>
    <row r="633" spans="2:21" s="615" customFormat="1" ht="10.15" customHeight="1">
      <c r="B633" s="616"/>
      <c r="C633" s="616"/>
      <c r="E633" s="617"/>
      <c r="F633" s="620"/>
      <c r="G633" s="620"/>
      <c r="H633" s="622"/>
      <c r="I633" s="621"/>
      <c r="J633" s="621"/>
      <c r="K633" s="620"/>
      <c r="L633" s="4409"/>
      <c r="M633" s="4409"/>
      <c r="O633" s="619"/>
      <c r="P633" s="617"/>
      <c r="Q633" s="617"/>
      <c r="R633" s="618"/>
      <c r="S633" s="616"/>
      <c r="T633" s="617"/>
      <c r="U633" s="616"/>
    </row>
    <row r="634" spans="2:21" s="615" customFormat="1" ht="10.15" customHeight="1">
      <c r="B634" s="616"/>
      <c r="C634" s="616"/>
      <c r="E634" s="617"/>
      <c r="F634" s="620"/>
      <c r="G634" s="620"/>
      <c r="H634" s="622"/>
      <c r="I634" s="621"/>
      <c r="J634" s="621"/>
      <c r="K634" s="620"/>
      <c r="L634" s="4409"/>
      <c r="M634" s="4409"/>
      <c r="O634" s="619"/>
      <c r="P634" s="617"/>
      <c r="Q634" s="617"/>
      <c r="R634" s="618"/>
      <c r="S634" s="616"/>
      <c r="T634" s="617"/>
      <c r="U634" s="616"/>
    </row>
    <row r="635" spans="2:21" s="615" customFormat="1" ht="10.15" customHeight="1">
      <c r="B635" s="616"/>
      <c r="C635" s="616"/>
      <c r="E635" s="617"/>
      <c r="F635" s="620"/>
      <c r="G635" s="620"/>
      <c r="H635" s="622"/>
      <c r="I635" s="621"/>
      <c r="J635" s="621"/>
      <c r="K635" s="620"/>
      <c r="L635" s="4409"/>
      <c r="M635" s="4409"/>
      <c r="O635" s="619"/>
      <c r="P635" s="617"/>
      <c r="Q635" s="617"/>
      <c r="R635" s="618"/>
      <c r="S635" s="616"/>
      <c r="T635" s="617"/>
      <c r="U635" s="616"/>
    </row>
    <row r="636" spans="2:21" s="615" customFormat="1" ht="10.15" customHeight="1">
      <c r="B636" s="616"/>
      <c r="C636" s="616"/>
      <c r="E636" s="617"/>
      <c r="F636" s="620"/>
      <c r="G636" s="620"/>
      <c r="H636" s="622"/>
      <c r="I636" s="621"/>
      <c r="J636" s="621"/>
      <c r="K636" s="620"/>
      <c r="L636" s="4409"/>
      <c r="M636" s="4409"/>
      <c r="O636" s="619"/>
      <c r="P636" s="617"/>
      <c r="Q636" s="617"/>
      <c r="R636" s="618"/>
      <c r="S636" s="616"/>
      <c r="T636" s="617"/>
      <c r="U636" s="616"/>
    </row>
    <row r="637" spans="2:21" s="615" customFormat="1" ht="10.15" customHeight="1">
      <c r="B637" s="616"/>
      <c r="C637" s="616"/>
      <c r="E637" s="617"/>
      <c r="F637" s="620"/>
      <c r="G637" s="620"/>
      <c r="H637" s="622"/>
      <c r="I637" s="621"/>
      <c r="J637" s="621"/>
      <c r="K637" s="620"/>
      <c r="L637" s="4409"/>
      <c r="M637" s="4409"/>
      <c r="O637" s="619"/>
      <c r="P637" s="617"/>
      <c r="Q637" s="617"/>
      <c r="R637" s="618"/>
      <c r="S637" s="616"/>
      <c r="T637" s="617"/>
      <c r="U637" s="616"/>
    </row>
    <row r="638" spans="2:21" s="615" customFormat="1" ht="10.15" customHeight="1">
      <c r="B638" s="616"/>
      <c r="C638" s="616"/>
      <c r="E638" s="617"/>
      <c r="F638" s="620"/>
      <c r="G638" s="620"/>
      <c r="H638" s="622"/>
      <c r="I638" s="621"/>
      <c r="J638" s="621"/>
      <c r="K638" s="620"/>
      <c r="L638" s="4409"/>
      <c r="M638" s="4409"/>
      <c r="O638" s="619"/>
      <c r="P638" s="617"/>
      <c r="Q638" s="617"/>
      <c r="R638" s="618"/>
      <c r="S638" s="616"/>
      <c r="T638" s="617"/>
      <c r="U638" s="616"/>
    </row>
    <row r="639" spans="2:21" s="615" customFormat="1" ht="10.15" customHeight="1">
      <c r="B639" s="616"/>
      <c r="C639" s="616"/>
      <c r="E639" s="617"/>
      <c r="F639" s="620"/>
      <c r="G639" s="620"/>
      <c r="H639" s="622"/>
      <c r="I639" s="621"/>
      <c r="J639" s="621"/>
      <c r="K639" s="620"/>
      <c r="L639" s="4409"/>
      <c r="M639" s="4409"/>
      <c r="O639" s="619"/>
      <c r="P639" s="617"/>
      <c r="Q639" s="617"/>
      <c r="R639" s="618"/>
      <c r="S639" s="616"/>
      <c r="T639" s="617"/>
      <c r="U639" s="616"/>
    </row>
    <row r="640" spans="2:21" s="615" customFormat="1" ht="10.15" customHeight="1">
      <c r="B640" s="616"/>
      <c r="C640" s="616"/>
      <c r="E640" s="617"/>
      <c r="F640" s="620"/>
      <c r="G640" s="620"/>
      <c r="H640" s="622"/>
      <c r="I640" s="621"/>
      <c r="J640" s="621"/>
      <c r="K640" s="620"/>
      <c r="L640" s="4409"/>
      <c r="M640" s="4409"/>
      <c r="O640" s="619"/>
      <c r="P640" s="617"/>
      <c r="Q640" s="617"/>
      <c r="R640" s="618"/>
      <c r="S640" s="616"/>
      <c r="T640" s="617"/>
      <c r="U640" s="616"/>
    </row>
    <row r="641" spans="2:21" s="615" customFormat="1" ht="10.15" customHeight="1">
      <c r="B641" s="616"/>
      <c r="C641" s="616"/>
      <c r="E641" s="617"/>
      <c r="F641" s="620"/>
      <c r="G641" s="620"/>
      <c r="H641" s="622"/>
      <c r="I641" s="621"/>
      <c r="J641" s="621"/>
      <c r="K641" s="620"/>
      <c r="L641" s="4409"/>
      <c r="M641" s="4409"/>
      <c r="O641" s="619"/>
      <c r="P641" s="617"/>
      <c r="Q641" s="617"/>
      <c r="R641" s="618"/>
      <c r="S641" s="616"/>
      <c r="T641" s="617"/>
      <c r="U641" s="616"/>
    </row>
    <row r="642" spans="2:21" s="615" customFormat="1" ht="10.15" customHeight="1">
      <c r="B642" s="616"/>
      <c r="C642" s="616"/>
      <c r="E642" s="617"/>
      <c r="F642" s="620"/>
      <c r="G642" s="620"/>
      <c r="H642" s="622"/>
      <c r="I642" s="621"/>
      <c r="J642" s="621"/>
      <c r="K642" s="620"/>
      <c r="L642" s="4409"/>
      <c r="M642" s="4409"/>
      <c r="O642" s="619"/>
      <c r="P642" s="617"/>
      <c r="Q642" s="617"/>
      <c r="R642" s="618"/>
      <c r="S642" s="616"/>
      <c r="T642" s="617"/>
      <c r="U642" s="616"/>
    </row>
    <row r="643" spans="2:21" s="615" customFormat="1" ht="10.15" customHeight="1">
      <c r="B643" s="616"/>
      <c r="C643" s="616"/>
      <c r="E643" s="617"/>
      <c r="F643" s="620"/>
      <c r="G643" s="620"/>
      <c r="H643" s="622"/>
      <c r="I643" s="621"/>
      <c r="J643" s="621"/>
      <c r="K643" s="620"/>
      <c r="L643" s="4409"/>
      <c r="M643" s="4409"/>
      <c r="O643" s="619"/>
      <c r="P643" s="617"/>
      <c r="Q643" s="617"/>
      <c r="R643" s="618"/>
      <c r="S643" s="616"/>
      <c r="T643" s="617"/>
      <c r="U643" s="616"/>
    </row>
    <row r="644" spans="2:21" s="615" customFormat="1" ht="10.15" customHeight="1">
      <c r="B644" s="616"/>
      <c r="C644" s="616"/>
      <c r="E644" s="617"/>
      <c r="F644" s="620"/>
      <c r="G644" s="620"/>
      <c r="H644" s="622"/>
      <c r="I644" s="621"/>
      <c r="J644" s="621"/>
      <c r="K644" s="620"/>
      <c r="L644" s="4409"/>
      <c r="M644" s="4409"/>
      <c r="O644" s="619"/>
      <c r="P644" s="617"/>
      <c r="Q644" s="617"/>
      <c r="R644" s="618"/>
      <c r="S644" s="616"/>
      <c r="T644" s="617"/>
      <c r="U644" s="616"/>
    </row>
    <row r="645" spans="2:21" s="615" customFormat="1" ht="10.15" customHeight="1">
      <c r="B645" s="616"/>
      <c r="C645" s="616"/>
      <c r="E645" s="617"/>
      <c r="F645" s="620"/>
      <c r="G645" s="620"/>
      <c r="H645" s="622"/>
      <c r="I645" s="621"/>
      <c r="J645" s="621"/>
      <c r="K645" s="620"/>
      <c r="L645" s="4409"/>
      <c r="M645" s="4409"/>
      <c r="O645" s="619"/>
      <c r="P645" s="617"/>
      <c r="Q645" s="617"/>
      <c r="R645" s="618"/>
      <c r="S645" s="616"/>
      <c r="T645" s="617"/>
      <c r="U645" s="616"/>
    </row>
    <row r="646" spans="2:21" s="615" customFormat="1" ht="10.15" customHeight="1">
      <c r="B646" s="616"/>
      <c r="C646" s="616"/>
      <c r="E646" s="617"/>
      <c r="F646" s="620"/>
      <c r="G646" s="620"/>
      <c r="H646" s="622"/>
      <c r="I646" s="621"/>
      <c r="J646" s="621"/>
      <c r="K646" s="620"/>
      <c r="L646" s="4409"/>
      <c r="M646" s="4409"/>
      <c r="O646" s="619"/>
      <c r="P646" s="617"/>
      <c r="Q646" s="617"/>
      <c r="R646" s="618"/>
      <c r="S646" s="616"/>
      <c r="T646" s="617"/>
      <c r="U646" s="616"/>
    </row>
    <row r="647" spans="2:21" s="615" customFormat="1" ht="10.15" customHeight="1">
      <c r="B647" s="616"/>
      <c r="C647" s="616"/>
      <c r="E647" s="617"/>
      <c r="F647" s="620"/>
      <c r="G647" s="620"/>
      <c r="H647" s="622"/>
      <c r="I647" s="621"/>
      <c r="J647" s="621"/>
      <c r="K647" s="620"/>
      <c r="L647" s="4409"/>
      <c r="M647" s="4409"/>
      <c r="O647" s="619"/>
      <c r="P647" s="617"/>
      <c r="Q647" s="617"/>
      <c r="R647" s="618"/>
      <c r="S647" s="616"/>
      <c r="T647" s="617"/>
      <c r="U647" s="616"/>
    </row>
    <row r="648" spans="2:21" s="615" customFormat="1" ht="10.15" customHeight="1">
      <c r="B648" s="616"/>
      <c r="C648" s="616"/>
      <c r="E648" s="617"/>
      <c r="F648" s="620"/>
      <c r="G648" s="620"/>
      <c r="H648" s="622"/>
      <c r="I648" s="621"/>
      <c r="J648" s="621"/>
      <c r="K648" s="620"/>
      <c r="L648" s="4409"/>
      <c r="M648" s="4409"/>
      <c r="O648" s="619"/>
      <c r="P648" s="617"/>
      <c r="Q648" s="617"/>
      <c r="R648" s="618"/>
      <c r="S648" s="616"/>
      <c r="T648" s="617"/>
      <c r="U648" s="616"/>
    </row>
    <row r="649" spans="2:21" s="615" customFormat="1" ht="10.15" customHeight="1">
      <c r="B649" s="616"/>
      <c r="C649" s="616"/>
      <c r="E649" s="617"/>
      <c r="F649" s="620"/>
      <c r="G649" s="620"/>
      <c r="H649" s="622"/>
      <c r="I649" s="621"/>
      <c r="J649" s="621"/>
      <c r="K649" s="620"/>
      <c r="L649" s="4409"/>
      <c r="M649" s="4409"/>
      <c r="O649" s="619"/>
      <c r="P649" s="617"/>
      <c r="Q649" s="617"/>
      <c r="R649" s="618"/>
      <c r="S649" s="616"/>
      <c r="T649" s="617"/>
      <c r="U649" s="616"/>
    </row>
    <row r="650" spans="2:21" s="615" customFormat="1" ht="10.15" customHeight="1">
      <c r="B650" s="616"/>
      <c r="C650" s="616"/>
      <c r="E650" s="617"/>
      <c r="F650" s="620"/>
      <c r="G650" s="620"/>
      <c r="H650" s="622"/>
      <c r="I650" s="621"/>
      <c r="J650" s="621"/>
      <c r="K650" s="620"/>
      <c r="L650" s="4409"/>
      <c r="M650" s="4409"/>
      <c r="O650" s="619"/>
      <c r="P650" s="617"/>
      <c r="Q650" s="617"/>
      <c r="R650" s="618"/>
      <c r="S650" s="616"/>
      <c r="T650" s="617"/>
      <c r="U650" s="616"/>
    </row>
    <row r="651" spans="2:21" s="615" customFormat="1" ht="10.15" customHeight="1">
      <c r="B651" s="616"/>
      <c r="C651" s="616"/>
      <c r="E651" s="617"/>
      <c r="F651" s="620"/>
      <c r="G651" s="620"/>
      <c r="H651" s="622"/>
      <c r="I651" s="621"/>
      <c r="J651" s="621"/>
      <c r="K651" s="620"/>
      <c r="L651" s="4409"/>
      <c r="M651" s="4409"/>
      <c r="O651" s="619"/>
      <c r="P651" s="617"/>
      <c r="Q651" s="617"/>
      <c r="R651" s="618"/>
      <c r="S651" s="616"/>
      <c r="T651" s="617"/>
      <c r="U651" s="616"/>
    </row>
    <row r="652" spans="2:21" s="615" customFormat="1" ht="10.15" customHeight="1">
      <c r="B652" s="616"/>
      <c r="C652" s="616"/>
      <c r="E652" s="617"/>
      <c r="F652" s="620"/>
      <c r="G652" s="620"/>
      <c r="H652" s="622"/>
      <c r="I652" s="621"/>
      <c r="J652" s="621"/>
      <c r="K652" s="620"/>
      <c r="L652" s="4409"/>
      <c r="M652" s="4409"/>
      <c r="O652" s="619"/>
      <c r="P652" s="617"/>
      <c r="Q652" s="617"/>
      <c r="R652" s="618"/>
      <c r="S652" s="616"/>
      <c r="T652" s="617"/>
      <c r="U652" s="616"/>
    </row>
    <row r="653" spans="2:21" s="615" customFormat="1" ht="10.15" customHeight="1">
      <c r="B653" s="616"/>
      <c r="C653" s="616"/>
      <c r="E653" s="617"/>
      <c r="F653" s="620"/>
      <c r="G653" s="620"/>
      <c r="H653" s="622"/>
      <c r="I653" s="621"/>
      <c r="J653" s="621"/>
      <c r="K653" s="620"/>
      <c r="L653" s="4409"/>
      <c r="M653" s="4409"/>
      <c r="O653" s="619"/>
      <c r="P653" s="617"/>
      <c r="Q653" s="617"/>
      <c r="R653" s="618"/>
      <c r="S653" s="616"/>
      <c r="T653" s="617"/>
      <c r="U653" s="616"/>
    </row>
    <row r="654" spans="2:21" s="615" customFormat="1" ht="10.15" customHeight="1">
      <c r="B654" s="616"/>
      <c r="C654" s="616"/>
      <c r="E654" s="617"/>
      <c r="F654" s="620"/>
      <c r="G654" s="620"/>
      <c r="H654" s="622"/>
      <c r="I654" s="621"/>
      <c r="J654" s="621"/>
      <c r="K654" s="620"/>
      <c r="L654" s="4409"/>
      <c r="M654" s="4409"/>
      <c r="O654" s="619"/>
      <c r="P654" s="617"/>
      <c r="Q654" s="617"/>
      <c r="R654" s="618"/>
      <c r="S654" s="616"/>
      <c r="T654" s="617"/>
      <c r="U654" s="616"/>
    </row>
    <row r="655" spans="2:21" s="615" customFormat="1" ht="10.15" customHeight="1">
      <c r="B655" s="616"/>
      <c r="C655" s="616"/>
      <c r="E655" s="617"/>
      <c r="F655" s="620"/>
      <c r="G655" s="620"/>
      <c r="H655" s="622"/>
      <c r="I655" s="621"/>
      <c r="J655" s="621"/>
      <c r="K655" s="620"/>
      <c r="L655" s="4409"/>
      <c r="M655" s="4409"/>
      <c r="O655" s="619"/>
      <c r="P655" s="617"/>
      <c r="Q655" s="617"/>
      <c r="R655" s="618"/>
      <c r="S655" s="616"/>
      <c r="T655" s="617"/>
      <c r="U655" s="616"/>
    </row>
    <row r="656" spans="2:21" s="615" customFormat="1" ht="10.15" customHeight="1">
      <c r="B656" s="616"/>
      <c r="C656" s="616"/>
      <c r="E656" s="617"/>
      <c r="F656" s="620"/>
      <c r="G656" s="620"/>
      <c r="H656" s="622"/>
      <c r="I656" s="621"/>
      <c r="J656" s="621"/>
      <c r="K656" s="620"/>
      <c r="L656" s="4409"/>
      <c r="M656" s="4409"/>
      <c r="O656" s="619"/>
      <c r="P656" s="617"/>
      <c r="Q656" s="617"/>
      <c r="R656" s="618"/>
      <c r="S656" s="616"/>
      <c r="T656" s="617"/>
      <c r="U656" s="616"/>
    </row>
    <row r="657" spans="2:21" s="615" customFormat="1" ht="10.15" customHeight="1">
      <c r="B657" s="616"/>
      <c r="C657" s="616"/>
      <c r="E657" s="617"/>
      <c r="F657" s="620"/>
      <c r="G657" s="620"/>
      <c r="H657" s="622"/>
      <c r="I657" s="621"/>
      <c r="J657" s="621"/>
      <c r="K657" s="620"/>
      <c r="L657" s="4409"/>
      <c r="M657" s="4409"/>
      <c r="O657" s="619"/>
      <c r="P657" s="617"/>
      <c r="Q657" s="617"/>
      <c r="R657" s="618"/>
      <c r="S657" s="616"/>
      <c r="T657" s="617"/>
      <c r="U657" s="616"/>
    </row>
    <row r="658" spans="2:21" s="615" customFormat="1" ht="10.15" customHeight="1">
      <c r="B658" s="616"/>
      <c r="C658" s="616"/>
      <c r="E658" s="617"/>
      <c r="F658" s="620"/>
      <c r="G658" s="620"/>
      <c r="H658" s="622"/>
      <c r="I658" s="621"/>
      <c r="J658" s="621"/>
      <c r="K658" s="620"/>
      <c r="L658" s="4409"/>
      <c r="M658" s="4409"/>
      <c r="O658" s="619"/>
      <c r="P658" s="617"/>
      <c r="Q658" s="617"/>
      <c r="R658" s="618"/>
      <c r="S658" s="616"/>
      <c r="T658" s="617"/>
      <c r="U658" s="616"/>
    </row>
    <row r="659" spans="2:21" s="615" customFormat="1" ht="10.15" customHeight="1">
      <c r="B659" s="616"/>
      <c r="C659" s="616"/>
      <c r="E659" s="617"/>
      <c r="F659" s="620"/>
      <c r="G659" s="620"/>
      <c r="H659" s="622"/>
      <c r="I659" s="621"/>
      <c r="J659" s="621"/>
      <c r="K659" s="620"/>
      <c r="L659" s="4409"/>
      <c r="M659" s="4409"/>
      <c r="O659" s="619"/>
      <c r="P659" s="617"/>
      <c r="Q659" s="617"/>
      <c r="R659" s="618"/>
      <c r="S659" s="616"/>
      <c r="T659" s="617"/>
      <c r="U659" s="616"/>
    </row>
    <row r="660" spans="2:21" s="615" customFormat="1" ht="10.15" customHeight="1">
      <c r="B660" s="616"/>
      <c r="C660" s="616"/>
      <c r="E660" s="617"/>
      <c r="F660" s="620"/>
      <c r="G660" s="620"/>
      <c r="H660" s="622"/>
      <c r="I660" s="621"/>
      <c r="J660" s="621"/>
      <c r="K660" s="620"/>
      <c r="L660" s="4409"/>
      <c r="M660" s="4409"/>
      <c r="O660" s="619"/>
      <c r="P660" s="617"/>
      <c r="Q660" s="617"/>
      <c r="R660" s="618"/>
      <c r="S660" s="616"/>
      <c r="T660" s="617"/>
      <c r="U660" s="616"/>
    </row>
    <row r="661" spans="2:21" s="615" customFormat="1" ht="10.15" customHeight="1">
      <c r="B661" s="616"/>
      <c r="C661" s="616"/>
      <c r="E661" s="617"/>
      <c r="F661" s="620"/>
      <c r="G661" s="620"/>
      <c r="H661" s="622"/>
      <c r="I661" s="621"/>
      <c r="J661" s="621"/>
      <c r="K661" s="620"/>
      <c r="L661" s="4409"/>
      <c r="M661" s="4409"/>
      <c r="O661" s="619"/>
      <c r="P661" s="617"/>
      <c r="Q661" s="617"/>
      <c r="R661" s="618"/>
      <c r="S661" s="616"/>
      <c r="T661" s="617"/>
      <c r="U661" s="616"/>
    </row>
    <row r="662" spans="2:21" s="615" customFormat="1" ht="10.15" customHeight="1">
      <c r="B662" s="616"/>
      <c r="C662" s="616"/>
      <c r="E662" s="617"/>
      <c r="F662" s="620"/>
      <c r="G662" s="620"/>
      <c r="H662" s="622"/>
      <c r="I662" s="621"/>
      <c r="J662" s="621"/>
      <c r="K662" s="620"/>
      <c r="L662" s="4409"/>
      <c r="M662" s="4409"/>
      <c r="O662" s="619"/>
      <c r="P662" s="617"/>
      <c r="Q662" s="617"/>
      <c r="R662" s="618"/>
      <c r="S662" s="616"/>
      <c r="T662" s="617"/>
      <c r="U662" s="616"/>
    </row>
    <row r="663" spans="2:21" s="615" customFormat="1" ht="10.15" customHeight="1">
      <c r="B663" s="616"/>
      <c r="C663" s="616"/>
      <c r="E663" s="617"/>
      <c r="F663" s="620"/>
      <c r="G663" s="620"/>
      <c r="H663" s="622"/>
      <c r="I663" s="621"/>
      <c r="J663" s="621"/>
      <c r="K663" s="620"/>
      <c r="L663" s="4409"/>
      <c r="M663" s="4409"/>
      <c r="O663" s="619"/>
      <c r="P663" s="617"/>
      <c r="Q663" s="617"/>
      <c r="R663" s="618"/>
      <c r="S663" s="616"/>
      <c r="T663" s="617"/>
      <c r="U663" s="616"/>
    </row>
    <row r="664" spans="2:21" s="615" customFormat="1" ht="10.15" customHeight="1">
      <c r="B664" s="616"/>
      <c r="C664" s="616"/>
      <c r="E664" s="617"/>
      <c r="F664" s="620"/>
      <c r="G664" s="620"/>
      <c r="H664" s="622"/>
      <c r="I664" s="621"/>
      <c r="J664" s="621"/>
      <c r="K664" s="620"/>
      <c r="L664" s="4409"/>
      <c r="M664" s="4409"/>
      <c r="O664" s="619"/>
      <c r="P664" s="617"/>
      <c r="Q664" s="617"/>
      <c r="R664" s="618"/>
      <c r="S664" s="616"/>
      <c r="T664" s="617"/>
      <c r="U664" s="616"/>
    </row>
    <row r="665" spans="2:21" s="615" customFormat="1" ht="10.15" customHeight="1">
      <c r="B665" s="616"/>
      <c r="C665" s="616"/>
      <c r="E665" s="617"/>
      <c r="F665" s="620"/>
      <c r="G665" s="620"/>
      <c r="H665" s="622"/>
      <c r="I665" s="621"/>
      <c r="J665" s="621"/>
      <c r="K665" s="620"/>
      <c r="L665" s="4409"/>
      <c r="M665" s="4409"/>
      <c r="O665" s="619"/>
      <c r="P665" s="617"/>
      <c r="Q665" s="617"/>
      <c r="R665" s="618"/>
      <c r="S665" s="616"/>
      <c r="T665" s="617"/>
      <c r="U665" s="616"/>
    </row>
    <row r="666" spans="2:21" s="615" customFormat="1" ht="10.15" customHeight="1">
      <c r="B666" s="616"/>
      <c r="C666" s="616"/>
      <c r="E666" s="617"/>
      <c r="F666" s="620"/>
      <c r="G666" s="620"/>
      <c r="H666" s="622"/>
      <c r="I666" s="621"/>
      <c r="J666" s="621"/>
      <c r="K666" s="620"/>
      <c r="L666" s="4409"/>
      <c r="M666" s="4409"/>
      <c r="O666" s="619"/>
      <c r="P666" s="617"/>
      <c r="Q666" s="617"/>
      <c r="R666" s="618"/>
      <c r="S666" s="616"/>
      <c r="T666" s="617"/>
      <c r="U666" s="616"/>
    </row>
    <row r="667" spans="2:21" s="615" customFormat="1" ht="10.15" customHeight="1">
      <c r="B667" s="616"/>
      <c r="C667" s="616"/>
      <c r="E667" s="617"/>
      <c r="F667" s="620"/>
      <c r="G667" s="620"/>
      <c r="H667" s="622"/>
      <c r="I667" s="621"/>
      <c r="J667" s="621"/>
      <c r="K667" s="620"/>
      <c r="L667" s="4409"/>
      <c r="M667" s="4409"/>
      <c r="O667" s="619"/>
      <c r="P667" s="617"/>
      <c r="Q667" s="617"/>
      <c r="R667" s="618"/>
      <c r="S667" s="616"/>
      <c r="T667" s="617"/>
      <c r="U667" s="616"/>
    </row>
    <row r="668" spans="2:21" s="615" customFormat="1" ht="10.15" customHeight="1">
      <c r="B668" s="616"/>
      <c r="C668" s="616"/>
      <c r="E668" s="617"/>
      <c r="F668" s="620"/>
      <c r="G668" s="620"/>
      <c r="H668" s="622"/>
      <c r="I668" s="621"/>
      <c r="J668" s="621"/>
      <c r="K668" s="620"/>
      <c r="L668" s="4409"/>
      <c r="M668" s="4409"/>
      <c r="O668" s="619"/>
      <c r="P668" s="617"/>
      <c r="Q668" s="617"/>
      <c r="R668" s="618"/>
      <c r="S668" s="616"/>
      <c r="T668" s="617"/>
      <c r="U668" s="616"/>
    </row>
    <row r="669" spans="2:21" s="615" customFormat="1" ht="10.15" customHeight="1">
      <c r="B669" s="616"/>
      <c r="C669" s="616"/>
      <c r="E669" s="617"/>
      <c r="F669" s="620"/>
      <c r="G669" s="620"/>
      <c r="H669" s="622"/>
      <c r="I669" s="621"/>
      <c r="J669" s="621"/>
      <c r="K669" s="620"/>
      <c r="L669" s="4409"/>
      <c r="M669" s="4409"/>
      <c r="O669" s="619"/>
      <c r="P669" s="617"/>
      <c r="Q669" s="617"/>
      <c r="R669" s="618"/>
      <c r="S669" s="616"/>
      <c r="T669" s="617"/>
      <c r="U669" s="616"/>
    </row>
    <row r="670" spans="2:21" s="615" customFormat="1" ht="10.15" customHeight="1">
      <c r="B670" s="616"/>
      <c r="C670" s="616"/>
      <c r="E670" s="617"/>
      <c r="F670" s="620"/>
      <c r="G670" s="620"/>
      <c r="H670" s="622"/>
      <c r="I670" s="621"/>
      <c r="J670" s="621"/>
      <c r="K670" s="620"/>
      <c r="L670" s="4409"/>
      <c r="M670" s="4409"/>
      <c r="O670" s="619"/>
      <c r="P670" s="617"/>
      <c r="Q670" s="617"/>
      <c r="R670" s="618"/>
      <c r="S670" s="616"/>
      <c r="T670" s="617"/>
      <c r="U670" s="616"/>
    </row>
    <row r="671" spans="2:21" s="615" customFormat="1" ht="10.15" customHeight="1">
      <c r="B671" s="616"/>
      <c r="C671" s="616"/>
      <c r="E671" s="617"/>
      <c r="F671" s="620"/>
      <c r="G671" s="620"/>
      <c r="H671" s="622"/>
      <c r="I671" s="621"/>
      <c r="J671" s="621"/>
      <c r="K671" s="620"/>
      <c r="L671" s="4409"/>
      <c r="M671" s="4409"/>
      <c r="O671" s="619"/>
      <c r="P671" s="617"/>
      <c r="Q671" s="617"/>
      <c r="R671" s="618"/>
      <c r="S671" s="616"/>
      <c r="T671" s="617"/>
      <c r="U671" s="616"/>
    </row>
    <row r="672" spans="2:21" s="615" customFormat="1" ht="10.15" customHeight="1">
      <c r="B672" s="616"/>
      <c r="C672" s="616"/>
      <c r="E672" s="617"/>
      <c r="F672" s="620"/>
      <c r="G672" s="620"/>
      <c r="H672" s="622"/>
      <c r="I672" s="621"/>
      <c r="J672" s="621"/>
      <c r="K672" s="620"/>
      <c r="L672" s="4409"/>
      <c r="M672" s="4409"/>
      <c r="O672" s="619"/>
      <c r="P672" s="617"/>
      <c r="Q672" s="617"/>
      <c r="R672" s="618"/>
      <c r="S672" s="616"/>
      <c r="T672" s="617"/>
      <c r="U672" s="616"/>
    </row>
    <row r="673" spans="2:21" s="615" customFormat="1" ht="10.15" customHeight="1">
      <c r="B673" s="616"/>
      <c r="C673" s="616"/>
      <c r="E673" s="617"/>
      <c r="F673" s="620"/>
      <c r="G673" s="620"/>
      <c r="H673" s="622"/>
      <c r="I673" s="621"/>
      <c r="J673" s="621"/>
      <c r="K673" s="620"/>
      <c r="L673" s="4409"/>
      <c r="M673" s="4409"/>
      <c r="O673" s="619"/>
      <c r="P673" s="617"/>
      <c r="Q673" s="617"/>
      <c r="R673" s="618"/>
      <c r="S673" s="616"/>
      <c r="T673" s="617"/>
      <c r="U673" s="616"/>
    </row>
    <row r="674" spans="2:21" s="615" customFormat="1" ht="10.15" customHeight="1">
      <c r="B674" s="616"/>
      <c r="C674" s="616"/>
      <c r="E674" s="617"/>
      <c r="F674" s="620"/>
      <c r="G674" s="620"/>
      <c r="H674" s="622"/>
      <c r="I674" s="621"/>
      <c r="J674" s="621"/>
      <c r="K674" s="620"/>
      <c r="L674" s="4409"/>
      <c r="M674" s="4409"/>
      <c r="O674" s="619"/>
      <c r="P674" s="617"/>
      <c r="Q674" s="617"/>
      <c r="R674" s="618"/>
      <c r="S674" s="616"/>
      <c r="T674" s="617"/>
      <c r="U674" s="616"/>
    </row>
    <row r="675" spans="2:21" s="615" customFormat="1" ht="10.15" customHeight="1">
      <c r="B675" s="616"/>
      <c r="C675" s="616"/>
      <c r="E675" s="617"/>
      <c r="F675" s="620"/>
      <c r="G675" s="620"/>
      <c r="H675" s="622"/>
      <c r="I675" s="621"/>
      <c r="J675" s="621"/>
      <c r="K675" s="620"/>
      <c r="L675" s="4409"/>
      <c r="M675" s="4409"/>
      <c r="O675" s="619"/>
      <c r="P675" s="617"/>
      <c r="Q675" s="617"/>
      <c r="R675" s="618"/>
      <c r="S675" s="616"/>
      <c r="T675" s="617"/>
      <c r="U675" s="616"/>
    </row>
    <row r="676" spans="2:21" s="615" customFormat="1" ht="10.15" customHeight="1">
      <c r="B676" s="616"/>
      <c r="C676" s="616"/>
      <c r="E676" s="617"/>
      <c r="F676" s="620"/>
      <c r="G676" s="620"/>
      <c r="H676" s="622"/>
      <c r="I676" s="621"/>
      <c r="J676" s="621"/>
      <c r="K676" s="620"/>
      <c r="L676" s="4409"/>
      <c r="M676" s="4409"/>
      <c r="O676" s="619"/>
      <c r="P676" s="617"/>
      <c r="Q676" s="617"/>
      <c r="R676" s="618"/>
      <c r="S676" s="616"/>
      <c r="T676" s="617"/>
      <c r="U676" s="616"/>
    </row>
    <row r="677" spans="2:21" s="615" customFormat="1" ht="10.15" customHeight="1">
      <c r="B677" s="616"/>
      <c r="C677" s="616"/>
      <c r="E677" s="617"/>
      <c r="F677" s="620"/>
      <c r="G677" s="620"/>
      <c r="H677" s="622"/>
      <c r="I677" s="621"/>
      <c r="J677" s="621"/>
      <c r="K677" s="620"/>
      <c r="L677" s="4409"/>
      <c r="M677" s="4409"/>
      <c r="O677" s="619"/>
      <c r="P677" s="617"/>
      <c r="Q677" s="617"/>
      <c r="R677" s="618"/>
      <c r="S677" s="616"/>
      <c r="T677" s="617"/>
      <c r="U677" s="616"/>
    </row>
    <row r="678" spans="2:21" s="615" customFormat="1" ht="10.15" customHeight="1">
      <c r="B678" s="616"/>
      <c r="C678" s="616"/>
      <c r="E678" s="617"/>
      <c r="F678" s="620"/>
      <c r="G678" s="620"/>
      <c r="H678" s="622"/>
      <c r="I678" s="621"/>
      <c r="J678" s="621"/>
      <c r="K678" s="620"/>
      <c r="L678" s="4409"/>
      <c r="M678" s="4409"/>
      <c r="O678" s="619"/>
      <c r="P678" s="617"/>
      <c r="Q678" s="617"/>
      <c r="R678" s="618"/>
      <c r="S678" s="616"/>
      <c r="T678" s="617"/>
      <c r="U678" s="616"/>
    </row>
    <row r="679" spans="2:21" s="615" customFormat="1" ht="10.15" customHeight="1">
      <c r="B679" s="616"/>
      <c r="C679" s="616"/>
      <c r="E679" s="617"/>
      <c r="F679" s="620"/>
      <c r="G679" s="620"/>
      <c r="H679" s="622"/>
      <c r="I679" s="621"/>
      <c r="J679" s="621"/>
      <c r="K679" s="620"/>
      <c r="L679" s="4409"/>
      <c r="M679" s="4409"/>
      <c r="O679" s="619"/>
      <c r="P679" s="617"/>
      <c r="Q679" s="617"/>
      <c r="R679" s="618"/>
      <c r="S679" s="616"/>
      <c r="T679" s="617"/>
      <c r="U679" s="616"/>
    </row>
    <row r="680" spans="2:21" s="615" customFormat="1" ht="10.15" customHeight="1">
      <c r="B680" s="616"/>
      <c r="C680" s="616"/>
      <c r="E680" s="617"/>
      <c r="F680" s="620"/>
      <c r="G680" s="620"/>
      <c r="H680" s="622"/>
      <c r="I680" s="621"/>
      <c r="J680" s="621"/>
      <c r="K680" s="620"/>
      <c r="L680" s="4409"/>
      <c r="M680" s="4409"/>
      <c r="O680" s="619"/>
      <c r="P680" s="617"/>
      <c r="Q680" s="617"/>
      <c r="R680" s="618"/>
      <c r="S680" s="616"/>
      <c r="T680" s="617"/>
      <c r="U680" s="616"/>
    </row>
    <row r="681" spans="2:21" s="615" customFormat="1" ht="10.15" customHeight="1">
      <c r="B681" s="616"/>
      <c r="C681" s="616"/>
      <c r="E681" s="617"/>
      <c r="F681" s="620"/>
      <c r="G681" s="620"/>
      <c r="H681" s="622"/>
      <c r="I681" s="621"/>
      <c r="J681" s="621"/>
      <c r="K681" s="620"/>
      <c r="L681" s="4409"/>
      <c r="M681" s="4409"/>
      <c r="O681" s="619"/>
      <c r="P681" s="617"/>
      <c r="Q681" s="617"/>
      <c r="R681" s="618"/>
      <c r="S681" s="616"/>
      <c r="T681" s="617"/>
      <c r="U681" s="616"/>
    </row>
    <row r="682" spans="2:21" s="615" customFormat="1" ht="10.15" customHeight="1">
      <c r="B682" s="616"/>
      <c r="C682" s="616"/>
      <c r="E682" s="617"/>
      <c r="F682" s="620"/>
      <c r="G682" s="620"/>
      <c r="H682" s="622"/>
      <c r="I682" s="621"/>
      <c r="J682" s="621"/>
      <c r="K682" s="620"/>
      <c r="L682" s="4409"/>
      <c r="M682" s="4409"/>
      <c r="O682" s="619"/>
      <c r="P682" s="617"/>
      <c r="Q682" s="617"/>
      <c r="R682" s="618"/>
      <c r="S682" s="616"/>
      <c r="T682" s="617"/>
      <c r="U682" s="616"/>
    </row>
    <row r="683" spans="2:21" s="615" customFormat="1" ht="10.15" customHeight="1">
      <c r="B683" s="616"/>
      <c r="C683" s="616"/>
      <c r="E683" s="617"/>
      <c r="F683" s="620"/>
      <c r="G683" s="620"/>
      <c r="H683" s="622"/>
      <c r="I683" s="621"/>
      <c r="J683" s="621"/>
      <c r="K683" s="620"/>
      <c r="L683" s="4409"/>
      <c r="M683" s="4409"/>
      <c r="O683" s="619"/>
      <c r="P683" s="617"/>
      <c r="Q683" s="617"/>
      <c r="R683" s="618"/>
      <c r="S683" s="616"/>
      <c r="T683" s="617"/>
      <c r="U683" s="616"/>
    </row>
    <row r="684" spans="2:21" s="615" customFormat="1" ht="10.15" customHeight="1">
      <c r="B684" s="616"/>
      <c r="C684" s="616"/>
      <c r="E684" s="617"/>
      <c r="F684" s="620"/>
      <c r="G684" s="620"/>
      <c r="H684" s="622"/>
      <c r="I684" s="621"/>
      <c r="J684" s="621"/>
      <c r="K684" s="620"/>
      <c r="L684" s="4409"/>
      <c r="M684" s="4409"/>
      <c r="O684" s="619"/>
      <c r="P684" s="617"/>
      <c r="Q684" s="617"/>
      <c r="R684" s="618"/>
      <c r="S684" s="616"/>
      <c r="T684" s="617"/>
      <c r="U684" s="616"/>
    </row>
    <row r="685" spans="2:21" s="615" customFormat="1" ht="10.15" customHeight="1">
      <c r="B685" s="616"/>
      <c r="C685" s="616"/>
      <c r="E685" s="617"/>
      <c r="F685" s="620"/>
      <c r="G685" s="620"/>
      <c r="H685" s="622"/>
      <c r="I685" s="621"/>
      <c r="J685" s="621"/>
      <c r="K685" s="620"/>
      <c r="L685" s="4409"/>
      <c r="M685" s="4409"/>
      <c r="O685" s="619"/>
      <c r="P685" s="617"/>
      <c r="Q685" s="617"/>
      <c r="R685" s="618"/>
      <c r="S685" s="616"/>
      <c r="T685" s="617"/>
      <c r="U685" s="616"/>
    </row>
    <row r="686" spans="2:21" s="615" customFormat="1" ht="10.15" customHeight="1">
      <c r="B686" s="616"/>
      <c r="C686" s="616"/>
      <c r="E686" s="617"/>
      <c r="F686" s="620"/>
      <c r="G686" s="620"/>
      <c r="H686" s="622"/>
      <c r="I686" s="621"/>
      <c r="J686" s="621"/>
      <c r="K686" s="620"/>
      <c r="L686" s="4409"/>
      <c r="M686" s="4409"/>
      <c r="O686" s="619"/>
      <c r="P686" s="617"/>
      <c r="Q686" s="617"/>
      <c r="R686" s="618"/>
      <c r="S686" s="616"/>
      <c r="T686" s="617"/>
      <c r="U686" s="616"/>
    </row>
    <row r="687" spans="2:21" s="615" customFormat="1" ht="10.15" customHeight="1">
      <c r="B687" s="616"/>
      <c r="C687" s="616"/>
      <c r="E687" s="617"/>
      <c r="F687" s="620"/>
      <c r="G687" s="620"/>
      <c r="H687" s="622"/>
      <c r="I687" s="621"/>
      <c r="J687" s="621"/>
      <c r="K687" s="620"/>
      <c r="L687" s="4409"/>
      <c r="M687" s="4409"/>
      <c r="O687" s="619"/>
      <c r="P687" s="617"/>
      <c r="Q687" s="617"/>
      <c r="R687" s="618"/>
      <c r="S687" s="616"/>
      <c r="T687" s="617"/>
      <c r="U687" s="616"/>
    </row>
    <row r="688" spans="2:21" s="615" customFormat="1" ht="10.15" customHeight="1">
      <c r="B688" s="616"/>
      <c r="C688" s="616"/>
      <c r="E688" s="617"/>
      <c r="F688" s="620"/>
      <c r="G688" s="620"/>
      <c r="H688" s="622"/>
      <c r="I688" s="621"/>
      <c r="J688" s="621"/>
      <c r="K688" s="620"/>
      <c r="L688" s="4409"/>
      <c r="M688" s="4409"/>
      <c r="O688" s="619"/>
      <c r="P688" s="617"/>
      <c r="Q688" s="617"/>
      <c r="R688" s="618"/>
      <c r="S688" s="616"/>
      <c r="T688" s="617"/>
      <c r="U688" s="616"/>
    </row>
    <row r="689" spans="2:21" s="615" customFormat="1" ht="10.15" customHeight="1">
      <c r="B689" s="616"/>
      <c r="C689" s="616"/>
      <c r="E689" s="617"/>
      <c r="F689" s="620"/>
      <c r="G689" s="620"/>
      <c r="H689" s="622"/>
      <c r="I689" s="621"/>
      <c r="J689" s="621"/>
      <c r="K689" s="620"/>
      <c r="L689" s="4409"/>
      <c r="M689" s="4409"/>
      <c r="O689" s="619"/>
      <c r="P689" s="617"/>
      <c r="Q689" s="617"/>
      <c r="R689" s="618"/>
      <c r="S689" s="616"/>
      <c r="T689" s="617"/>
      <c r="U689" s="616"/>
    </row>
    <row r="690" spans="2:21" s="615" customFormat="1" ht="10.15" customHeight="1">
      <c r="B690" s="616"/>
      <c r="C690" s="616"/>
      <c r="E690" s="617"/>
      <c r="F690" s="620"/>
      <c r="G690" s="620"/>
      <c r="H690" s="622"/>
      <c r="I690" s="621"/>
      <c r="J690" s="621"/>
      <c r="K690" s="620"/>
      <c r="L690" s="4409"/>
      <c r="M690" s="4409"/>
      <c r="O690" s="619"/>
      <c r="P690" s="617"/>
      <c r="Q690" s="617"/>
      <c r="R690" s="618"/>
      <c r="S690" s="616"/>
      <c r="T690" s="617"/>
      <c r="U690" s="616"/>
    </row>
    <row r="691" spans="2:21" s="615" customFormat="1" ht="10.15" customHeight="1">
      <c r="B691" s="616"/>
      <c r="C691" s="616"/>
      <c r="E691" s="617"/>
      <c r="F691" s="620"/>
      <c r="G691" s="620"/>
      <c r="H691" s="622"/>
      <c r="I691" s="621"/>
      <c r="J691" s="621"/>
      <c r="K691" s="620"/>
      <c r="L691" s="4409"/>
      <c r="M691" s="4409"/>
      <c r="O691" s="619"/>
      <c r="P691" s="617"/>
      <c r="Q691" s="617"/>
      <c r="R691" s="618"/>
      <c r="S691" s="616"/>
      <c r="T691" s="617"/>
      <c r="U691" s="616"/>
    </row>
    <row r="692" spans="2:21" s="615" customFormat="1" ht="10.15" customHeight="1">
      <c r="B692" s="616"/>
      <c r="C692" s="616"/>
      <c r="E692" s="617"/>
      <c r="F692" s="620"/>
      <c r="G692" s="620"/>
      <c r="H692" s="622"/>
      <c r="I692" s="621"/>
      <c r="J692" s="621"/>
      <c r="K692" s="620"/>
      <c r="L692" s="4409"/>
      <c r="M692" s="4409"/>
      <c r="O692" s="619"/>
      <c r="P692" s="617"/>
      <c r="Q692" s="617"/>
      <c r="R692" s="618"/>
      <c r="S692" s="616"/>
      <c r="T692" s="617"/>
      <c r="U692" s="616"/>
    </row>
    <row r="693" spans="2:21" s="615" customFormat="1" ht="10.15" customHeight="1">
      <c r="B693" s="616"/>
      <c r="C693" s="616"/>
      <c r="E693" s="617"/>
      <c r="F693" s="620"/>
      <c r="G693" s="620"/>
      <c r="H693" s="622"/>
      <c r="I693" s="621"/>
      <c r="J693" s="621"/>
      <c r="K693" s="620"/>
      <c r="L693" s="4409"/>
      <c r="M693" s="4409"/>
      <c r="O693" s="619"/>
      <c r="P693" s="617"/>
      <c r="Q693" s="617"/>
      <c r="R693" s="618"/>
      <c r="S693" s="616"/>
      <c r="T693" s="617"/>
      <c r="U693" s="616"/>
    </row>
    <row r="694" spans="2:21" s="615" customFormat="1" ht="10.15" customHeight="1">
      <c r="B694" s="616"/>
      <c r="C694" s="616"/>
      <c r="E694" s="617"/>
      <c r="F694" s="620"/>
      <c r="G694" s="620"/>
      <c r="H694" s="622"/>
      <c r="I694" s="621"/>
      <c r="J694" s="621"/>
      <c r="K694" s="620"/>
      <c r="L694" s="4409"/>
      <c r="M694" s="4409"/>
      <c r="O694" s="619"/>
      <c r="P694" s="617"/>
      <c r="Q694" s="617"/>
      <c r="R694" s="618"/>
      <c r="S694" s="616"/>
      <c r="T694" s="617"/>
      <c r="U694" s="616"/>
    </row>
    <row r="695" spans="2:21" s="615" customFormat="1" ht="10.15" customHeight="1">
      <c r="B695" s="616"/>
      <c r="C695" s="616"/>
      <c r="E695" s="617"/>
      <c r="F695" s="620"/>
      <c r="G695" s="620"/>
      <c r="H695" s="622"/>
      <c r="I695" s="621"/>
      <c r="J695" s="621"/>
      <c r="K695" s="620"/>
      <c r="L695" s="4409"/>
      <c r="M695" s="4409"/>
      <c r="O695" s="619"/>
      <c r="P695" s="617"/>
      <c r="Q695" s="617"/>
      <c r="R695" s="618"/>
      <c r="S695" s="616"/>
      <c r="T695" s="617"/>
      <c r="U695" s="616"/>
    </row>
    <row r="696" spans="2:21" s="615" customFormat="1" ht="10.15" customHeight="1">
      <c r="B696" s="616"/>
      <c r="C696" s="616"/>
      <c r="E696" s="617"/>
      <c r="F696" s="620"/>
      <c r="G696" s="620"/>
      <c r="H696" s="622"/>
      <c r="I696" s="621"/>
      <c r="J696" s="621"/>
      <c r="K696" s="620"/>
      <c r="L696" s="4409"/>
      <c r="M696" s="4409"/>
      <c r="O696" s="619"/>
      <c r="P696" s="617"/>
      <c r="Q696" s="617"/>
      <c r="R696" s="618"/>
      <c r="S696" s="616"/>
      <c r="T696" s="617"/>
      <c r="U696" s="616"/>
    </row>
    <row r="697" spans="2:21" s="615" customFormat="1" ht="10.15" customHeight="1">
      <c r="B697" s="616"/>
      <c r="C697" s="616"/>
      <c r="E697" s="617"/>
      <c r="F697" s="620"/>
      <c r="G697" s="620"/>
      <c r="H697" s="622"/>
      <c r="I697" s="621"/>
      <c r="J697" s="621"/>
      <c r="K697" s="620"/>
      <c r="L697" s="4409"/>
      <c r="M697" s="4409"/>
      <c r="O697" s="619"/>
      <c r="P697" s="617"/>
      <c r="Q697" s="617"/>
      <c r="R697" s="618"/>
      <c r="S697" s="616"/>
      <c r="T697" s="617"/>
      <c r="U697" s="616"/>
    </row>
    <row r="698" spans="2:21" s="615" customFormat="1" ht="10.15" customHeight="1">
      <c r="B698" s="616"/>
      <c r="C698" s="616"/>
      <c r="E698" s="617"/>
      <c r="F698" s="620"/>
      <c r="G698" s="620"/>
      <c r="H698" s="622"/>
      <c r="I698" s="621"/>
      <c r="J698" s="621"/>
      <c r="K698" s="620"/>
      <c r="L698" s="4409"/>
      <c r="M698" s="4409"/>
      <c r="O698" s="619"/>
      <c r="P698" s="617"/>
      <c r="Q698" s="617"/>
      <c r="R698" s="618"/>
      <c r="S698" s="616"/>
      <c r="T698" s="617"/>
      <c r="U698" s="616"/>
    </row>
    <row r="699" spans="2:21" s="615" customFormat="1" ht="10.15" customHeight="1">
      <c r="B699" s="616"/>
      <c r="C699" s="616"/>
      <c r="E699" s="617"/>
      <c r="F699" s="620"/>
      <c r="G699" s="620"/>
      <c r="H699" s="622"/>
      <c r="I699" s="621"/>
      <c r="J699" s="621"/>
      <c r="K699" s="620"/>
      <c r="L699" s="4409"/>
      <c r="M699" s="4409"/>
      <c r="O699" s="619"/>
      <c r="P699" s="617"/>
      <c r="Q699" s="617"/>
      <c r="R699" s="618"/>
      <c r="S699" s="616"/>
      <c r="T699" s="617"/>
      <c r="U699" s="616"/>
    </row>
    <row r="700" spans="2:21" s="615" customFormat="1" ht="10.15" customHeight="1">
      <c r="B700" s="616"/>
      <c r="C700" s="616"/>
      <c r="E700" s="617"/>
      <c r="F700" s="620"/>
      <c r="G700" s="620"/>
      <c r="H700" s="622"/>
      <c r="I700" s="621"/>
      <c r="J700" s="621"/>
      <c r="K700" s="620"/>
      <c r="L700" s="4409"/>
      <c r="M700" s="4409"/>
      <c r="O700" s="619"/>
      <c r="P700" s="617"/>
      <c r="Q700" s="617"/>
      <c r="R700" s="618"/>
      <c r="S700" s="616"/>
      <c r="T700" s="617"/>
      <c r="U700" s="616"/>
    </row>
    <row r="701" spans="2:21" s="615" customFormat="1" ht="10.15" customHeight="1">
      <c r="B701" s="616"/>
      <c r="C701" s="616"/>
      <c r="E701" s="617"/>
      <c r="F701" s="620"/>
      <c r="G701" s="620"/>
      <c r="H701" s="622"/>
      <c r="I701" s="621"/>
      <c r="J701" s="621"/>
      <c r="K701" s="620"/>
      <c r="L701" s="4409"/>
      <c r="M701" s="4409"/>
      <c r="O701" s="619"/>
      <c r="P701" s="617"/>
      <c r="Q701" s="617"/>
      <c r="R701" s="618"/>
      <c r="S701" s="616"/>
      <c r="T701" s="617"/>
      <c r="U701" s="616"/>
    </row>
    <row r="702" spans="2:21" s="615" customFormat="1" ht="10.15" customHeight="1">
      <c r="B702" s="616"/>
      <c r="C702" s="616"/>
      <c r="E702" s="617"/>
      <c r="F702" s="620"/>
      <c r="G702" s="620"/>
      <c r="H702" s="622"/>
      <c r="I702" s="621"/>
      <c r="J702" s="621"/>
      <c r="K702" s="620"/>
      <c r="L702" s="4409"/>
      <c r="M702" s="4409"/>
      <c r="O702" s="619"/>
      <c r="P702" s="617"/>
      <c r="Q702" s="617"/>
      <c r="R702" s="618"/>
      <c r="S702" s="616"/>
      <c r="T702" s="617"/>
      <c r="U702" s="616"/>
    </row>
    <row r="703" spans="2:21" s="615" customFormat="1" ht="10.15" customHeight="1">
      <c r="B703" s="616"/>
      <c r="C703" s="616"/>
      <c r="E703" s="617"/>
      <c r="F703" s="620"/>
      <c r="G703" s="620"/>
      <c r="H703" s="622"/>
      <c r="I703" s="621"/>
      <c r="J703" s="621"/>
      <c r="K703" s="620"/>
      <c r="L703" s="4409"/>
      <c r="M703" s="4409"/>
      <c r="O703" s="619"/>
      <c r="P703" s="617"/>
      <c r="Q703" s="617"/>
      <c r="R703" s="618"/>
      <c r="S703" s="616"/>
      <c r="T703" s="617"/>
      <c r="U703" s="616"/>
    </row>
    <row r="704" spans="2:21" s="615" customFormat="1" ht="10.15" customHeight="1">
      <c r="B704" s="616"/>
      <c r="C704" s="616"/>
      <c r="E704" s="617"/>
      <c r="F704" s="620"/>
      <c r="G704" s="620"/>
      <c r="H704" s="622"/>
      <c r="I704" s="621"/>
      <c r="J704" s="621"/>
      <c r="K704" s="620"/>
      <c r="L704" s="4409"/>
      <c r="M704" s="4409"/>
      <c r="O704" s="619"/>
      <c r="P704" s="617"/>
      <c r="Q704" s="617"/>
      <c r="R704" s="618"/>
      <c r="S704" s="616"/>
      <c r="T704" s="617"/>
      <c r="U704" s="616"/>
    </row>
    <row r="705" spans="2:21" s="615" customFormat="1" ht="10.15" customHeight="1">
      <c r="B705" s="616"/>
      <c r="C705" s="616"/>
      <c r="E705" s="617"/>
      <c r="F705" s="620"/>
      <c r="G705" s="620"/>
      <c r="H705" s="622"/>
      <c r="I705" s="621"/>
      <c r="J705" s="621"/>
      <c r="K705" s="620"/>
      <c r="L705" s="4409"/>
      <c r="M705" s="4409"/>
      <c r="O705" s="619"/>
      <c r="P705" s="617"/>
      <c r="Q705" s="617"/>
      <c r="R705" s="618"/>
      <c r="S705" s="616"/>
      <c r="T705" s="617"/>
      <c r="U705" s="616"/>
    </row>
    <row r="706" spans="2:21" s="615" customFormat="1" ht="10.15" customHeight="1">
      <c r="B706" s="616"/>
      <c r="C706" s="616"/>
      <c r="E706" s="617"/>
      <c r="F706" s="620"/>
      <c r="G706" s="620"/>
      <c r="H706" s="622"/>
      <c r="I706" s="621"/>
      <c r="J706" s="621"/>
      <c r="K706" s="620"/>
      <c r="L706" s="4409"/>
      <c r="M706" s="4409"/>
      <c r="O706" s="619"/>
      <c r="P706" s="617"/>
      <c r="Q706" s="617"/>
      <c r="R706" s="618"/>
      <c r="S706" s="616"/>
      <c r="T706" s="617"/>
      <c r="U706" s="616"/>
    </row>
    <row r="707" spans="2:21" s="615" customFormat="1" ht="10.15" customHeight="1">
      <c r="B707" s="616"/>
      <c r="C707" s="616"/>
      <c r="E707" s="617"/>
      <c r="F707" s="620"/>
      <c r="G707" s="620"/>
      <c r="H707" s="622"/>
      <c r="I707" s="621"/>
      <c r="J707" s="621"/>
      <c r="K707" s="620"/>
      <c r="L707" s="4409"/>
      <c r="M707" s="4409"/>
      <c r="O707" s="619"/>
      <c r="P707" s="617"/>
      <c r="Q707" s="617"/>
      <c r="R707" s="618"/>
      <c r="S707" s="616"/>
      <c r="T707" s="617"/>
      <c r="U707" s="616"/>
    </row>
    <row r="708" spans="2:21" s="615" customFormat="1" ht="10.15" customHeight="1">
      <c r="B708" s="616"/>
      <c r="C708" s="616"/>
      <c r="E708" s="617"/>
      <c r="F708" s="620"/>
      <c r="G708" s="620"/>
      <c r="H708" s="622"/>
      <c r="I708" s="621"/>
      <c r="J708" s="621"/>
      <c r="K708" s="620"/>
      <c r="L708" s="4409"/>
      <c r="M708" s="4409"/>
      <c r="O708" s="619"/>
      <c r="P708" s="617"/>
      <c r="Q708" s="617"/>
      <c r="R708" s="618"/>
      <c r="S708" s="616"/>
      <c r="T708" s="617"/>
      <c r="U708" s="616"/>
    </row>
    <row r="709" spans="2:21" s="615" customFormat="1" ht="10.15" customHeight="1">
      <c r="B709" s="616"/>
      <c r="C709" s="616"/>
      <c r="E709" s="617"/>
      <c r="F709" s="620"/>
      <c r="G709" s="620"/>
      <c r="H709" s="622"/>
      <c r="I709" s="621"/>
      <c r="J709" s="621"/>
      <c r="K709" s="620"/>
      <c r="L709" s="4409"/>
      <c r="M709" s="4409"/>
      <c r="O709" s="619"/>
      <c r="P709" s="617"/>
      <c r="Q709" s="617"/>
      <c r="R709" s="618"/>
      <c r="S709" s="616"/>
      <c r="T709" s="617"/>
      <c r="U709" s="616"/>
    </row>
    <row r="710" spans="2:21" s="615" customFormat="1" ht="10.15" customHeight="1">
      <c r="B710" s="616"/>
      <c r="C710" s="616"/>
      <c r="E710" s="617"/>
      <c r="F710" s="620"/>
      <c r="G710" s="620"/>
      <c r="H710" s="622"/>
      <c r="I710" s="621"/>
      <c r="J710" s="621"/>
      <c r="K710" s="620"/>
      <c r="L710" s="4409"/>
      <c r="M710" s="4409"/>
      <c r="O710" s="619"/>
      <c r="P710" s="617"/>
      <c r="Q710" s="617"/>
      <c r="R710" s="618"/>
      <c r="S710" s="616"/>
      <c r="T710" s="617"/>
      <c r="U710" s="616"/>
    </row>
    <row r="711" spans="2:21" s="615" customFormat="1" ht="10.15" customHeight="1">
      <c r="B711" s="616"/>
      <c r="C711" s="616"/>
      <c r="E711" s="617"/>
      <c r="F711" s="620"/>
      <c r="G711" s="620"/>
      <c r="H711" s="622"/>
      <c r="I711" s="621"/>
      <c r="J711" s="621"/>
      <c r="K711" s="620"/>
      <c r="L711" s="4409"/>
      <c r="M711" s="4409"/>
      <c r="O711" s="619"/>
      <c r="P711" s="617"/>
      <c r="Q711" s="617"/>
      <c r="R711" s="618"/>
      <c r="S711" s="616"/>
      <c r="T711" s="617"/>
      <c r="U711" s="616"/>
    </row>
    <row r="712" spans="2:21" s="615" customFormat="1" ht="10.15" customHeight="1">
      <c r="B712" s="616"/>
      <c r="C712" s="616"/>
      <c r="E712" s="617"/>
      <c r="F712" s="620"/>
      <c r="G712" s="620"/>
      <c r="H712" s="622"/>
      <c r="I712" s="621"/>
      <c r="J712" s="621"/>
      <c r="K712" s="620"/>
      <c r="L712" s="4409"/>
      <c r="M712" s="4409"/>
      <c r="O712" s="619"/>
      <c r="P712" s="617"/>
      <c r="Q712" s="617"/>
      <c r="R712" s="618"/>
      <c r="S712" s="616"/>
      <c r="T712" s="617"/>
      <c r="U712" s="616"/>
    </row>
    <row r="713" spans="2:21" s="615" customFormat="1" ht="10.15" customHeight="1">
      <c r="B713" s="616"/>
      <c r="C713" s="616"/>
      <c r="E713" s="617"/>
      <c r="F713" s="620"/>
      <c r="G713" s="620"/>
      <c r="H713" s="622"/>
      <c r="I713" s="621"/>
      <c r="J713" s="621"/>
      <c r="K713" s="620"/>
      <c r="L713" s="4409"/>
      <c r="M713" s="4409"/>
      <c r="O713" s="619"/>
      <c r="P713" s="617"/>
      <c r="Q713" s="617"/>
      <c r="R713" s="618"/>
      <c r="S713" s="616"/>
      <c r="T713" s="617"/>
      <c r="U713" s="616"/>
    </row>
    <row r="714" spans="2:21" s="615" customFormat="1" ht="10.15" customHeight="1">
      <c r="B714" s="616"/>
      <c r="C714" s="616"/>
      <c r="E714" s="617"/>
      <c r="F714" s="620"/>
      <c r="G714" s="620"/>
      <c r="H714" s="622"/>
      <c r="I714" s="621"/>
      <c r="J714" s="621"/>
      <c r="K714" s="620"/>
      <c r="L714" s="4409"/>
      <c r="M714" s="4409"/>
      <c r="O714" s="619"/>
      <c r="P714" s="617"/>
      <c r="Q714" s="617"/>
      <c r="R714" s="618"/>
      <c r="S714" s="616"/>
      <c r="T714" s="617"/>
      <c r="U714" s="616"/>
    </row>
    <row r="715" spans="2:21" s="615" customFormat="1" ht="10.15" customHeight="1">
      <c r="B715" s="616"/>
      <c r="C715" s="616"/>
      <c r="E715" s="617"/>
      <c r="F715" s="620"/>
      <c r="G715" s="620"/>
      <c r="H715" s="622"/>
      <c r="I715" s="621"/>
      <c r="J715" s="621"/>
      <c r="K715" s="620"/>
      <c r="L715" s="4409"/>
      <c r="M715" s="4409"/>
      <c r="O715" s="619"/>
      <c r="P715" s="617"/>
      <c r="Q715" s="617"/>
      <c r="R715" s="618"/>
      <c r="S715" s="616"/>
      <c r="T715" s="617"/>
      <c r="U715" s="616"/>
    </row>
    <row r="716" spans="2:21" s="615" customFormat="1" ht="10.15" customHeight="1">
      <c r="B716" s="616"/>
      <c r="C716" s="616"/>
      <c r="E716" s="617"/>
      <c r="F716" s="620"/>
      <c r="G716" s="620"/>
      <c r="H716" s="622"/>
      <c r="I716" s="621"/>
      <c r="J716" s="621"/>
      <c r="K716" s="620"/>
      <c r="L716" s="4409"/>
      <c r="M716" s="4409"/>
      <c r="O716" s="619"/>
      <c r="P716" s="617"/>
      <c r="Q716" s="617"/>
      <c r="R716" s="618"/>
      <c r="S716" s="616"/>
      <c r="T716" s="617"/>
      <c r="U716" s="616"/>
    </row>
    <row r="717" spans="2:21" s="615" customFormat="1" ht="10.15" customHeight="1">
      <c r="B717" s="616"/>
      <c r="C717" s="616"/>
      <c r="E717" s="617"/>
      <c r="F717" s="620"/>
      <c r="G717" s="620"/>
      <c r="H717" s="622"/>
      <c r="I717" s="621"/>
      <c r="J717" s="621"/>
      <c r="K717" s="620"/>
      <c r="L717" s="4409"/>
      <c r="M717" s="4409"/>
      <c r="O717" s="619"/>
      <c r="P717" s="617"/>
      <c r="Q717" s="617"/>
      <c r="R717" s="618"/>
      <c r="S717" s="616"/>
      <c r="T717" s="617"/>
      <c r="U717" s="616"/>
    </row>
    <row r="718" spans="2:21" s="615" customFormat="1" ht="10.15" customHeight="1">
      <c r="B718" s="616"/>
      <c r="C718" s="616"/>
      <c r="E718" s="617"/>
      <c r="F718" s="620"/>
      <c r="G718" s="620"/>
      <c r="H718" s="622"/>
      <c r="I718" s="621"/>
      <c r="J718" s="621"/>
      <c r="K718" s="620"/>
      <c r="L718" s="4409"/>
      <c r="M718" s="4409"/>
      <c r="O718" s="619"/>
      <c r="P718" s="617"/>
      <c r="Q718" s="617"/>
      <c r="R718" s="618"/>
      <c r="S718" s="616"/>
      <c r="T718" s="617"/>
      <c r="U718" s="616"/>
    </row>
    <row r="719" spans="2:21" s="615" customFormat="1" ht="10.15" customHeight="1">
      <c r="B719" s="616"/>
      <c r="C719" s="616"/>
      <c r="E719" s="617"/>
      <c r="F719" s="620"/>
      <c r="G719" s="620"/>
      <c r="H719" s="622"/>
      <c r="I719" s="621"/>
      <c r="J719" s="621"/>
      <c r="K719" s="620"/>
      <c r="L719" s="4409"/>
      <c r="M719" s="4409"/>
      <c r="O719" s="619"/>
      <c r="P719" s="617"/>
      <c r="Q719" s="617"/>
      <c r="R719" s="618"/>
      <c r="S719" s="616"/>
      <c r="T719" s="617"/>
      <c r="U719" s="616"/>
    </row>
    <row r="720" spans="2:21" s="615" customFormat="1" ht="10.15" customHeight="1">
      <c r="B720" s="616"/>
      <c r="C720" s="616"/>
      <c r="E720" s="617"/>
      <c r="F720" s="620"/>
      <c r="G720" s="620"/>
      <c r="H720" s="622"/>
      <c r="I720" s="621"/>
      <c r="J720" s="621"/>
      <c r="K720" s="620"/>
      <c r="L720" s="4409"/>
      <c r="M720" s="4409"/>
      <c r="O720" s="619"/>
      <c r="P720" s="617"/>
      <c r="Q720" s="617"/>
      <c r="R720" s="618"/>
      <c r="S720" s="616"/>
      <c r="T720" s="617"/>
      <c r="U720" s="616"/>
    </row>
    <row r="721" spans="2:21" s="615" customFormat="1" ht="10.15" customHeight="1">
      <c r="B721" s="616"/>
      <c r="C721" s="616"/>
      <c r="E721" s="617"/>
      <c r="F721" s="620"/>
      <c r="G721" s="620"/>
      <c r="H721" s="622"/>
      <c r="I721" s="621"/>
      <c r="J721" s="621"/>
      <c r="K721" s="620"/>
      <c r="L721" s="4409"/>
      <c r="M721" s="4409"/>
      <c r="O721" s="619"/>
      <c r="P721" s="617"/>
      <c r="Q721" s="617"/>
      <c r="R721" s="618"/>
      <c r="S721" s="616"/>
      <c r="T721" s="617"/>
      <c r="U721" s="616"/>
    </row>
    <row r="722" spans="2:21" s="615" customFormat="1" ht="10.15" customHeight="1">
      <c r="B722" s="616"/>
      <c r="C722" s="616"/>
      <c r="E722" s="617"/>
      <c r="F722" s="620"/>
      <c r="G722" s="620"/>
      <c r="H722" s="622"/>
      <c r="I722" s="621"/>
      <c r="J722" s="621"/>
      <c r="K722" s="620"/>
      <c r="L722" s="4409"/>
      <c r="M722" s="4409"/>
      <c r="O722" s="619"/>
      <c r="P722" s="617"/>
      <c r="Q722" s="617"/>
      <c r="R722" s="618"/>
      <c r="S722" s="616"/>
      <c r="T722" s="617"/>
      <c r="U722" s="616"/>
    </row>
    <row r="723" spans="2:21" s="615" customFormat="1" ht="10.15" customHeight="1">
      <c r="B723" s="616"/>
      <c r="C723" s="616"/>
      <c r="E723" s="617"/>
      <c r="F723" s="620"/>
      <c r="G723" s="620"/>
      <c r="H723" s="622"/>
      <c r="I723" s="621"/>
      <c r="J723" s="621"/>
      <c r="K723" s="620"/>
      <c r="L723" s="4409"/>
      <c r="M723" s="4409"/>
      <c r="O723" s="619"/>
      <c r="P723" s="617"/>
      <c r="Q723" s="617"/>
      <c r="R723" s="618"/>
      <c r="S723" s="616"/>
      <c r="T723" s="617"/>
      <c r="U723" s="616"/>
    </row>
    <row r="724" spans="2:21" s="615" customFormat="1" ht="10.15" customHeight="1">
      <c r="B724" s="616"/>
      <c r="C724" s="616"/>
      <c r="E724" s="617"/>
      <c r="F724" s="620"/>
      <c r="G724" s="620"/>
      <c r="H724" s="622"/>
      <c r="I724" s="621"/>
      <c r="J724" s="621"/>
      <c r="K724" s="620"/>
      <c r="L724" s="4409"/>
      <c r="M724" s="4409"/>
      <c r="O724" s="619"/>
      <c r="P724" s="617"/>
      <c r="Q724" s="617"/>
      <c r="R724" s="618"/>
      <c r="S724" s="616"/>
      <c r="T724" s="617"/>
      <c r="U724" s="616"/>
    </row>
    <row r="725" spans="2:21" s="615" customFormat="1" ht="10.15" customHeight="1">
      <c r="B725" s="616"/>
      <c r="C725" s="616"/>
      <c r="E725" s="617"/>
      <c r="F725" s="620"/>
      <c r="G725" s="620"/>
      <c r="H725" s="622"/>
      <c r="I725" s="621"/>
      <c r="J725" s="621"/>
      <c r="K725" s="620"/>
      <c r="L725" s="4409"/>
      <c r="M725" s="4409"/>
      <c r="O725" s="619"/>
      <c r="P725" s="617"/>
      <c r="Q725" s="617"/>
      <c r="R725" s="618"/>
      <c r="S725" s="616"/>
      <c r="T725" s="617"/>
      <c r="U725" s="616"/>
    </row>
    <row r="726" spans="2:21" s="615" customFormat="1" ht="10.15" customHeight="1">
      <c r="B726" s="616"/>
      <c r="C726" s="616"/>
      <c r="E726" s="617"/>
      <c r="F726" s="620"/>
      <c r="G726" s="620"/>
      <c r="H726" s="622"/>
      <c r="I726" s="621"/>
      <c r="J726" s="621"/>
      <c r="K726" s="620"/>
      <c r="L726" s="4409"/>
      <c r="M726" s="4409"/>
      <c r="O726" s="619"/>
      <c r="P726" s="617"/>
      <c r="Q726" s="617"/>
      <c r="R726" s="618"/>
      <c r="S726" s="616"/>
      <c r="T726" s="617"/>
      <c r="U726" s="616"/>
    </row>
    <row r="727" spans="2:21" s="615" customFormat="1" ht="10.15" customHeight="1">
      <c r="B727" s="616"/>
      <c r="C727" s="616"/>
      <c r="E727" s="617"/>
      <c r="F727" s="620"/>
      <c r="G727" s="620"/>
      <c r="H727" s="622"/>
      <c r="I727" s="621"/>
      <c r="J727" s="621"/>
      <c r="K727" s="620"/>
      <c r="L727" s="4409"/>
      <c r="M727" s="4409"/>
      <c r="O727" s="619"/>
      <c r="P727" s="617"/>
      <c r="Q727" s="617"/>
      <c r="R727" s="618"/>
      <c r="S727" s="616"/>
      <c r="T727" s="617"/>
      <c r="U727" s="616"/>
    </row>
    <row r="728" spans="2:21" s="615" customFormat="1" ht="10.15" customHeight="1">
      <c r="B728" s="616"/>
      <c r="C728" s="616"/>
      <c r="E728" s="617"/>
      <c r="F728" s="620"/>
      <c r="G728" s="620"/>
      <c r="H728" s="622"/>
      <c r="I728" s="621"/>
      <c r="J728" s="621"/>
      <c r="K728" s="620"/>
      <c r="L728" s="4409"/>
      <c r="M728" s="4409"/>
      <c r="O728" s="619"/>
      <c r="P728" s="617"/>
      <c r="Q728" s="617"/>
      <c r="R728" s="618"/>
      <c r="S728" s="616"/>
      <c r="T728" s="617"/>
      <c r="U728" s="616"/>
    </row>
    <row r="729" spans="2:21" s="615" customFormat="1" ht="10.15" customHeight="1">
      <c r="B729" s="616"/>
      <c r="C729" s="616"/>
      <c r="E729" s="617"/>
      <c r="F729" s="620"/>
      <c r="G729" s="620"/>
      <c r="H729" s="622"/>
      <c r="I729" s="621"/>
      <c r="J729" s="621"/>
      <c r="K729" s="620"/>
      <c r="L729" s="4409"/>
      <c r="M729" s="4409"/>
      <c r="O729" s="619"/>
      <c r="P729" s="617"/>
      <c r="Q729" s="617"/>
      <c r="R729" s="618"/>
      <c r="S729" s="616"/>
      <c r="T729" s="617"/>
      <c r="U729" s="616"/>
    </row>
    <row r="730" spans="2:21" s="615" customFormat="1" ht="10.15" customHeight="1">
      <c r="B730" s="616"/>
      <c r="C730" s="616"/>
      <c r="E730" s="617"/>
      <c r="F730" s="620"/>
      <c r="G730" s="620"/>
      <c r="H730" s="622"/>
      <c r="I730" s="621"/>
      <c r="J730" s="621"/>
      <c r="K730" s="620"/>
      <c r="L730" s="4409"/>
      <c r="M730" s="4409"/>
      <c r="O730" s="619"/>
      <c r="P730" s="617"/>
      <c r="Q730" s="617"/>
      <c r="R730" s="618"/>
      <c r="S730" s="616"/>
      <c r="T730" s="617"/>
      <c r="U730" s="616"/>
    </row>
    <row r="731" spans="2:21" s="615" customFormat="1" ht="10.15" customHeight="1">
      <c r="B731" s="616"/>
      <c r="C731" s="616"/>
      <c r="E731" s="617"/>
      <c r="F731" s="620"/>
      <c r="G731" s="620"/>
      <c r="H731" s="622"/>
      <c r="I731" s="621"/>
      <c r="J731" s="621"/>
      <c r="K731" s="620"/>
      <c r="L731" s="4409"/>
      <c r="M731" s="4409"/>
      <c r="O731" s="619"/>
      <c r="P731" s="617"/>
      <c r="Q731" s="617"/>
      <c r="R731" s="618"/>
      <c r="S731" s="616"/>
      <c r="T731" s="617"/>
      <c r="U731" s="616"/>
    </row>
    <row r="732" spans="2:21" s="615" customFormat="1" ht="10.15" customHeight="1">
      <c r="B732" s="616"/>
      <c r="C732" s="616"/>
      <c r="E732" s="617"/>
      <c r="F732" s="620"/>
      <c r="G732" s="620"/>
      <c r="H732" s="622"/>
      <c r="I732" s="621"/>
      <c r="J732" s="621"/>
      <c r="K732" s="620"/>
      <c r="L732" s="4409"/>
      <c r="M732" s="4409"/>
      <c r="O732" s="619"/>
      <c r="P732" s="617"/>
      <c r="Q732" s="617"/>
      <c r="R732" s="618"/>
      <c r="S732" s="616"/>
      <c r="T732" s="617"/>
      <c r="U732" s="616"/>
    </row>
    <row r="733" spans="2:21" s="615" customFormat="1" ht="10.15" customHeight="1">
      <c r="B733" s="616"/>
      <c r="C733" s="616"/>
      <c r="E733" s="617"/>
      <c r="F733" s="620"/>
      <c r="G733" s="620"/>
      <c r="H733" s="622"/>
      <c r="I733" s="621"/>
      <c r="J733" s="621"/>
      <c r="K733" s="620"/>
      <c r="L733" s="4409"/>
      <c r="M733" s="4409"/>
      <c r="O733" s="619"/>
      <c r="P733" s="617"/>
      <c r="Q733" s="617"/>
      <c r="R733" s="618"/>
      <c r="S733" s="616"/>
      <c r="T733" s="617"/>
      <c r="U733" s="616"/>
    </row>
    <row r="734" spans="2:21" s="615" customFormat="1" ht="10.15" customHeight="1">
      <c r="B734" s="616"/>
      <c r="C734" s="616"/>
      <c r="E734" s="617"/>
      <c r="F734" s="620"/>
      <c r="G734" s="620"/>
      <c r="H734" s="622"/>
      <c r="I734" s="621"/>
      <c r="J734" s="621"/>
      <c r="K734" s="620"/>
      <c r="L734" s="4409"/>
      <c r="M734" s="4409"/>
      <c r="O734" s="619"/>
      <c r="P734" s="617"/>
      <c r="Q734" s="617"/>
      <c r="R734" s="618"/>
      <c r="S734" s="616"/>
      <c r="T734" s="617"/>
      <c r="U734" s="616"/>
    </row>
    <row r="735" spans="2:21" s="615" customFormat="1" ht="10.15" customHeight="1">
      <c r="B735" s="616"/>
      <c r="C735" s="616"/>
      <c r="E735" s="617"/>
      <c r="F735" s="620"/>
      <c r="G735" s="620"/>
      <c r="H735" s="622"/>
      <c r="I735" s="621"/>
      <c r="J735" s="621"/>
      <c r="K735" s="620"/>
      <c r="L735" s="4409"/>
      <c r="M735" s="4409"/>
      <c r="O735" s="619"/>
      <c r="P735" s="617"/>
      <c r="Q735" s="617"/>
      <c r="R735" s="618"/>
      <c r="S735" s="616"/>
      <c r="T735" s="617"/>
      <c r="U735" s="616"/>
    </row>
    <row r="736" spans="2:21" s="615" customFormat="1" ht="10.15" customHeight="1">
      <c r="B736" s="616"/>
      <c r="C736" s="616"/>
      <c r="E736" s="617"/>
      <c r="F736" s="620"/>
      <c r="G736" s="620"/>
      <c r="H736" s="622"/>
      <c r="I736" s="621"/>
      <c r="J736" s="621"/>
      <c r="K736" s="620"/>
      <c r="L736" s="4409"/>
      <c r="M736" s="4409"/>
      <c r="O736" s="619"/>
      <c r="P736" s="617"/>
      <c r="Q736" s="617"/>
      <c r="R736" s="618"/>
      <c r="S736" s="616"/>
      <c r="T736" s="617"/>
      <c r="U736" s="616"/>
    </row>
    <row r="737" spans="2:21" s="615" customFormat="1" ht="10.15" customHeight="1">
      <c r="B737" s="616"/>
      <c r="C737" s="616"/>
      <c r="E737" s="617"/>
      <c r="F737" s="620"/>
      <c r="G737" s="620"/>
      <c r="H737" s="622"/>
      <c r="I737" s="621"/>
      <c r="J737" s="621"/>
      <c r="K737" s="620"/>
      <c r="L737" s="4409"/>
      <c r="M737" s="4409"/>
      <c r="O737" s="619"/>
      <c r="P737" s="617"/>
      <c r="Q737" s="617"/>
      <c r="R737" s="618"/>
      <c r="S737" s="616"/>
      <c r="T737" s="617"/>
      <c r="U737" s="616"/>
    </row>
    <row r="738" spans="2:21" s="615" customFormat="1" ht="10.15" customHeight="1">
      <c r="B738" s="616"/>
      <c r="C738" s="616"/>
      <c r="E738" s="617"/>
      <c r="F738" s="620"/>
      <c r="G738" s="620"/>
      <c r="H738" s="622"/>
      <c r="I738" s="621"/>
      <c r="J738" s="621"/>
      <c r="K738" s="620"/>
      <c r="L738" s="4409"/>
      <c r="M738" s="4409"/>
      <c r="O738" s="619"/>
      <c r="P738" s="617"/>
      <c r="Q738" s="617"/>
      <c r="R738" s="618"/>
      <c r="S738" s="616"/>
      <c r="T738" s="617"/>
      <c r="U738" s="616"/>
    </row>
    <row r="739" spans="2:21" s="615" customFormat="1" ht="10.15" customHeight="1">
      <c r="B739" s="616"/>
      <c r="C739" s="616"/>
      <c r="E739" s="617"/>
      <c r="F739" s="620"/>
      <c r="G739" s="620"/>
      <c r="H739" s="622"/>
      <c r="I739" s="621"/>
      <c r="J739" s="621"/>
      <c r="K739" s="620"/>
      <c r="L739" s="4409"/>
      <c r="M739" s="4409"/>
      <c r="O739" s="619"/>
      <c r="P739" s="617"/>
      <c r="Q739" s="617"/>
      <c r="R739" s="618"/>
      <c r="S739" s="616"/>
      <c r="T739" s="617"/>
      <c r="U739" s="616"/>
    </row>
    <row r="740" spans="2:21" s="615" customFormat="1" ht="10.15" customHeight="1">
      <c r="B740" s="616"/>
      <c r="C740" s="616"/>
      <c r="E740" s="617"/>
      <c r="F740" s="620"/>
      <c r="G740" s="620"/>
      <c r="H740" s="622"/>
      <c r="I740" s="621"/>
      <c r="J740" s="621"/>
      <c r="K740" s="620"/>
      <c r="L740" s="4409"/>
      <c r="M740" s="4409"/>
      <c r="O740" s="619"/>
      <c r="P740" s="617"/>
      <c r="Q740" s="617"/>
      <c r="R740" s="618"/>
      <c r="S740" s="616"/>
      <c r="T740" s="617"/>
      <c r="U740" s="616"/>
    </row>
    <row r="741" spans="2:21" s="615" customFormat="1" ht="10.15" customHeight="1">
      <c r="B741" s="616"/>
      <c r="C741" s="616"/>
      <c r="E741" s="617"/>
      <c r="F741" s="620"/>
      <c r="G741" s="620"/>
      <c r="H741" s="622"/>
      <c r="I741" s="621"/>
      <c r="J741" s="621"/>
      <c r="K741" s="620"/>
      <c r="L741" s="4409"/>
      <c r="M741" s="4409"/>
      <c r="O741" s="619"/>
      <c r="P741" s="617"/>
      <c r="Q741" s="617"/>
      <c r="R741" s="618"/>
      <c r="S741" s="616"/>
      <c r="T741" s="617"/>
      <c r="U741" s="616"/>
    </row>
    <row r="742" spans="2:21" s="615" customFormat="1" ht="10.15" customHeight="1">
      <c r="B742" s="616"/>
      <c r="C742" s="616"/>
      <c r="E742" s="617"/>
      <c r="F742" s="620"/>
      <c r="G742" s="620"/>
      <c r="H742" s="622"/>
      <c r="I742" s="621"/>
      <c r="J742" s="621"/>
      <c r="K742" s="620"/>
      <c r="L742" s="4409"/>
      <c r="M742" s="4409"/>
      <c r="O742" s="619"/>
      <c r="P742" s="617"/>
      <c r="Q742" s="617"/>
      <c r="R742" s="618"/>
      <c r="S742" s="616"/>
      <c r="T742" s="617"/>
      <c r="U742" s="616"/>
    </row>
    <row r="743" spans="2:21" s="615" customFormat="1" ht="10.15" customHeight="1">
      <c r="B743" s="616"/>
      <c r="C743" s="616"/>
      <c r="E743" s="617"/>
      <c r="F743" s="620"/>
      <c r="G743" s="620"/>
      <c r="H743" s="622"/>
      <c r="I743" s="621"/>
      <c r="J743" s="621"/>
      <c r="K743" s="620"/>
      <c r="L743" s="4409"/>
      <c r="M743" s="4409"/>
      <c r="O743" s="619"/>
      <c r="P743" s="617"/>
      <c r="Q743" s="617"/>
      <c r="R743" s="618"/>
      <c r="S743" s="616"/>
      <c r="T743" s="617"/>
      <c r="U743" s="616"/>
    </row>
    <row r="744" spans="2:21" s="615" customFormat="1" ht="10.15" customHeight="1">
      <c r="B744" s="616"/>
      <c r="C744" s="616"/>
      <c r="E744" s="617"/>
      <c r="F744" s="620"/>
      <c r="G744" s="620"/>
      <c r="H744" s="622"/>
      <c r="I744" s="621"/>
      <c r="J744" s="621"/>
      <c r="K744" s="620"/>
      <c r="L744" s="4409"/>
      <c r="M744" s="4409"/>
      <c r="O744" s="619"/>
      <c r="P744" s="617"/>
      <c r="Q744" s="617"/>
      <c r="R744" s="618"/>
      <c r="S744" s="616"/>
      <c r="T744" s="617"/>
      <c r="U744" s="616"/>
    </row>
    <row r="745" spans="2:21" s="615" customFormat="1" ht="10.15" customHeight="1">
      <c r="B745" s="616"/>
      <c r="C745" s="616"/>
      <c r="E745" s="617"/>
      <c r="F745" s="620"/>
      <c r="G745" s="620"/>
      <c r="H745" s="622"/>
      <c r="I745" s="621"/>
      <c r="J745" s="621"/>
      <c r="K745" s="620"/>
      <c r="L745" s="4409"/>
      <c r="M745" s="4409"/>
      <c r="O745" s="619"/>
      <c r="P745" s="617"/>
      <c r="Q745" s="617"/>
      <c r="R745" s="618"/>
      <c r="S745" s="616"/>
      <c r="T745" s="617"/>
      <c r="U745" s="616"/>
    </row>
    <row r="746" spans="2:21" s="615" customFormat="1" ht="10.15" customHeight="1">
      <c r="B746" s="616"/>
      <c r="C746" s="616"/>
      <c r="E746" s="617"/>
      <c r="F746" s="620"/>
      <c r="G746" s="620"/>
      <c r="H746" s="622"/>
      <c r="I746" s="621"/>
      <c r="J746" s="621"/>
      <c r="K746" s="620"/>
      <c r="L746" s="4409"/>
      <c r="M746" s="4409"/>
      <c r="O746" s="619"/>
      <c r="P746" s="617"/>
      <c r="Q746" s="617"/>
      <c r="R746" s="618"/>
      <c r="S746" s="616"/>
      <c r="T746" s="617"/>
      <c r="U746" s="616"/>
    </row>
    <row r="747" spans="2:21" s="615" customFormat="1" ht="10.15" customHeight="1">
      <c r="B747" s="616"/>
      <c r="C747" s="616"/>
      <c r="E747" s="617"/>
      <c r="F747" s="620"/>
      <c r="G747" s="620"/>
      <c r="H747" s="622"/>
      <c r="I747" s="621"/>
      <c r="J747" s="621"/>
      <c r="K747" s="620"/>
      <c r="L747" s="4409"/>
      <c r="M747" s="4409"/>
      <c r="O747" s="619"/>
      <c r="P747" s="617"/>
      <c r="Q747" s="617"/>
      <c r="R747" s="618"/>
      <c r="S747" s="616"/>
      <c r="T747" s="617"/>
      <c r="U747" s="616"/>
    </row>
    <row r="748" spans="2:21" s="615" customFormat="1" ht="10.15" customHeight="1">
      <c r="B748" s="616"/>
      <c r="C748" s="616"/>
      <c r="E748" s="617"/>
      <c r="F748" s="620"/>
      <c r="G748" s="620"/>
      <c r="H748" s="622"/>
      <c r="I748" s="621"/>
      <c r="J748" s="621"/>
      <c r="K748" s="620"/>
      <c r="L748" s="4409"/>
      <c r="M748" s="4409"/>
      <c r="O748" s="619"/>
      <c r="P748" s="617"/>
      <c r="Q748" s="617"/>
      <c r="R748" s="618"/>
      <c r="S748" s="616"/>
      <c r="T748" s="617"/>
      <c r="U748" s="616"/>
    </row>
    <row r="749" spans="2:21" s="615" customFormat="1" ht="10.15" customHeight="1">
      <c r="B749" s="616"/>
      <c r="C749" s="616"/>
      <c r="E749" s="617"/>
      <c r="F749" s="620"/>
      <c r="G749" s="620"/>
      <c r="H749" s="622"/>
      <c r="I749" s="621"/>
      <c r="J749" s="621"/>
      <c r="K749" s="620"/>
      <c r="L749" s="4409"/>
      <c r="M749" s="4409"/>
      <c r="O749" s="619"/>
      <c r="P749" s="617"/>
      <c r="Q749" s="617"/>
      <c r="R749" s="618"/>
      <c r="S749" s="616"/>
      <c r="T749" s="617"/>
      <c r="U749" s="616"/>
    </row>
    <row r="750" spans="2:21" s="615" customFormat="1" ht="10.15" customHeight="1">
      <c r="B750" s="616"/>
      <c r="C750" s="616"/>
      <c r="E750" s="617"/>
      <c r="F750" s="620"/>
      <c r="G750" s="620"/>
      <c r="H750" s="622"/>
      <c r="I750" s="621"/>
      <c r="J750" s="621"/>
      <c r="K750" s="620"/>
      <c r="L750" s="4409"/>
      <c r="M750" s="4409"/>
      <c r="O750" s="619"/>
      <c r="P750" s="617"/>
      <c r="Q750" s="617"/>
      <c r="R750" s="618"/>
      <c r="S750" s="616"/>
      <c r="T750" s="617"/>
      <c r="U750" s="616"/>
    </row>
    <row r="751" spans="2:21" s="615" customFormat="1" ht="10.15" customHeight="1">
      <c r="B751" s="616"/>
      <c r="C751" s="616"/>
      <c r="E751" s="617"/>
      <c r="F751" s="620"/>
      <c r="G751" s="620"/>
      <c r="H751" s="622"/>
      <c r="I751" s="621"/>
      <c r="J751" s="621"/>
      <c r="K751" s="620"/>
      <c r="L751" s="4409"/>
      <c r="M751" s="4409"/>
      <c r="O751" s="619"/>
      <c r="P751" s="617"/>
      <c r="Q751" s="617"/>
      <c r="R751" s="618"/>
      <c r="S751" s="616"/>
      <c r="T751" s="617"/>
      <c r="U751" s="616"/>
    </row>
    <row r="752" spans="2:21" s="615" customFormat="1" ht="10.15" customHeight="1">
      <c r="B752" s="616"/>
      <c r="C752" s="616"/>
      <c r="E752" s="617"/>
      <c r="F752" s="620"/>
      <c r="G752" s="620"/>
      <c r="H752" s="622"/>
      <c r="I752" s="621"/>
      <c r="J752" s="621"/>
      <c r="K752" s="620"/>
      <c r="L752" s="4409"/>
      <c r="M752" s="4409"/>
      <c r="O752" s="619"/>
      <c r="P752" s="617"/>
      <c r="Q752" s="617"/>
      <c r="R752" s="618"/>
      <c r="S752" s="616"/>
      <c r="T752" s="617"/>
      <c r="U752" s="616"/>
    </row>
    <row r="753" spans="2:21" s="615" customFormat="1" ht="10.15" customHeight="1">
      <c r="B753" s="616"/>
      <c r="C753" s="616"/>
      <c r="E753" s="617"/>
      <c r="F753" s="620"/>
      <c r="G753" s="620"/>
      <c r="H753" s="622"/>
      <c r="I753" s="621"/>
      <c r="J753" s="621"/>
      <c r="K753" s="620"/>
      <c r="L753" s="4409"/>
      <c r="M753" s="4409"/>
      <c r="O753" s="619"/>
      <c r="P753" s="617"/>
      <c r="Q753" s="617"/>
      <c r="R753" s="618"/>
      <c r="S753" s="616"/>
      <c r="T753" s="617"/>
      <c r="U753" s="616"/>
    </row>
    <row r="754" spans="2:21" s="615" customFormat="1" ht="10.15" customHeight="1">
      <c r="B754" s="616"/>
      <c r="C754" s="616"/>
      <c r="E754" s="617"/>
      <c r="F754" s="620"/>
      <c r="G754" s="620"/>
      <c r="H754" s="622"/>
      <c r="I754" s="621"/>
      <c r="J754" s="621"/>
      <c r="K754" s="620"/>
      <c r="L754" s="4409"/>
      <c r="M754" s="4409"/>
      <c r="O754" s="619"/>
      <c r="P754" s="617"/>
      <c r="Q754" s="617"/>
      <c r="R754" s="618"/>
      <c r="S754" s="616"/>
      <c r="T754" s="617"/>
      <c r="U754" s="616"/>
    </row>
    <row r="755" spans="2:21" s="615" customFormat="1" ht="10.15" customHeight="1">
      <c r="B755" s="616"/>
      <c r="C755" s="616"/>
      <c r="E755" s="617"/>
      <c r="F755" s="620"/>
      <c r="G755" s="620"/>
      <c r="H755" s="622"/>
      <c r="I755" s="621"/>
      <c r="J755" s="621"/>
      <c r="K755" s="620"/>
      <c r="L755" s="4409"/>
      <c r="M755" s="4409"/>
      <c r="O755" s="619"/>
      <c r="P755" s="617"/>
      <c r="Q755" s="617"/>
      <c r="R755" s="618"/>
      <c r="S755" s="616"/>
      <c r="T755" s="617"/>
      <c r="U755" s="616"/>
    </row>
    <row r="756" spans="2:21" s="615" customFormat="1" ht="10.15" customHeight="1">
      <c r="B756" s="616"/>
      <c r="C756" s="616"/>
      <c r="E756" s="617"/>
      <c r="F756" s="620"/>
      <c r="G756" s="620"/>
      <c r="H756" s="622"/>
      <c r="I756" s="621"/>
      <c r="J756" s="621"/>
      <c r="K756" s="620"/>
      <c r="L756" s="4409"/>
      <c r="M756" s="4409"/>
      <c r="O756" s="619"/>
      <c r="P756" s="617"/>
      <c r="Q756" s="617"/>
      <c r="R756" s="618"/>
      <c r="S756" s="616"/>
      <c r="T756" s="617"/>
      <c r="U756" s="616"/>
    </row>
    <row r="757" spans="2:21" s="615" customFormat="1" ht="10.15" customHeight="1">
      <c r="B757" s="616"/>
      <c r="C757" s="616"/>
      <c r="E757" s="617"/>
      <c r="F757" s="620"/>
      <c r="G757" s="620"/>
      <c r="H757" s="622"/>
      <c r="I757" s="621"/>
      <c r="J757" s="621"/>
      <c r="K757" s="620"/>
      <c r="L757" s="4409"/>
      <c r="M757" s="4409"/>
      <c r="O757" s="619"/>
      <c r="P757" s="617"/>
      <c r="Q757" s="617"/>
      <c r="R757" s="618"/>
      <c r="S757" s="616"/>
      <c r="T757" s="617"/>
      <c r="U757" s="616"/>
    </row>
    <row r="758" spans="2:21" s="615" customFormat="1" ht="10.15" customHeight="1">
      <c r="B758" s="616"/>
      <c r="C758" s="616"/>
      <c r="E758" s="617"/>
      <c r="F758" s="620"/>
      <c r="G758" s="620"/>
      <c r="H758" s="622"/>
      <c r="I758" s="621"/>
      <c r="J758" s="621"/>
      <c r="K758" s="620"/>
      <c r="L758" s="4409"/>
      <c r="M758" s="4409"/>
      <c r="O758" s="619"/>
      <c r="P758" s="617"/>
      <c r="Q758" s="617"/>
      <c r="R758" s="618"/>
      <c r="S758" s="616"/>
      <c r="T758" s="617"/>
      <c r="U758" s="616"/>
    </row>
    <row r="759" spans="2:21" s="615" customFormat="1" ht="10.15" customHeight="1">
      <c r="B759" s="616"/>
      <c r="C759" s="616"/>
      <c r="E759" s="617"/>
      <c r="F759" s="620"/>
      <c r="G759" s="620"/>
      <c r="H759" s="622"/>
      <c r="I759" s="621"/>
      <c r="J759" s="621"/>
      <c r="K759" s="620"/>
      <c r="L759" s="4409"/>
      <c r="M759" s="4409"/>
      <c r="O759" s="619"/>
      <c r="P759" s="617"/>
      <c r="Q759" s="617"/>
      <c r="R759" s="618"/>
      <c r="S759" s="616"/>
      <c r="T759" s="617"/>
      <c r="U759" s="616"/>
    </row>
    <row r="760" spans="2:21" s="615" customFormat="1" ht="10.15" customHeight="1">
      <c r="B760" s="616"/>
      <c r="C760" s="616"/>
      <c r="E760" s="617"/>
      <c r="F760" s="620"/>
      <c r="G760" s="620"/>
      <c r="H760" s="622"/>
      <c r="I760" s="621"/>
      <c r="J760" s="621"/>
      <c r="K760" s="620"/>
      <c r="L760" s="4409"/>
      <c r="M760" s="4409"/>
      <c r="O760" s="619"/>
      <c r="P760" s="617"/>
      <c r="Q760" s="617"/>
      <c r="R760" s="618"/>
      <c r="S760" s="616"/>
      <c r="T760" s="617"/>
      <c r="U760" s="616"/>
    </row>
    <row r="761" spans="2:21" s="615" customFormat="1" ht="10.15" customHeight="1">
      <c r="B761" s="616"/>
      <c r="C761" s="616"/>
      <c r="E761" s="617"/>
      <c r="F761" s="620"/>
      <c r="G761" s="620"/>
      <c r="H761" s="622"/>
      <c r="I761" s="621"/>
      <c r="J761" s="621"/>
      <c r="K761" s="620"/>
      <c r="L761" s="4409"/>
      <c r="M761" s="4409"/>
      <c r="O761" s="619"/>
      <c r="P761" s="617"/>
      <c r="Q761" s="617"/>
      <c r="R761" s="618"/>
      <c r="S761" s="616"/>
      <c r="T761" s="617"/>
      <c r="U761" s="616"/>
    </row>
    <row r="762" spans="2:21" s="615" customFormat="1" ht="10.15" customHeight="1">
      <c r="B762" s="616"/>
      <c r="C762" s="616"/>
      <c r="E762" s="617"/>
      <c r="F762" s="620"/>
      <c r="G762" s="620"/>
      <c r="H762" s="622"/>
      <c r="I762" s="621"/>
      <c r="J762" s="621"/>
      <c r="K762" s="620"/>
      <c r="L762" s="4409"/>
      <c r="M762" s="4409"/>
      <c r="O762" s="619"/>
      <c r="P762" s="617"/>
      <c r="Q762" s="617"/>
      <c r="R762" s="618"/>
      <c r="S762" s="616"/>
      <c r="T762" s="617"/>
      <c r="U762" s="616"/>
    </row>
    <row r="763" spans="2:21" s="615" customFormat="1" ht="10.15" customHeight="1">
      <c r="B763" s="616"/>
      <c r="C763" s="616"/>
      <c r="E763" s="617"/>
      <c r="F763" s="620"/>
      <c r="G763" s="620"/>
      <c r="H763" s="622"/>
      <c r="I763" s="621"/>
      <c r="J763" s="621"/>
      <c r="K763" s="620"/>
      <c r="L763" s="4409"/>
      <c r="M763" s="4409"/>
      <c r="O763" s="619"/>
      <c r="P763" s="617"/>
      <c r="Q763" s="617"/>
      <c r="R763" s="618"/>
      <c r="S763" s="616"/>
      <c r="T763" s="617"/>
      <c r="U763" s="616"/>
    </row>
    <row r="764" spans="2:21" s="615" customFormat="1" ht="10.15" customHeight="1">
      <c r="B764" s="616"/>
      <c r="C764" s="616"/>
      <c r="E764" s="617"/>
      <c r="F764" s="620"/>
      <c r="G764" s="620"/>
      <c r="H764" s="622"/>
      <c r="I764" s="621"/>
      <c r="J764" s="621"/>
      <c r="K764" s="620"/>
      <c r="L764" s="4409"/>
      <c r="M764" s="4409"/>
      <c r="O764" s="619"/>
      <c r="P764" s="617"/>
      <c r="Q764" s="617"/>
      <c r="R764" s="618"/>
      <c r="S764" s="616"/>
      <c r="T764" s="617"/>
      <c r="U764" s="616"/>
    </row>
    <row r="765" spans="2:21" s="615" customFormat="1" ht="10.15" customHeight="1">
      <c r="B765" s="616"/>
      <c r="C765" s="616"/>
      <c r="E765" s="617"/>
      <c r="F765" s="620"/>
      <c r="G765" s="620"/>
      <c r="H765" s="622"/>
      <c r="I765" s="621"/>
      <c r="J765" s="621"/>
      <c r="K765" s="620"/>
      <c r="L765" s="4409"/>
      <c r="M765" s="4409"/>
      <c r="O765" s="619"/>
      <c r="P765" s="617"/>
      <c r="Q765" s="617"/>
      <c r="R765" s="618"/>
      <c r="S765" s="616"/>
      <c r="T765" s="617"/>
      <c r="U765" s="616"/>
    </row>
    <row r="766" spans="2:21" s="615" customFormat="1" ht="10.15" customHeight="1">
      <c r="B766" s="616"/>
      <c r="C766" s="616"/>
      <c r="E766" s="617"/>
      <c r="F766" s="620"/>
      <c r="G766" s="620"/>
      <c r="H766" s="622"/>
      <c r="I766" s="621"/>
      <c r="J766" s="621"/>
      <c r="K766" s="620"/>
      <c r="L766" s="4409"/>
      <c r="M766" s="4409"/>
      <c r="O766" s="619"/>
      <c r="P766" s="617"/>
      <c r="Q766" s="617"/>
      <c r="R766" s="618"/>
      <c r="S766" s="616"/>
      <c r="T766" s="617"/>
      <c r="U766" s="616"/>
    </row>
    <row r="767" spans="2:21" s="615" customFormat="1" ht="10.15" customHeight="1">
      <c r="B767" s="616"/>
      <c r="C767" s="616"/>
      <c r="E767" s="617"/>
      <c r="F767" s="620"/>
      <c r="G767" s="620"/>
      <c r="H767" s="622"/>
      <c r="I767" s="621"/>
      <c r="J767" s="621"/>
      <c r="K767" s="620"/>
      <c r="L767" s="4409"/>
      <c r="M767" s="4409"/>
      <c r="O767" s="619"/>
      <c r="P767" s="617"/>
      <c r="Q767" s="617"/>
      <c r="R767" s="618"/>
      <c r="S767" s="616"/>
      <c r="T767" s="617"/>
      <c r="U767" s="616"/>
    </row>
    <row r="768" spans="2:21" s="615" customFormat="1" ht="10.15" customHeight="1">
      <c r="B768" s="616"/>
      <c r="C768" s="616"/>
      <c r="E768" s="617"/>
      <c r="F768" s="620"/>
      <c r="G768" s="620"/>
      <c r="H768" s="622"/>
      <c r="I768" s="621"/>
      <c r="J768" s="621"/>
      <c r="K768" s="620"/>
      <c r="L768" s="4409"/>
      <c r="M768" s="4409"/>
      <c r="O768" s="619"/>
      <c r="P768" s="617"/>
      <c r="Q768" s="617"/>
      <c r="R768" s="618"/>
      <c r="S768" s="616"/>
      <c r="T768" s="617"/>
      <c r="U768" s="616"/>
    </row>
    <row r="769" spans="2:21" s="615" customFormat="1" ht="10.15" customHeight="1">
      <c r="B769" s="616"/>
      <c r="C769" s="616"/>
      <c r="E769" s="617"/>
      <c r="F769" s="620"/>
      <c r="G769" s="620"/>
      <c r="H769" s="622"/>
      <c r="I769" s="621"/>
      <c r="J769" s="621"/>
      <c r="K769" s="620"/>
      <c r="L769" s="4409"/>
      <c r="M769" s="4409"/>
      <c r="O769" s="619"/>
      <c r="P769" s="617"/>
      <c r="Q769" s="617"/>
      <c r="R769" s="618"/>
      <c r="S769" s="616"/>
      <c r="T769" s="617"/>
      <c r="U769" s="616"/>
    </row>
    <row r="770" spans="2:21" s="615" customFormat="1" ht="10.15" customHeight="1">
      <c r="B770" s="616"/>
      <c r="C770" s="616"/>
      <c r="E770" s="617"/>
      <c r="F770" s="620"/>
      <c r="G770" s="620"/>
      <c r="H770" s="622"/>
      <c r="I770" s="621"/>
      <c r="J770" s="621"/>
      <c r="K770" s="620"/>
      <c r="L770" s="4409"/>
      <c r="M770" s="4409"/>
      <c r="O770" s="619"/>
      <c r="P770" s="617"/>
      <c r="Q770" s="617"/>
      <c r="R770" s="618"/>
      <c r="S770" s="616"/>
      <c r="T770" s="617"/>
      <c r="U770" s="616"/>
    </row>
    <row r="771" spans="2:21" s="615" customFormat="1" ht="10.15" customHeight="1">
      <c r="B771" s="616"/>
      <c r="C771" s="616"/>
      <c r="E771" s="617"/>
      <c r="F771" s="620"/>
      <c r="G771" s="620"/>
      <c r="H771" s="622"/>
      <c r="I771" s="621"/>
      <c r="J771" s="621"/>
      <c r="K771" s="620"/>
      <c r="L771" s="4409"/>
      <c r="M771" s="4409"/>
      <c r="O771" s="619"/>
      <c r="P771" s="617"/>
      <c r="Q771" s="617"/>
      <c r="R771" s="618"/>
      <c r="S771" s="616"/>
      <c r="T771" s="617"/>
      <c r="U771" s="616"/>
    </row>
    <row r="772" spans="2:21" s="615" customFormat="1" ht="10.15" customHeight="1">
      <c r="B772" s="616"/>
      <c r="C772" s="616"/>
      <c r="E772" s="617"/>
      <c r="F772" s="620"/>
      <c r="G772" s="620"/>
      <c r="H772" s="622"/>
      <c r="I772" s="621"/>
      <c r="J772" s="621"/>
      <c r="K772" s="620"/>
      <c r="L772" s="4409"/>
      <c r="M772" s="4409"/>
      <c r="O772" s="619"/>
      <c r="P772" s="617"/>
      <c r="Q772" s="617"/>
      <c r="R772" s="618"/>
      <c r="S772" s="616"/>
      <c r="T772" s="617"/>
      <c r="U772" s="616"/>
    </row>
    <row r="773" spans="2:21" s="615" customFormat="1" ht="10.15" customHeight="1">
      <c r="B773" s="616"/>
      <c r="C773" s="616"/>
      <c r="E773" s="617"/>
      <c r="F773" s="620"/>
      <c r="G773" s="620"/>
      <c r="H773" s="622"/>
      <c r="I773" s="621"/>
      <c r="J773" s="621"/>
      <c r="K773" s="620"/>
      <c r="L773" s="4409"/>
      <c r="M773" s="4409"/>
      <c r="O773" s="619"/>
      <c r="P773" s="617"/>
      <c r="Q773" s="617"/>
      <c r="R773" s="618"/>
      <c r="S773" s="616"/>
      <c r="T773" s="617"/>
      <c r="U773" s="616"/>
    </row>
    <row r="774" spans="2:21" s="615" customFormat="1" ht="10.15" customHeight="1">
      <c r="B774" s="616"/>
      <c r="C774" s="616"/>
      <c r="E774" s="617"/>
      <c r="F774" s="620"/>
      <c r="G774" s="620"/>
      <c r="H774" s="622"/>
      <c r="I774" s="621"/>
      <c r="J774" s="621"/>
      <c r="K774" s="620"/>
      <c r="L774" s="4409"/>
      <c r="M774" s="4409"/>
      <c r="O774" s="619"/>
      <c r="P774" s="617"/>
      <c r="Q774" s="617"/>
      <c r="R774" s="618"/>
      <c r="S774" s="616"/>
      <c r="T774" s="617"/>
      <c r="U774" s="616"/>
    </row>
    <row r="775" spans="2:21" s="615" customFormat="1" ht="10.15" customHeight="1">
      <c r="B775" s="616"/>
      <c r="C775" s="616"/>
      <c r="E775" s="617"/>
      <c r="F775" s="620"/>
      <c r="G775" s="620"/>
      <c r="H775" s="622"/>
      <c r="I775" s="621"/>
      <c r="J775" s="621"/>
      <c r="K775" s="620"/>
      <c r="L775" s="4409"/>
      <c r="M775" s="4409"/>
      <c r="O775" s="619"/>
      <c r="P775" s="617"/>
      <c r="Q775" s="617"/>
      <c r="R775" s="618"/>
      <c r="S775" s="616"/>
      <c r="T775" s="617"/>
      <c r="U775" s="616"/>
    </row>
    <row r="776" spans="2:21" s="615" customFormat="1" ht="10.15" customHeight="1">
      <c r="B776" s="616"/>
      <c r="C776" s="616"/>
      <c r="E776" s="617"/>
      <c r="F776" s="620"/>
      <c r="G776" s="620"/>
      <c r="H776" s="622"/>
      <c r="I776" s="621"/>
      <c r="J776" s="621"/>
      <c r="K776" s="620"/>
      <c r="L776" s="4409"/>
      <c r="M776" s="4409"/>
      <c r="O776" s="619"/>
      <c r="P776" s="617"/>
      <c r="Q776" s="617"/>
      <c r="R776" s="618"/>
      <c r="S776" s="616"/>
      <c r="T776" s="617"/>
      <c r="U776" s="616"/>
    </row>
    <row r="777" spans="2:21" s="615" customFormat="1" ht="10.15" customHeight="1">
      <c r="B777" s="616"/>
      <c r="C777" s="616"/>
      <c r="E777" s="617"/>
      <c r="F777" s="620"/>
      <c r="G777" s="620"/>
      <c r="H777" s="622"/>
      <c r="I777" s="621"/>
      <c r="J777" s="621"/>
      <c r="K777" s="620"/>
      <c r="L777" s="4409"/>
      <c r="M777" s="4409"/>
      <c r="O777" s="619"/>
      <c r="P777" s="617"/>
      <c r="Q777" s="617"/>
      <c r="R777" s="618"/>
      <c r="S777" s="616"/>
      <c r="T777" s="617"/>
      <c r="U777" s="616"/>
    </row>
    <row r="778" spans="2:21" s="615" customFormat="1" ht="10.15" customHeight="1">
      <c r="B778" s="616"/>
      <c r="C778" s="616"/>
      <c r="E778" s="617"/>
      <c r="F778" s="620"/>
      <c r="G778" s="620"/>
      <c r="H778" s="622"/>
      <c r="I778" s="621"/>
      <c r="J778" s="621"/>
      <c r="K778" s="620"/>
      <c r="L778" s="4409"/>
      <c r="M778" s="4409"/>
      <c r="O778" s="619"/>
      <c r="P778" s="617"/>
      <c r="Q778" s="617"/>
      <c r="R778" s="618"/>
      <c r="S778" s="616"/>
      <c r="T778" s="617"/>
      <c r="U778" s="616"/>
    </row>
    <row r="779" spans="2:21" s="615" customFormat="1" ht="10.15" customHeight="1">
      <c r="B779" s="616"/>
      <c r="C779" s="616"/>
      <c r="E779" s="617"/>
      <c r="F779" s="620"/>
      <c r="G779" s="620"/>
      <c r="H779" s="622"/>
      <c r="I779" s="621"/>
      <c r="J779" s="621"/>
      <c r="K779" s="620"/>
      <c r="L779" s="4409"/>
      <c r="M779" s="4409"/>
      <c r="O779" s="619"/>
      <c r="P779" s="617"/>
      <c r="Q779" s="617"/>
      <c r="R779" s="618"/>
      <c r="S779" s="616"/>
      <c r="T779" s="617"/>
      <c r="U779" s="616"/>
    </row>
    <row r="780" spans="2:21" s="615" customFormat="1" ht="10.15" customHeight="1">
      <c r="B780" s="616"/>
      <c r="C780" s="616"/>
      <c r="E780" s="617"/>
      <c r="F780" s="620"/>
      <c r="G780" s="620"/>
      <c r="H780" s="622"/>
      <c r="I780" s="621"/>
      <c r="J780" s="621"/>
      <c r="K780" s="620"/>
      <c r="L780" s="4409"/>
      <c r="M780" s="4409"/>
      <c r="O780" s="619"/>
      <c r="P780" s="617"/>
      <c r="Q780" s="617"/>
      <c r="R780" s="618"/>
      <c r="S780" s="616"/>
      <c r="T780" s="617"/>
      <c r="U780" s="616"/>
    </row>
    <row r="781" spans="2:21" s="615" customFormat="1" ht="10.15" customHeight="1">
      <c r="B781" s="616"/>
      <c r="C781" s="616"/>
      <c r="E781" s="617"/>
      <c r="F781" s="620"/>
      <c r="G781" s="620"/>
      <c r="H781" s="622"/>
      <c r="I781" s="621"/>
      <c r="J781" s="621"/>
      <c r="K781" s="620"/>
      <c r="L781" s="4409"/>
      <c r="M781" s="4409"/>
      <c r="O781" s="619"/>
      <c r="P781" s="617"/>
      <c r="Q781" s="617"/>
      <c r="R781" s="618"/>
      <c r="S781" s="616"/>
      <c r="T781" s="617"/>
      <c r="U781" s="616"/>
    </row>
    <row r="782" spans="2:21" s="615" customFormat="1" ht="10.15" customHeight="1">
      <c r="B782" s="616"/>
      <c r="C782" s="616"/>
      <c r="E782" s="617"/>
      <c r="F782" s="620"/>
      <c r="G782" s="620"/>
      <c r="H782" s="622"/>
      <c r="I782" s="621"/>
      <c r="J782" s="621"/>
      <c r="K782" s="620"/>
      <c r="L782" s="4409"/>
      <c r="M782" s="4409"/>
      <c r="O782" s="619"/>
      <c r="P782" s="617"/>
      <c r="Q782" s="617"/>
      <c r="R782" s="618"/>
      <c r="S782" s="616"/>
      <c r="T782" s="617"/>
      <c r="U782" s="616"/>
    </row>
    <row r="783" spans="2:21" s="615" customFormat="1" ht="10.15" customHeight="1">
      <c r="B783" s="616"/>
      <c r="C783" s="616"/>
      <c r="E783" s="617"/>
      <c r="F783" s="620"/>
      <c r="G783" s="620"/>
      <c r="H783" s="622"/>
      <c r="I783" s="621"/>
      <c r="J783" s="621"/>
      <c r="K783" s="620"/>
      <c r="L783" s="4409"/>
      <c r="M783" s="4409"/>
      <c r="O783" s="619"/>
      <c r="P783" s="617"/>
      <c r="Q783" s="617"/>
      <c r="R783" s="618"/>
      <c r="S783" s="616"/>
      <c r="T783" s="617"/>
      <c r="U783" s="616"/>
    </row>
    <row r="784" spans="2:21" s="615" customFormat="1" ht="10.15" customHeight="1">
      <c r="B784" s="616"/>
      <c r="C784" s="616"/>
      <c r="E784" s="617"/>
      <c r="F784" s="620"/>
      <c r="G784" s="620"/>
      <c r="H784" s="622"/>
      <c r="I784" s="621"/>
      <c r="J784" s="621"/>
      <c r="K784" s="620"/>
      <c r="L784" s="4409"/>
      <c r="M784" s="4409"/>
      <c r="O784" s="619"/>
      <c r="P784" s="617"/>
      <c r="Q784" s="617"/>
      <c r="R784" s="618"/>
      <c r="S784" s="616"/>
      <c r="T784" s="617"/>
      <c r="U784" s="616"/>
    </row>
    <row r="785" spans="2:21" s="615" customFormat="1" ht="10.15" customHeight="1">
      <c r="B785" s="616"/>
      <c r="C785" s="616"/>
      <c r="E785" s="617"/>
      <c r="F785" s="620"/>
      <c r="G785" s="620"/>
      <c r="H785" s="622"/>
      <c r="I785" s="621"/>
      <c r="J785" s="621"/>
      <c r="K785" s="620"/>
      <c r="L785" s="4409"/>
      <c r="M785" s="4409"/>
      <c r="O785" s="619"/>
      <c r="P785" s="617"/>
      <c r="Q785" s="617"/>
      <c r="R785" s="618"/>
      <c r="S785" s="616"/>
      <c r="T785" s="617"/>
      <c r="U785" s="616"/>
    </row>
    <row r="786" spans="2:21" s="615" customFormat="1" ht="10.15" customHeight="1">
      <c r="B786" s="616"/>
      <c r="C786" s="616"/>
      <c r="E786" s="617"/>
      <c r="F786" s="620"/>
      <c r="G786" s="620"/>
      <c r="H786" s="622"/>
      <c r="I786" s="621"/>
      <c r="J786" s="621"/>
      <c r="K786" s="620"/>
      <c r="L786" s="4409"/>
      <c r="M786" s="4409"/>
      <c r="O786" s="619"/>
      <c r="P786" s="617"/>
      <c r="Q786" s="617"/>
      <c r="R786" s="618"/>
      <c r="S786" s="616"/>
      <c r="T786" s="617"/>
      <c r="U786" s="616"/>
    </row>
    <row r="787" spans="2:21" s="615" customFormat="1" ht="10.15" customHeight="1">
      <c r="B787" s="616"/>
      <c r="C787" s="616"/>
      <c r="E787" s="617"/>
      <c r="F787" s="620"/>
      <c r="G787" s="620"/>
      <c r="H787" s="622"/>
      <c r="I787" s="621"/>
      <c r="J787" s="621"/>
      <c r="K787" s="620"/>
      <c r="L787" s="4409"/>
      <c r="M787" s="4409"/>
      <c r="O787" s="619"/>
      <c r="P787" s="617"/>
      <c r="Q787" s="617"/>
      <c r="R787" s="618"/>
      <c r="S787" s="616"/>
      <c r="T787" s="617"/>
      <c r="U787" s="616"/>
    </row>
    <row r="788" spans="2:21" s="615" customFormat="1" ht="10.15" customHeight="1">
      <c r="B788" s="616"/>
      <c r="C788" s="616"/>
      <c r="E788" s="617"/>
      <c r="F788" s="620"/>
      <c r="G788" s="620"/>
      <c r="H788" s="622"/>
      <c r="I788" s="621"/>
      <c r="J788" s="621"/>
      <c r="K788" s="620"/>
      <c r="L788" s="4409"/>
      <c r="M788" s="4409"/>
      <c r="O788" s="619"/>
      <c r="P788" s="617"/>
      <c r="Q788" s="617"/>
      <c r="R788" s="618"/>
      <c r="S788" s="616"/>
      <c r="T788" s="617"/>
      <c r="U788" s="616"/>
    </row>
    <row r="789" spans="2:21" s="615" customFormat="1" ht="10.15" customHeight="1">
      <c r="B789" s="616"/>
      <c r="C789" s="616"/>
      <c r="E789" s="617"/>
      <c r="F789" s="620"/>
      <c r="G789" s="620"/>
      <c r="H789" s="622"/>
      <c r="I789" s="621"/>
      <c r="J789" s="621"/>
      <c r="K789" s="620"/>
      <c r="L789" s="4409"/>
      <c r="M789" s="4409"/>
      <c r="O789" s="619"/>
      <c r="P789" s="617"/>
      <c r="Q789" s="617"/>
      <c r="R789" s="618"/>
      <c r="S789" s="616"/>
      <c r="T789" s="617"/>
      <c r="U789" s="616"/>
    </row>
    <row r="790" spans="2:21" s="615" customFormat="1" ht="10.15" customHeight="1">
      <c r="B790" s="616"/>
      <c r="C790" s="616"/>
      <c r="E790" s="617"/>
      <c r="F790" s="620"/>
      <c r="G790" s="620"/>
      <c r="H790" s="622"/>
      <c r="I790" s="621"/>
      <c r="J790" s="621"/>
      <c r="K790" s="620"/>
      <c r="L790" s="4409"/>
      <c r="M790" s="4409"/>
      <c r="O790" s="619"/>
      <c r="P790" s="617"/>
      <c r="Q790" s="617"/>
      <c r="R790" s="618"/>
      <c r="S790" s="616"/>
      <c r="T790" s="617"/>
      <c r="U790" s="616"/>
    </row>
    <row r="791" spans="2:21" s="615" customFormat="1" ht="10.15" customHeight="1">
      <c r="B791" s="616"/>
      <c r="C791" s="616"/>
      <c r="E791" s="617"/>
      <c r="F791" s="620"/>
      <c r="G791" s="620"/>
      <c r="H791" s="622"/>
      <c r="I791" s="621"/>
      <c r="J791" s="621"/>
      <c r="K791" s="620"/>
      <c r="L791" s="4409"/>
      <c r="M791" s="4409"/>
      <c r="O791" s="619"/>
      <c r="P791" s="617"/>
      <c r="Q791" s="617"/>
      <c r="R791" s="618"/>
      <c r="S791" s="616"/>
      <c r="T791" s="617"/>
      <c r="U791" s="616"/>
    </row>
    <row r="792" spans="2:21" s="615" customFormat="1" ht="10.15" customHeight="1">
      <c r="B792" s="616"/>
      <c r="C792" s="616"/>
      <c r="E792" s="617"/>
      <c r="F792" s="620"/>
      <c r="G792" s="620"/>
      <c r="H792" s="622"/>
      <c r="I792" s="621"/>
      <c r="J792" s="621"/>
      <c r="K792" s="620"/>
      <c r="L792" s="4409"/>
      <c r="M792" s="4409"/>
      <c r="O792" s="619"/>
      <c r="P792" s="617"/>
      <c r="Q792" s="617"/>
      <c r="R792" s="618"/>
      <c r="S792" s="616"/>
      <c r="T792" s="617"/>
      <c r="U792" s="616"/>
    </row>
    <row r="793" spans="2:21" s="615" customFormat="1" ht="10.15" customHeight="1">
      <c r="B793" s="616"/>
      <c r="C793" s="616"/>
      <c r="E793" s="617"/>
      <c r="F793" s="620"/>
      <c r="G793" s="620"/>
      <c r="H793" s="622"/>
      <c r="I793" s="621"/>
      <c r="J793" s="621"/>
      <c r="K793" s="620"/>
      <c r="L793" s="4409"/>
      <c r="M793" s="4409"/>
      <c r="O793" s="619"/>
      <c r="P793" s="617"/>
      <c r="Q793" s="617"/>
      <c r="R793" s="618"/>
      <c r="S793" s="616"/>
      <c r="T793" s="617"/>
      <c r="U793" s="616"/>
    </row>
    <row r="794" spans="2:21" s="615" customFormat="1" ht="10.15" customHeight="1">
      <c r="B794" s="616"/>
      <c r="C794" s="616"/>
      <c r="E794" s="617"/>
      <c r="F794" s="620"/>
      <c r="G794" s="620"/>
      <c r="H794" s="622"/>
      <c r="I794" s="621"/>
      <c r="J794" s="621"/>
      <c r="K794" s="620"/>
      <c r="L794" s="4409"/>
      <c r="M794" s="4409"/>
      <c r="O794" s="619"/>
      <c r="P794" s="617"/>
      <c r="Q794" s="617"/>
      <c r="R794" s="618"/>
      <c r="S794" s="616"/>
      <c r="T794" s="617"/>
      <c r="U794" s="616"/>
    </row>
    <row r="795" spans="2:21" s="615" customFormat="1" ht="10.15" customHeight="1">
      <c r="B795" s="616"/>
      <c r="C795" s="616"/>
      <c r="E795" s="617"/>
      <c r="F795" s="620"/>
      <c r="G795" s="620"/>
      <c r="H795" s="622"/>
      <c r="I795" s="621"/>
      <c r="J795" s="621"/>
      <c r="K795" s="620"/>
      <c r="L795" s="4409"/>
      <c r="M795" s="4409"/>
      <c r="O795" s="619"/>
      <c r="P795" s="617"/>
      <c r="Q795" s="617"/>
      <c r="R795" s="618"/>
      <c r="S795" s="616"/>
      <c r="T795" s="617"/>
      <c r="U795" s="616"/>
    </row>
    <row r="796" spans="2:21" s="615" customFormat="1" ht="10.15" customHeight="1">
      <c r="B796" s="616"/>
      <c r="C796" s="616"/>
      <c r="E796" s="617"/>
      <c r="F796" s="620"/>
      <c r="G796" s="620"/>
      <c r="H796" s="622"/>
      <c r="I796" s="621"/>
      <c r="J796" s="621"/>
      <c r="K796" s="620"/>
      <c r="L796" s="4409"/>
      <c r="M796" s="4409"/>
      <c r="O796" s="619"/>
      <c r="P796" s="617"/>
      <c r="Q796" s="617"/>
      <c r="R796" s="618"/>
      <c r="S796" s="616"/>
      <c r="T796" s="617"/>
      <c r="U796" s="616"/>
    </row>
    <row r="797" spans="2:21" s="615" customFormat="1" ht="10.15" customHeight="1">
      <c r="B797" s="616"/>
      <c r="C797" s="616"/>
      <c r="E797" s="617"/>
      <c r="F797" s="620"/>
      <c r="G797" s="620"/>
      <c r="H797" s="622"/>
      <c r="I797" s="621"/>
      <c r="J797" s="621"/>
      <c r="K797" s="620"/>
      <c r="L797" s="4409"/>
      <c r="M797" s="4409"/>
      <c r="O797" s="619"/>
      <c r="P797" s="617"/>
      <c r="Q797" s="617"/>
      <c r="R797" s="618"/>
      <c r="S797" s="616"/>
      <c r="T797" s="617"/>
      <c r="U797" s="616"/>
    </row>
    <row r="798" spans="2:21" s="615" customFormat="1" ht="10.15" customHeight="1">
      <c r="B798" s="616"/>
      <c r="C798" s="616"/>
      <c r="E798" s="617"/>
      <c r="F798" s="620"/>
      <c r="G798" s="620"/>
      <c r="H798" s="622"/>
      <c r="I798" s="621"/>
      <c r="J798" s="621"/>
      <c r="K798" s="620"/>
      <c r="L798" s="4409"/>
      <c r="M798" s="4409"/>
      <c r="O798" s="619"/>
      <c r="P798" s="617"/>
      <c r="Q798" s="617"/>
      <c r="R798" s="618"/>
      <c r="S798" s="616"/>
      <c r="T798" s="617"/>
      <c r="U798" s="616"/>
    </row>
    <row r="799" spans="2:21" s="615" customFormat="1" ht="10.15" customHeight="1">
      <c r="B799" s="616"/>
      <c r="C799" s="616"/>
      <c r="E799" s="617"/>
      <c r="F799" s="620"/>
      <c r="G799" s="620"/>
      <c r="H799" s="622"/>
      <c r="I799" s="621"/>
      <c r="J799" s="621"/>
      <c r="K799" s="620"/>
      <c r="L799" s="4409"/>
      <c r="M799" s="4409"/>
      <c r="O799" s="619"/>
      <c r="P799" s="617"/>
      <c r="Q799" s="617"/>
      <c r="R799" s="618"/>
      <c r="S799" s="616"/>
      <c r="T799" s="617"/>
      <c r="U799" s="616"/>
    </row>
    <row r="800" spans="2:21" s="615" customFormat="1" ht="10.15" customHeight="1">
      <c r="B800" s="616"/>
      <c r="C800" s="616"/>
      <c r="E800" s="617"/>
      <c r="F800" s="620"/>
      <c r="G800" s="620"/>
      <c r="H800" s="622"/>
      <c r="I800" s="621"/>
      <c r="J800" s="621"/>
      <c r="K800" s="620"/>
      <c r="L800" s="4409"/>
      <c r="M800" s="4409"/>
      <c r="O800" s="619"/>
      <c r="P800" s="617"/>
      <c r="Q800" s="617"/>
      <c r="R800" s="618"/>
      <c r="S800" s="616"/>
      <c r="T800" s="617"/>
      <c r="U800" s="616"/>
    </row>
    <row r="801" spans="2:21" s="615" customFormat="1" ht="10.15" customHeight="1">
      <c r="B801" s="616"/>
      <c r="C801" s="616"/>
      <c r="E801" s="617"/>
      <c r="F801" s="620"/>
      <c r="G801" s="620"/>
      <c r="H801" s="622"/>
      <c r="I801" s="621"/>
      <c r="J801" s="621"/>
      <c r="K801" s="620"/>
      <c r="L801" s="4409"/>
      <c r="M801" s="4409"/>
      <c r="O801" s="619"/>
      <c r="P801" s="617"/>
      <c r="Q801" s="617"/>
      <c r="R801" s="618"/>
      <c r="S801" s="616"/>
      <c r="T801" s="617"/>
      <c r="U801" s="616"/>
    </row>
    <row r="802" spans="2:21" s="615" customFormat="1" ht="10.15" customHeight="1">
      <c r="B802" s="616"/>
      <c r="C802" s="616"/>
      <c r="E802" s="617"/>
      <c r="F802" s="620"/>
      <c r="G802" s="620"/>
      <c r="H802" s="622"/>
      <c r="I802" s="621"/>
      <c r="J802" s="621"/>
      <c r="K802" s="620"/>
      <c r="L802" s="4409"/>
      <c r="M802" s="4409"/>
      <c r="O802" s="619"/>
      <c r="P802" s="617"/>
      <c r="Q802" s="617"/>
      <c r="R802" s="618"/>
      <c r="S802" s="616"/>
      <c r="T802" s="617"/>
      <c r="U802" s="616"/>
    </row>
    <row r="803" spans="2:21" s="615" customFormat="1" ht="10.15" customHeight="1">
      <c r="B803" s="616"/>
      <c r="C803" s="616"/>
      <c r="E803" s="617"/>
      <c r="F803" s="620"/>
      <c r="G803" s="620"/>
      <c r="H803" s="622"/>
      <c r="I803" s="621"/>
      <c r="J803" s="621"/>
      <c r="K803" s="620"/>
      <c r="L803" s="4409"/>
      <c r="M803" s="4409"/>
      <c r="O803" s="619"/>
      <c r="P803" s="617"/>
      <c r="Q803" s="617"/>
      <c r="R803" s="618"/>
      <c r="S803" s="616"/>
      <c r="T803" s="617"/>
      <c r="U803" s="616"/>
    </row>
    <row r="804" spans="2:21" s="615" customFormat="1" ht="10.15" customHeight="1">
      <c r="B804" s="616"/>
      <c r="C804" s="616"/>
      <c r="E804" s="617"/>
      <c r="F804" s="620"/>
      <c r="G804" s="620"/>
      <c r="H804" s="622"/>
      <c r="I804" s="621"/>
      <c r="J804" s="621"/>
      <c r="K804" s="620"/>
      <c r="L804" s="4409"/>
      <c r="M804" s="4409"/>
      <c r="O804" s="619"/>
      <c r="P804" s="617"/>
      <c r="Q804" s="617"/>
      <c r="R804" s="618"/>
      <c r="S804" s="616"/>
      <c r="T804" s="617"/>
      <c r="U804" s="616"/>
    </row>
    <row r="805" spans="2:21" s="615" customFormat="1" ht="10.15" customHeight="1">
      <c r="B805" s="616"/>
      <c r="C805" s="616"/>
      <c r="E805" s="617"/>
      <c r="F805" s="620"/>
      <c r="G805" s="620"/>
      <c r="H805" s="622"/>
      <c r="I805" s="621"/>
      <c r="J805" s="621"/>
      <c r="K805" s="620"/>
      <c r="L805" s="4409"/>
      <c r="M805" s="4409"/>
      <c r="O805" s="619"/>
      <c r="P805" s="617"/>
      <c r="Q805" s="617"/>
      <c r="R805" s="618"/>
      <c r="S805" s="616"/>
      <c r="T805" s="617"/>
      <c r="U805" s="616"/>
    </row>
    <row r="806" spans="2:21" s="615" customFormat="1" ht="10.15" customHeight="1">
      <c r="B806" s="616"/>
      <c r="C806" s="616"/>
      <c r="E806" s="617"/>
      <c r="F806" s="620"/>
      <c r="G806" s="620"/>
      <c r="H806" s="622"/>
      <c r="I806" s="621"/>
      <c r="J806" s="621"/>
      <c r="K806" s="620"/>
      <c r="L806" s="4409"/>
      <c r="M806" s="4409"/>
      <c r="O806" s="619"/>
      <c r="P806" s="617"/>
      <c r="Q806" s="617"/>
      <c r="R806" s="618"/>
      <c r="S806" s="616"/>
      <c r="T806" s="617"/>
      <c r="U806" s="616"/>
    </row>
    <row r="807" spans="2:21" s="615" customFormat="1" ht="10.15" customHeight="1">
      <c r="B807" s="616"/>
      <c r="C807" s="616"/>
      <c r="E807" s="617"/>
      <c r="F807" s="620"/>
      <c r="G807" s="620"/>
      <c r="H807" s="622"/>
      <c r="I807" s="621"/>
      <c r="J807" s="621"/>
      <c r="K807" s="620"/>
      <c r="L807" s="4409"/>
      <c r="M807" s="4409"/>
      <c r="O807" s="619"/>
      <c r="P807" s="617"/>
      <c r="Q807" s="617"/>
      <c r="R807" s="618"/>
      <c r="S807" s="616"/>
      <c r="T807" s="617"/>
      <c r="U807" s="616"/>
    </row>
    <row r="808" spans="2:21" s="615" customFormat="1" ht="10.15" customHeight="1">
      <c r="B808" s="616"/>
      <c r="C808" s="616"/>
      <c r="E808" s="617"/>
      <c r="F808" s="620"/>
      <c r="G808" s="620"/>
      <c r="H808" s="622"/>
      <c r="I808" s="621"/>
      <c r="J808" s="621"/>
      <c r="K808" s="620"/>
      <c r="L808" s="4409"/>
      <c r="M808" s="4409"/>
      <c r="O808" s="619"/>
      <c r="P808" s="617"/>
      <c r="Q808" s="617"/>
      <c r="R808" s="618"/>
      <c r="S808" s="616"/>
      <c r="T808" s="617"/>
      <c r="U808" s="616"/>
    </row>
    <row r="809" spans="2:21" s="615" customFormat="1" ht="10.15" customHeight="1">
      <c r="B809" s="616"/>
      <c r="C809" s="616"/>
      <c r="E809" s="617"/>
      <c r="F809" s="620"/>
      <c r="G809" s="620"/>
      <c r="H809" s="622"/>
      <c r="I809" s="621"/>
      <c r="J809" s="621"/>
      <c r="K809" s="620"/>
      <c r="L809" s="4409"/>
      <c r="M809" s="4409"/>
      <c r="O809" s="619"/>
      <c r="P809" s="617"/>
      <c r="Q809" s="617"/>
      <c r="R809" s="618"/>
      <c r="S809" s="616"/>
      <c r="T809" s="617"/>
      <c r="U809" s="616"/>
    </row>
    <row r="810" spans="2:21" s="615" customFormat="1" ht="10.15" customHeight="1">
      <c r="B810" s="616"/>
      <c r="C810" s="616"/>
      <c r="E810" s="617"/>
      <c r="F810" s="620"/>
      <c r="G810" s="620"/>
      <c r="H810" s="622"/>
      <c r="I810" s="621"/>
      <c r="J810" s="621"/>
      <c r="K810" s="620"/>
      <c r="L810" s="4409"/>
      <c r="M810" s="4409"/>
      <c r="O810" s="619"/>
      <c r="P810" s="617"/>
      <c r="Q810" s="617"/>
      <c r="R810" s="618"/>
      <c r="S810" s="616"/>
      <c r="T810" s="617"/>
      <c r="U810" s="616"/>
    </row>
    <row r="811" spans="2:21" s="615" customFormat="1" ht="10.15" customHeight="1">
      <c r="B811" s="616"/>
      <c r="C811" s="616"/>
      <c r="E811" s="617"/>
      <c r="F811" s="620"/>
      <c r="G811" s="620"/>
      <c r="H811" s="622"/>
      <c r="I811" s="621"/>
      <c r="J811" s="621"/>
      <c r="K811" s="620"/>
      <c r="L811" s="4409"/>
      <c r="M811" s="4409"/>
      <c r="O811" s="619"/>
      <c r="P811" s="617"/>
      <c r="Q811" s="617"/>
      <c r="R811" s="618"/>
      <c r="S811" s="616"/>
      <c r="T811" s="617"/>
      <c r="U811" s="616"/>
    </row>
    <row r="812" spans="2:21" s="615" customFormat="1" ht="10.15" customHeight="1">
      <c r="B812" s="616"/>
      <c r="C812" s="616"/>
      <c r="E812" s="617"/>
      <c r="F812" s="620"/>
      <c r="G812" s="620"/>
      <c r="H812" s="622"/>
      <c r="I812" s="621"/>
      <c r="J812" s="621"/>
      <c r="K812" s="620"/>
      <c r="L812" s="4409"/>
      <c r="M812" s="4409"/>
      <c r="O812" s="619"/>
      <c r="P812" s="617"/>
      <c r="Q812" s="617"/>
      <c r="R812" s="618"/>
      <c r="S812" s="616"/>
      <c r="T812" s="617"/>
      <c r="U812" s="616"/>
    </row>
    <row r="813" spans="2:21" s="615" customFormat="1" ht="10.15" customHeight="1">
      <c r="B813" s="616"/>
      <c r="C813" s="616"/>
      <c r="E813" s="617"/>
      <c r="F813" s="620"/>
      <c r="G813" s="620"/>
      <c r="H813" s="622"/>
      <c r="I813" s="621"/>
      <c r="J813" s="621"/>
      <c r="K813" s="620"/>
      <c r="L813" s="4409"/>
      <c r="M813" s="4409"/>
      <c r="O813" s="619"/>
      <c r="P813" s="617"/>
      <c r="Q813" s="617"/>
      <c r="R813" s="618"/>
      <c r="S813" s="616"/>
      <c r="T813" s="617"/>
      <c r="U813" s="616"/>
    </row>
    <row r="814" spans="2:21" s="615" customFormat="1" ht="10.15" customHeight="1">
      <c r="B814" s="616"/>
      <c r="C814" s="616"/>
      <c r="E814" s="617"/>
      <c r="F814" s="620"/>
      <c r="G814" s="620"/>
      <c r="H814" s="622"/>
      <c r="I814" s="621"/>
      <c r="J814" s="621"/>
      <c r="K814" s="620"/>
      <c r="L814" s="4409"/>
      <c r="M814" s="4409"/>
      <c r="O814" s="619"/>
      <c r="P814" s="617"/>
      <c r="Q814" s="617"/>
      <c r="R814" s="618"/>
      <c r="S814" s="616"/>
      <c r="T814" s="617"/>
      <c r="U814" s="616"/>
    </row>
    <row r="815" spans="2:21" s="615" customFormat="1" ht="10.15" customHeight="1">
      <c r="B815" s="616"/>
      <c r="C815" s="616"/>
      <c r="E815" s="617"/>
      <c r="F815" s="620"/>
      <c r="G815" s="620"/>
      <c r="H815" s="622"/>
      <c r="I815" s="621"/>
      <c r="J815" s="621"/>
      <c r="K815" s="620"/>
      <c r="L815" s="4409"/>
      <c r="M815" s="4409"/>
      <c r="O815" s="619"/>
      <c r="P815" s="617"/>
      <c r="Q815" s="617"/>
      <c r="R815" s="618"/>
      <c r="S815" s="616"/>
      <c r="T815" s="617"/>
      <c r="U815" s="616"/>
    </row>
    <row r="816" spans="2:21" s="615" customFormat="1" ht="10.15" customHeight="1">
      <c r="B816" s="616"/>
      <c r="C816" s="616"/>
      <c r="E816" s="617"/>
      <c r="F816" s="620"/>
      <c r="G816" s="620"/>
      <c r="H816" s="622"/>
      <c r="I816" s="621"/>
      <c r="J816" s="621"/>
      <c r="K816" s="620"/>
      <c r="L816" s="4409"/>
      <c r="M816" s="4409"/>
      <c r="O816" s="619"/>
      <c r="P816" s="617"/>
      <c r="Q816" s="617"/>
      <c r="R816" s="618"/>
      <c r="S816" s="616"/>
      <c r="T816" s="617"/>
      <c r="U816" s="616"/>
    </row>
    <row r="817" spans="2:21" s="615" customFormat="1" ht="10.15" customHeight="1">
      <c r="B817" s="616"/>
      <c r="C817" s="616"/>
      <c r="E817" s="617"/>
      <c r="F817" s="620"/>
      <c r="G817" s="620"/>
      <c r="H817" s="622"/>
      <c r="I817" s="621"/>
      <c r="J817" s="621"/>
      <c r="K817" s="620"/>
      <c r="L817" s="4409"/>
      <c r="M817" s="4409"/>
      <c r="O817" s="619"/>
      <c r="P817" s="617"/>
      <c r="Q817" s="617"/>
      <c r="R817" s="618"/>
      <c r="S817" s="616"/>
      <c r="T817" s="617"/>
      <c r="U817" s="616"/>
    </row>
    <row r="818" spans="2:21" s="615" customFormat="1" ht="10.15" customHeight="1">
      <c r="B818" s="616"/>
      <c r="C818" s="616"/>
      <c r="E818" s="617"/>
      <c r="F818" s="620"/>
      <c r="G818" s="620"/>
      <c r="H818" s="622"/>
      <c r="I818" s="621"/>
      <c r="J818" s="621"/>
      <c r="K818" s="620"/>
      <c r="L818" s="4409"/>
      <c r="M818" s="4409"/>
      <c r="O818" s="619"/>
      <c r="P818" s="617"/>
      <c r="Q818" s="617"/>
      <c r="R818" s="618"/>
      <c r="S818" s="616"/>
      <c r="T818" s="617"/>
      <c r="U818" s="616"/>
    </row>
    <row r="819" spans="2:21" s="615" customFormat="1" ht="10.15" customHeight="1">
      <c r="B819" s="616"/>
      <c r="C819" s="616"/>
      <c r="E819" s="617"/>
      <c r="F819" s="620"/>
      <c r="G819" s="620"/>
      <c r="H819" s="622"/>
      <c r="I819" s="621"/>
      <c r="J819" s="621"/>
      <c r="K819" s="620"/>
      <c r="L819" s="4409"/>
      <c r="M819" s="4409"/>
      <c r="O819" s="619"/>
      <c r="P819" s="617"/>
      <c r="Q819" s="617"/>
      <c r="R819" s="618"/>
      <c r="S819" s="616"/>
      <c r="T819" s="617"/>
      <c r="U819" s="616"/>
    </row>
    <row r="820" spans="2:21" s="615" customFormat="1" ht="10.15" customHeight="1">
      <c r="B820" s="616"/>
      <c r="C820" s="616"/>
      <c r="E820" s="617"/>
      <c r="F820" s="620"/>
      <c r="G820" s="620"/>
      <c r="H820" s="622"/>
      <c r="I820" s="621"/>
      <c r="J820" s="621"/>
      <c r="K820" s="620"/>
      <c r="L820" s="4409"/>
      <c r="M820" s="4409"/>
      <c r="O820" s="619"/>
      <c r="P820" s="617"/>
      <c r="Q820" s="617"/>
      <c r="R820" s="618"/>
      <c r="S820" s="616"/>
      <c r="T820" s="617"/>
      <c r="U820" s="616"/>
    </row>
    <row r="821" spans="2:21" s="615" customFormat="1" ht="10.15" customHeight="1">
      <c r="B821" s="616"/>
      <c r="C821" s="616"/>
      <c r="E821" s="617"/>
      <c r="F821" s="620"/>
      <c r="G821" s="620"/>
      <c r="H821" s="622"/>
      <c r="I821" s="621"/>
      <c r="J821" s="621"/>
      <c r="K821" s="620"/>
      <c r="L821" s="4409"/>
      <c r="M821" s="4409"/>
      <c r="O821" s="619"/>
      <c r="P821" s="617"/>
      <c r="Q821" s="617"/>
      <c r="R821" s="618"/>
      <c r="S821" s="616"/>
      <c r="T821" s="617"/>
      <c r="U821" s="616"/>
    </row>
    <row r="822" spans="2:21" s="615" customFormat="1" ht="10.15" customHeight="1">
      <c r="B822" s="616"/>
      <c r="C822" s="616"/>
      <c r="E822" s="617"/>
      <c r="F822" s="620"/>
      <c r="G822" s="620"/>
      <c r="H822" s="622"/>
      <c r="I822" s="621"/>
      <c r="J822" s="621"/>
      <c r="K822" s="620"/>
      <c r="L822" s="4409"/>
      <c r="M822" s="4409"/>
      <c r="O822" s="619"/>
      <c r="P822" s="617"/>
      <c r="Q822" s="617"/>
      <c r="R822" s="618"/>
      <c r="S822" s="616"/>
      <c r="T822" s="617"/>
      <c r="U822" s="616"/>
    </row>
    <row r="823" spans="2:21" s="615" customFormat="1" ht="10.15" customHeight="1">
      <c r="B823" s="616"/>
      <c r="C823" s="616"/>
      <c r="E823" s="617"/>
      <c r="F823" s="620"/>
      <c r="G823" s="620"/>
      <c r="H823" s="622"/>
      <c r="I823" s="621"/>
      <c r="J823" s="621"/>
      <c r="K823" s="620"/>
      <c r="L823" s="4409"/>
      <c r="M823" s="4409"/>
      <c r="O823" s="619"/>
      <c r="P823" s="617"/>
      <c r="Q823" s="617"/>
      <c r="R823" s="618"/>
      <c r="S823" s="616"/>
      <c r="T823" s="617"/>
      <c r="U823" s="616"/>
    </row>
    <row r="824" spans="2:21" s="615" customFormat="1" ht="10.15" customHeight="1">
      <c r="B824" s="616"/>
      <c r="C824" s="616"/>
      <c r="E824" s="617"/>
      <c r="F824" s="620"/>
      <c r="G824" s="620"/>
      <c r="H824" s="622"/>
      <c r="I824" s="621"/>
      <c r="J824" s="621"/>
      <c r="K824" s="620"/>
      <c r="L824" s="4409"/>
      <c r="M824" s="4409"/>
      <c r="O824" s="619"/>
      <c r="P824" s="617"/>
      <c r="Q824" s="617"/>
      <c r="R824" s="618"/>
      <c r="S824" s="616"/>
      <c r="T824" s="617"/>
      <c r="U824" s="616"/>
    </row>
    <row r="825" spans="2:21" s="615" customFormat="1" ht="10.15" customHeight="1">
      <c r="B825" s="616"/>
      <c r="C825" s="616"/>
      <c r="E825" s="617"/>
      <c r="F825" s="620"/>
      <c r="G825" s="620"/>
      <c r="H825" s="622"/>
      <c r="I825" s="621"/>
      <c r="J825" s="621"/>
      <c r="K825" s="620"/>
      <c r="L825" s="4409"/>
      <c r="M825" s="4409"/>
      <c r="O825" s="619"/>
      <c r="P825" s="617"/>
      <c r="Q825" s="617"/>
      <c r="R825" s="618"/>
      <c r="S825" s="616"/>
      <c r="T825" s="617"/>
      <c r="U825" s="616"/>
    </row>
    <row r="826" spans="2:21" s="615" customFormat="1" ht="10.15" customHeight="1">
      <c r="B826" s="616"/>
      <c r="C826" s="616"/>
      <c r="E826" s="617"/>
      <c r="F826" s="620"/>
      <c r="G826" s="620"/>
      <c r="H826" s="622"/>
      <c r="I826" s="621"/>
      <c r="J826" s="621"/>
      <c r="K826" s="620"/>
      <c r="L826" s="4409"/>
      <c r="M826" s="4409"/>
      <c r="O826" s="619"/>
      <c r="P826" s="617"/>
      <c r="Q826" s="617"/>
      <c r="R826" s="618"/>
      <c r="S826" s="616"/>
      <c r="T826" s="617"/>
      <c r="U826" s="616"/>
    </row>
    <row r="827" spans="2:21" s="615" customFormat="1" ht="10.15" customHeight="1">
      <c r="B827" s="616"/>
      <c r="C827" s="616"/>
      <c r="E827" s="617"/>
      <c r="F827" s="620"/>
      <c r="G827" s="620"/>
      <c r="H827" s="622"/>
      <c r="I827" s="621"/>
      <c r="J827" s="621"/>
      <c r="K827" s="620"/>
      <c r="L827" s="4409"/>
      <c r="M827" s="4409"/>
      <c r="O827" s="619"/>
      <c r="P827" s="617"/>
      <c r="Q827" s="617"/>
      <c r="R827" s="618"/>
      <c r="S827" s="616"/>
      <c r="T827" s="617"/>
      <c r="U827" s="616"/>
    </row>
    <row r="828" spans="2:21" s="615" customFormat="1" ht="10.15" customHeight="1">
      <c r="B828" s="616"/>
      <c r="C828" s="616"/>
      <c r="E828" s="617"/>
      <c r="F828" s="620"/>
      <c r="G828" s="620"/>
      <c r="H828" s="622"/>
      <c r="I828" s="621"/>
      <c r="J828" s="621"/>
      <c r="K828" s="620"/>
      <c r="L828" s="4409"/>
      <c r="M828" s="4409"/>
      <c r="O828" s="619"/>
      <c r="P828" s="617"/>
      <c r="Q828" s="617"/>
      <c r="R828" s="618"/>
      <c r="S828" s="616"/>
      <c r="T828" s="617"/>
      <c r="U828" s="616"/>
    </row>
    <row r="829" spans="2:21" s="615" customFormat="1" ht="10.15" customHeight="1">
      <c r="B829" s="616"/>
      <c r="C829" s="616"/>
      <c r="E829" s="617"/>
      <c r="F829" s="620"/>
      <c r="G829" s="620"/>
      <c r="H829" s="622"/>
      <c r="I829" s="621"/>
      <c r="J829" s="621"/>
      <c r="K829" s="620"/>
      <c r="L829" s="4409"/>
      <c r="M829" s="4409"/>
      <c r="O829" s="619"/>
      <c r="P829" s="617"/>
      <c r="Q829" s="617"/>
      <c r="R829" s="618"/>
      <c r="S829" s="616"/>
      <c r="T829" s="617"/>
      <c r="U829" s="616"/>
    </row>
    <row r="830" spans="2:21" s="615" customFormat="1" ht="10.15" customHeight="1">
      <c r="B830" s="616"/>
      <c r="C830" s="616"/>
      <c r="E830" s="617"/>
      <c r="F830" s="620"/>
      <c r="G830" s="620"/>
      <c r="H830" s="622"/>
      <c r="I830" s="621"/>
      <c r="J830" s="621"/>
      <c r="K830" s="620"/>
      <c r="L830" s="4409"/>
      <c r="M830" s="4409"/>
      <c r="O830" s="619"/>
      <c r="P830" s="617"/>
      <c r="Q830" s="617"/>
      <c r="R830" s="618"/>
      <c r="S830" s="616"/>
      <c r="T830" s="617"/>
      <c r="U830" s="616"/>
    </row>
    <row r="831" spans="2:21" s="615" customFormat="1" ht="10.15" customHeight="1">
      <c r="B831" s="616"/>
      <c r="C831" s="616"/>
      <c r="E831" s="617"/>
      <c r="F831" s="620"/>
      <c r="G831" s="620"/>
      <c r="H831" s="622"/>
      <c r="I831" s="621"/>
      <c r="J831" s="621"/>
      <c r="K831" s="620"/>
      <c r="L831" s="4409"/>
      <c r="M831" s="4409"/>
      <c r="O831" s="619"/>
      <c r="P831" s="617"/>
      <c r="Q831" s="617"/>
      <c r="R831" s="618"/>
      <c r="S831" s="616"/>
      <c r="T831" s="617"/>
      <c r="U831" s="616"/>
    </row>
    <row r="832" spans="2:21" s="615" customFormat="1" ht="10.15" customHeight="1">
      <c r="B832" s="616"/>
      <c r="C832" s="616"/>
      <c r="E832" s="617"/>
      <c r="F832" s="620"/>
      <c r="G832" s="620"/>
      <c r="H832" s="622"/>
      <c r="I832" s="621"/>
      <c r="J832" s="621"/>
      <c r="K832" s="620"/>
      <c r="L832" s="4409"/>
      <c r="M832" s="4409"/>
      <c r="O832" s="619"/>
      <c r="P832" s="617"/>
      <c r="Q832" s="617"/>
      <c r="R832" s="618"/>
      <c r="S832" s="616"/>
      <c r="T832" s="617"/>
      <c r="U832" s="616"/>
    </row>
    <row r="833" spans="2:21" s="615" customFormat="1" ht="10.15" customHeight="1">
      <c r="B833" s="616"/>
      <c r="C833" s="616"/>
      <c r="E833" s="617"/>
      <c r="F833" s="620"/>
      <c r="G833" s="620"/>
      <c r="H833" s="622"/>
      <c r="I833" s="621"/>
      <c r="J833" s="621"/>
      <c r="K833" s="620"/>
      <c r="L833" s="4409"/>
      <c r="M833" s="4409"/>
      <c r="O833" s="619"/>
      <c r="P833" s="617"/>
      <c r="Q833" s="617"/>
      <c r="R833" s="618"/>
      <c r="S833" s="616"/>
      <c r="T833" s="617"/>
      <c r="U833" s="616"/>
    </row>
    <row r="834" spans="2:21" s="615" customFormat="1" ht="10.15" customHeight="1">
      <c r="B834" s="616"/>
      <c r="C834" s="616"/>
      <c r="E834" s="617"/>
      <c r="F834" s="620"/>
      <c r="G834" s="620"/>
      <c r="H834" s="622"/>
      <c r="I834" s="621"/>
      <c r="J834" s="621"/>
      <c r="K834" s="620"/>
      <c r="L834" s="4409"/>
      <c r="M834" s="4409"/>
      <c r="O834" s="619"/>
      <c r="P834" s="617"/>
      <c r="Q834" s="617"/>
      <c r="R834" s="618"/>
      <c r="S834" s="616"/>
      <c r="T834" s="617"/>
      <c r="U834" s="616"/>
    </row>
    <row r="835" spans="2:21" s="615" customFormat="1" ht="10.15" customHeight="1">
      <c r="B835" s="616"/>
      <c r="C835" s="616"/>
      <c r="E835" s="617"/>
      <c r="F835" s="620"/>
      <c r="G835" s="620"/>
      <c r="H835" s="622"/>
      <c r="I835" s="621"/>
      <c r="J835" s="621"/>
      <c r="K835" s="620"/>
      <c r="L835" s="4409"/>
      <c r="M835" s="4409"/>
      <c r="O835" s="619"/>
      <c r="P835" s="617"/>
      <c r="Q835" s="617"/>
      <c r="R835" s="618"/>
      <c r="S835" s="616"/>
      <c r="T835" s="617"/>
      <c r="U835" s="616"/>
    </row>
    <row r="836" spans="2:21" s="615" customFormat="1" ht="10.15" customHeight="1">
      <c r="B836" s="616"/>
      <c r="C836" s="616"/>
      <c r="E836" s="617"/>
      <c r="F836" s="620"/>
      <c r="G836" s="620"/>
      <c r="H836" s="622"/>
      <c r="I836" s="621"/>
      <c r="J836" s="621"/>
      <c r="K836" s="620"/>
      <c r="L836" s="4409"/>
      <c r="M836" s="4409"/>
      <c r="O836" s="619"/>
      <c r="P836" s="617"/>
      <c r="Q836" s="617"/>
      <c r="R836" s="618"/>
      <c r="S836" s="616"/>
      <c r="T836" s="617"/>
      <c r="U836" s="616"/>
    </row>
    <row r="837" spans="2:21" s="615" customFormat="1" ht="10.15" customHeight="1">
      <c r="B837" s="616"/>
      <c r="C837" s="616"/>
      <c r="E837" s="617"/>
      <c r="F837" s="620"/>
      <c r="G837" s="620"/>
      <c r="H837" s="622"/>
      <c r="I837" s="621"/>
      <c r="J837" s="621"/>
      <c r="K837" s="620"/>
      <c r="L837" s="4409"/>
      <c r="M837" s="4409"/>
      <c r="O837" s="619"/>
      <c r="P837" s="617"/>
      <c r="Q837" s="617"/>
      <c r="R837" s="618"/>
      <c r="S837" s="616"/>
      <c r="T837" s="617"/>
      <c r="U837" s="616"/>
    </row>
    <row r="838" spans="2:21" s="615" customFormat="1" ht="10.15" customHeight="1">
      <c r="B838" s="616"/>
      <c r="C838" s="616"/>
      <c r="E838" s="617"/>
      <c r="F838" s="620"/>
      <c r="G838" s="620"/>
      <c r="H838" s="622"/>
      <c r="I838" s="621"/>
      <c r="J838" s="621"/>
      <c r="K838" s="620"/>
      <c r="L838" s="4409"/>
      <c r="M838" s="4409"/>
      <c r="O838" s="619"/>
      <c r="P838" s="617"/>
      <c r="Q838" s="617"/>
      <c r="R838" s="618"/>
      <c r="S838" s="616"/>
      <c r="T838" s="617"/>
      <c r="U838" s="616"/>
    </row>
    <row r="839" spans="2:21" s="615" customFormat="1" ht="10.15" customHeight="1">
      <c r="B839" s="616"/>
      <c r="C839" s="616"/>
      <c r="E839" s="617"/>
      <c r="F839" s="620"/>
      <c r="G839" s="620"/>
      <c r="H839" s="622"/>
      <c r="I839" s="621"/>
      <c r="J839" s="621"/>
      <c r="K839" s="620"/>
      <c r="L839" s="4409"/>
      <c r="M839" s="4409"/>
      <c r="O839" s="619"/>
      <c r="P839" s="617"/>
      <c r="Q839" s="617"/>
      <c r="R839" s="618"/>
      <c r="S839" s="616"/>
      <c r="T839" s="617"/>
      <c r="U839" s="616"/>
    </row>
    <row r="840" spans="2:21" s="615" customFormat="1" ht="10.15" customHeight="1">
      <c r="B840" s="616"/>
      <c r="C840" s="616"/>
      <c r="E840" s="617"/>
      <c r="F840" s="620"/>
      <c r="G840" s="620"/>
      <c r="H840" s="622"/>
      <c r="I840" s="621"/>
      <c r="J840" s="621"/>
      <c r="K840" s="620"/>
      <c r="L840" s="4409"/>
      <c r="M840" s="4409"/>
      <c r="O840" s="619"/>
      <c r="P840" s="617"/>
      <c r="Q840" s="617"/>
      <c r="R840" s="618"/>
      <c r="S840" s="616"/>
      <c r="T840" s="617"/>
      <c r="U840" s="616"/>
    </row>
    <row r="841" spans="2:21" s="615" customFormat="1" ht="10.15" customHeight="1">
      <c r="B841" s="616"/>
      <c r="C841" s="616"/>
      <c r="E841" s="617"/>
      <c r="F841" s="620"/>
      <c r="G841" s="620"/>
      <c r="H841" s="622"/>
      <c r="I841" s="621"/>
      <c r="J841" s="621"/>
      <c r="K841" s="620"/>
      <c r="L841" s="4409"/>
      <c r="M841" s="4409"/>
      <c r="O841" s="619"/>
      <c r="P841" s="617"/>
      <c r="Q841" s="617"/>
      <c r="R841" s="618"/>
      <c r="S841" s="616"/>
      <c r="T841" s="617"/>
      <c r="U841" s="616"/>
    </row>
    <row r="842" spans="2:21" s="615" customFormat="1" ht="10.15" customHeight="1">
      <c r="B842" s="616"/>
      <c r="C842" s="616"/>
      <c r="E842" s="617"/>
      <c r="F842" s="620"/>
      <c r="G842" s="620"/>
      <c r="H842" s="622"/>
      <c r="I842" s="621"/>
      <c r="J842" s="621"/>
      <c r="K842" s="620"/>
      <c r="L842" s="4409"/>
      <c r="M842" s="4409"/>
      <c r="O842" s="619"/>
      <c r="P842" s="617"/>
      <c r="Q842" s="617"/>
      <c r="R842" s="618"/>
      <c r="S842" s="616"/>
      <c r="T842" s="617"/>
      <c r="U842" s="616"/>
    </row>
    <row r="843" spans="2:21" s="615" customFormat="1" ht="10.15" customHeight="1">
      <c r="B843" s="616"/>
      <c r="C843" s="616"/>
      <c r="E843" s="617"/>
      <c r="F843" s="620"/>
      <c r="G843" s="620"/>
      <c r="H843" s="622"/>
      <c r="I843" s="621"/>
      <c r="J843" s="621"/>
      <c r="K843" s="620"/>
      <c r="L843" s="4409"/>
      <c r="M843" s="4409"/>
      <c r="O843" s="619"/>
      <c r="P843" s="617"/>
      <c r="Q843" s="617"/>
      <c r="R843" s="618"/>
      <c r="S843" s="616"/>
      <c r="T843" s="617"/>
      <c r="U843" s="616"/>
    </row>
    <row r="844" spans="2:21" s="615" customFormat="1" ht="10.15" customHeight="1">
      <c r="B844" s="616"/>
      <c r="C844" s="616"/>
      <c r="E844" s="617"/>
      <c r="F844" s="620"/>
      <c r="G844" s="620"/>
      <c r="H844" s="622"/>
      <c r="I844" s="621"/>
      <c r="J844" s="621"/>
      <c r="K844" s="620"/>
      <c r="L844" s="4409"/>
      <c r="M844" s="4409"/>
      <c r="O844" s="619"/>
      <c r="P844" s="617"/>
      <c r="Q844" s="617"/>
      <c r="R844" s="618"/>
      <c r="S844" s="616"/>
      <c r="T844" s="617"/>
      <c r="U844" s="616"/>
    </row>
    <row r="845" spans="2:21" s="615" customFormat="1" ht="10.15" customHeight="1">
      <c r="B845" s="616"/>
      <c r="C845" s="616"/>
      <c r="E845" s="617"/>
      <c r="F845" s="620"/>
      <c r="G845" s="620"/>
      <c r="H845" s="622"/>
      <c r="I845" s="621"/>
      <c r="J845" s="621"/>
      <c r="K845" s="620"/>
      <c r="L845" s="4409"/>
      <c r="M845" s="4409"/>
      <c r="O845" s="619"/>
      <c r="P845" s="617"/>
      <c r="Q845" s="617"/>
      <c r="R845" s="618"/>
      <c r="S845" s="616"/>
      <c r="T845" s="617"/>
      <c r="U845" s="616"/>
    </row>
    <row r="846" spans="2:21" s="615" customFormat="1" ht="10.15" customHeight="1">
      <c r="B846" s="616"/>
      <c r="C846" s="616"/>
      <c r="E846" s="617"/>
      <c r="F846" s="620"/>
      <c r="G846" s="620"/>
      <c r="H846" s="622"/>
      <c r="I846" s="621"/>
      <c r="J846" s="621"/>
      <c r="K846" s="620"/>
      <c r="L846" s="4409"/>
      <c r="M846" s="4409"/>
      <c r="O846" s="619"/>
      <c r="P846" s="617"/>
      <c r="Q846" s="617"/>
      <c r="R846" s="618"/>
      <c r="S846" s="616"/>
      <c r="T846" s="617"/>
      <c r="U846" s="616"/>
    </row>
    <row r="847" spans="2:21" s="615" customFormat="1" ht="10.15" customHeight="1">
      <c r="B847" s="616"/>
      <c r="C847" s="616"/>
      <c r="E847" s="617"/>
      <c r="F847" s="620"/>
      <c r="G847" s="620"/>
      <c r="H847" s="622"/>
      <c r="I847" s="621"/>
      <c r="J847" s="621"/>
      <c r="K847" s="620"/>
      <c r="L847" s="4409"/>
      <c r="M847" s="4409"/>
      <c r="O847" s="619"/>
      <c r="P847" s="617"/>
      <c r="Q847" s="617"/>
      <c r="R847" s="618"/>
      <c r="S847" s="616"/>
      <c r="T847" s="617"/>
      <c r="U847" s="616"/>
    </row>
    <row r="848" spans="2:21" s="615" customFormat="1" ht="10.15" customHeight="1">
      <c r="B848" s="616"/>
      <c r="C848" s="616"/>
      <c r="E848" s="617"/>
      <c r="F848" s="620"/>
      <c r="G848" s="620"/>
      <c r="H848" s="622"/>
      <c r="I848" s="621"/>
      <c r="J848" s="621"/>
      <c r="K848" s="620"/>
      <c r="L848" s="4409"/>
      <c r="M848" s="4409"/>
      <c r="O848" s="619"/>
      <c r="P848" s="617"/>
      <c r="Q848" s="617"/>
      <c r="R848" s="618"/>
      <c r="S848" s="616"/>
      <c r="T848" s="617"/>
      <c r="U848" s="616"/>
    </row>
    <row r="849" spans="2:21" s="615" customFormat="1" ht="10.15" customHeight="1">
      <c r="B849" s="616"/>
      <c r="C849" s="616"/>
      <c r="E849" s="617"/>
      <c r="F849" s="620"/>
      <c r="G849" s="620"/>
      <c r="H849" s="622"/>
      <c r="I849" s="621"/>
      <c r="J849" s="621"/>
      <c r="K849" s="620"/>
      <c r="L849" s="4409"/>
      <c r="M849" s="4409"/>
      <c r="O849" s="619"/>
      <c r="P849" s="617"/>
      <c r="Q849" s="617"/>
      <c r="R849" s="618"/>
      <c r="S849" s="616"/>
      <c r="T849" s="617"/>
      <c r="U849" s="616"/>
    </row>
    <row r="850" spans="2:21" s="615" customFormat="1" ht="10.15" customHeight="1">
      <c r="B850" s="616"/>
      <c r="C850" s="616"/>
      <c r="E850" s="617"/>
      <c r="F850" s="620"/>
      <c r="G850" s="620"/>
      <c r="H850" s="622"/>
      <c r="I850" s="621"/>
      <c r="J850" s="621"/>
      <c r="K850" s="620"/>
      <c r="L850" s="4409"/>
      <c r="M850" s="4409"/>
      <c r="O850" s="619"/>
      <c r="P850" s="617"/>
      <c r="Q850" s="617"/>
      <c r="R850" s="618"/>
      <c r="S850" s="616"/>
      <c r="T850" s="617"/>
      <c r="U850" s="616"/>
    </row>
    <row r="851" spans="2:21" s="615" customFormat="1" ht="10.15" customHeight="1">
      <c r="B851" s="616"/>
      <c r="C851" s="616"/>
      <c r="E851" s="617"/>
      <c r="F851" s="620"/>
      <c r="G851" s="620"/>
      <c r="H851" s="622"/>
      <c r="I851" s="621"/>
      <c r="J851" s="621"/>
      <c r="K851" s="620"/>
      <c r="L851" s="4409"/>
      <c r="M851" s="4409"/>
      <c r="O851" s="619"/>
      <c r="P851" s="617"/>
      <c r="Q851" s="617"/>
      <c r="R851" s="618"/>
      <c r="S851" s="616"/>
      <c r="T851" s="617"/>
      <c r="U851" s="616"/>
    </row>
    <row r="852" spans="2:21" s="615" customFormat="1" ht="10.15" customHeight="1">
      <c r="B852" s="616"/>
      <c r="C852" s="616"/>
      <c r="E852" s="617"/>
      <c r="F852" s="620"/>
      <c r="G852" s="620"/>
      <c r="H852" s="622"/>
      <c r="I852" s="621"/>
      <c r="J852" s="621"/>
      <c r="K852" s="620"/>
      <c r="L852" s="4409"/>
      <c r="M852" s="4409"/>
      <c r="O852" s="619"/>
      <c r="P852" s="617"/>
      <c r="Q852" s="617"/>
      <c r="R852" s="618"/>
      <c r="S852" s="616"/>
      <c r="T852" s="617"/>
      <c r="U852" s="616"/>
    </row>
    <row r="853" spans="2:21" s="615" customFormat="1" ht="10.15" customHeight="1">
      <c r="B853" s="616"/>
      <c r="C853" s="616"/>
      <c r="E853" s="617"/>
      <c r="F853" s="620"/>
      <c r="G853" s="620"/>
      <c r="H853" s="622"/>
      <c r="I853" s="621"/>
      <c r="J853" s="621"/>
      <c r="K853" s="620"/>
      <c r="L853" s="4409"/>
      <c r="M853" s="4409"/>
      <c r="O853" s="619"/>
      <c r="P853" s="617"/>
      <c r="Q853" s="617"/>
      <c r="R853" s="618"/>
      <c r="S853" s="616"/>
      <c r="T853" s="617"/>
      <c r="U853" s="616"/>
    </row>
    <row r="854" spans="2:21" s="615" customFormat="1" ht="10.15" customHeight="1">
      <c r="B854" s="616"/>
      <c r="C854" s="616"/>
      <c r="E854" s="617"/>
      <c r="F854" s="620"/>
      <c r="G854" s="620"/>
      <c r="H854" s="622"/>
      <c r="I854" s="621"/>
      <c r="J854" s="621"/>
      <c r="K854" s="620"/>
      <c r="L854" s="4409"/>
      <c r="M854" s="4409"/>
      <c r="O854" s="619"/>
      <c r="P854" s="617"/>
      <c r="Q854" s="617"/>
      <c r="R854" s="618"/>
      <c r="S854" s="616"/>
      <c r="T854" s="617"/>
      <c r="U854" s="616"/>
    </row>
    <row r="855" spans="2:21" s="615" customFormat="1" ht="10.15" customHeight="1">
      <c r="B855" s="616"/>
      <c r="C855" s="616"/>
      <c r="E855" s="617"/>
      <c r="F855" s="620"/>
      <c r="G855" s="620"/>
      <c r="H855" s="622"/>
      <c r="I855" s="621"/>
      <c r="J855" s="621"/>
      <c r="K855" s="620"/>
      <c r="L855" s="4409"/>
      <c r="M855" s="4409"/>
      <c r="O855" s="619"/>
      <c r="P855" s="617"/>
      <c r="Q855" s="617"/>
      <c r="R855" s="618"/>
      <c r="S855" s="616"/>
      <c r="T855" s="617"/>
      <c r="U855" s="616"/>
    </row>
    <row r="856" spans="2:21" s="615" customFormat="1" ht="10.15" customHeight="1">
      <c r="B856" s="616"/>
      <c r="C856" s="616"/>
      <c r="E856" s="617"/>
      <c r="F856" s="620"/>
      <c r="G856" s="620"/>
      <c r="H856" s="622"/>
      <c r="I856" s="621"/>
      <c r="J856" s="621"/>
      <c r="K856" s="620"/>
      <c r="L856" s="4409"/>
      <c r="M856" s="4409"/>
      <c r="O856" s="619"/>
      <c r="P856" s="617"/>
      <c r="Q856" s="617"/>
      <c r="R856" s="618"/>
      <c r="S856" s="616"/>
      <c r="T856" s="617"/>
      <c r="U856" s="616"/>
    </row>
    <row r="857" spans="2:21" s="615" customFormat="1" ht="10.15" customHeight="1">
      <c r="B857" s="616"/>
      <c r="C857" s="616"/>
      <c r="E857" s="617"/>
      <c r="F857" s="620"/>
      <c r="G857" s="620"/>
      <c r="H857" s="622"/>
      <c r="I857" s="621"/>
      <c r="J857" s="621"/>
      <c r="K857" s="620"/>
      <c r="L857" s="4409"/>
      <c r="M857" s="4409"/>
      <c r="O857" s="619"/>
      <c r="P857" s="617"/>
      <c r="Q857" s="617"/>
      <c r="R857" s="618"/>
      <c r="S857" s="616"/>
      <c r="T857" s="617"/>
      <c r="U857" s="616"/>
    </row>
    <row r="858" spans="2:21" s="615" customFormat="1" ht="10.15" customHeight="1">
      <c r="B858" s="616"/>
      <c r="C858" s="616"/>
      <c r="E858" s="617"/>
      <c r="F858" s="620"/>
      <c r="G858" s="620"/>
      <c r="H858" s="622"/>
      <c r="I858" s="621"/>
      <c r="J858" s="621"/>
      <c r="K858" s="620"/>
      <c r="L858" s="4409"/>
      <c r="M858" s="4409"/>
      <c r="O858" s="619"/>
      <c r="P858" s="617"/>
      <c r="Q858" s="617"/>
      <c r="R858" s="618"/>
      <c r="S858" s="616"/>
      <c r="T858" s="617"/>
      <c r="U858" s="616"/>
    </row>
    <row r="859" spans="2:21" s="615" customFormat="1" ht="10.15" customHeight="1">
      <c r="B859" s="616"/>
      <c r="C859" s="616"/>
      <c r="E859" s="617"/>
      <c r="F859" s="620"/>
      <c r="G859" s="620"/>
      <c r="H859" s="622"/>
      <c r="I859" s="621"/>
      <c r="J859" s="621"/>
      <c r="K859" s="620"/>
      <c r="L859" s="4409"/>
      <c r="M859" s="4409"/>
      <c r="O859" s="619"/>
      <c r="P859" s="617"/>
      <c r="Q859" s="617"/>
      <c r="R859" s="618"/>
      <c r="S859" s="616"/>
      <c r="T859" s="617"/>
      <c r="U859" s="616"/>
    </row>
    <row r="860" spans="2:21" s="615" customFormat="1" ht="10.15" customHeight="1">
      <c r="B860" s="616"/>
      <c r="C860" s="616"/>
      <c r="E860" s="617"/>
      <c r="F860" s="620"/>
      <c r="G860" s="620"/>
      <c r="H860" s="622"/>
      <c r="I860" s="621"/>
      <c r="J860" s="621"/>
      <c r="K860" s="620"/>
      <c r="L860" s="4409"/>
      <c r="M860" s="4409"/>
      <c r="O860" s="619"/>
      <c r="P860" s="617"/>
      <c r="Q860" s="617"/>
      <c r="R860" s="618"/>
      <c r="S860" s="616"/>
      <c r="T860" s="617"/>
      <c r="U860" s="616"/>
    </row>
    <row r="861" spans="2:21" s="615" customFormat="1" ht="10.15" customHeight="1">
      <c r="B861" s="616"/>
      <c r="C861" s="616"/>
      <c r="E861" s="617"/>
      <c r="F861" s="620"/>
      <c r="G861" s="620"/>
      <c r="H861" s="622"/>
      <c r="I861" s="621"/>
      <c r="J861" s="621"/>
      <c r="K861" s="620"/>
      <c r="L861" s="4409"/>
      <c r="M861" s="4409"/>
      <c r="O861" s="619"/>
      <c r="P861" s="617"/>
      <c r="Q861" s="617"/>
      <c r="R861" s="618"/>
      <c r="S861" s="616"/>
      <c r="T861" s="617"/>
      <c r="U861" s="616"/>
    </row>
    <row r="862" spans="2:21" s="615" customFormat="1" ht="10.15" customHeight="1">
      <c r="B862" s="616"/>
      <c r="C862" s="616"/>
      <c r="E862" s="617"/>
      <c r="F862" s="620"/>
      <c r="G862" s="620"/>
      <c r="H862" s="622"/>
      <c r="I862" s="621"/>
      <c r="J862" s="621"/>
      <c r="K862" s="620"/>
      <c r="L862" s="4409"/>
      <c r="M862" s="4409"/>
      <c r="O862" s="619"/>
      <c r="P862" s="617"/>
      <c r="Q862" s="617"/>
      <c r="R862" s="618"/>
      <c r="S862" s="616"/>
      <c r="T862" s="617"/>
      <c r="U862" s="616"/>
    </row>
    <row r="863" spans="2:21" s="615" customFormat="1" ht="10.15" customHeight="1">
      <c r="B863" s="616"/>
      <c r="C863" s="616"/>
      <c r="E863" s="617"/>
      <c r="F863" s="620"/>
      <c r="G863" s="620"/>
      <c r="H863" s="622"/>
      <c r="I863" s="621"/>
      <c r="J863" s="621"/>
      <c r="K863" s="620"/>
      <c r="L863" s="4409"/>
      <c r="M863" s="4409"/>
      <c r="O863" s="619"/>
      <c r="P863" s="617"/>
      <c r="Q863" s="617"/>
      <c r="R863" s="618"/>
      <c r="S863" s="616"/>
      <c r="T863" s="617"/>
      <c r="U863" s="616"/>
    </row>
    <row r="864" spans="2:21" s="615" customFormat="1" ht="10.15" customHeight="1">
      <c r="B864" s="616"/>
      <c r="C864" s="616"/>
      <c r="E864" s="617"/>
      <c r="F864" s="620"/>
      <c r="G864" s="620"/>
      <c r="H864" s="622"/>
      <c r="I864" s="621"/>
      <c r="J864" s="621"/>
      <c r="K864" s="620"/>
      <c r="L864" s="4409"/>
      <c r="M864" s="4409"/>
      <c r="O864" s="619"/>
      <c r="P864" s="617"/>
      <c r="Q864" s="617"/>
      <c r="R864" s="618"/>
      <c r="S864" s="616"/>
      <c r="T864" s="617"/>
      <c r="U864" s="616"/>
    </row>
    <row r="865" spans="2:21" s="615" customFormat="1" ht="10.15" customHeight="1">
      <c r="B865" s="616"/>
      <c r="C865" s="616"/>
      <c r="E865" s="617"/>
      <c r="F865" s="620"/>
      <c r="G865" s="620"/>
      <c r="H865" s="622"/>
      <c r="I865" s="621"/>
      <c r="J865" s="621"/>
      <c r="K865" s="620"/>
      <c r="L865" s="4409"/>
      <c r="M865" s="4409"/>
      <c r="O865" s="619"/>
      <c r="P865" s="617"/>
      <c r="Q865" s="617"/>
      <c r="R865" s="618"/>
      <c r="S865" s="616"/>
      <c r="T865" s="617"/>
      <c r="U865" s="616"/>
    </row>
    <row r="866" spans="2:21" s="615" customFormat="1" ht="10.15" customHeight="1">
      <c r="B866" s="616"/>
      <c r="C866" s="616"/>
      <c r="E866" s="617"/>
      <c r="F866" s="620"/>
      <c r="G866" s="620"/>
      <c r="H866" s="622"/>
      <c r="I866" s="621"/>
      <c r="J866" s="621"/>
      <c r="K866" s="620"/>
      <c r="L866" s="4409"/>
      <c r="M866" s="4409"/>
      <c r="O866" s="619"/>
      <c r="P866" s="617"/>
      <c r="Q866" s="617"/>
      <c r="R866" s="618"/>
      <c r="S866" s="616"/>
      <c r="T866" s="617"/>
      <c r="U866" s="616"/>
    </row>
    <row r="867" spans="2:21" s="615" customFormat="1" ht="10.15" customHeight="1">
      <c r="B867" s="616"/>
      <c r="C867" s="616"/>
      <c r="E867" s="617"/>
      <c r="F867" s="620"/>
      <c r="G867" s="620"/>
      <c r="H867" s="622"/>
      <c r="I867" s="621"/>
      <c r="J867" s="621"/>
      <c r="K867" s="620"/>
      <c r="L867" s="4409"/>
      <c r="M867" s="4409"/>
      <c r="O867" s="619"/>
      <c r="P867" s="617"/>
      <c r="Q867" s="617"/>
      <c r="R867" s="618"/>
      <c r="S867" s="616"/>
      <c r="T867" s="617"/>
      <c r="U867" s="616"/>
    </row>
    <row r="868" spans="2:21" s="615" customFormat="1" ht="10.15" customHeight="1">
      <c r="B868" s="616"/>
      <c r="C868" s="616"/>
      <c r="E868" s="617"/>
      <c r="F868" s="620"/>
      <c r="G868" s="620"/>
      <c r="H868" s="622"/>
      <c r="I868" s="621"/>
      <c r="J868" s="621"/>
      <c r="K868" s="620"/>
      <c r="L868" s="4409"/>
      <c r="M868" s="4409"/>
      <c r="O868" s="619"/>
      <c r="P868" s="617"/>
      <c r="Q868" s="617"/>
      <c r="R868" s="618"/>
      <c r="S868" s="616"/>
      <c r="T868" s="617"/>
      <c r="U868" s="616"/>
    </row>
    <row r="869" spans="2:21" s="615" customFormat="1" ht="10.15" customHeight="1">
      <c r="B869" s="616"/>
      <c r="C869" s="616"/>
      <c r="E869" s="617"/>
      <c r="F869" s="620"/>
      <c r="G869" s="620"/>
      <c r="H869" s="622"/>
      <c r="I869" s="621"/>
      <c r="J869" s="621"/>
      <c r="K869" s="620"/>
      <c r="L869" s="4409"/>
      <c r="M869" s="4409"/>
      <c r="O869" s="619"/>
      <c r="P869" s="617"/>
      <c r="Q869" s="617"/>
      <c r="R869" s="618"/>
      <c r="S869" s="616"/>
      <c r="T869" s="617"/>
      <c r="U869" s="616"/>
    </row>
    <row r="870" spans="2:21" s="615" customFormat="1" ht="10.15" customHeight="1">
      <c r="B870" s="616"/>
      <c r="C870" s="616"/>
      <c r="E870" s="617"/>
      <c r="F870" s="620"/>
      <c r="G870" s="620"/>
      <c r="H870" s="622"/>
      <c r="I870" s="621"/>
      <c r="J870" s="621"/>
      <c r="K870" s="620"/>
      <c r="L870" s="4409"/>
      <c r="M870" s="4409"/>
      <c r="O870" s="619"/>
      <c r="P870" s="617"/>
      <c r="Q870" s="617"/>
      <c r="R870" s="618"/>
      <c r="S870" s="616"/>
      <c r="T870" s="617"/>
      <c r="U870" s="616"/>
    </row>
    <row r="871" spans="2:21" s="615" customFormat="1" ht="10.15" customHeight="1">
      <c r="B871" s="616"/>
      <c r="C871" s="616"/>
      <c r="E871" s="617"/>
      <c r="F871" s="620"/>
      <c r="G871" s="620"/>
      <c r="H871" s="622"/>
      <c r="I871" s="621"/>
      <c r="J871" s="621"/>
      <c r="K871" s="620"/>
      <c r="L871" s="4409"/>
      <c r="M871" s="4409"/>
      <c r="O871" s="619"/>
      <c r="P871" s="617"/>
      <c r="Q871" s="617"/>
      <c r="R871" s="618"/>
      <c r="S871" s="616"/>
      <c r="T871" s="617"/>
      <c r="U871" s="616"/>
    </row>
    <row r="872" spans="2:21" s="615" customFormat="1" ht="10.15" customHeight="1">
      <c r="B872" s="616"/>
      <c r="C872" s="616"/>
      <c r="E872" s="617"/>
      <c r="F872" s="620"/>
      <c r="G872" s="620"/>
      <c r="H872" s="622"/>
      <c r="I872" s="621"/>
      <c r="J872" s="621"/>
      <c r="K872" s="620"/>
      <c r="L872" s="4409"/>
      <c r="M872" s="4409"/>
      <c r="O872" s="619"/>
      <c r="P872" s="617"/>
      <c r="Q872" s="617"/>
      <c r="R872" s="618"/>
      <c r="S872" s="616"/>
      <c r="T872" s="617"/>
      <c r="U872" s="616"/>
    </row>
    <row r="873" spans="2:21" s="615" customFormat="1" ht="10.15" customHeight="1">
      <c r="B873" s="616"/>
      <c r="C873" s="616"/>
      <c r="E873" s="617"/>
      <c r="F873" s="620"/>
      <c r="G873" s="620"/>
      <c r="H873" s="622"/>
      <c r="I873" s="621"/>
      <c r="J873" s="621"/>
      <c r="K873" s="620"/>
      <c r="L873" s="4409"/>
      <c r="M873" s="4409"/>
      <c r="O873" s="619"/>
      <c r="P873" s="617"/>
      <c r="Q873" s="617"/>
      <c r="R873" s="618"/>
      <c r="S873" s="616"/>
      <c r="T873" s="617"/>
      <c r="U873" s="616"/>
    </row>
    <row r="874" spans="2:21" s="615" customFormat="1" ht="10.15" customHeight="1">
      <c r="B874" s="616"/>
      <c r="C874" s="616"/>
      <c r="E874" s="617"/>
      <c r="F874" s="620"/>
      <c r="G874" s="620"/>
      <c r="H874" s="622"/>
      <c r="I874" s="621"/>
      <c r="J874" s="621"/>
      <c r="K874" s="620"/>
      <c r="L874" s="4409"/>
      <c r="M874" s="4409"/>
      <c r="O874" s="619"/>
      <c r="P874" s="617"/>
      <c r="Q874" s="617"/>
      <c r="R874" s="618"/>
      <c r="S874" s="616"/>
      <c r="T874" s="617"/>
      <c r="U874" s="616"/>
    </row>
    <row r="875" spans="2:21" s="615" customFormat="1" ht="10.15" customHeight="1">
      <c r="B875" s="616"/>
      <c r="C875" s="616"/>
      <c r="E875" s="617"/>
      <c r="F875" s="620"/>
      <c r="G875" s="620"/>
      <c r="H875" s="622"/>
      <c r="I875" s="621"/>
      <c r="J875" s="621"/>
      <c r="K875" s="620"/>
      <c r="L875" s="4409"/>
      <c r="M875" s="4409"/>
      <c r="O875" s="619"/>
      <c r="P875" s="617"/>
      <c r="Q875" s="617"/>
      <c r="R875" s="618"/>
      <c r="S875" s="616"/>
      <c r="T875" s="617"/>
      <c r="U875" s="616"/>
    </row>
    <row r="876" spans="2:21" s="615" customFormat="1" ht="10.15" customHeight="1">
      <c r="B876" s="616"/>
      <c r="C876" s="616"/>
      <c r="E876" s="617"/>
      <c r="F876" s="620"/>
      <c r="G876" s="620"/>
      <c r="H876" s="622"/>
      <c r="I876" s="621"/>
      <c r="J876" s="621"/>
      <c r="K876" s="620"/>
      <c r="L876" s="4409"/>
      <c r="M876" s="4409"/>
      <c r="O876" s="619"/>
      <c r="P876" s="617"/>
      <c r="Q876" s="617"/>
      <c r="R876" s="618"/>
      <c r="S876" s="616"/>
      <c r="T876" s="617"/>
      <c r="U876" s="616"/>
    </row>
    <row r="877" spans="2:21" s="615" customFormat="1" ht="10.15" customHeight="1">
      <c r="B877" s="616"/>
      <c r="C877" s="616"/>
      <c r="E877" s="617"/>
      <c r="F877" s="620"/>
      <c r="G877" s="620"/>
      <c r="H877" s="622"/>
      <c r="I877" s="621"/>
      <c r="J877" s="621"/>
      <c r="K877" s="620"/>
      <c r="L877" s="4409"/>
      <c r="M877" s="4409"/>
      <c r="O877" s="619"/>
      <c r="P877" s="617"/>
      <c r="Q877" s="617"/>
      <c r="R877" s="618"/>
      <c r="S877" s="616"/>
      <c r="T877" s="617"/>
      <c r="U877" s="616"/>
    </row>
    <row r="878" spans="2:21" s="615" customFormat="1" ht="10.15" customHeight="1">
      <c r="B878" s="616"/>
      <c r="C878" s="616"/>
      <c r="E878" s="617"/>
      <c r="F878" s="620"/>
      <c r="G878" s="620"/>
      <c r="H878" s="622"/>
      <c r="I878" s="621"/>
      <c r="J878" s="621"/>
      <c r="K878" s="620"/>
      <c r="L878" s="4409"/>
      <c r="M878" s="4409"/>
      <c r="O878" s="619"/>
      <c r="P878" s="617"/>
      <c r="Q878" s="617"/>
      <c r="R878" s="618"/>
      <c r="S878" s="616"/>
      <c r="T878" s="617"/>
      <c r="U878" s="616"/>
    </row>
    <row r="879" spans="2:21" s="615" customFormat="1" ht="10.15" customHeight="1">
      <c r="B879" s="616"/>
      <c r="C879" s="616"/>
      <c r="E879" s="617"/>
      <c r="F879" s="620"/>
      <c r="G879" s="620"/>
      <c r="H879" s="622"/>
      <c r="I879" s="621"/>
      <c r="J879" s="621"/>
      <c r="K879" s="620"/>
      <c r="L879" s="4409"/>
      <c r="M879" s="4409"/>
      <c r="O879" s="619"/>
      <c r="P879" s="617"/>
      <c r="Q879" s="617"/>
      <c r="R879" s="618"/>
      <c r="S879" s="616"/>
      <c r="T879" s="617"/>
      <c r="U879" s="616"/>
    </row>
    <row r="880" spans="2:21" s="615" customFormat="1" ht="10.15" customHeight="1">
      <c r="B880" s="616"/>
      <c r="C880" s="616"/>
      <c r="E880" s="617"/>
      <c r="F880" s="620"/>
      <c r="G880" s="620"/>
      <c r="H880" s="622"/>
      <c r="I880" s="621"/>
      <c r="J880" s="621"/>
      <c r="K880" s="620"/>
      <c r="L880" s="4409"/>
      <c r="M880" s="4409"/>
      <c r="O880" s="619"/>
      <c r="P880" s="617"/>
      <c r="Q880" s="617"/>
      <c r="R880" s="618"/>
      <c r="S880" s="616"/>
      <c r="T880" s="617"/>
      <c r="U880" s="616"/>
    </row>
    <row r="881" spans="2:21" s="615" customFormat="1" ht="10.15" customHeight="1">
      <c r="B881" s="616"/>
      <c r="C881" s="616"/>
      <c r="E881" s="617"/>
      <c r="F881" s="620"/>
      <c r="G881" s="620"/>
      <c r="H881" s="622"/>
      <c r="I881" s="621"/>
      <c r="J881" s="621"/>
      <c r="K881" s="620"/>
      <c r="L881" s="4409"/>
      <c r="M881" s="4409"/>
      <c r="O881" s="619"/>
      <c r="P881" s="617"/>
      <c r="Q881" s="617"/>
      <c r="R881" s="618"/>
      <c r="S881" s="616"/>
      <c r="T881" s="617"/>
      <c r="U881" s="616"/>
    </row>
    <row r="882" spans="2:21" s="615" customFormat="1" ht="10.15" customHeight="1">
      <c r="B882" s="616"/>
      <c r="C882" s="616"/>
      <c r="E882" s="617"/>
      <c r="F882" s="620"/>
      <c r="G882" s="620"/>
      <c r="H882" s="622"/>
      <c r="I882" s="621"/>
      <c r="J882" s="621"/>
      <c r="K882" s="620"/>
      <c r="L882" s="4409"/>
      <c r="M882" s="4409"/>
      <c r="O882" s="619"/>
      <c r="P882" s="617"/>
      <c r="Q882" s="617"/>
      <c r="R882" s="618"/>
      <c r="S882" s="616"/>
      <c r="T882" s="617"/>
      <c r="U882" s="616"/>
    </row>
    <row r="883" spans="2:21" s="615" customFormat="1" ht="10.15" customHeight="1">
      <c r="B883" s="616"/>
      <c r="C883" s="616"/>
      <c r="E883" s="617"/>
      <c r="F883" s="620"/>
      <c r="G883" s="620"/>
      <c r="H883" s="622"/>
      <c r="I883" s="621"/>
      <c r="J883" s="621"/>
      <c r="K883" s="620"/>
      <c r="L883" s="4409"/>
      <c r="M883" s="4409"/>
      <c r="O883" s="619"/>
      <c r="P883" s="617"/>
      <c r="Q883" s="617"/>
      <c r="R883" s="618"/>
      <c r="S883" s="616"/>
      <c r="T883" s="617"/>
      <c r="U883" s="616"/>
    </row>
    <row r="884" spans="2:21" s="615" customFormat="1" ht="10.15" customHeight="1">
      <c r="B884" s="616"/>
      <c r="C884" s="616"/>
      <c r="E884" s="617"/>
      <c r="F884" s="620"/>
      <c r="G884" s="620"/>
      <c r="H884" s="622"/>
      <c r="I884" s="621"/>
      <c r="J884" s="621"/>
      <c r="K884" s="620"/>
      <c r="L884" s="4409"/>
      <c r="M884" s="4409"/>
      <c r="O884" s="619"/>
      <c r="P884" s="617"/>
      <c r="Q884" s="617"/>
      <c r="R884" s="618"/>
      <c r="S884" s="616"/>
      <c r="T884" s="617"/>
      <c r="U884" s="616"/>
    </row>
    <row r="885" spans="2:21" s="615" customFormat="1" ht="10.15" customHeight="1">
      <c r="B885" s="616"/>
      <c r="C885" s="616"/>
      <c r="E885" s="617"/>
      <c r="F885" s="620"/>
      <c r="G885" s="620"/>
      <c r="H885" s="622"/>
      <c r="I885" s="621"/>
      <c r="J885" s="621"/>
      <c r="K885" s="620"/>
      <c r="L885" s="4409"/>
      <c r="M885" s="4409"/>
      <c r="O885" s="619"/>
      <c r="P885" s="617"/>
      <c r="Q885" s="617"/>
      <c r="R885" s="618"/>
      <c r="S885" s="616"/>
      <c r="T885" s="617"/>
      <c r="U885" s="616"/>
    </row>
    <row r="886" spans="2:21" s="615" customFormat="1" ht="10.15" customHeight="1">
      <c r="B886" s="616"/>
      <c r="C886" s="616"/>
      <c r="E886" s="617"/>
      <c r="F886" s="620"/>
      <c r="G886" s="620"/>
      <c r="H886" s="622"/>
      <c r="I886" s="621"/>
      <c r="J886" s="621"/>
      <c r="K886" s="620"/>
      <c r="L886" s="4409"/>
      <c r="M886" s="4409"/>
      <c r="O886" s="619"/>
      <c r="P886" s="617"/>
      <c r="Q886" s="617"/>
      <c r="R886" s="618"/>
      <c r="S886" s="616"/>
      <c r="T886" s="617"/>
      <c r="U886" s="616"/>
    </row>
    <row r="887" spans="2:21" s="615" customFormat="1" ht="10.15" customHeight="1">
      <c r="B887" s="616"/>
      <c r="C887" s="616"/>
      <c r="E887" s="617"/>
      <c r="F887" s="620"/>
      <c r="G887" s="620"/>
      <c r="H887" s="622"/>
      <c r="I887" s="621"/>
      <c r="J887" s="621"/>
      <c r="K887" s="620"/>
      <c r="L887" s="4409"/>
      <c r="M887" s="4409"/>
      <c r="O887" s="619"/>
      <c r="P887" s="617"/>
      <c r="Q887" s="617"/>
      <c r="R887" s="618"/>
      <c r="S887" s="616"/>
      <c r="T887" s="617"/>
      <c r="U887" s="616"/>
    </row>
    <row r="888" spans="2:21" s="615" customFormat="1" ht="10.15" customHeight="1">
      <c r="B888" s="616"/>
      <c r="C888" s="616"/>
      <c r="E888" s="617"/>
      <c r="F888" s="620"/>
      <c r="G888" s="620"/>
      <c r="H888" s="622"/>
      <c r="I888" s="621"/>
      <c r="J888" s="621"/>
      <c r="K888" s="620"/>
      <c r="L888" s="4409"/>
      <c r="M888" s="4409"/>
      <c r="O888" s="619"/>
      <c r="P888" s="617"/>
      <c r="Q888" s="617"/>
      <c r="R888" s="618"/>
      <c r="S888" s="616"/>
      <c r="T888" s="617"/>
      <c r="U888" s="616"/>
    </row>
    <row r="889" spans="2:21" s="615" customFormat="1" ht="10.15" customHeight="1">
      <c r="B889" s="616"/>
      <c r="C889" s="616"/>
      <c r="E889" s="617"/>
      <c r="F889" s="620"/>
      <c r="G889" s="620"/>
      <c r="H889" s="622"/>
      <c r="I889" s="621"/>
      <c r="J889" s="621"/>
      <c r="K889" s="620"/>
      <c r="L889" s="4409"/>
      <c r="M889" s="4409"/>
      <c r="O889" s="619"/>
      <c r="P889" s="617"/>
      <c r="Q889" s="617"/>
      <c r="R889" s="618"/>
      <c r="S889" s="616"/>
      <c r="T889" s="617"/>
      <c r="U889" s="616"/>
    </row>
    <row r="890" spans="2:21" s="615" customFormat="1" ht="10.15" customHeight="1">
      <c r="B890" s="616"/>
      <c r="C890" s="616"/>
      <c r="E890" s="617"/>
      <c r="F890" s="620"/>
      <c r="G890" s="620"/>
      <c r="H890" s="622"/>
      <c r="I890" s="621"/>
      <c r="J890" s="621"/>
      <c r="K890" s="620"/>
      <c r="L890" s="4409"/>
      <c r="M890" s="4409"/>
      <c r="O890" s="619"/>
      <c r="P890" s="617"/>
      <c r="Q890" s="617"/>
      <c r="R890" s="618"/>
      <c r="S890" s="616"/>
      <c r="T890" s="617"/>
      <c r="U890" s="616"/>
    </row>
    <row r="891" spans="2:21" s="615" customFormat="1" ht="10.15" customHeight="1">
      <c r="B891" s="616"/>
      <c r="C891" s="616"/>
      <c r="E891" s="617"/>
      <c r="F891" s="620"/>
      <c r="G891" s="620"/>
      <c r="H891" s="622"/>
      <c r="I891" s="621"/>
      <c r="J891" s="621"/>
      <c r="K891" s="620"/>
      <c r="L891" s="4409"/>
      <c r="M891" s="4409"/>
      <c r="O891" s="619"/>
      <c r="P891" s="617"/>
      <c r="Q891" s="617"/>
      <c r="R891" s="618"/>
      <c r="S891" s="616"/>
      <c r="T891" s="617"/>
      <c r="U891" s="616"/>
    </row>
    <row r="892" spans="2:21" s="615" customFormat="1" ht="10.15" customHeight="1">
      <c r="B892" s="616"/>
      <c r="C892" s="616"/>
      <c r="E892" s="617"/>
      <c r="F892" s="620"/>
      <c r="G892" s="620"/>
      <c r="H892" s="622"/>
      <c r="I892" s="621"/>
      <c r="J892" s="621"/>
      <c r="K892" s="620"/>
      <c r="L892" s="4409"/>
      <c r="M892" s="4409"/>
      <c r="O892" s="619"/>
      <c r="P892" s="617"/>
      <c r="Q892" s="617"/>
      <c r="R892" s="618"/>
      <c r="S892" s="616"/>
      <c r="T892" s="617"/>
      <c r="U892" s="616"/>
    </row>
    <row r="893" spans="2:21" s="615" customFormat="1" ht="10.15" customHeight="1">
      <c r="B893" s="616"/>
      <c r="C893" s="616"/>
      <c r="E893" s="617"/>
      <c r="F893" s="620"/>
      <c r="G893" s="620"/>
      <c r="H893" s="622"/>
      <c r="I893" s="621"/>
      <c r="J893" s="621"/>
      <c r="K893" s="620"/>
      <c r="L893" s="4409"/>
      <c r="M893" s="4409"/>
      <c r="O893" s="619"/>
      <c r="P893" s="617"/>
      <c r="Q893" s="617"/>
      <c r="R893" s="618"/>
      <c r="S893" s="616"/>
      <c r="T893" s="617"/>
      <c r="U893" s="616"/>
    </row>
    <row r="894" spans="2:21" s="615" customFormat="1" ht="10.15" customHeight="1">
      <c r="B894" s="616"/>
      <c r="C894" s="616"/>
      <c r="E894" s="617"/>
      <c r="F894" s="620"/>
      <c r="G894" s="620"/>
      <c r="H894" s="622"/>
      <c r="I894" s="621"/>
      <c r="J894" s="621"/>
      <c r="K894" s="620"/>
      <c r="L894" s="4409"/>
      <c r="M894" s="4409"/>
      <c r="O894" s="619"/>
      <c r="P894" s="617"/>
      <c r="Q894" s="617"/>
      <c r="R894" s="618"/>
      <c r="S894" s="616"/>
      <c r="T894" s="617"/>
      <c r="U894" s="616"/>
    </row>
    <row r="895" spans="2:21" s="615" customFormat="1" ht="10.15" customHeight="1">
      <c r="B895" s="616"/>
      <c r="C895" s="616"/>
      <c r="E895" s="617"/>
      <c r="F895" s="620"/>
      <c r="G895" s="620"/>
      <c r="H895" s="622"/>
      <c r="I895" s="621"/>
      <c r="J895" s="621"/>
      <c r="K895" s="620"/>
      <c r="L895" s="4409"/>
      <c r="M895" s="4409"/>
      <c r="O895" s="619"/>
      <c r="P895" s="617"/>
      <c r="Q895" s="617"/>
      <c r="R895" s="618"/>
      <c r="S895" s="616"/>
      <c r="T895" s="617"/>
      <c r="U895" s="616"/>
    </row>
    <row r="896" spans="2:21" s="615" customFormat="1" ht="10.15" customHeight="1">
      <c r="B896" s="616"/>
      <c r="C896" s="616"/>
      <c r="E896" s="617"/>
      <c r="F896" s="620"/>
      <c r="G896" s="620"/>
      <c r="H896" s="622"/>
      <c r="I896" s="621"/>
      <c r="J896" s="621"/>
      <c r="K896" s="620"/>
      <c r="L896" s="4409"/>
      <c r="M896" s="4409"/>
      <c r="O896" s="619"/>
      <c r="P896" s="617"/>
      <c r="Q896" s="617"/>
      <c r="R896" s="618"/>
      <c r="S896" s="616"/>
      <c r="T896" s="617"/>
      <c r="U896" s="616"/>
    </row>
    <row r="897" spans="2:21" s="615" customFormat="1" ht="10.15" customHeight="1">
      <c r="B897" s="616"/>
      <c r="C897" s="616"/>
      <c r="E897" s="617"/>
      <c r="F897" s="620"/>
      <c r="G897" s="620"/>
      <c r="H897" s="622"/>
      <c r="I897" s="621"/>
      <c r="J897" s="621"/>
      <c r="K897" s="620"/>
      <c r="L897" s="4409"/>
      <c r="M897" s="4409"/>
      <c r="O897" s="619"/>
      <c r="P897" s="617"/>
      <c r="Q897" s="617"/>
      <c r="R897" s="618"/>
      <c r="S897" s="616"/>
      <c r="T897" s="617"/>
      <c r="U897" s="616"/>
    </row>
    <row r="898" spans="2:21" s="615" customFormat="1" ht="10.15" customHeight="1">
      <c r="B898" s="616"/>
      <c r="C898" s="616"/>
      <c r="E898" s="617"/>
      <c r="F898" s="620"/>
      <c r="G898" s="620"/>
      <c r="H898" s="622"/>
      <c r="I898" s="621"/>
      <c r="J898" s="621"/>
      <c r="K898" s="620"/>
      <c r="L898" s="4409"/>
      <c r="M898" s="4409"/>
      <c r="O898" s="619"/>
      <c r="P898" s="617"/>
      <c r="Q898" s="617"/>
      <c r="R898" s="618"/>
      <c r="S898" s="616"/>
      <c r="T898" s="617"/>
      <c r="U898" s="616"/>
    </row>
    <row r="899" spans="2:21" s="615" customFormat="1" ht="10.15" customHeight="1">
      <c r="B899" s="616"/>
      <c r="C899" s="616"/>
      <c r="E899" s="617"/>
      <c r="F899" s="620"/>
      <c r="G899" s="620"/>
      <c r="H899" s="622"/>
      <c r="I899" s="621"/>
      <c r="J899" s="621"/>
      <c r="K899" s="620"/>
      <c r="L899" s="4409"/>
      <c r="M899" s="4409"/>
      <c r="O899" s="619"/>
      <c r="P899" s="617"/>
      <c r="Q899" s="617"/>
      <c r="R899" s="618"/>
      <c r="S899" s="616"/>
      <c r="T899" s="617"/>
      <c r="U899" s="616"/>
    </row>
    <row r="900" spans="2:21" s="615" customFormat="1" ht="10.15" customHeight="1">
      <c r="B900" s="616"/>
      <c r="C900" s="616"/>
      <c r="E900" s="617"/>
      <c r="F900" s="620"/>
      <c r="G900" s="620"/>
      <c r="H900" s="622"/>
      <c r="I900" s="621"/>
      <c r="J900" s="621"/>
      <c r="K900" s="620"/>
      <c r="L900" s="4409"/>
      <c r="M900" s="4409"/>
      <c r="O900" s="619"/>
      <c r="P900" s="617"/>
      <c r="Q900" s="617"/>
      <c r="R900" s="618"/>
      <c r="S900" s="616"/>
      <c r="T900" s="617"/>
      <c r="U900" s="616"/>
    </row>
    <row r="901" spans="2:21" s="615" customFormat="1" ht="10.15" customHeight="1">
      <c r="B901" s="616"/>
      <c r="C901" s="616"/>
      <c r="E901" s="617"/>
      <c r="F901" s="620"/>
      <c r="G901" s="620"/>
      <c r="H901" s="622"/>
      <c r="I901" s="621"/>
      <c r="J901" s="621"/>
      <c r="K901" s="620"/>
      <c r="L901" s="4409"/>
      <c r="M901" s="4409"/>
      <c r="O901" s="619"/>
      <c r="P901" s="617"/>
      <c r="Q901" s="617"/>
      <c r="R901" s="618"/>
      <c r="S901" s="616"/>
      <c r="T901" s="617"/>
      <c r="U901" s="616"/>
    </row>
    <row r="902" spans="2:21" s="615" customFormat="1" ht="10.15" customHeight="1">
      <c r="B902" s="616"/>
      <c r="C902" s="616"/>
      <c r="E902" s="617"/>
      <c r="F902" s="620"/>
      <c r="G902" s="620"/>
      <c r="H902" s="622"/>
      <c r="I902" s="621"/>
      <c r="J902" s="621"/>
      <c r="K902" s="620"/>
      <c r="L902" s="4409"/>
      <c r="M902" s="4409"/>
      <c r="O902" s="619"/>
      <c r="P902" s="617"/>
      <c r="Q902" s="617"/>
      <c r="R902" s="618"/>
      <c r="S902" s="616"/>
      <c r="T902" s="617"/>
      <c r="U902" s="616"/>
    </row>
    <row r="903" spans="2:21" s="615" customFormat="1" ht="10.15" customHeight="1">
      <c r="B903" s="616"/>
      <c r="C903" s="616"/>
      <c r="E903" s="617"/>
      <c r="F903" s="620"/>
      <c r="G903" s="620"/>
      <c r="H903" s="622"/>
      <c r="I903" s="621"/>
      <c r="J903" s="621"/>
      <c r="K903" s="620"/>
      <c r="L903" s="4409"/>
      <c r="M903" s="4409"/>
      <c r="O903" s="619"/>
      <c r="P903" s="617"/>
      <c r="Q903" s="617"/>
      <c r="R903" s="618"/>
      <c r="S903" s="616"/>
      <c r="T903" s="617"/>
      <c r="U903" s="616"/>
    </row>
    <row r="904" spans="2:21" s="615" customFormat="1" ht="10.15" customHeight="1">
      <c r="B904" s="616"/>
      <c r="C904" s="616"/>
      <c r="E904" s="617"/>
      <c r="F904" s="620"/>
      <c r="G904" s="620"/>
      <c r="H904" s="622"/>
      <c r="I904" s="621"/>
      <c r="J904" s="621"/>
      <c r="K904" s="620"/>
      <c r="L904" s="4409"/>
      <c r="M904" s="4409"/>
      <c r="O904" s="619"/>
      <c r="P904" s="617"/>
      <c r="Q904" s="617"/>
      <c r="R904" s="618"/>
      <c r="S904" s="616"/>
      <c r="T904" s="617"/>
      <c r="U904" s="616"/>
    </row>
    <row r="905" spans="2:21" s="615" customFormat="1" ht="10.15" customHeight="1">
      <c r="B905" s="616"/>
      <c r="C905" s="616"/>
      <c r="E905" s="617"/>
      <c r="F905" s="620"/>
      <c r="G905" s="620"/>
      <c r="H905" s="622"/>
      <c r="I905" s="621"/>
      <c r="J905" s="621"/>
      <c r="K905" s="620"/>
      <c r="L905" s="4409"/>
      <c r="M905" s="4409"/>
      <c r="O905" s="619"/>
      <c r="P905" s="617"/>
      <c r="Q905" s="617"/>
      <c r="R905" s="618"/>
      <c r="S905" s="616"/>
      <c r="T905" s="617"/>
      <c r="U905" s="616"/>
    </row>
    <row r="906" spans="2:21" s="615" customFormat="1" ht="10.15" customHeight="1">
      <c r="B906" s="616"/>
      <c r="C906" s="616"/>
      <c r="E906" s="617"/>
      <c r="F906" s="620"/>
      <c r="G906" s="620"/>
      <c r="H906" s="622"/>
      <c r="I906" s="621"/>
      <c r="J906" s="621"/>
      <c r="K906" s="620"/>
      <c r="L906" s="4409"/>
      <c r="M906" s="4409"/>
      <c r="O906" s="619"/>
      <c r="P906" s="617"/>
      <c r="Q906" s="617"/>
      <c r="R906" s="618"/>
      <c r="S906" s="616"/>
      <c r="T906" s="617"/>
      <c r="U906" s="616"/>
    </row>
    <row r="907" spans="2:21" s="615" customFormat="1" ht="10.15" customHeight="1">
      <c r="B907" s="616"/>
      <c r="C907" s="616"/>
      <c r="E907" s="617"/>
      <c r="F907" s="620"/>
      <c r="G907" s="620"/>
      <c r="H907" s="622"/>
      <c r="I907" s="621"/>
      <c r="J907" s="621"/>
      <c r="K907" s="620"/>
      <c r="L907" s="4409"/>
      <c r="M907" s="4409"/>
      <c r="O907" s="619"/>
      <c r="P907" s="617"/>
      <c r="Q907" s="617"/>
      <c r="R907" s="618"/>
      <c r="S907" s="616"/>
      <c r="T907" s="617"/>
      <c r="U907" s="616"/>
    </row>
    <row r="908" spans="2:21" s="615" customFormat="1" ht="10.15" customHeight="1">
      <c r="B908" s="616"/>
      <c r="C908" s="616"/>
      <c r="E908" s="617"/>
      <c r="F908" s="620"/>
      <c r="G908" s="620"/>
      <c r="H908" s="622"/>
      <c r="I908" s="621"/>
      <c r="J908" s="621"/>
      <c r="K908" s="620"/>
      <c r="L908" s="4409"/>
      <c r="M908" s="4409"/>
      <c r="O908" s="619"/>
      <c r="P908" s="617"/>
      <c r="Q908" s="617"/>
      <c r="R908" s="618"/>
      <c r="S908" s="616"/>
      <c r="T908" s="617"/>
      <c r="U908" s="616"/>
    </row>
    <row r="909" spans="2:21" s="615" customFormat="1" ht="10.15" customHeight="1">
      <c r="B909" s="616"/>
      <c r="C909" s="616"/>
      <c r="E909" s="617"/>
      <c r="F909" s="620"/>
      <c r="G909" s="620"/>
      <c r="H909" s="622"/>
      <c r="I909" s="621"/>
      <c r="J909" s="621"/>
      <c r="K909" s="620"/>
      <c r="L909" s="4409"/>
      <c r="M909" s="4409"/>
      <c r="O909" s="619"/>
      <c r="P909" s="617"/>
      <c r="Q909" s="617"/>
      <c r="R909" s="618"/>
      <c r="S909" s="616"/>
      <c r="T909" s="617"/>
      <c r="U909" s="616"/>
    </row>
    <row r="910" spans="2:21" s="615" customFormat="1" ht="10.15" customHeight="1">
      <c r="B910" s="616"/>
      <c r="C910" s="616"/>
      <c r="E910" s="617"/>
      <c r="F910" s="620"/>
      <c r="G910" s="620"/>
      <c r="H910" s="622"/>
      <c r="I910" s="621"/>
      <c r="J910" s="621"/>
      <c r="K910" s="620"/>
      <c r="L910" s="4409"/>
      <c r="M910" s="4409"/>
      <c r="O910" s="619"/>
      <c r="P910" s="617"/>
      <c r="Q910" s="617"/>
      <c r="R910" s="618"/>
      <c r="S910" s="616"/>
      <c r="T910" s="617"/>
      <c r="U910" s="616"/>
    </row>
    <row r="911" spans="2:21" s="615" customFormat="1" ht="10.15" customHeight="1">
      <c r="B911" s="616"/>
      <c r="C911" s="616"/>
      <c r="E911" s="617"/>
      <c r="F911" s="620"/>
      <c r="G911" s="620"/>
      <c r="H911" s="622"/>
      <c r="I911" s="621"/>
      <c r="J911" s="621"/>
      <c r="K911" s="620"/>
      <c r="L911" s="4409"/>
      <c r="M911" s="4409"/>
      <c r="O911" s="619"/>
      <c r="P911" s="617"/>
      <c r="Q911" s="617"/>
      <c r="R911" s="618"/>
      <c r="S911" s="616"/>
      <c r="T911" s="617"/>
      <c r="U911" s="616"/>
    </row>
    <row r="912" spans="2:21" s="615" customFormat="1" ht="10.15" customHeight="1">
      <c r="B912" s="616"/>
      <c r="C912" s="616"/>
      <c r="E912" s="617"/>
      <c r="F912" s="620"/>
      <c r="G912" s="620"/>
      <c r="H912" s="622"/>
      <c r="I912" s="621"/>
      <c r="J912" s="621"/>
      <c r="K912" s="620"/>
      <c r="L912" s="4409"/>
      <c r="M912" s="4409"/>
      <c r="O912" s="619"/>
      <c r="P912" s="617"/>
      <c r="Q912" s="617"/>
      <c r="R912" s="618"/>
      <c r="S912" s="616"/>
      <c r="T912" s="617"/>
      <c r="U912" s="616"/>
    </row>
    <row r="913" spans="2:21" s="615" customFormat="1" ht="10.15" customHeight="1">
      <c r="B913" s="616"/>
      <c r="C913" s="616"/>
      <c r="E913" s="617"/>
      <c r="F913" s="620"/>
      <c r="G913" s="620"/>
      <c r="H913" s="622"/>
      <c r="I913" s="621"/>
      <c r="J913" s="621"/>
      <c r="K913" s="620"/>
      <c r="L913" s="4409"/>
      <c r="M913" s="4409"/>
      <c r="O913" s="619"/>
      <c r="P913" s="617"/>
      <c r="Q913" s="617"/>
      <c r="R913" s="618"/>
      <c r="S913" s="616"/>
      <c r="T913" s="617"/>
      <c r="U913" s="616"/>
    </row>
    <row r="914" spans="2:21" s="615" customFormat="1" ht="10.15" customHeight="1">
      <c r="B914" s="616"/>
      <c r="C914" s="616"/>
      <c r="E914" s="617"/>
      <c r="F914" s="620"/>
      <c r="G914" s="620"/>
      <c r="H914" s="622"/>
      <c r="I914" s="621"/>
      <c r="J914" s="621"/>
      <c r="K914" s="620"/>
      <c r="L914" s="4409"/>
      <c r="M914" s="4409"/>
      <c r="O914" s="619"/>
      <c r="P914" s="617"/>
      <c r="Q914" s="617"/>
      <c r="R914" s="618"/>
      <c r="S914" s="616"/>
      <c r="T914" s="617"/>
      <c r="U914" s="616"/>
    </row>
    <row r="915" spans="2:21" s="615" customFormat="1" ht="10.15" customHeight="1">
      <c r="B915" s="616"/>
      <c r="C915" s="616"/>
      <c r="E915" s="617"/>
      <c r="F915" s="620"/>
      <c r="G915" s="620"/>
      <c r="H915" s="622"/>
      <c r="I915" s="621"/>
      <c r="J915" s="621"/>
      <c r="K915" s="620"/>
      <c r="L915" s="4409"/>
      <c r="M915" s="4409"/>
      <c r="O915" s="619"/>
      <c r="P915" s="617"/>
      <c r="Q915" s="617"/>
      <c r="R915" s="618"/>
      <c r="S915" s="616"/>
      <c r="T915" s="617"/>
      <c r="U915" s="616"/>
    </row>
    <row r="916" spans="2:21" s="615" customFormat="1" ht="10.15" customHeight="1">
      <c r="B916" s="616"/>
      <c r="C916" s="616"/>
      <c r="E916" s="617"/>
      <c r="F916" s="620"/>
      <c r="G916" s="620"/>
      <c r="H916" s="622"/>
      <c r="I916" s="621"/>
      <c r="J916" s="621"/>
      <c r="K916" s="620"/>
      <c r="L916" s="4409"/>
      <c r="M916" s="4409"/>
      <c r="O916" s="619"/>
      <c r="P916" s="617"/>
      <c r="Q916" s="617"/>
      <c r="R916" s="618"/>
      <c r="S916" s="616"/>
      <c r="T916" s="617"/>
      <c r="U916" s="616"/>
    </row>
    <row r="917" spans="2:21" s="615" customFormat="1" ht="10.15" customHeight="1">
      <c r="B917" s="616"/>
      <c r="C917" s="616"/>
      <c r="E917" s="617"/>
      <c r="F917" s="620"/>
      <c r="G917" s="620"/>
      <c r="H917" s="622"/>
      <c r="I917" s="621"/>
      <c r="J917" s="621"/>
      <c r="K917" s="620"/>
      <c r="L917" s="4409"/>
      <c r="M917" s="4409"/>
      <c r="O917" s="619"/>
      <c r="P917" s="617"/>
      <c r="Q917" s="617"/>
      <c r="R917" s="618"/>
      <c r="S917" s="616"/>
      <c r="T917" s="617"/>
      <c r="U917" s="616"/>
    </row>
    <row r="918" spans="2:21" s="615" customFormat="1" ht="10.15" customHeight="1">
      <c r="B918" s="616"/>
      <c r="C918" s="616"/>
      <c r="E918" s="617"/>
      <c r="F918" s="620"/>
      <c r="G918" s="620"/>
      <c r="H918" s="622"/>
      <c r="I918" s="621"/>
      <c r="J918" s="621"/>
      <c r="K918" s="620"/>
      <c r="L918" s="4409"/>
      <c r="M918" s="4409"/>
      <c r="O918" s="619"/>
      <c r="P918" s="617"/>
      <c r="Q918" s="617"/>
      <c r="R918" s="618"/>
      <c r="S918" s="616"/>
      <c r="T918" s="617"/>
      <c r="U918" s="616"/>
    </row>
    <row r="919" spans="2:21" s="615" customFormat="1" ht="10.15" customHeight="1">
      <c r="B919" s="616"/>
      <c r="C919" s="616"/>
      <c r="E919" s="617"/>
      <c r="F919" s="620"/>
      <c r="G919" s="620"/>
      <c r="H919" s="622"/>
      <c r="I919" s="621"/>
      <c r="J919" s="621"/>
      <c r="K919" s="620"/>
      <c r="L919" s="4409"/>
      <c r="M919" s="4409"/>
      <c r="O919" s="619"/>
      <c r="P919" s="617"/>
      <c r="Q919" s="617"/>
      <c r="R919" s="618"/>
      <c r="S919" s="616"/>
      <c r="T919" s="617"/>
      <c r="U919" s="616"/>
    </row>
    <row r="920" spans="2:21" s="615" customFormat="1" ht="10.15" customHeight="1">
      <c r="B920" s="616"/>
      <c r="C920" s="616"/>
      <c r="E920" s="617"/>
      <c r="F920" s="620"/>
      <c r="G920" s="620"/>
      <c r="H920" s="622"/>
      <c r="I920" s="621"/>
      <c r="J920" s="621"/>
      <c r="K920" s="620"/>
      <c r="L920" s="4409"/>
      <c r="M920" s="4409"/>
      <c r="O920" s="619"/>
      <c r="P920" s="617"/>
      <c r="Q920" s="617"/>
      <c r="R920" s="618"/>
      <c r="S920" s="616"/>
      <c r="T920" s="617"/>
      <c r="U920" s="616"/>
    </row>
    <row r="921" spans="2:21" s="615" customFormat="1" ht="10.15" customHeight="1">
      <c r="B921" s="616"/>
      <c r="C921" s="616"/>
      <c r="E921" s="617"/>
      <c r="F921" s="620"/>
      <c r="G921" s="620"/>
      <c r="H921" s="622"/>
      <c r="I921" s="621"/>
      <c r="J921" s="621"/>
      <c r="K921" s="620"/>
      <c r="L921" s="4409"/>
      <c r="M921" s="4409"/>
      <c r="O921" s="619"/>
      <c r="P921" s="617"/>
      <c r="Q921" s="617"/>
      <c r="R921" s="618"/>
      <c r="S921" s="616"/>
      <c r="T921" s="617"/>
      <c r="U921" s="616"/>
    </row>
    <row r="922" spans="2:21" s="615" customFormat="1" ht="10.15" customHeight="1">
      <c r="B922" s="616"/>
      <c r="C922" s="616"/>
      <c r="E922" s="617"/>
      <c r="F922" s="620"/>
      <c r="G922" s="620"/>
      <c r="H922" s="622"/>
      <c r="I922" s="621"/>
      <c r="J922" s="621"/>
      <c r="K922" s="620"/>
      <c r="L922" s="4409"/>
      <c r="M922" s="4409"/>
      <c r="O922" s="619"/>
      <c r="P922" s="617"/>
      <c r="Q922" s="617"/>
      <c r="R922" s="618"/>
      <c r="S922" s="616"/>
      <c r="T922" s="617"/>
      <c r="U922" s="616"/>
    </row>
    <row r="923" spans="2:21" s="615" customFormat="1" ht="10.15" customHeight="1">
      <c r="B923" s="616"/>
      <c r="C923" s="616"/>
      <c r="E923" s="617"/>
      <c r="F923" s="620"/>
      <c r="G923" s="620"/>
      <c r="H923" s="622"/>
      <c r="I923" s="621"/>
      <c r="J923" s="621"/>
      <c r="K923" s="620"/>
      <c r="L923" s="4409"/>
      <c r="M923" s="4409"/>
      <c r="O923" s="619"/>
      <c r="P923" s="617"/>
      <c r="Q923" s="617"/>
      <c r="R923" s="618"/>
      <c r="S923" s="616"/>
      <c r="T923" s="617"/>
      <c r="U923" s="616"/>
    </row>
    <row r="924" spans="2:21" s="615" customFormat="1" ht="10.15" customHeight="1">
      <c r="B924" s="616"/>
      <c r="C924" s="616"/>
      <c r="E924" s="617"/>
      <c r="F924" s="620"/>
      <c r="G924" s="620"/>
      <c r="H924" s="622"/>
      <c r="I924" s="621"/>
      <c r="J924" s="621"/>
      <c r="K924" s="620"/>
      <c r="L924" s="4409"/>
      <c r="M924" s="4409"/>
      <c r="O924" s="619"/>
      <c r="P924" s="617"/>
      <c r="Q924" s="617"/>
      <c r="R924" s="618"/>
      <c r="S924" s="616"/>
      <c r="T924" s="617"/>
      <c r="U924" s="616"/>
    </row>
    <row r="925" spans="2:21" s="615" customFormat="1" ht="10.15" customHeight="1">
      <c r="B925" s="616"/>
      <c r="C925" s="616"/>
      <c r="E925" s="617"/>
      <c r="F925" s="620"/>
      <c r="G925" s="620"/>
      <c r="H925" s="622"/>
      <c r="I925" s="621"/>
      <c r="J925" s="621"/>
      <c r="K925" s="620"/>
      <c r="L925" s="4409"/>
      <c r="M925" s="4409"/>
      <c r="O925" s="619"/>
      <c r="P925" s="617"/>
      <c r="Q925" s="617"/>
      <c r="R925" s="618"/>
      <c r="S925" s="616"/>
      <c r="T925" s="617"/>
      <c r="U925" s="616"/>
    </row>
    <row r="926" spans="2:21" s="615" customFormat="1" ht="10.15" customHeight="1">
      <c r="B926" s="616"/>
      <c r="C926" s="616"/>
      <c r="E926" s="617"/>
      <c r="F926" s="620"/>
      <c r="G926" s="620"/>
      <c r="H926" s="622"/>
      <c r="I926" s="621"/>
      <c r="J926" s="621"/>
      <c r="K926" s="620"/>
      <c r="L926" s="4409"/>
      <c r="M926" s="4409"/>
      <c r="O926" s="619"/>
      <c r="P926" s="617"/>
      <c r="Q926" s="617"/>
      <c r="R926" s="618"/>
      <c r="S926" s="616"/>
      <c r="T926" s="617"/>
      <c r="U926" s="616"/>
    </row>
    <row r="927" spans="2:21" s="615" customFormat="1" ht="10.15" customHeight="1">
      <c r="B927" s="616"/>
      <c r="C927" s="616"/>
      <c r="E927" s="617"/>
      <c r="F927" s="620"/>
      <c r="G927" s="620"/>
      <c r="H927" s="622"/>
      <c r="I927" s="621"/>
      <c r="J927" s="621"/>
      <c r="K927" s="620"/>
      <c r="L927" s="4409"/>
      <c r="M927" s="4409"/>
      <c r="O927" s="619"/>
      <c r="P927" s="617"/>
      <c r="Q927" s="617"/>
      <c r="R927" s="618"/>
      <c r="S927" s="616"/>
      <c r="T927" s="617"/>
      <c r="U927" s="616"/>
    </row>
    <row r="928" spans="2:21" s="615" customFormat="1" ht="10.15" customHeight="1">
      <c r="B928" s="616"/>
      <c r="C928" s="616"/>
      <c r="E928" s="617"/>
      <c r="F928" s="620"/>
      <c r="G928" s="620"/>
      <c r="H928" s="622"/>
      <c r="I928" s="621"/>
      <c r="J928" s="621"/>
      <c r="K928" s="620"/>
      <c r="L928" s="4409"/>
      <c r="M928" s="4409"/>
      <c r="O928" s="619"/>
      <c r="P928" s="617"/>
      <c r="Q928" s="617"/>
      <c r="R928" s="618"/>
      <c r="S928" s="616"/>
      <c r="T928" s="617"/>
      <c r="U928" s="616"/>
    </row>
    <row r="929" spans="2:21" s="615" customFormat="1" ht="10.15" customHeight="1">
      <c r="B929" s="616"/>
      <c r="C929" s="616"/>
      <c r="E929" s="617"/>
      <c r="F929" s="620"/>
      <c r="G929" s="620"/>
      <c r="H929" s="622"/>
      <c r="I929" s="621"/>
      <c r="J929" s="621"/>
      <c r="K929" s="620"/>
      <c r="L929" s="4409"/>
      <c r="M929" s="4409"/>
      <c r="O929" s="619"/>
      <c r="P929" s="617"/>
      <c r="Q929" s="617"/>
      <c r="R929" s="618"/>
      <c r="S929" s="616"/>
      <c r="T929" s="617"/>
      <c r="U929" s="616"/>
    </row>
    <row r="930" spans="2:21" s="609" customFormat="1">
      <c r="B930" s="613"/>
      <c r="C930" s="610"/>
      <c r="D930" s="610"/>
      <c r="E930" s="612"/>
      <c r="F930" s="614"/>
      <c r="G930" s="614"/>
      <c r="I930" s="610"/>
      <c r="N930" s="610"/>
    </row>
    <row r="931" spans="2:21" s="609" customFormat="1">
      <c r="B931" s="613"/>
      <c r="C931" s="610"/>
      <c r="D931" s="610"/>
      <c r="E931" s="612"/>
      <c r="F931" s="614"/>
      <c r="G931" s="614"/>
      <c r="I931" s="610"/>
      <c r="N931" s="610"/>
    </row>
    <row r="932" spans="2:21" s="609" customFormat="1">
      <c r="B932" s="613"/>
      <c r="C932" s="610"/>
      <c r="D932" s="610"/>
      <c r="E932" s="612"/>
      <c r="F932" s="614"/>
      <c r="G932" s="614"/>
      <c r="I932" s="610"/>
      <c r="N932" s="610"/>
    </row>
    <row r="933" spans="2:21" s="609" customFormat="1">
      <c r="B933" s="613"/>
      <c r="C933" s="610"/>
      <c r="D933" s="610"/>
      <c r="E933" s="612"/>
      <c r="F933" s="614"/>
      <c r="G933" s="614"/>
      <c r="I933" s="610"/>
      <c r="N933" s="610"/>
    </row>
    <row r="934" spans="2:21" s="609" customFormat="1">
      <c r="B934" s="613"/>
      <c r="C934" s="610"/>
      <c r="D934" s="610"/>
      <c r="E934" s="612"/>
      <c r="F934" s="614"/>
      <c r="G934" s="614"/>
      <c r="I934" s="610"/>
      <c r="N934" s="610"/>
    </row>
    <row r="935" spans="2:21" s="609" customFormat="1">
      <c r="B935" s="613"/>
      <c r="C935" s="610"/>
      <c r="D935" s="610"/>
      <c r="E935" s="612"/>
      <c r="F935" s="614"/>
      <c r="G935" s="614"/>
      <c r="I935" s="610"/>
      <c r="N935" s="610"/>
    </row>
    <row r="936" spans="2:21" s="609" customFormat="1">
      <c r="B936" s="613"/>
      <c r="C936" s="610"/>
      <c r="D936" s="610"/>
      <c r="E936" s="612"/>
      <c r="F936" s="614"/>
      <c r="G936" s="614"/>
      <c r="I936" s="610"/>
      <c r="N936" s="610"/>
    </row>
    <row r="937" spans="2:21" s="609" customFormat="1">
      <c r="B937" s="613"/>
      <c r="C937" s="610"/>
      <c r="D937" s="610"/>
      <c r="E937" s="612"/>
      <c r="F937" s="614"/>
      <c r="G937" s="614"/>
      <c r="I937" s="610"/>
      <c r="N937" s="610"/>
    </row>
    <row r="938" spans="2:21" s="609" customFormat="1">
      <c r="B938" s="613"/>
      <c r="C938" s="610"/>
      <c r="D938" s="610"/>
      <c r="E938" s="612"/>
      <c r="F938" s="614"/>
      <c r="G938" s="614"/>
      <c r="I938" s="610"/>
      <c r="N938" s="610"/>
    </row>
    <row r="939" spans="2:21" s="609" customFormat="1">
      <c r="B939" s="613"/>
      <c r="C939" s="610"/>
      <c r="D939" s="610"/>
      <c r="E939" s="612"/>
      <c r="F939" s="614"/>
      <c r="G939" s="614"/>
      <c r="I939" s="610"/>
      <c r="N939" s="610"/>
    </row>
    <row r="940" spans="2:21" s="609" customFormat="1">
      <c r="B940" s="613"/>
      <c r="C940" s="610"/>
      <c r="D940" s="610"/>
      <c r="E940" s="612"/>
      <c r="F940" s="614"/>
      <c r="G940" s="614"/>
      <c r="I940" s="610"/>
      <c r="N940" s="610"/>
    </row>
    <row r="941" spans="2:21" s="609" customFormat="1">
      <c r="B941" s="613"/>
      <c r="C941" s="610"/>
      <c r="D941" s="610"/>
      <c r="E941" s="612"/>
      <c r="F941" s="614"/>
      <c r="G941" s="614"/>
      <c r="I941" s="610"/>
      <c r="N941" s="610"/>
    </row>
    <row r="942" spans="2:21" s="609" customFormat="1">
      <c r="B942" s="613"/>
      <c r="C942" s="610"/>
      <c r="D942" s="610"/>
      <c r="E942" s="612"/>
      <c r="F942" s="614"/>
      <c r="G942" s="614"/>
      <c r="I942" s="610"/>
      <c r="N942" s="610"/>
    </row>
    <row r="943" spans="2:21" s="609" customFormat="1">
      <c r="B943" s="613"/>
      <c r="C943" s="610"/>
      <c r="D943" s="610"/>
      <c r="E943" s="612"/>
      <c r="F943" s="614"/>
      <c r="G943" s="614"/>
      <c r="I943" s="610"/>
      <c r="N943" s="610"/>
    </row>
    <row r="944" spans="2:21" s="609" customFormat="1">
      <c r="B944" s="613"/>
      <c r="C944" s="610"/>
      <c r="D944" s="610"/>
      <c r="E944" s="612"/>
      <c r="F944" s="614"/>
      <c r="G944" s="614"/>
      <c r="I944" s="610"/>
      <c r="N944" s="610"/>
    </row>
    <row r="945" spans="2:14" s="609" customFormat="1">
      <c r="B945" s="613"/>
      <c r="C945" s="610"/>
      <c r="D945" s="610"/>
      <c r="E945" s="612"/>
      <c r="F945" s="614"/>
      <c r="G945" s="614"/>
      <c r="I945" s="610"/>
      <c r="N945" s="610"/>
    </row>
    <row r="946" spans="2:14" s="609" customFormat="1">
      <c r="B946" s="613"/>
      <c r="C946" s="610"/>
      <c r="D946" s="610"/>
      <c r="E946" s="612"/>
      <c r="F946" s="614"/>
      <c r="G946" s="614"/>
      <c r="I946" s="610"/>
      <c r="N946" s="610"/>
    </row>
    <row r="947" spans="2:14" s="609" customFormat="1">
      <c r="B947" s="613"/>
      <c r="C947" s="610"/>
      <c r="D947" s="610"/>
      <c r="E947" s="612"/>
      <c r="F947" s="614"/>
      <c r="G947" s="614"/>
      <c r="I947" s="610"/>
      <c r="N947" s="610"/>
    </row>
    <row r="948" spans="2:14" s="609" customFormat="1">
      <c r="B948" s="613"/>
      <c r="C948" s="610"/>
      <c r="D948" s="610"/>
      <c r="E948" s="612"/>
      <c r="F948" s="614"/>
      <c r="G948" s="614"/>
      <c r="I948" s="610"/>
      <c r="N948" s="610"/>
    </row>
    <row r="949" spans="2:14" s="609" customFormat="1">
      <c r="B949" s="613"/>
      <c r="C949" s="610"/>
      <c r="D949" s="610"/>
      <c r="E949" s="612"/>
      <c r="F949" s="614"/>
      <c r="G949" s="614"/>
      <c r="I949" s="610"/>
      <c r="N949" s="610"/>
    </row>
    <row r="950" spans="2:14" s="609" customFormat="1">
      <c r="B950" s="613"/>
      <c r="C950" s="610"/>
      <c r="D950" s="610"/>
      <c r="E950" s="612"/>
      <c r="F950" s="614"/>
      <c r="G950" s="614"/>
      <c r="I950" s="610"/>
      <c r="N950" s="610"/>
    </row>
    <row r="951" spans="2:14" s="609" customFormat="1">
      <c r="B951" s="613"/>
      <c r="C951" s="610"/>
      <c r="D951" s="610"/>
      <c r="E951" s="612"/>
      <c r="F951" s="614"/>
      <c r="G951" s="614"/>
      <c r="I951" s="610"/>
      <c r="N951" s="610"/>
    </row>
    <row r="952" spans="2:14" s="609" customFormat="1">
      <c r="B952" s="613"/>
      <c r="C952" s="610"/>
      <c r="D952" s="610"/>
      <c r="E952" s="612"/>
      <c r="F952" s="614"/>
      <c r="G952" s="614"/>
      <c r="I952" s="610"/>
      <c r="N952" s="610"/>
    </row>
    <row r="953" spans="2:14" s="609" customFormat="1">
      <c r="B953" s="613"/>
      <c r="C953" s="610"/>
      <c r="D953" s="610"/>
      <c r="E953" s="612"/>
      <c r="F953" s="614"/>
      <c r="G953" s="614"/>
      <c r="I953" s="610"/>
      <c r="N953" s="610"/>
    </row>
    <row r="954" spans="2:14" s="609" customFormat="1">
      <c r="B954" s="613"/>
      <c r="C954" s="610"/>
      <c r="D954" s="610"/>
      <c r="E954" s="612"/>
      <c r="F954" s="614"/>
      <c r="G954" s="614"/>
      <c r="I954" s="610"/>
      <c r="N954" s="610"/>
    </row>
    <row r="955" spans="2:14" s="609" customFormat="1">
      <c r="B955" s="613"/>
      <c r="C955" s="610"/>
      <c r="D955" s="610"/>
      <c r="E955" s="612"/>
      <c r="F955" s="614"/>
      <c r="G955" s="614"/>
      <c r="I955" s="610"/>
      <c r="N955" s="610"/>
    </row>
    <row r="956" spans="2:14" s="609" customFormat="1">
      <c r="B956" s="613"/>
      <c r="C956" s="610"/>
      <c r="D956" s="610"/>
      <c r="E956" s="612"/>
      <c r="F956" s="614"/>
      <c r="G956" s="614"/>
      <c r="I956" s="610"/>
      <c r="N956" s="610"/>
    </row>
    <row r="957" spans="2:14" s="609" customFormat="1">
      <c r="B957" s="613"/>
      <c r="C957" s="610"/>
      <c r="D957" s="610"/>
      <c r="E957" s="612"/>
      <c r="F957" s="614"/>
      <c r="G957" s="614"/>
      <c r="I957" s="610"/>
      <c r="N957" s="610"/>
    </row>
    <row r="958" spans="2:14" s="609" customFormat="1">
      <c r="B958" s="613"/>
      <c r="C958" s="610"/>
      <c r="D958" s="610"/>
      <c r="E958" s="612"/>
      <c r="F958" s="614"/>
      <c r="G958" s="614"/>
      <c r="I958" s="610"/>
      <c r="N958" s="610"/>
    </row>
    <row r="959" spans="2:14" s="609" customFormat="1">
      <c r="B959" s="613"/>
      <c r="C959" s="610"/>
      <c r="D959" s="610"/>
      <c r="E959" s="612"/>
      <c r="F959" s="614"/>
      <c r="G959" s="614"/>
      <c r="I959" s="610"/>
      <c r="N959" s="610"/>
    </row>
    <row r="960" spans="2:14" s="609" customFormat="1">
      <c r="B960" s="613"/>
      <c r="C960" s="610"/>
      <c r="D960" s="610"/>
      <c r="E960" s="612"/>
      <c r="F960" s="614"/>
      <c r="G960" s="614"/>
      <c r="I960" s="610"/>
      <c r="N960" s="610"/>
    </row>
    <row r="961" spans="2:14" s="609" customFormat="1">
      <c r="B961" s="613"/>
      <c r="C961" s="610"/>
      <c r="D961" s="610"/>
      <c r="E961" s="612"/>
      <c r="F961" s="614"/>
      <c r="G961" s="614"/>
      <c r="I961" s="610"/>
      <c r="N961" s="610"/>
    </row>
    <row r="962" spans="2:14" s="609" customFormat="1">
      <c r="B962" s="613"/>
      <c r="C962" s="610"/>
      <c r="D962" s="610"/>
      <c r="E962" s="612"/>
      <c r="F962" s="614"/>
      <c r="G962" s="614"/>
      <c r="I962" s="610"/>
      <c r="N962" s="610"/>
    </row>
    <row r="963" spans="2:14" s="609" customFormat="1">
      <c r="B963" s="613"/>
      <c r="C963" s="610"/>
      <c r="D963" s="610"/>
      <c r="E963" s="612"/>
      <c r="F963" s="614"/>
      <c r="G963" s="614"/>
      <c r="I963" s="610"/>
      <c r="N963" s="610"/>
    </row>
    <row r="964" spans="2:14" s="609" customFormat="1">
      <c r="B964" s="613"/>
      <c r="C964" s="610"/>
      <c r="D964" s="610"/>
      <c r="E964" s="612"/>
      <c r="F964" s="614"/>
      <c r="G964" s="614"/>
      <c r="I964" s="610"/>
      <c r="N964" s="610"/>
    </row>
    <row r="965" spans="2:14" s="609" customFormat="1">
      <c r="B965" s="613"/>
      <c r="C965" s="610"/>
      <c r="D965" s="610"/>
      <c r="E965" s="612"/>
      <c r="F965" s="614"/>
      <c r="G965" s="614"/>
      <c r="I965" s="610"/>
      <c r="N965" s="610"/>
    </row>
    <row r="966" spans="2:14" s="609" customFormat="1">
      <c r="B966" s="613"/>
      <c r="C966" s="610"/>
      <c r="D966" s="610"/>
      <c r="E966" s="612"/>
      <c r="F966" s="614"/>
      <c r="G966" s="614"/>
      <c r="I966" s="610"/>
      <c r="N966" s="610"/>
    </row>
    <row r="967" spans="2:14" s="609" customFormat="1">
      <c r="B967" s="613"/>
      <c r="C967" s="610"/>
      <c r="D967" s="610"/>
      <c r="E967" s="612"/>
      <c r="F967" s="614"/>
      <c r="G967" s="614"/>
      <c r="I967" s="610"/>
      <c r="N967" s="610"/>
    </row>
    <row r="968" spans="2:14" s="609" customFormat="1">
      <c r="B968" s="613"/>
      <c r="C968" s="610"/>
      <c r="D968" s="610"/>
      <c r="E968" s="612"/>
      <c r="F968" s="614"/>
      <c r="G968" s="614"/>
      <c r="I968" s="610"/>
      <c r="N968" s="610"/>
    </row>
    <row r="969" spans="2:14" s="609" customFormat="1">
      <c r="B969" s="613"/>
      <c r="C969" s="610"/>
      <c r="D969" s="610"/>
      <c r="E969" s="612"/>
      <c r="F969" s="614"/>
      <c r="G969" s="614"/>
      <c r="I969" s="610"/>
      <c r="N969" s="610"/>
    </row>
    <row r="970" spans="2:14" s="609" customFormat="1">
      <c r="B970" s="613"/>
      <c r="C970" s="610"/>
      <c r="D970" s="610"/>
      <c r="E970" s="612"/>
      <c r="F970" s="614"/>
      <c r="G970" s="614"/>
      <c r="I970" s="610"/>
      <c r="N970" s="610"/>
    </row>
    <row r="971" spans="2:14" s="609" customFormat="1">
      <c r="B971" s="613"/>
      <c r="C971" s="610"/>
      <c r="D971" s="610"/>
      <c r="E971" s="612"/>
      <c r="F971" s="614"/>
      <c r="G971" s="614"/>
      <c r="I971" s="610"/>
      <c r="N971" s="610"/>
    </row>
    <row r="972" spans="2:14" s="609" customFormat="1">
      <c r="B972" s="613"/>
      <c r="C972" s="610"/>
      <c r="D972" s="610"/>
      <c r="E972" s="612"/>
      <c r="F972" s="614"/>
      <c r="G972" s="614"/>
      <c r="I972" s="610"/>
      <c r="N972" s="610"/>
    </row>
    <row r="973" spans="2:14" s="609" customFormat="1">
      <c r="B973" s="613"/>
      <c r="C973" s="610"/>
      <c r="D973" s="610"/>
      <c r="E973" s="612"/>
      <c r="F973" s="614"/>
      <c r="G973" s="614"/>
      <c r="I973" s="610"/>
      <c r="N973" s="610"/>
    </row>
    <row r="974" spans="2:14" s="609" customFormat="1">
      <c r="B974" s="613"/>
      <c r="C974" s="610"/>
      <c r="D974" s="610"/>
      <c r="E974" s="612"/>
      <c r="F974" s="614"/>
      <c r="G974" s="614"/>
      <c r="I974" s="610"/>
      <c r="N974" s="610"/>
    </row>
    <row r="975" spans="2:14" s="609" customFormat="1">
      <c r="B975" s="613"/>
      <c r="C975" s="610"/>
      <c r="D975" s="610"/>
      <c r="E975" s="612"/>
      <c r="F975" s="614"/>
      <c r="G975" s="614"/>
      <c r="I975" s="610"/>
      <c r="N975" s="610"/>
    </row>
    <row r="976" spans="2:14" s="609" customFormat="1">
      <c r="B976" s="613"/>
      <c r="C976" s="610"/>
      <c r="D976" s="610"/>
      <c r="E976" s="612"/>
      <c r="F976" s="614"/>
      <c r="G976" s="614"/>
      <c r="I976" s="610"/>
      <c r="N976" s="610"/>
    </row>
    <row r="977" spans="2:14" s="609" customFormat="1">
      <c r="B977" s="613"/>
      <c r="C977" s="610"/>
      <c r="D977" s="610"/>
      <c r="E977" s="612"/>
      <c r="F977" s="614"/>
      <c r="G977" s="614"/>
      <c r="I977" s="610"/>
      <c r="N977" s="610"/>
    </row>
    <row r="978" spans="2:14" s="609" customFormat="1">
      <c r="B978" s="613"/>
      <c r="C978" s="610"/>
      <c r="D978" s="610"/>
      <c r="E978" s="612"/>
      <c r="F978" s="614"/>
      <c r="G978" s="614"/>
      <c r="I978" s="610"/>
      <c r="N978" s="610"/>
    </row>
    <row r="979" spans="2:14" s="609" customFormat="1">
      <c r="B979" s="613"/>
      <c r="C979" s="610"/>
      <c r="D979" s="610"/>
      <c r="E979" s="612"/>
      <c r="F979" s="614"/>
      <c r="G979" s="614"/>
      <c r="I979" s="610"/>
      <c r="N979" s="610"/>
    </row>
    <row r="980" spans="2:14" s="609" customFormat="1">
      <c r="B980" s="613"/>
      <c r="C980" s="610"/>
      <c r="D980" s="610"/>
      <c r="E980" s="612"/>
      <c r="F980" s="614"/>
      <c r="G980" s="614"/>
      <c r="I980" s="610"/>
      <c r="N980" s="610"/>
    </row>
    <row r="981" spans="2:14" s="609" customFormat="1">
      <c r="B981" s="613"/>
      <c r="C981" s="610"/>
      <c r="D981" s="610"/>
      <c r="E981" s="612"/>
      <c r="F981" s="614"/>
      <c r="G981" s="614"/>
      <c r="I981" s="610"/>
      <c r="N981" s="610"/>
    </row>
    <row r="982" spans="2:14" s="609" customFormat="1">
      <c r="B982" s="613"/>
      <c r="C982" s="610"/>
      <c r="D982" s="610"/>
      <c r="E982" s="612"/>
      <c r="F982" s="614"/>
      <c r="G982" s="614"/>
      <c r="I982" s="610"/>
      <c r="N982" s="610"/>
    </row>
    <row r="983" spans="2:14" s="609" customFormat="1">
      <c r="B983" s="613"/>
      <c r="C983" s="610"/>
      <c r="D983" s="610"/>
      <c r="E983" s="612"/>
      <c r="F983" s="614"/>
      <c r="G983" s="614"/>
      <c r="I983" s="610"/>
      <c r="N983" s="610"/>
    </row>
    <row r="984" spans="2:14" s="609" customFormat="1">
      <c r="B984" s="613"/>
      <c r="C984" s="610"/>
      <c r="D984" s="610"/>
      <c r="E984" s="612"/>
      <c r="F984" s="614"/>
      <c r="G984" s="614"/>
      <c r="I984" s="610"/>
      <c r="N984" s="610"/>
    </row>
    <row r="985" spans="2:14" s="609" customFormat="1">
      <c r="B985" s="613"/>
      <c r="C985" s="610"/>
      <c r="D985" s="610"/>
      <c r="E985" s="612"/>
      <c r="F985" s="614"/>
      <c r="G985" s="614"/>
      <c r="I985" s="610"/>
      <c r="N985" s="610"/>
    </row>
    <row r="986" spans="2:14" s="609" customFormat="1">
      <c r="B986" s="613"/>
      <c r="C986" s="610"/>
      <c r="D986" s="610"/>
      <c r="E986" s="612"/>
      <c r="F986" s="614"/>
      <c r="G986" s="614"/>
      <c r="I986" s="610"/>
      <c r="N986" s="610"/>
    </row>
    <row r="987" spans="2:14" s="609" customFormat="1">
      <c r="B987" s="613"/>
      <c r="C987" s="610"/>
      <c r="D987" s="610"/>
      <c r="E987" s="612"/>
      <c r="F987" s="614"/>
      <c r="G987" s="614"/>
      <c r="I987" s="610"/>
      <c r="N987" s="610"/>
    </row>
    <row r="988" spans="2:14" s="609" customFormat="1">
      <c r="B988" s="613"/>
      <c r="C988" s="610"/>
      <c r="D988" s="610"/>
      <c r="E988" s="612"/>
      <c r="F988" s="614"/>
      <c r="G988" s="614"/>
      <c r="I988" s="610"/>
      <c r="N988" s="610"/>
    </row>
    <row r="989" spans="2:14" s="609" customFormat="1">
      <c r="B989" s="613"/>
      <c r="C989" s="610"/>
      <c r="D989" s="610"/>
      <c r="E989" s="612"/>
      <c r="F989" s="614"/>
      <c r="G989" s="614"/>
      <c r="I989" s="610"/>
      <c r="N989" s="610"/>
    </row>
    <row r="990" spans="2:14" s="609" customFormat="1">
      <c r="B990" s="613"/>
      <c r="C990" s="610"/>
      <c r="D990" s="610"/>
      <c r="E990" s="612"/>
      <c r="F990" s="614"/>
      <c r="G990" s="614"/>
      <c r="I990" s="610"/>
      <c r="N990" s="610"/>
    </row>
    <row r="991" spans="2:14" s="609" customFormat="1">
      <c r="B991" s="613"/>
      <c r="C991" s="610"/>
      <c r="D991" s="610"/>
      <c r="E991" s="612"/>
      <c r="F991" s="614"/>
      <c r="G991" s="614"/>
      <c r="I991" s="610"/>
      <c r="N991" s="610"/>
    </row>
    <row r="992" spans="2:14" s="609" customFormat="1">
      <c r="B992" s="613"/>
      <c r="C992" s="610"/>
      <c r="D992" s="610"/>
      <c r="E992" s="612"/>
      <c r="F992" s="614"/>
      <c r="G992" s="614"/>
      <c r="I992" s="610"/>
      <c r="N992" s="610"/>
    </row>
    <row r="993" spans="2:14" s="609" customFormat="1">
      <c r="B993" s="613"/>
      <c r="C993" s="610"/>
      <c r="D993" s="610"/>
      <c r="E993" s="612"/>
      <c r="F993" s="614"/>
      <c r="G993" s="614"/>
      <c r="I993" s="610"/>
      <c r="N993" s="610"/>
    </row>
    <row r="994" spans="2:14" s="609" customFormat="1">
      <c r="B994" s="613"/>
      <c r="C994" s="610"/>
      <c r="D994" s="610"/>
      <c r="E994" s="612"/>
      <c r="F994" s="614"/>
      <c r="G994" s="614"/>
      <c r="I994" s="610"/>
      <c r="N994" s="610"/>
    </row>
    <row r="995" spans="2:14" s="609" customFormat="1">
      <c r="B995" s="613"/>
      <c r="C995" s="610"/>
      <c r="D995" s="610"/>
      <c r="E995" s="612"/>
      <c r="F995" s="614"/>
      <c r="G995" s="614"/>
      <c r="I995" s="610"/>
      <c r="N995" s="610"/>
    </row>
    <row r="996" spans="2:14" s="609" customFormat="1">
      <c r="B996" s="613"/>
      <c r="C996" s="610"/>
      <c r="D996" s="610"/>
      <c r="E996" s="612"/>
      <c r="F996" s="614"/>
      <c r="G996" s="614"/>
      <c r="I996" s="610"/>
      <c r="N996" s="610"/>
    </row>
    <row r="997" spans="2:14" s="609" customFormat="1">
      <c r="B997" s="613"/>
      <c r="C997" s="610"/>
      <c r="D997" s="610"/>
      <c r="E997" s="612"/>
      <c r="F997" s="614"/>
      <c r="G997" s="614"/>
      <c r="I997" s="610"/>
      <c r="N997" s="610"/>
    </row>
    <row r="998" spans="2:14" s="609" customFormat="1">
      <c r="B998" s="613"/>
      <c r="C998" s="610"/>
      <c r="D998" s="610"/>
      <c r="E998" s="612"/>
      <c r="F998" s="614"/>
      <c r="G998" s="614"/>
      <c r="I998" s="610"/>
      <c r="N998" s="610"/>
    </row>
    <row r="999" spans="2:14" s="609" customFormat="1">
      <c r="B999" s="613"/>
      <c r="C999" s="610"/>
      <c r="D999" s="610"/>
      <c r="E999" s="612"/>
      <c r="F999" s="614"/>
      <c r="G999" s="614"/>
      <c r="I999" s="610"/>
      <c r="N999" s="610"/>
    </row>
    <row r="1000" spans="2:14" s="609" customFormat="1">
      <c r="B1000" s="613"/>
      <c r="C1000" s="610"/>
      <c r="D1000" s="610"/>
      <c r="E1000" s="612"/>
      <c r="F1000" s="614"/>
      <c r="G1000" s="614"/>
      <c r="I1000" s="610"/>
      <c r="N1000" s="610"/>
    </row>
    <row r="1001" spans="2:14" s="609" customFormat="1">
      <c r="B1001" s="613"/>
      <c r="C1001" s="610"/>
      <c r="D1001" s="610"/>
      <c r="E1001" s="612"/>
      <c r="F1001" s="614"/>
      <c r="G1001" s="614"/>
      <c r="I1001" s="610"/>
      <c r="N1001" s="610"/>
    </row>
    <row r="1002" spans="2:14" s="609" customFormat="1">
      <c r="B1002" s="613"/>
      <c r="C1002" s="610"/>
      <c r="D1002" s="610"/>
      <c r="E1002" s="612"/>
      <c r="F1002" s="614"/>
      <c r="G1002" s="614"/>
      <c r="I1002" s="610"/>
      <c r="N1002" s="610"/>
    </row>
    <row r="1003" spans="2:14" s="609" customFormat="1">
      <c r="B1003" s="613"/>
      <c r="C1003" s="610"/>
      <c r="D1003" s="610"/>
      <c r="E1003" s="612"/>
      <c r="F1003" s="614"/>
      <c r="G1003" s="614"/>
      <c r="I1003" s="610"/>
      <c r="N1003" s="610"/>
    </row>
    <row r="1004" spans="2:14" s="609" customFormat="1">
      <c r="B1004" s="613"/>
      <c r="C1004" s="610"/>
      <c r="D1004" s="610"/>
      <c r="E1004" s="612"/>
      <c r="F1004" s="614"/>
      <c r="G1004" s="614"/>
      <c r="I1004" s="610"/>
      <c r="N1004" s="610"/>
    </row>
    <row r="1005" spans="2:14" s="609" customFormat="1">
      <c r="B1005" s="613"/>
      <c r="C1005" s="610"/>
      <c r="D1005" s="610"/>
      <c r="E1005" s="612"/>
      <c r="F1005" s="614"/>
      <c r="G1005" s="614"/>
      <c r="I1005" s="610"/>
      <c r="N1005" s="610"/>
    </row>
    <row r="1006" spans="2:14" s="609" customFormat="1">
      <c r="B1006" s="613"/>
      <c r="C1006" s="610"/>
      <c r="D1006" s="610"/>
      <c r="E1006" s="612"/>
      <c r="F1006" s="614"/>
      <c r="G1006" s="614"/>
      <c r="I1006" s="610"/>
      <c r="N1006" s="610"/>
    </row>
    <row r="1007" spans="2:14" s="609" customFormat="1">
      <c r="B1007" s="613"/>
      <c r="C1007" s="610"/>
      <c r="D1007" s="610"/>
      <c r="E1007" s="612"/>
      <c r="F1007" s="614"/>
      <c r="G1007" s="614"/>
      <c r="I1007" s="610"/>
      <c r="N1007" s="610"/>
    </row>
    <row r="1008" spans="2:14" s="609" customFormat="1">
      <c r="B1008" s="613"/>
      <c r="C1008" s="610"/>
      <c r="D1008" s="610"/>
      <c r="E1008" s="612"/>
      <c r="F1008" s="614"/>
      <c r="G1008" s="614"/>
      <c r="I1008" s="610"/>
      <c r="N1008" s="610"/>
    </row>
    <row r="1009" spans="2:14" s="609" customFormat="1">
      <c r="B1009" s="613"/>
      <c r="C1009" s="610"/>
      <c r="D1009" s="610"/>
      <c r="E1009" s="612"/>
      <c r="F1009" s="614"/>
      <c r="G1009" s="614"/>
      <c r="I1009" s="610"/>
      <c r="N1009" s="610"/>
    </row>
    <row r="1010" spans="2:14" s="609" customFormat="1">
      <c r="B1010" s="613"/>
      <c r="C1010" s="610"/>
      <c r="D1010" s="610"/>
      <c r="E1010" s="612"/>
      <c r="F1010" s="614"/>
      <c r="G1010" s="614"/>
      <c r="I1010" s="610"/>
      <c r="N1010" s="610"/>
    </row>
    <row r="1011" spans="2:14" s="609" customFormat="1">
      <c r="B1011" s="613"/>
      <c r="C1011" s="610"/>
      <c r="D1011" s="610"/>
      <c r="E1011" s="612"/>
      <c r="F1011" s="614"/>
      <c r="G1011" s="614"/>
      <c r="I1011" s="610"/>
      <c r="N1011" s="610"/>
    </row>
    <row r="1012" spans="2:14" s="609" customFormat="1">
      <c r="B1012" s="613"/>
      <c r="C1012" s="610"/>
      <c r="D1012" s="610"/>
      <c r="E1012" s="612"/>
      <c r="F1012" s="614"/>
      <c r="G1012" s="614"/>
      <c r="I1012" s="610"/>
      <c r="N1012" s="610"/>
    </row>
    <row r="1013" spans="2:14" s="609" customFormat="1">
      <c r="B1013" s="613"/>
      <c r="C1013" s="610"/>
      <c r="D1013" s="610"/>
      <c r="E1013" s="612"/>
      <c r="F1013" s="614"/>
      <c r="G1013" s="614"/>
      <c r="I1013" s="610"/>
      <c r="N1013" s="610"/>
    </row>
    <row r="1014" spans="2:14" s="609" customFormat="1">
      <c r="B1014" s="613"/>
      <c r="C1014" s="610"/>
      <c r="D1014" s="610"/>
      <c r="E1014" s="612"/>
      <c r="F1014" s="614"/>
      <c r="G1014" s="614"/>
      <c r="I1014" s="610"/>
      <c r="N1014" s="610"/>
    </row>
    <row r="1015" spans="2:14" s="609" customFormat="1">
      <c r="B1015" s="613"/>
      <c r="C1015" s="610"/>
      <c r="D1015" s="610"/>
      <c r="E1015" s="612"/>
      <c r="F1015" s="614"/>
      <c r="G1015" s="614"/>
      <c r="I1015" s="610"/>
      <c r="N1015" s="610"/>
    </row>
    <row r="1016" spans="2:14" s="609" customFormat="1">
      <c r="B1016" s="613"/>
      <c r="C1016" s="610"/>
      <c r="D1016" s="610"/>
      <c r="E1016" s="612"/>
      <c r="F1016" s="614"/>
      <c r="G1016" s="614"/>
      <c r="I1016" s="610"/>
      <c r="N1016" s="610"/>
    </row>
    <row r="1017" spans="2:14" s="609" customFormat="1">
      <c r="B1017" s="613"/>
      <c r="C1017" s="610"/>
      <c r="D1017" s="610"/>
      <c r="E1017" s="612"/>
      <c r="F1017" s="614"/>
      <c r="G1017" s="614"/>
      <c r="I1017" s="610"/>
      <c r="N1017" s="610"/>
    </row>
    <row r="1018" spans="2:14" s="609" customFormat="1">
      <c r="B1018" s="613"/>
      <c r="C1018" s="610"/>
      <c r="D1018" s="610"/>
      <c r="E1018" s="612"/>
      <c r="F1018" s="614"/>
      <c r="G1018" s="614"/>
      <c r="I1018" s="610"/>
      <c r="N1018" s="610"/>
    </row>
    <row r="1019" spans="2:14" s="609" customFormat="1">
      <c r="B1019" s="613"/>
      <c r="C1019" s="610"/>
      <c r="D1019" s="610"/>
      <c r="E1019" s="612"/>
      <c r="F1019" s="614"/>
      <c r="G1019" s="614"/>
      <c r="I1019" s="610"/>
      <c r="N1019" s="610"/>
    </row>
    <row r="1020" spans="2:14" s="609" customFormat="1">
      <c r="B1020" s="613"/>
      <c r="C1020" s="610"/>
      <c r="D1020" s="610"/>
      <c r="E1020" s="612"/>
      <c r="F1020" s="614"/>
      <c r="G1020" s="614"/>
      <c r="I1020" s="610"/>
      <c r="N1020" s="610"/>
    </row>
    <row r="1021" spans="2:14" s="609" customFormat="1">
      <c r="B1021" s="613"/>
      <c r="C1021" s="610"/>
      <c r="D1021" s="610"/>
      <c r="E1021" s="612"/>
      <c r="F1021" s="614"/>
      <c r="G1021" s="614"/>
      <c r="I1021" s="610"/>
      <c r="N1021" s="610"/>
    </row>
    <row r="1022" spans="2:14" s="609" customFormat="1">
      <c r="B1022" s="613"/>
      <c r="C1022" s="610"/>
      <c r="D1022" s="610"/>
      <c r="E1022" s="612"/>
      <c r="F1022" s="614"/>
      <c r="G1022" s="614"/>
      <c r="I1022" s="610"/>
      <c r="N1022" s="610"/>
    </row>
    <row r="1023" spans="2:14" s="609" customFormat="1">
      <c r="B1023" s="613"/>
      <c r="C1023" s="610"/>
      <c r="D1023" s="610"/>
      <c r="E1023" s="612"/>
      <c r="F1023" s="614"/>
      <c r="G1023" s="614"/>
      <c r="I1023" s="610"/>
      <c r="N1023" s="610"/>
    </row>
    <row r="1024" spans="2:14" s="609" customFormat="1">
      <c r="B1024" s="613"/>
      <c r="C1024" s="610"/>
      <c r="D1024" s="610"/>
      <c r="E1024" s="612"/>
      <c r="F1024" s="614"/>
      <c r="G1024" s="614"/>
      <c r="I1024" s="610"/>
      <c r="N1024" s="610"/>
    </row>
    <row r="1025" spans="2:14" s="609" customFormat="1">
      <c r="B1025" s="613"/>
      <c r="C1025" s="610"/>
      <c r="D1025" s="610"/>
      <c r="E1025" s="612"/>
      <c r="F1025" s="614"/>
      <c r="G1025" s="614"/>
      <c r="I1025" s="610"/>
      <c r="N1025" s="610"/>
    </row>
    <row r="1026" spans="2:14" s="609" customFormat="1">
      <c r="B1026" s="613"/>
      <c r="C1026" s="610"/>
      <c r="D1026" s="610"/>
      <c r="E1026" s="612"/>
      <c r="F1026" s="614"/>
      <c r="G1026" s="614"/>
      <c r="I1026" s="610"/>
      <c r="N1026" s="610"/>
    </row>
    <row r="1027" spans="2:14" s="609" customFormat="1">
      <c r="B1027" s="613"/>
      <c r="C1027" s="610"/>
      <c r="D1027" s="610"/>
      <c r="E1027" s="612"/>
      <c r="F1027" s="614"/>
      <c r="G1027" s="614"/>
      <c r="I1027" s="610"/>
      <c r="N1027" s="610"/>
    </row>
    <row r="1028" spans="2:14" s="609" customFormat="1">
      <c r="B1028" s="613"/>
      <c r="C1028" s="610"/>
      <c r="D1028" s="610"/>
      <c r="E1028" s="612"/>
      <c r="F1028" s="614"/>
      <c r="G1028" s="614"/>
      <c r="I1028" s="610"/>
      <c r="N1028" s="610"/>
    </row>
    <row r="1029" spans="2:14" s="609" customFormat="1">
      <c r="B1029" s="613"/>
      <c r="C1029" s="610"/>
      <c r="D1029" s="610"/>
      <c r="E1029" s="612"/>
      <c r="F1029" s="614"/>
      <c r="G1029" s="614"/>
      <c r="I1029" s="610"/>
      <c r="N1029" s="610"/>
    </row>
    <row r="1030" spans="2:14" s="609" customFormat="1">
      <c r="B1030" s="613"/>
      <c r="C1030" s="610"/>
      <c r="D1030" s="610"/>
      <c r="E1030" s="612"/>
      <c r="F1030" s="614"/>
      <c r="G1030" s="614"/>
      <c r="I1030" s="610"/>
      <c r="N1030" s="610"/>
    </row>
    <row r="1031" spans="2:14" s="609" customFormat="1">
      <c r="B1031" s="613"/>
      <c r="C1031" s="610"/>
      <c r="D1031" s="610"/>
      <c r="E1031" s="612"/>
      <c r="F1031" s="614"/>
      <c r="G1031" s="614"/>
      <c r="I1031" s="610"/>
      <c r="N1031" s="610"/>
    </row>
    <row r="1032" spans="2:14" s="609" customFormat="1">
      <c r="B1032" s="613"/>
      <c r="C1032" s="610"/>
      <c r="D1032" s="610"/>
      <c r="E1032" s="612"/>
      <c r="F1032" s="614"/>
      <c r="G1032" s="614"/>
      <c r="I1032" s="610"/>
      <c r="N1032" s="610"/>
    </row>
    <row r="1033" spans="2:14" s="609" customFormat="1">
      <c r="B1033" s="613"/>
      <c r="C1033" s="610"/>
      <c r="D1033" s="610"/>
      <c r="E1033" s="612"/>
      <c r="F1033" s="614"/>
      <c r="G1033" s="614"/>
      <c r="I1033" s="610"/>
      <c r="N1033" s="610"/>
    </row>
    <row r="1034" spans="2:14" s="609" customFormat="1">
      <c r="B1034" s="613"/>
      <c r="C1034" s="610"/>
      <c r="D1034" s="610"/>
      <c r="E1034" s="612"/>
      <c r="F1034" s="614"/>
      <c r="G1034" s="614"/>
      <c r="I1034" s="610"/>
      <c r="N1034" s="610"/>
    </row>
    <row r="1035" spans="2:14" s="609" customFormat="1">
      <c r="B1035" s="613"/>
      <c r="C1035" s="610"/>
      <c r="D1035" s="610"/>
      <c r="E1035" s="612"/>
      <c r="F1035" s="614"/>
      <c r="G1035" s="614"/>
      <c r="I1035" s="610"/>
      <c r="N1035" s="610"/>
    </row>
    <row r="1036" spans="2:14" s="609" customFormat="1">
      <c r="B1036" s="613"/>
      <c r="C1036" s="610"/>
      <c r="D1036" s="610"/>
      <c r="E1036" s="612"/>
      <c r="F1036" s="614"/>
      <c r="G1036" s="614"/>
      <c r="I1036" s="610"/>
      <c r="N1036" s="610"/>
    </row>
    <row r="1037" spans="2:14" s="609" customFormat="1">
      <c r="B1037" s="613"/>
      <c r="C1037" s="610"/>
      <c r="D1037" s="610"/>
      <c r="E1037" s="612"/>
      <c r="F1037" s="614"/>
      <c r="G1037" s="614"/>
      <c r="I1037" s="610"/>
      <c r="N1037" s="610"/>
    </row>
    <row r="1038" spans="2:14" s="609" customFormat="1">
      <c r="B1038" s="613"/>
      <c r="C1038" s="610"/>
      <c r="D1038" s="610"/>
      <c r="E1038" s="612"/>
      <c r="F1038" s="614"/>
      <c r="G1038" s="614"/>
      <c r="I1038" s="610"/>
      <c r="N1038" s="610"/>
    </row>
    <row r="1039" spans="2:14" s="609" customFormat="1">
      <c r="B1039" s="613"/>
      <c r="C1039" s="610"/>
      <c r="D1039" s="610"/>
      <c r="E1039" s="612"/>
      <c r="F1039" s="614"/>
      <c r="G1039" s="614"/>
      <c r="I1039" s="610"/>
      <c r="N1039" s="610"/>
    </row>
    <row r="1040" spans="2:14" s="609" customFormat="1">
      <c r="B1040" s="613"/>
      <c r="C1040" s="610"/>
      <c r="D1040" s="610"/>
      <c r="E1040" s="612"/>
      <c r="F1040" s="614"/>
      <c r="G1040" s="614"/>
      <c r="I1040" s="610"/>
      <c r="N1040" s="610"/>
    </row>
    <row r="1041" spans="2:14" s="609" customFormat="1">
      <c r="B1041" s="613"/>
      <c r="C1041" s="610"/>
      <c r="D1041" s="610"/>
      <c r="E1041" s="612"/>
      <c r="F1041" s="614"/>
      <c r="G1041" s="614"/>
      <c r="I1041" s="610"/>
      <c r="N1041" s="610"/>
    </row>
    <row r="1042" spans="2:14" s="609" customFormat="1">
      <c r="B1042" s="613"/>
      <c r="C1042" s="610"/>
      <c r="D1042" s="610"/>
      <c r="E1042" s="612"/>
      <c r="F1042" s="614"/>
      <c r="G1042" s="614"/>
      <c r="I1042" s="610"/>
      <c r="N1042" s="610"/>
    </row>
    <row r="1043" spans="2:14" s="609" customFormat="1">
      <c r="B1043" s="613"/>
      <c r="C1043" s="610"/>
      <c r="D1043" s="610"/>
      <c r="E1043" s="612"/>
      <c r="F1043" s="614"/>
      <c r="G1043" s="614"/>
      <c r="I1043" s="610"/>
      <c r="N1043" s="610"/>
    </row>
    <row r="1044" spans="2:14" s="609" customFormat="1">
      <c r="B1044" s="613"/>
      <c r="C1044" s="610"/>
      <c r="D1044" s="610"/>
      <c r="E1044" s="612"/>
      <c r="F1044" s="614"/>
      <c r="G1044" s="614"/>
      <c r="I1044" s="610"/>
      <c r="N1044" s="610"/>
    </row>
    <row r="1045" spans="2:14" s="609" customFormat="1">
      <c r="B1045" s="613"/>
      <c r="C1045" s="610"/>
      <c r="D1045" s="610"/>
      <c r="E1045" s="612"/>
      <c r="F1045" s="614"/>
      <c r="G1045" s="614"/>
      <c r="I1045" s="610"/>
      <c r="N1045" s="610"/>
    </row>
    <row r="1046" spans="2:14" s="609" customFormat="1">
      <c r="B1046" s="613"/>
      <c r="C1046" s="610"/>
      <c r="D1046" s="610"/>
      <c r="E1046" s="612"/>
      <c r="F1046" s="614"/>
      <c r="G1046" s="614"/>
      <c r="I1046" s="610"/>
      <c r="N1046" s="610"/>
    </row>
    <row r="1047" spans="2:14" s="609" customFormat="1">
      <c r="B1047" s="613"/>
      <c r="C1047" s="610"/>
      <c r="D1047" s="610"/>
      <c r="E1047" s="612"/>
      <c r="F1047" s="614"/>
      <c r="G1047" s="614"/>
      <c r="I1047" s="610"/>
      <c r="N1047" s="610"/>
    </row>
    <row r="1048" spans="2:14" s="609" customFormat="1">
      <c r="B1048" s="613"/>
      <c r="C1048" s="610"/>
      <c r="D1048" s="610"/>
      <c r="E1048" s="612"/>
      <c r="F1048" s="614"/>
      <c r="G1048" s="614"/>
      <c r="I1048" s="610"/>
      <c r="N1048" s="610"/>
    </row>
    <row r="1049" spans="2:14" s="609" customFormat="1">
      <c r="B1049" s="613"/>
      <c r="C1049" s="610"/>
      <c r="D1049" s="610"/>
      <c r="E1049" s="612"/>
      <c r="F1049" s="614"/>
      <c r="G1049" s="614"/>
      <c r="I1049" s="610"/>
      <c r="N1049" s="610"/>
    </row>
    <row r="1050" spans="2:14" s="609" customFormat="1">
      <c r="B1050" s="613"/>
      <c r="C1050" s="610"/>
      <c r="D1050" s="610"/>
      <c r="E1050" s="612"/>
      <c r="F1050" s="614"/>
      <c r="G1050" s="614"/>
      <c r="I1050" s="610"/>
      <c r="N1050" s="610"/>
    </row>
    <row r="1051" spans="2:14" s="609" customFormat="1">
      <c r="B1051" s="613"/>
      <c r="C1051" s="610"/>
      <c r="D1051" s="610"/>
      <c r="E1051" s="612"/>
      <c r="F1051" s="614"/>
      <c r="G1051" s="614"/>
      <c r="I1051" s="610"/>
      <c r="N1051" s="610"/>
    </row>
    <row r="1052" spans="2:14" s="609" customFormat="1">
      <c r="B1052" s="613"/>
      <c r="C1052" s="610"/>
      <c r="D1052" s="610"/>
      <c r="E1052" s="612"/>
      <c r="F1052" s="614"/>
      <c r="G1052" s="614"/>
      <c r="I1052" s="610"/>
      <c r="N1052" s="610"/>
    </row>
    <row r="1053" spans="2:14" s="609" customFormat="1">
      <c r="B1053" s="613"/>
      <c r="C1053" s="610"/>
      <c r="D1053" s="610"/>
      <c r="E1053" s="612"/>
      <c r="F1053" s="614"/>
      <c r="G1053" s="614"/>
      <c r="I1053" s="610"/>
      <c r="N1053" s="610"/>
    </row>
    <row r="1054" spans="2:14" s="609" customFormat="1">
      <c r="B1054" s="613"/>
      <c r="C1054" s="610"/>
      <c r="D1054" s="610"/>
      <c r="E1054" s="612"/>
      <c r="F1054" s="614"/>
      <c r="G1054" s="614"/>
      <c r="I1054" s="610"/>
      <c r="N1054" s="610"/>
    </row>
    <row r="1055" spans="2:14" s="609" customFormat="1">
      <c r="B1055" s="613"/>
      <c r="C1055" s="610"/>
      <c r="D1055" s="610"/>
      <c r="E1055" s="612"/>
      <c r="F1055" s="614"/>
      <c r="G1055" s="614"/>
      <c r="I1055" s="610"/>
      <c r="N1055" s="610"/>
    </row>
    <row r="1056" spans="2:14" s="609" customFormat="1">
      <c r="B1056" s="613"/>
      <c r="C1056" s="610"/>
      <c r="D1056" s="610"/>
      <c r="E1056" s="612"/>
      <c r="F1056" s="614"/>
      <c r="G1056" s="614"/>
      <c r="I1056" s="610"/>
      <c r="N1056" s="610"/>
    </row>
    <row r="1057" spans="2:14" s="609" customFormat="1">
      <c r="B1057" s="613"/>
      <c r="C1057" s="610"/>
      <c r="D1057" s="610"/>
      <c r="E1057" s="612"/>
      <c r="F1057" s="614"/>
      <c r="G1057" s="614"/>
      <c r="I1057" s="610"/>
      <c r="N1057" s="610"/>
    </row>
    <row r="1058" spans="2:14" s="609" customFormat="1">
      <c r="B1058" s="613"/>
      <c r="C1058" s="610"/>
      <c r="D1058" s="610"/>
      <c r="E1058" s="612"/>
      <c r="F1058" s="614"/>
      <c r="G1058" s="614"/>
      <c r="I1058" s="610"/>
      <c r="N1058" s="610"/>
    </row>
    <row r="1059" spans="2:14" s="609" customFormat="1">
      <c r="B1059" s="613"/>
      <c r="C1059" s="610"/>
      <c r="D1059" s="610"/>
      <c r="E1059" s="612"/>
      <c r="F1059" s="614"/>
      <c r="G1059" s="614"/>
      <c r="I1059" s="610"/>
      <c r="N1059" s="610"/>
    </row>
    <row r="1060" spans="2:14" s="609" customFormat="1">
      <c r="B1060" s="613"/>
      <c r="C1060" s="610"/>
      <c r="D1060" s="610"/>
      <c r="E1060" s="612"/>
      <c r="F1060" s="614"/>
      <c r="G1060" s="614"/>
      <c r="I1060" s="610"/>
      <c r="N1060" s="610"/>
    </row>
    <row r="1061" spans="2:14" s="609" customFormat="1">
      <c r="B1061" s="613"/>
      <c r="C1061" s="610"/>
      <c r="D1061" s="610"/>
      <c r="E1061" s="612"/>
      <c r="F1061" s="614"/>
      <c r="G1061" s="614"/>
      <c r="I1061" s="610"/>
      <c r="N1061" s="610"/>
    </row>
    <row r="1062" spans="2:14" s="609" customFormat="1">
      <c r="B1062" s="613"/>
      <c r="C1062" s="610"/>
      <c r="D1062" s="610"/>
      <c r="E1062" s="612"/>
      <c r="F1062" s="614"/>
      <c r="G1062" s="614"/>
      <c r="I1062" s="610"/>
      <c r="N1062" s="610"/>
    </row>
    <row r="1063" spans="2:14" s="609" customFormat="1">
      <c r="B1063" s="613"/>
      <c r="C1063" s="610"/>
      <c r="D1063" s="610"/>
      <c r="E1063" s="612"/>
      <c r="F1063" s="614"/>
      <c r="G1063" s="614"/>
      <c r="I1063" s="610"/>
      <c r="N1063" s="610"/>
    </row>
    <row r="1064" spans="2:14" s="609" customFormat="1">
      <c r="B1064" s="613"/>
      <c r="C1064" s="610"/>
      <c r="D1064" s="610"/>
      <c r="E1064" s="612"/>
      <c r="F1064" s="614"/>
      <c r="G1064" s="614"/>
      <c r="I1064" s="610"/>
      <c r="N1064" s="610"/>
    </row>
    <row r="1065" spans="2:14" s="609" customFormat="1">
      <c r="B1065" s="613"/>
      <c r="C1065" s="610"/>
      <c r="D1065" s="610"/>
      <c r="E1065" s="612"/>
      <c r="F1065" s="614"/>
      <c r="G1065" s="614"/>
      <c r="I1065" s="610"/>
      <c r="N1065" s="610"/>
    </row>
    <row r="1066" spans="2:14" s="609" customFormat="1">
      <c r="B1066" s="613"/>
      <c r="C1066" s="610"/>
      <c r="D1066" s="610"/>
      <c r="E1066" s="612"/>
      <c r="F1066" s="614"/>
      <c r="G1066" s="614"/>
      <c r="I1066" s="610"/>
      <c r="N1066" s="610"/>
    </row>
    <row r="1067" spans="2:14" s="609" customFormat="1">
      <c r="B1067" s="613"/>
      <c r="C1067" s="610"/>
      <c r="D1067" s="610"/>
      <c r="E1067" s="612"/>
      <c r="F1067" s="614"/>
      <c r="G1067" s="614"/>
      <c r="I1067" s="610"/>
      <c r="N1067" s="610"/>
    </row>
    <row r="1068" spans="2:14" s="609" customFormat="1">
      <c r="B1068" s="613"/>
      <c r="C1068" s="610"/>
      <c r="D1068" s="610"/>
      <c r="E1068" s="612"/>
      <c r="F1068" s="614"/>
      <c r="G1068" s="614"/>
      <c r="I1068" s="610"/>
      <c r="N1068" s="610"/>
    </row>
    <row r="1069" spans="2:14" s="609" customFormat="1">
      <c r="B1069" s="613"/>
      <c r="C1069" s="610"/>
      <c r="D1069" s="610"/>
      <c r="E1069" s="612"/>
      <c r="F1069" s="614"/>
      <c r="G1069" s="614"/>
      <c r="I1069" s="610"/>
      <c r="N1069" s="610"/>
    </row>
    <row r="1070" spans="2:14" s="609" customFormat="1">
      <c r="B1070" s="613"/>
      <c r="C1070" s="610"/>
      <c r="D1070" s="610"/>
      <c r="E1070" s="612"/>
      <c r="F1070" s="614"/>
      <c r="G1070" s="614"/>
      <c r="I1070" s="610"/>
      <c r="N1070" s="610"/>
    </row>
    <row r="1071" spans="2:14" s="609" customFormat="1">
      <c r="B1071" s="613"/>
      <c r="C1071" s="610"/>
      <c r="D1071" s="610"/>
      <c r="E1071" s="612"/>
      <c r="F1071" s="614"/>
      <c r="G1071" s="614"/>
      <c r="I1071" s="610"/>
      <c r="N1071" s="610"/>
    </row>
    <row r="1072" spans="2:14" s="609" customFormat="1">
      <c r="B1072" s="613"/>
      <c r="C1072" s="610"/>
      <c r="D1072" s="610"/>
      <c r="E1072" s="612"/>
      <c r="F1072" s="614"/>
      <c r="G1072" s="614"/>
      <c r="I1072" s="610"/>
      <c r="N1072" s="610"/>
    </row>
    <row r="1073" spans="2:14" s="609" customFormat="1">
      <c r="B1073" s="613"/>
      <c r="C1073" s="610"/>
      <c r="D1073" s="610"/>
      <c r="E1073" s="612"/>
      <c r="F1073" s="614"/>
      <c r="G1073" s="614"/>
      <c r="I1073" s="610"/>
      <c r="N1073" s="610"/>
    </row>
    <row r="1074" spans="2:14" s="609" customFormat="1">
      <c r="B1074" s="613"/>
      <c r="C1074" s="610"/>
      <c r="D1074" s="610"/>
      <c r="E1074" s="612"/>
      <c r="F1074" s="614"/>
      <c r="G1074" s="614"/>
      <c r="I1074" s="610"/>
      <c r="N1074" s="610"/>
    </row>
    <row r="1075" spans="2:14" s="609" customFormat="1">
      <c r="B1075" s="613"/>
      <c r="C1075" s="610"/>
      <c r="D1075" s="610"/>
      <c r="E1075" s="612"/>
      <c r="F1075" s="614"/>
      <c r="G1075" s="614"/>
      <c r="I1075" s="610"/>
      <c r="N1075" s="610"/>
    </row>
    <row r="1076" spans="2:14" s="609" customFormat="1">
      <c r="B1076" s="613"/>
      <c r="C1076" s="610"/>
      <c r="D1076" s="610"/>
      <c r="E1076" s="612"/>
      <c r="F1076" s="614"/>
      <c r="G1076" s="614"/>
      <c r="I1076" s="610"/>
      <c r="N1076" s="610"/>
    </row>
    <row r="1077" spans="2:14" s="609" customFormat="1">
      <c r="B1077" s="613"/>
      <c r="C1077" s="610"/>
      <c r="D1077" s="610"/>
      <c r="E1077" s="612"/>
      <c r="F1077" s="614"/>
      <c r="G1077" s="614"/>
      <c r="I1077" s="610"/>
      <c r="N1077" s="610"/>
    </row>
    <row r="1078" spans="2:14" s="609" customFormat="1">
      <c r="B1078" s="613"/>
      <c r="C1078" s="610"/>
      <c r="D1078" s="610"/>
      <c r="E1078" s="612"/>
      <c r="F1078" s="614"/>
      <c r="G1078" s="614"/>
      <c r="I1078" s="610"/>
      <c r="N1078" s="610"/>
    </row>
    <row r="1079" spans="2:14" s="609" customFormat="1">
      <c r="B1079" s="613"/>
      <c r="C1079" s="610"/>
      <c r="D1079" s="610"/>
      <c r="E1079" s="612"/>
      <c r="F1079" s="614"/>
      <c r="G1079" s="614"/>
      <c r="I1079" s="610"/>
      <c r="N1079" s="610"/>
    </row>
    <row r="1080" spans="2:14" s="609" customFormat="1">
      <c r="B1080" s="613"/>
      <c r="C1080" s="610"/>
      <c r="D1080" s="610"/>
      <c r="E1080" s="612"/>
      <c r="F1080" s="614"/>
      <c r="G1080" s="614"/>
      <c r="I1080" s="610"/>
      <c r="N1080" s="610"/>
    </row>
    <row r="1081" spans="2:14" s="609" customFormat="1">
      <c r="B1081" s="613"/>
      <c r="C1081" s="610"/>
      <c r="D1081" s="610"/>
      <c r="E1081" s="612"/>
      <c r="F1081" s="614"/>
      <c r="G1081" s="614"/>
      <c r="I1081" s="610"/>
      <c r="N1081" s="610"/>
    </row>
    <row r="1082" spans="2:14" s="609" customFormat="1">
      <c r="B1082" s="613"/>
      <c r="C1082" s="610"/>
      <c r="D1082" s="610"/>
      <c r="E1082" s="612"/>
      <c r="F1082" s="614"/>
      <c r="G1082" s="614"/>
      <c r="I1082" s="610"/>
      <c r="N1082" s="610"/>
    </row>
    <row r="1083" spans="2:14" s="609" customFormat="1">
      <c r="B1083" s="613"/>
      <c r="C1083" s="610"/>
      <c r="D1083" s="610"/>
      <c r="E1083" s="612"/>
      <c r="F1083" s="614"/>
      <c r="G1083" s="614"/>
      <c r="I1083" s="610"/>
      <c r="N1083" s="610"/>
    </row>
    <row r="1084" spans="2:14" s="609" customFormat="1">
      <c r="B1084" s="613"/>
      <c r="C1084" s="610"/>
      <c r="D1084" s="610"/>
      <c r="E1084" s="612"/>
      <c r="F1084" s="614"/>
      <c r="G1084" s="614"/>
      <c r="I1084" s="610"/>
      <c r="N1084" s="610"/>
    </row>
    <row r="1085" spans="2:14" s="609" customFormat="1">
      <c r="B1085" s="613"/>
      <c r="C1085" s="610"/>
      <c r="D1085" s="610"/>
      <c r="E1085" s="612"/>
      <c r="F1085" s="614"/>
      <c r="G1085" s="614"/>
      <c r="I1085" s="610"/>
      <c r="N1085" s="610"/>
    </row>
    <row r="1086" spans="2:14" s="609" customFormat="1">
      <c r="B1086" s="613"/>
      <c r="C1086" s="610"/>
      <c r="D1086" s="610"/>
      <c r="E1086" s="612"/>
      <c r="F1086" s="614"/>
      <c r="G1086" s="614"/>
      <c r="I1086" s="610"/>
      <c r="N1086" s="610"/>
    </row>
    <row r="1087" spans="2:14" s="609" customFormat="1">
      <c r="B1087" s="613"/>
      <c r="C1087" s="610"/>
      <c r="D1087" s="610"/>
      <c r="E1087" s="612"/>
      <c r="F1087" s="614"/>
      <c r="G1087" s="614"/>
      <c r="I1087" s="610"/>
      <c r="N1087" s="610"/>
    </row>
    <row r="1088" spans="2:14" s="609" customFormat="1">
      <c r="B1088" s="613"/>
      <c r="C1088" s="610"/>
      <c r="D1088" s="610"/>
      <c r="E1088" s="612"/>
      <c r="F1088" s="614"/>
      <c r="G1088" s="614"/>
      <c r="I1088" s="610"/>
      <c r="N1088" s="610"/>
    </row>
    <row r="1089" spans="2:14" s="609" customFormat="1">
      <c r="B1089" s="613"/>
      <c r="C1089" s="610"/>
      <c r="D1089" s="610"/>
      <c r="E1089" s="612"/>
      <c r="F1089" s="614"/>
      <c r="G1089" s="614"/>
      <c r="I1089" s="610"/>
      <c r="N1089" s="610"/>
    </row>
    <row r="1090" spans="2:14" s="609" customFormat="1">
      <c r="B1090" s="613"/>
      <c r="C1090" s="610"/>
      <c r="D1090" s="610"/>
      <c r="E1090" s="612"/>
      <c r="F1090" s="614"/>
      <c r="G1090" s="614"/>
      <c r="I1090" s="610"/>
      <c r="N1090" s="610"/>
    </row>
    <row r="1091" spans="2:14" s="609" customFormat="1">
      <c r="B1091" s="613"/>
      <c r="C1091" s="610"/>
      <c r="D1091" s="610"/>
      <c r="E1091" s="612"/>
      <c r="F1091" s="614"/>
      <c r="G1091" s="614"/>
      <c r="I1091" s="610"/>
      <c r="N1091" s="610"/>
    </row>
    <row r="1092" spans="2:14" s="609" customFormat="1">
      <c r="B1092" s="613"/>
      <c r="C1092" s="610"/>
      <c r="D1092" s="610"/>
      <c r="E1092" s="612"/>
      <c r="F1092" s="614"/>
      <c r="G1092" s="614"/>
      <c r="I1092" s="610"/>
      <c r="N1092" s="610"/>
    </row>
    <row r="1093" spans="2:14" s="609" customFormat="1">
      <c r="B1093" s="613"/>
      <c r="C1093" s="610"/>
      <c r="D1093" s="610"/>
      <c r="E1093" s="612"/>
      <c r="F1093" s="614"/>
      <c r="G1093" s="614"/>
      <c r="I1093" s="610"/>
      <c r="N1093" s="610"/>
    </row>
    <row r="1094" spans="2:14" s="609" customFormat="1">
      <c r="B1094" s="613"/>
      <c r="C1094" s="610"/>
      <c r="D1094" s="610"/>
      <c r="E1094" s="612"/>
      <c r="F1094" s="614"/>
      <c r="G1094" s="614"/>
      <c r="I1094" s="610"/>
      <c r="N1094" s="610"/>
    </row>
    <row r="1095" spans="2:14" s="609" customFormat="1">
      <c r="B1095" s="613"/>
      <c r="C1095" s="610"/>
      <c r="D1095" s="610"/>
      <c r="E1095" s="612"/>
      <c r="F1095" s="614"/>
      <c r="G1095" s="614"/>
      <c r="I1095" s="610"/>
      <c r="N1095" s="610"/>
    </row>
    <row r="1096" spans="2:14" s="609" customFormat="1">
      <c r="B1096" s="613"/>
      <c r="C1096" s="610"/>
      <c r="D1096" s="610"/>
      <c r="E1096" s="612"/>
      <c r="F1096" s="614"/>
      <c r="G1096" s="614"/>
      <c r="I1096" s="610"/>
      <c r="N1096" s="610"/>
    </row>
    <row r="1097" spans="2:14" s="609" customFormat="1">
      <c r="B1097" s="613"/>
      <c r="C1097" s="610"/>
      <c r="D1097" s="610"/>
      <c r="E1097" s="612"/>
      <c r="F1097" s="614"/>
      <c r="G1097" s="614"/>
      <c r="I1097" s="610"/>
      <c r="N1097" s="610"/>
    </row>
    <row r="1098" spans="2:14" s="609" customFormat="1">
      <c r="B1098" s="613"/>
      <c r="C1098" s="610"/>
      <c r="D1098" s="610"/>
      <c r="E1098" s="612"/>
      <c r="F1098" s="614"/>
      <c r="G1098" s="614"/>
      <c r="I1098" s="610"/>
      <c r="N1098" s="610"/>
    </row>
    <row r="1099" spans="2:14" s="609" customFormat="1">
      <c r="B1099" s="613"/>
      <c r="C1099" s="610"/>
      <c r="D1099" s="610"/>
      <c r="E1099" s="612"/>
      <c r="F1099" s="614"/>
      <c r="G1099" s="614"/>
      <c r="I1099" s="610"/>
      <c r="N1099" s="610"/>
    </row>
    <row r="1100" spans="2:14" s="609" customFormat="1">
      <c r="B1100" s="613"/>
      <c r="C1100" s="610"/>
      <c r="D1100" s="610"/>
      <c r="E1100" s="612"/>
      <c r="F1100" s="614"/>
      <c r="G1100" s="614"/>
      <c r="I1100" s="610"/>
      <c r="N1100" s="610"/>
    </row>
    <row r="1101" spans="2:14" s="609" customFormat="1">
      <c r="B1101" s="613"/>
      <c r="C1101" s="610"/>
      <c r="D1101" s="610"/>
      <c r="E1101" s="612"/>
      <c r="F1101" s="614"/>
      <c r="G1101" s="614"/>
      <c r="I1101" s="610"/>
      <c r="N1101" s="610"/>
    </row>
    <row r="1102" spans="2:14" s="609" customFormat="1">
      <c r="B1102" s="613"/>
      <c r="C1102" s="610"/>
      <c r="D1102" s="610"/>
      <c r="E1102" s="612"/>
      <c r="F1102" s="614"/>
      <c r="G1102" s="614"/>
      <c r="I1102" s="610"/>
      <c r="N1102" s="610"/>
    </row>
    <row r="1103" spans="2:14" s="609" customFormat="1">
      <c r="B1103" s="613"/>
      <c r="C1103" s="610"/>
      <c r="D1103" s="610"/>
      <c r="E1103" s="612"/>
      <c r="F1103" s="614"/>
      <c r="G1103" s="614"/>
      <c r="I1103" s="610"/>
      <c r="N1103" s="610"/>
    </row>
    <row r="1104" spans="2:14" s="609" customFormat="1">
      <c r="B1104" s="613"/>
      <c r="C1104" s="610"/>
      <c r="D1104" s="610"/>
      <c r="E1104" s="612"/>
      <c r="F1104" s="614"/>
      <c r="G1104" s="614"/>
      <c r="I1104" s="610"/>
      <c r="N1104" s="610"/>
    </row>
    <row r="1105" spans="2:14" s="609" customFormat="1">
      <c r="B1105" s="613"/>
      <c r="C1105" s="610"/>
      <c r="D1105" s="610"/>
      <c r="E1105" s="612"/>
      <c r="F1105" s="614"/>
      <c r="G1105" s="614"/>
      <c r="I1105" s="610"/>
      <c r="N1105" s="610"/>
    </row>
    <row r="1106" spans="2:14" s="609" customFormat="1">
      <c r="B1106" s="613"/>
      <c r="C1106" s="610"/>
      <c r="D1106" s="610"/>
      <c r="E1106" s="612"/>
      <c r="F1106" s="614"/>
      <c r="G1106" s="614"/>
      <c r="I1106" s="610"/>
      <c r="N1106" s="610"/>
    </row>
    <row r="1107" spans="2:14" s="609" customFormat="1">
      <c r="B1107" s="613"/>
      <c r="C1107" s="610"/>
      <c r="D1107" s="610"/>
      <c r="E1107" s="612"/>
      <c r="F1107" s="614"/>
      <c r="G1107" s="614"/>
      <c r="I1107" s="610"/>
      <c r="N1107" s="610"/>
    </row>
    <row r="1108" spans="2:14" s="609" customFormat="1">
      <c r="B1108" s="613"/>
      <c r="C1108" s="610"/>
      <c r="D1108" s="610"/>
      <c r="E1108" s="612"/>
      <c r="F1108" s="614"/>
      <c r="G1108" s="614"/>
      <c r="I1108" s="610"/>
      <c r="N1108" s="610"/>
    </row>
    <row r="1109" spans="2:14" s="609" customFormat="1">
      <c r="B1109" s="613"/>
      <c r="C1109" s="610"/>
      <c r="D1109" s="610"/>
      <c r="E1109" s="612"/>
      <c r="F1109" s="614"/>
      <c r="G1109" s="614"/>
      <c r="I1109" s="610"/>
      <c r="N1109" s="610"/>
    </row>
    <row r="1110" spans="2:14" s="609" customFormat="1">
      <c r="B1110" s="613"/>
      <c r="C1110" s="610"/>
      <c r="D1110" s="610"/>
      <c r="E1110" s="612"/>
      <c r="F1110" s="614"/>
      <c r="G1110" s="614"/>
      <c r="I1110" s="610"/>
      <c r="N1110" s="610"/>
    </row>
    <row r="1111" spans="2:14" s="609" customFormat="1">
      <c r="B1111" s="613"/>
      <c r="C1111" s="610"/>
      <c r="D1111" s="610"/>
      <c r="E1111" s="612"/>
      <c r="F1111" s="614"/>
      <c r="G1111" s="614"/>
      <c r="I1111" s="610"/>
      <c r="N1111" s="610"/>
    </row>
    <row r="1112" spans="2:14" s="609" customFormat="1">
      <c r="B1112" s="613"/>
      <c r="C1112" s="610"/>
      <c r="D1112" s="610"/>
      <c r="E1112" s="612"/>
      <c r="F1112" s="614"/>
      <c r="G1112" s="614"/>
      <c r="I1112" s="610"/>
      <c r="N1112" s="610"/>
    </row>
    <row r="1113" spans="2:14" s="609" customFormat="1">
      <c r="B1113" s="613"/>
      <c r="C1113" s="610"/>
      <c r="D1113" s="610"/>
      <c r="E1113" s="612"/>
      <c r="F1113" s="614"/>
      <c r="G1113" s="614"/>
      <c r="I1113" s="610"/>
      <c r="N1113" s="610"/>
    </row>
    <row r="1114" spans="2:14" s="609" customFormat="1">
      <c r="B1114" s="613"/>
      <c r="C1114" s="610"/>
      <c r="D1114" s="610"/>
      <c r="E1114" s="612"/>
      <c r="F1114" s="614"/>
      <c r="G1114" s="614"/>
      <c r="I1114" s="610"/>
      <c r="N1114" s="610"/>
    </row>
    <row r="1115" spans="2:14" s="609" customFormat="1">
      <c r="B1115" s="613"/>
      <c r="C1115" s="610"/>
      <c r="D1115" s="610"/>
      <c r="E1115" s="612"/>
      <c r="F1115" s="614"/>
      <c r="G1115" s="614"/>
      <c r="I1115" s="610"/>
      <c r="N1115" s="610"/>
    </row>
    <row r="1116" spans="2:14" s="609" customFormat="1">
      <c r="B1116" s="613"/>
      <c r="C1116" s="610"/>
      <c r="D1116" s="610"/>
      <c r="E1116" s="612"/>
      <c r="F1116" s="614"/>
      <c r="G1116" s="614"/>
      <c r="I1116" s="610"/>
      <c r="N1116" s="610"/>
    </row>
    <row r="1117" spans="2:14" s="609" customFormat="1">
      <c r="B1117" s="613"/>
      <c r="C1117" s="610"/>
      <c r="D1117" s="610"/>
      <c r="E1117" s="612"/>
      <c r="F1117" s="614"/>
      <c r="G1117" s="614"/>
      <c r="I1117" s="610"/>
      <c r="N1117" s="610"/>
    </row>
    <row r="1118" spans="2:14" s="609" customFormat="1">
      <c r="B1118" s="613"/>
      <c r="C1118" s="610"/>
      <c r="D1118" s="610"/>
      <c r="E1118" s="612"/>
      <c r="F1118" s="614"/>
      <c r="G1118" s="614"/>
      <c r="I1118" s="610"/>
      <c r="N1118" s="610"/>
    </row>
    <row r="1119" spans="2:14" s="609" customFormat="1">
      <c r="B1119" s="613"/>
      <c r="C1119" s="610"/>
      <c r="D1119" s="610"/>
      <c r="E1119" s="612"/>
      <c r="F1119" s="614"/>
      <c r="G1119" s="614"/>
      <c r="I1119" s="610"/>
      <c r="N1119" s="610"/>
    </row>
    <row r="1120" spans="2:14" s="609" customFormat="1">
      <c r="B1120" s="613"/>
      <c r="C1120" s="610"/>
      <c r="D1120" s="610"/>
      <c r="E1120" s="612"/>
      <c r="F1120" s="614"/>
      <c r="G1120" s="614"/>
      <c r="I1120" s="610"/>
      <c r="N1120" s="610"/>
    </row>
    <row r="1121" spans="2:14" s="609" customFormat="1">
      <c r="B1121" s="613"/>
      <c r="C1121" s="610"/>
      <c r="D1121" s="610"/>
      <c r="E1121" s="612"/>
      <c r="F1121" s="614"/>
      <c r="G1121" s="614"/>
      <c r="I1121" s="610"/>
      <c r="N1121" s="610"/>
    </row>
    <row r="1122" spans="2:14" s="609" customFormat="1">
      <c r="B1122" s="613"/>
      <c r="C1122" s="610"/>
      <c r="D1122" s="610"/>
      <c r="E1122" s="612"/>
      <c r="F1122" s="614"/>
      <c r="G1122" s="614"/>
      <c r="I1122" s="610"/>
      <c r="N1122" s="610"/>
    </row>
    <row r="1123" spans="2:14" s="609" customFormat="1">
      <c r="B1123" s="613"/>
      <c r="C1123" s="610"/>
      <c r="D1123" s="610"/>
      <c r="E1123" s="612"/>
      <c r="F1123" s="614"/>
      <c r="G1123" s="614"/>
      <c r="I1123" s="610"/>
      <c r="N1123" s="610"/>
    </row>
    <row r="1124" spans="2:14" s="609" customFormat="1">
      <c r="B1124" s="613"/>
      <c r="C1124" s="610"/>
      <c r="D1124" s="610"/>
      <c r="E1124" s="612"/>
      <c r="F1124" s="614"/>
      <c r="G1124" s="614"/>
      <c r="I1124" s="610"/>
      <c r="N1124" s="610"/>
    </row>
    <row r="1125" spans="2:14" s="609" customFormat="1">
      <c r="B1125" s="613"/>
      <c r="C1125" s="610"/>
      <c r="D1125" s="610"/>
      <c r="E1125" s="612"/>
      <c r="F1125" s="614"/>
      <c r="G1125" s="614"/>
      <c r="I1125" s="610"/>
      <c r="N1125" s="610"/>
    </row>
    <row r="1126" spans="2:14" s="609" customFormat="1">
      <c r="B1126" s="613"/>
      <c r="C1126" s="610"/>
      <c r="D1126" s="610"/>
      <c r="E1126" s="612"/>
      <c r="F1126" s="614"/>
      <c r="G1126" s="614"/>
      <c r="I1126" s="610"/>
      <c r="N1126" s="610"/>
    </row>
    <row r="1127" spans="2:14" s="609" customFormat="1">
      <c r="B1127" s="613"/>
      <c r="C1127" s="610"/>
      <c r="D1127" s="610"/>
      <c r="E1127" s="612"/>
      <c r="F1127" s="611"/>
      <c r="G1127" s="611"/>
      <c r="I1127" s="610"/>
      <c r="N1127" s="610"/>
    </row>
    <row r="1128" spans="2:14" s="609" customFormat="1">
      <c r="B1128" s="613"/>
      <c r="C1128" s="610"/>
      <c r="D1128" s="610"/>
      <c r="E1128" s="612"/>
      <c r="F1128" s="611"/>
      <c r="G1128" s="611"/>
      <c r="I1128" s="610"/>
      <c r="N1128" s="610"/>
    </row>
    <row r="1129" spans="2:14" s="609" customFormat="1">
      <c r="B1129" s="613"/>
      <c r="C1129" s="610"/>
      <c r="D1129" s="610"/>
      <c r="E1129" s="612"/>
      <c r="F1129" s="611"/>
      <c r="G1129" s="611"/>
      <c r="I1129" s="610"/>
      <c r="N1129" s="610"/>
    </row>
    <row r="1130" spans="2:14" s="609" customFormat="1">
      <c r="B1130" s="613"/>
      <c r="C1130" s="610"/>
      <c r="D1130" s="610"/>
      <c r="E1130" s="612"/>
      <c r="F1130" s="611"/>
      <c r="G1130" s="611"/>
      <c r="I1130" s="610"/>
      <c r="N1130" s="610"/>
    </row>
    <row r="1131" spans="2:14" s="609" customFormat="1">
      <c r="B1131" s="613"/>
      <c r="C1131" s="610"/>
      <c r="D1131" s="610"/>
      <c r="E1131" s="612"/>
      <c r="F1131" s="611"/>
      <c r="G1131" s="611"/>
      <c r="I1131" s="610"/>
      <c r="N1131" s="610"/>
    </row>
    <row r="1132" spans="2:14" s="609" customFormat="1">
      <c r="B1132" s="613"/>
      <c r="C1132" s="610"/>
      <c r="D1132" s="610"/>
      <c r="E1132" s="612"/>
      <c r="F1132" s="611"/>
      <c r="G1132" s="611"/>
      <c r="I1132" s="610"/>
      <c r="N1132" s="610"/>
    </row>
    <row r="1133" spans="2:14" s="609" customFormat="1">
      <c r="B1133" s="613"/>
      <c r="C1133" s="610"/>
      <c r="D1133" s="610"/>
      <c r="E1133" s="612"/>
      <c r="F1133" s="611"/>
      <c r="G1133" s="611"/>
      <c r="I1133" s="610"/>
      <c r="N1133" s="610"/>
    </row>
    <row r="1134" spans="2:14" s="609" customFormat="1">
      <c r="B1134" s="613"/>
      <c r="C1134" s="610"/>
      <c r="D1134" s="610"/>
      <c r="E1134" s="612"/>
      <c r="F1134" s="611"/>
      <c r="G1134" s="611"/>
      <c r="I1134" s="610"/>
      <c r="N1134" s="610"/>
    </row>
    <row r="1135" spans="2:14" s="609" customFormat="1">
      <c r="B1135" s="613"/>
      <c r="C1135" s="610"/>
      <c r="D1135" s="610"/>
      <c r="E1135" s="612"/>
      <c r="F1135" s="611"/>
      <c r="G1135" s="611"/>
      <c r="I1135" s="610"/>
      <c r="N1135" s="610"/>
    </row>
    <row r="1136" spans="2:14" s="609" customFormat="1">
      <c r="B1136" s="613"/>
      <c r="C1136" s="610"/>
      <c r="D1136" s="610"/>
      <c r="E1136" s="612"/>
      <c r="F1136" s="611"/>
      <c r="G1136" s="611"/>
      <c r="I1136" s="610"/>
      <c r="N1136" s="610"/>
    </row>
    <row r="1137" spans="2:14" s="609" customFormat="1">
      <c r="B1137" s="613"/>
      <c r="C1137" s="610"/>
      <c r="D1137" s="610"/>
      <c r="E1137" s="612"/>
      <c r="F1137" s="611"/>
      <c r="G1137" s="611"/>
      <c r="I1137" s="610"/>
      <c r="N1137" s="610"/>
    </row>
    <row r="1138" spans="2:14" s="609" customFormat="1">
      <c r="B1138" s="613"/>
      <c r="C1138" s="610"/>
      <c r="D1138" s="610"/>
      <c r="E1138" s="612"/>
      <c r="F1138" s="611"/>
      <c r="G1138" s="611"/>
      <c r="I1138" s="610"/>
      <c r="N1138" s="610"/>
    </row>
    <row r="1139" spans="2:14" s="609" customFormat="1">
      <c r="B1139" s="613"/>
      <c r="C1139" s="610"/>
      <c r="D1139" s="610"/>
      <c r="E1139" s="612"/>
      <c r="F1139" s="611"/>
      <c r="G1139" s="611"/>
      <c r="I1139" s="610"/>
      <c r="N1139" s="610"/>
    </row>
    <row r="1140" spans="2:14" s="609" customFormat="1">
      <c r="B1140" s="613"/>
      <c r="C1140" s="610"/>
      <c r="D1140" s="610"/>
      <c r="E1140" s="612"/>
      <c r="F1140" s="611"/>
      <c r="G1140" s="611"/>
      <c r="I1140" s="610"/>
      <c r="N1140" s="610"/>
    </row>
    <row r="1141" spans="2:14" s="609" customFormat="1">
      <c r="B1141" s="613"/>
      <c r="C1141" s="610"/>
      <c r="D1141" s="610"/>
      <c r="E1141" s="612"/>
      <c r="F1141" s="611"/>
      <c r="G1141" s="611"/>
      <c r="I1141" s="610"/>
      <c r="N1141" s="610"/>
    </row>
    <row r="1142" spans="2:14" s="609" customFormat="1">
      <c r="B1142" s="613"/>
      <c r="C1142" s="610"/>
      <c r="D1142" s="610"/>
      <c r="E1142" s="612"/>
      <c r="F1142" s="611"/>
      <c r="G1142" s="611"/>
      <c r="I1142" s="610"/>
      <c r="N1142" s="610"/>
    </row>
    <row r="1143" spans="2:14" s="609" customFormat="1">
      <c r="B1143" s="613"/>
      <c r="C1143" s="610"/>
      <c r="D1143" s="610"/>
      <c r="E1143" s="612"/>
      <c r="F1143" s="611"/>
      <c r="G1143" s="611"/>
      <c r="I1143" s="610"/>
      <c r="N1143" s="610"/>
    </row>
    <row r="1144" spans="2:14" s="609" customFormat="1">
      <c r="B1144" s="613"/>
      <c r="C1144" s="610"/>
      <c r="D1144" s="610"/>
      <c r="E1144" s="612"/>
      <c r="F1144" s="611"/>
      <c r="G1144" s="611"/>
      <c r="I1144" s="610"/>
      <c r="N1144" s="610"/>
    </row>
    <row r="1145" spans="2:14" s="609" customFormat="1">
      <c r="B1145" s="613"/>
      <c r="C1145" s="610"/>
      <c r="D1145" s="610"/>
      <c r="E1145" s="612"/>
      <c r="F1145" s="611"/>
      <c r="G1145" s="611"/>
      <c r="I1145" s="610"/>
      <c r="N1145" s="610"/>
    </row>
    <row r="1146" spans="2:14" s="609" customFormat="1">
      <c r="B1146" s="613"/>
      <c r="C1146" s="610"/>
      <c r="D1146" s="610"/>
      <c r="E1146" s="612"/>
      <c r="F1146" s="611"/>
      <c r="G1146" s="611"/>
      <c r="I1146" s="610"/>
      <c r="N1146" s="610"/>
    </row>
    <row r="1147" spans="2:14" s="609" customFormat="1">
      <c r="B1147" s="613"/>
      <c r="C1147" s="610"/>
      <c r="D1147" s="610"/>
      <c r="E1147" s="612"/>
      <c r="F1147" s="611"/>
      <c r="G1147" s="611"/>
      <c r="I1147" s="610"/>
      <c r="N1147" s="610"/>
    </row>
    <row r="1148" spans="2:14" s="609" customFormat="1">
      <c r="B1148" s="613"/>
      <c r="C1148" s="610"/>
      <c r="D1148" s="610"/>
      <c r="E1148" s="612"/>
      <c r="F1148" s="611"/>
      <c r="G1148" s="611"/>
      <c r="I1148" s="610"/>
      <c r="N1148" s="610"/>
    </row>
    <row r="1149" spans="2:14" s="609" customFormat="1">
      <c r="B1149" s="613"/>
      <c r="C1149" s="610"/>
      <c r="D1149" s="610"/>
      <c r="E1149" s="612"/>
      <c r="F1149" s="611"/>
      <c r="G1149" s="611"/>
      <c r="I1149" s="610"/>
      <c r="N1149" s="610"/>
    </row>
    <row r="1150" spans="2:14" s="609" customFormat="1">
      <c r="B1150" s="613"/>
      <c r="C1150" s="610"/>
      <c r="D1150" s="610"/>
      <c r="E1150" s="612"/>
      <c r="F1150" s="611"/>
      <c r="G1150" s="611"/>
      <c r="I1150" s="610"/>
      <c r="N1150" s="610"/>
    </row>
    <row r="1151" spans="2:14" s="609" customFormat="1">
      <c r="B1151" s="613"/>
      <c r="C1151" s="610"/>
      <c r="D1151" s="610"/>
      <c r="E1151" s="612"/>
      <c r="F1151" s="611"/>
      <c r="G1151" s="611"/>
      <c r="I1151" s="610"/>
      <c r="N1151" s="610"/>
    </row>
    <row r="1152" spans="2:14" s="609" customFormat="1">
      <c r="B1152" s="613"/>
      <c r="C1152" s="610"/>
      <c r="D1152" s="610"/>
      <c r="E1152" s="612"/>
      <c r="F1152" s="611"/>
      <c r="G1152" s="611"/>
      <c r="I1152" s="610"/>
      <c r="N1152" s="610"/>
    </row>
    <row r="1153" spans="2:14" s="609" customFormat="1">
      <c r="B1153" s="613"/>
      <c r="C1153" s="610"/>
      <c r="D1153" s="610"/>
      <c r="E1153" s="612"/>
      <c r="F1153" s="611"/>
      <c r="G1153" s="611"/>
      <c r="I1153" s="610"/>
      <c r="N1153" s="610"/>
    </row>
    <row r="1154" spans="2:14" s="609" customFormat="1">
      <c r="B1154" s="613"/>
      <c r="C1154" s="610"/>
      <c r="D1154" s="610"/>
      <c r="E1154" s="612"/>
      <c r="F1154" s="611"/>
      <c r="G1154" s="611"/>
      <c r="I1154" s="610"/>
      <c r="N1154" s="610"/>
    </row>
    <row r="1155" spans="2:14" s="609" customFormat="1">
      <c r="B1155" s="613"/>
      <c r="C1155" s="610"/>
      <c r="D1155" s="610"/>
      <c r="E1155" s="612"/>
      <c r="F1155" s="611"/>
      <c r="G1155" s="611"/>
      <c r="I1155" s="610"/>
      <c r="N1155" s="610"/>
    </row>
    <row r="1156" spans="2:14" s="609" customFormat="1">
      <c r="B1156" s="613"/>
      <c r="C1156" s="610"/>
      <c r="D1156" s="610"/>
      <c r="E1156" s="612"/>
      <c r="F1156" s="611"/>
      <c r="G1156" s="611"/>
      <c r="I1156" s="610"/>
      <c r="N1156" s="610"/>
    </row>
    <row r="1157" spans="2:14" s="609" customFormat="1">
      <c r="B1157" s="613"/>
      <c r="C1157" s="610"/>
      <c r="D1157" s="610"/>
      <c r="E1157" s="612"/>
      <c r="F1157" s="611"/>
      <c r="G1157" s="611"/>
      <c r="I1157" s="610"/>
      <c r="N1157" s="610"/>
    </row>
    <row r="1158" spans="2:14" s="609" customFormat="1">
      <c r="B1158" s="613"/>
      <c r="C1158" s="610"/>
      <c r="D1158" s="610"/>
      <c r="E1158" s="612"/>
      <c r="F1158" s="611"/>
      <c r="G1158" s="611"/>
      <c r="I1158" s="610"/>
      <c r="N1158" s="610"/>
    </row>
    <row r="1159" spans="2:14" s="609" customFormat="1">
      <c r="B1159" s="613"/>
      <c r="C1159" s="610"/>
      <c r="D1159" s="610"/>
      <c r="E1159" s="612"/>
      <c r="F1159" s="611"/>
      <c r="G1159" s="611"/>
      <c r="I1159" s="610"/>
      <c r="N1159" s="610"/>
    </row>
    <row r="1160" spans="2:14" s="609" customFormat="1">
      <c r="B1160" s="613"/>
      <c r="C1160" s="610"/>
      <c r="D1160" s="610"/>
      <c r="E1160" s="612"/>
      <c r="F1160" s="611"/>
      <c r="G1160" s="611"/>
      <c r="I1160" s="610"/>
      <c r="N1160" s="610"/>
    </row>
    <row r="1161" spans="2:14" s="609" customFormat="1">
      <c r="B1161" s="613"/>
      <c r="C1161" s="610"/>
      <c r="D1161" s="610"/>
      <c r="E1161" s="612"/>
      <c r="F1161" s="611"/>
      <c r="G1161" s="611"/>
      <c r="I1161" s="610"/>
      <c r="N1161" s="610"/>
    </row>
    <row r="1162" spans="2:14" s="609" customFormat="1">
      <c r="B1162" s="613"/>
      <c r="C1162" s="610"/>
      <c r="D1162" s="610"/>
      <c r="E1162" s="612"/>
      <c r="F1162" s="611"/>
      <c r="G1162" s="611"/>
      <c r="I1162" s="610"/>
      <c r="N1162" s="610"/>
    </row>
    <row r="1163" spans="2:14" s="609" customFormat="1">
      <c r="B1163" s="613"/>
      <c r="C1163" s="610"/>
      <c r="D1163" s="610"/>
      <c r="E1163" s="612"/>
      <c r="F1163" s="611"/>
      <c r="G1163" s="611"/>
      <c r="I1163" s="610"/>
      <c r="N1163" s="610"/>
    </row>
    <row r="1164" spans="2:14" s="609" customFormat="1">
      <c r="B1164" s="613"/>
      <c r="C1164" s="610"/>
      <c r="D1164" s="610"/>
      <c r="E1164" s="612"/>
      <c r="F1164" s="611"/>
      <c r="G1164" s="611"/>
      <c r="I1164" s="610"/>
      <c r="N1164" s="610"/>
    </row>
    <row r="1165" spans="2:14" s="609" customFormat="1">
      <c r="B1165" s="613"/>
      <c r="C1165" s="610"/>
      <c r="D1165" s="610"/>
      <c r="E1165" s="612"/>
      <c r="F1165" s="611"/>
      <c r="G1165" s="611"/>
      <c r="I1165" s="610"/>
      <c r="N1165" s="610"/>
    </row>
    <row r="1166" spans="2:14" s="609" customFormat="1">
      <c r="B1166" s="613"/>
      <c r="C1166" s="610"/>
      <c r="D1166" s="610"/>
      <c r="E1166" s="612"/>
      <c r="F1166" s="611"/>
      <c r="G1166" s="611"/>
      <c r="I1166" s="610"/>
      <c r="N1166" s="610"/>
    </row>
    <row r="1167" spans="2:14" s="609" customFormat="1">
      <c r="B1167" s="613"/>
      <c r="C1167" s="610"/>
      <c r="D1167" s="610"/>
      <c r="E1167" s="612"/>
      <c r="F1167" s="611"/>
      <c r="G1167" s="611"/>
      <c r="I1167" s="610"/>
      <c r="N1167" s="610"/>
    </row>
    <row r="1168" spans="2:14" s="609" customFormat="1">
      <c r="B1168" s="613"/>
      <c r="C1168" s="610"/>
      <c r="D1168" s="610"/>
      <c r="E1168" s="612"/>
      <c r="F1168" s="611"/>
      <c r="G1168" s="611"/>
      <c r="I1168" s="610"/>
      <c r="N1168" s="610"/>
    </row>
    <row r="1169" spans="2:14" s="609" customFormat="1">
      <c r="B1169" s="613"/>
      <c r="C1169" s="610"/>
      <c r="D1169" s="610"/>
      <c r="E1169" s="612"/>
      <c r="F1169" s="611"/>
      <c r="G1169" s="611"/>
      <c r="I1169" s="610"/>
      <c r="N1169" s="610"/>
    </row>
    <row r="1170" spans="2:14" s="609" customFormat="1">
      <c r="B1170" s="613"/>
      <c r="C1170" s="610"/>
      <c r="D1170" s="610"/>
      <c r="E1170" s="612"/>
      <c r="F1170" s="611"/>
      <c r="G1170" s="611"/>
      <c r="I1170" s="610"/>
      <c r="N1170" s="610"/>
    </row>
    <row r="1171" spans="2:14" s="609" customFormat="1">
      <c r="B1171" s="613"/>
      <c r="C1171" s="610"/>
      <c r="D1171" s="610"/>
      <c r="E1171" s="612"/>
      <c r="F1171" s="611"/>
      <c r="G1171" s="611"/>
      <c r="I1171" s="610"/>
      <c r="N1171" s="610"/>
    </row>
    <row r="1172" spans="2:14" s="609" customFormat="1">
      <c r="B1172" s="613"/>
      <c r="C1172" s="610"/>
      <c r="D1172" s="610"/>
      <c r="E1172" s="612"/>
      <c r="F1172" s="611"/>
      <c r="G1172" s="611"/>
      <c r="I1172" s="610"/>
      <c r="N1172" s="610"/>
    </row>
    <row r="1173" spans="2:14" s="609" customFormat="1">
      <c r="B1173" s="613"/>
      <c r="C1173" s="610"/>
      <c r="D1173" s="610"/>
      <c r="E1173" s="612"/>
      <c r="F1173" s="611"/>
      <c r="G1173" s="611"/>
      <c r="I1173" s="610"/>
      <c r="N1173" s="610"/>
    </row>
    <row r="1174" spans="2:14" s="609" customFormat="1">
      <c r="B1174" s="613"/>
      <c r="C1174" s="610"/>
      <c r="D1174" s="610"/>
      <c r="E1174" s="612"/>
      <c r="F1174" s="611"/>
      <c r="G1174" s="611"/>
      <c r="I1174" s="610"/>
      <c r="N1174" s="610"/>
    </row>
    <row r="1175" spans="2:14" s="609" customFormat="1">
      <c r="B1175" s="613"/>
      <c r="C1175" s="610"/>
      <c r="D1175" s="610"/>
      <c r="E1175" s="612"/>
      <c r="F1175" s="611"/>
      <c r="G1175" s="611"/>
      <c r="I1175" s="610"/>
      <c r="N1175" s="610"/>
    </row>
    <row r="1176" spans="2:14" s="609" customFormat="1">
      <c r="B1176" s="613"/>
      <c r="C1176" s="610"/>
      <c r="D1176" s="610"/>
      <c r="E1176" s="612"/>
      <c r="F1176" s="611"/>
      <c r="G1176" s="611"/>
      <c r="I1176" s="610"/>
      <c r="N1176" s="610"/>
    </row>
    <row r="1177" spans="2:14" s="609" customFormat="1">
      <c r="B1177" s="613"/>
      <c r="C1177" s="610"/>
      <c r="D1177" s="610"/>
      <c r="E1177" s="612"/>
      <c r="F1177" s="611"/>
      <c r="G1177" s="611"/>
      <c r="I1177" s="610"/>
      <c r="N1177" s="610"/>
    </row>
    <row r="1178" spans="2:14" s="609" customFormat="1">
      <c r="B1178" s="613"/>
      <c r="C1178" s="610"/>
      <c r="D1178" s="610"/>
      <c r="E1178" s="612"/>
      <c r="F1178" s="611"/>
      <c r="G1178" s="611"/>
      <c r="I1178" s="610"/>
      <c r="N1178" s="610"/>
    </row>
    <row r="1179" spans="2:14" s="609" customFormat="1">
      <c r="B1179" s="613"/>
      <c r="C1179" s="610"/>
      <c r="D1179" s="610"/>
      <c r="E1179" s="612"/>
      <c r="F1179" s="611"/>
      <c r="G1179" s="611"/>
      <c r="I1179" s="610"/>
      <c r="N1179" s="610"/>
    </row>
    <row r="1180" spans="2:14" s="609" customFormat="1">
      <c r="B1180" s="613"/>
      <c r="C1180" s="610"/>
      <c r="D1180" s="610"/>
      <c r="E1180" s="612"/>
      <c r="F1180" s="611"/>
      <c r="G1180" s="611"/>
      <c r="I1180" s="610"/>
      <c r="N1180" s="610"/>
    </row>
    <row r="1181" spans="2:14" s="609" customFormat="1">
      <c r="B1181" s="613"/>
      <c r="C1181" s="610"/>
      <c r="D1181" s="610"/>
      <c r="E1181" s="612"/>
      <c r="F1181" s="611"/>
      <c r="G1181" s="611"/>
      <c r="I1181" s="610"/>
      <c r="N1181" s="610"/>
    </row>
    <row r="1182" spans="2:14" s="609" customFormat="1">
      <c r="B1182" s="613"/>
      <c r="C1182" s="610"/>
      <c r="D1182" s="610"/>
      <c r="E1182" s="612"/>
      <c r="F1182" s="611"/>
      <c r="G1182" s="611"/>
      <c r="I1182" s="610"/>
      <c r="N1182" s="610"/>
    </row>
    <row r="1183" spans="2:14" s="609" customFormat="1">
      <c r="B1183" s="613"/>
      <c r="C1183" s="610"/>
      <c r="D1183" s="610"/>
      <c r="E1183" s="612"/>
      <c r="F1183" s="611"/>
      <c r="G1183" s="611"/>
      <c r="I1183" s="610"/>
      <c r="N1183" s="610"/>
    </row>
    <row r="1184" spans="2:14" s="609" customFormat="1">
      <c r="B1184" s="613"/>
      <c r="C1184" s="610"/>
      <c r="D1184" s="610"/>
      <c r="E1184" s="612"/>
      <c r="F1184" s="611"/>
      <c r="G1184" s="611"/>
      <c r="I1184" s="610"/>
      <c r="N1184" s="610"/>
    </row>
    <row r="1185" spans="2:14" s="609" customFormat="1">
      <c r="B1185" s="613"/>
      <c r="C1185" s="610"/>
      <c r="D1185" s="610"/>
      <c r="E1185" s="612"/>
      <c r="F1185" s="611"/>
      <c r="G1185" s="611"/>
      <c r="I1185" s="610"/>
      <c r="N1185" s="610"/>
    </row>
    <row r="1186" spans="2:14" s="609" customFormat="1">
      <c r="B1186" s="613"/>
      <c r="C1186" s="610"/>
      <c r="D1186" s="610"/>
      <c r="E1186" s="612"/>
      <c r="F1186" s="611"/>
      <c r="G1186" s="611"/>
      <c r="I1186" s="610"/>
      <c r="N1186" s="610"/>
    </row>
    <row r="1187" spans="2:14" s="609" customFormat="1">
      <c r="B1187" s="613"/>
      <c r="C1187" s="610"/>
      <c r="D1187" s="610"/>
      <c r="E1187" s="612"/>
      <c r="F1187" s="611"/>
      <c r="G1187" s="611"/>
      <c r="I1187" s="610"/>
      <c r="N1187" s="610"/>
    </row>
    <row r="1188" spans="2:14" s="609" customFormat="1">
      <c r="B1188" s="613"/>
      <c r="C1188" s="610"/>
      <c r="D1188" s="610"/>
      <c r="E1188" s="612"/>
      <c r="F1188" s="611"/>
      <c r="G1188" s="611"/>
      <c r="I1188" s="610"/>
      <c r="N1188" s="610"/>
    </row>
    <row r="1189" spans="2:14" s="609" customFormat="1">
      <c r="B1189" s="613"/>
      <c r="C1189" s="610"/>
      <c r="D1189" s="610"/>
      <c r="E1189" s="612"/>
      <c r="F1189" s="611"/>
      <c r="G1189" s="611"/>
      <c r="I1189" s="610"/>
      <c r="N1189" s="610"/>
    </row>
    <row r="1190" spans="2:14" s="609" customFormat="1">
      <c r="B1190" s="613"/>
      <c r="C1190" s="610"/>
      <c r="D1190" s="610"/>
      <c r="E1190" s="612"/>
      <c r="F1190" s="611"/>
      <c r="G1190" s="611"/>
      <c r="I1190" s="610"/>
      <c r="N1190" s="610"/>
    </row>
    <row r="1191" spans="2:14" s="609" customFormat="1">
      <c r="B1191" s="613"/>
      <c r="C1191" s="610"/>
      <c r="D1191" s="610"/>
      <c r="E1191" s="612"/>
      <c r="F1191" s="611"/>
      <c r="G1191" s="611"/>
      <c r="I1191" s="610"/>
      <c r="N1191" s="610"/>
    </row>
    <row r="1192" spans="2:14" s="609" customFormat="1">
      <c r="B1192" s="613"/>
      <c r="C1192" s="610"/>
      <c r="D1192" s="610"/>
      <c r="E1192" s="612"/>
      <c r="F1192" s="611"/>
      <c r="G1192" s="611"/>
      <c r="I1192" s="610"/>
      <c r="N1192" s="610"/>
    </row>
    <row r="1193" spans="2:14" s="609" customFormat="1">
      <c r="B1193" s="613"/>
      <c r="C1193" s="610"/>
      <c r="D1193" s="610"/>
      <c r="E1193" s="612"/>
      <c r="F1193" s="611"/>
      <c r="G1193" s="611"/>
      <c r="I1193" s="610"/>
      <c r="N1193" s="610"/>
    </row>
    <row r="1194" spans="2:14" s="609" customFormat="1">
      <c r="B1194" s="613"/>
      <c r="C1194" s="610"/>
      <c r="D1194" s="610"/>
      <c r="E1194" s="612"/>
      <c r="F1194" s="611"/>
      <c r="G1194" s="611"/>
      <c r="I1194" s="610"/>
      <c r="N1194" s="610"/>
    </row>
    <row r="1195" spans="2:14" s="609" customFormat="1">
      <c r="B1195" s="613"/>
      <c r="C1195" s="610"/>
      <c r="D1195" s="610"/>
      <c r="E1195" s="612"/>
      <c r="F1195" s="611"/>
      <c r="G1195" s="611"/>
      <c r="I1195" s="610"/>
      <c r="N1195" s="610"/>
    </row>
    <row r="1196" spans="2:14" s="609" customFormat="1">
      <c r="B1196" s="613"/>
      <c r="C1196" s="610"/>
      <c r="D1196" s="610"/>
      <c r="E1196" s="612"/>
      <c r="F1196" s="611"/>
      <c r="G1196" s="611"/>
      <c r="I1196" s="610"/>
      <c r="N1196" s="610"/>
    </row>
    <row r="1197" spans="2:14" s="609" customFormat="1">
      <c r="B1197" s="613"/>
      <c r="C1197" s="610"/>
      <c r="D1197" s="610"/>
      <c r="E1197" s="612"/>
      <c r="F1197" s="611"/>
      <c r="G1197" s="611"/>
      <c r="I1197" s="610"/>
      <c r="N1197" s="610"/>
    </row>
    <row r="1198" spans="2:14" s="609" customFormat="1">
      <c r="B1198" s="613"/>
      <c r="C1198" s="610"/>
      <c r="D1198" s="610"/>
      <c r="E1198" s="612"/>
      <c r="F1198" s="611"/>
      <c r="G1198" s="611"/>
      <c r="I1198" s="610"/>
      <c r="N1198" s="610"/>
    </row>
    <row r="1199" spans="2:14" s="609" customFormat="1">
      <c r="B1199" s="613"/>
      <c r="C1199" s="610"/>
      <c r="D1199" s="610"/>
      <c r="E1199" s="612"/>
      <c r="F1199" s="611"/>
      <c r="G1199" s="611"/>
      <c r="I1199" s="610"/>
      <c r="N1199" s="610"/>
    </row>
    <row r="1200" spans="2:14" s="609" customFormat="1">
      <c r="B1200" s="613"/>
      <c r="C1200" s="610"/>
      <c r="D1200" s="610"/>
      <c r="E1200" s="612"/>
      <c r="F1200" s="611"/>
      <c r="G1200" s="611"/>
      <c r="I1200" s="610"/>
      <c r="N1200" s="610"/>
    </row>
    <row r="1201" spans="2:14" s="609" customFormat="1">
      <c r="B1201" s="613"/>
      <c r="C1201" s="610"/>
      <c r="D1201" s="610"/>
      <c r="E1201" s="612"/>
      <c r="F1201" s="611"/>
      <c r="G1201" s="611"/>
      <c r="I1201" s="610"/>
      <c r="N1201" s="610"/>
    </row>
    <row r="1202" spans="2:14" s="609" customFormat="1">
      <c r="B1202" s="613"/>
      <c r="C1202" s="610"/>
      <c r="D1202" s="610"/>
      <c r="E1202" s="612"/>
      <c r="F1202" s="611"/>
      <c r="G1202" s="611"/>
      <c r="I1202" s="610"/>
      <c r="N1202" s="610"/>
    </row>
    <row r="1203" spans="2:14" s="609" customFormat="1">
      <c r="B1203" s="613"/>
      <c r="C1203" s="610"/>
      <c r="D1203" s="610"/>
      <c r="E1203" s="612"/>
      <c r="F1203" s="611"/>
      <c r="G1203" s="611"/>
      <c r="I1203" s="610"/>
      <c r="N1203" s="610"/>
    </row>
    <row r="1204" spans="2:14" s="609" customFormat="1">
      <c r="B1204" s="613"/>
      <c r="C1204" s="610"/>
      <c r="D1204" s="610"/>
      <c r="E1204" s="612"/>
      <c r="F1204" s="611"/>
      <c r="G1204" s="611"/>
      <c r="I1204" s="610"/>
      <c r="N1204" s="610"/>
    </row>
    <row r="1205" spans="2:14" s="609" customFormat="1">
      <c r="B1205" s="613"/>
      <c r="C1205" s="610"/>
      <c r="D1205" s="610"/>
      <c r="E1205" s="612"/>
      <c r="F1205" s="611"/>
      <c r="G1205" s="611"/>
      <c r="I1205" s="610"/>
      <c r="N1205" s="610"/>
    </row>
    <row r="1206" spans="2:14" s="609" customFormat="1">
      <c r="B1206" s="613"/>
      <c r="C1206" s="610"/>
      <c r="D1206" s="610"/>
      <c r="E1206" s="612"/>
      <c r="F1206" s="611"/>
      <c r="G1206" s="611"/>
      <c r="I1206" s="610"/>
      <c r="N1206" s="610"/>
    </row>
    <row r="1207" spans="2:14" s="609" customFormat="1">
      <c r="B1207" s="613"/>
      <c r="C1207" s="610"/>
      <c r="D1207" s="610"/>
      <c r="E1207" s="612"/>
      <c r="F1207" s="611"/>
      <c r="G1207" s="611"/>
      <c r="I1207" s="610"/>
      <c r="N1207" s="610"/>
    </row>
    <row r="1208" spans="2:14" s="609" customFormat="1">
      <c r="B1208" s="613"/>
      <c r="C1208" s="610"/>
      <c r="D1208" s="610"/>
      <c r="E1208" s="612"/>
      <c r="F1208" s="611"/>
      <c r="G1208" s="611"/>
      <c r="I1208" s="610"/>
      <c r="N1208" s="610"/>
    </row>
    <row r="1209" spans="2:14" s="609" customFormat="1">
      <c r="B1209" s="613"/>
      <c r="C1209" s="610"/>
      <c r="D1209" s="610"/>
      <c r="E1209" s="612"/>
      <c r="F1209" s="611"/>
      <c r="G1209" s="611"/>
      <c r="I1209" s="610"/>
      <c r="N1209" s="610"/>
    </row>
    <row r="1210" spans="2:14" s="609" customFormat="1">
      <c r="B1210" s="613"/>
      <c r="C1210" s="610"/>
      <c r="D1210" s="610"/>
      <c r="E1210" s="612"/>
      <c r="F1210" s="611"/>
      <c r="G1210" s="611"/>
      <c r="I1210" s="610"/>
      <c r="N1210" s="610"/>
    </row>
    <row r="1211" spans="2:14" s="609" customFormat="1">
      <c r="B1211" s="613"/>
      <c r="C1211" s="610"/>
      <c r="D1211" s="610"/>
      <c r="E1211" s="612"/>
      <c r="F1211" s="611"/>
      <c r="G1211" s="611"/>
      <c r="I1211" s="610"/>
      <c r="N1211" s="610"/>
    </row>
    <row r="1212" spans="2:14" s="609" customFormat="1">
      <c r="B1212" s="613"/>
      <c r="C1212" s="610"/>
      <c r="D1212" s="610"/>
      <c r="E1212" s="612"/>
      <c r="F1212" s="611"/>
      <c r="G1212" s="611"/>
      <c r="I1212" s="610"/>
      <c r="N1212" s="610"/>
    </row>
    <row r="1213" spans="2:14" s="609" customFormat="1">
      <c r="B1213" s="613"/>
      <c r="C1213" s="610"/>
      <c r="D1213" s="610"/>
      <c r="E1213" s="612"/>
      <c r="F1213" s="611"/>
      <c r="G1213" s="611"/>
      <c r="I1213" s="610"/>
      <c r="N1213" s="610"/>
    </row>
    <row r="1214" spans="2:14" s="609" customFormat="1">
      <c r="B1214" s="613"/>
      <c r="C1214" s="610"/>
      <c r="D1214" s="610"/>
      <c r="E1214" s="612"/>
      <c r="F1214" s="611"/>
      <c r="G1214" s="611"/>
      <c r="I1214" s="610"/>
      <c r="N1214" s="610"/>
    </row>
    <row r="1215" spans="2:14" s="609" customFormat="1">
      <c r="B1215" s="613"/>
      <c r="C1215" s="610"/>
      <c r="D1215" s="610"/>
      <c r="E1215" s="612"/>
      <c r="F1215" s="611"/>
      <c r="G1215" s="611"/>
      <c r="I1215" s="610"/>
      <c r="N1215" s="610"/>
    </row>
    <row r="1216" spans="2:14" s="609" customFormat="1">
      <c r="B1216" s="613"/>
      <c r="C1216" s="610"/>
      <c r="D1216" s="610"/>
      <c r="E1216" s="612"/>
      <c r="F1216" s="611"/>
      <c r="G1216" s="611"/>
      <c r="I1216" s="610"/>
      <c r="N1216" s="610"/>
    </row>
    <row r="1217" spans="2:14" s="609" customFormat="1">
      <c r="B1217" s="613"/>
      <c r="C1217" s="610"/>
      <c r="D1217" s="610"/>
      <c r="E1217" s="612"/>
      <c r="F1217" s="611"/>
      <c r="G1217" s="611"/>
      <c r="I1217" s="610"/>
      <c r="N1217" s="610"/>
    </row>
    <row r="1218" spans="2:14" s="609" customFormat="1">
      <c r="B1218" s="613"/>
      <c r="C1218" s="610"/>
      <c r="D1218" s="610"/>
      <c r="E1218" s="612"/>
      <c r="F1218" s="611"/>
      <c r="G1218" s="611"/>
      <c r="I1218" s="610"/>
      <c r="N1218" s="610"/>
    </row>
    <row r="1219" spans="2:14" s="609" customFormat="1">
      <c r="B1219" s="613"/>
      <c r="C1219" s="610"/>
      <c r="D1219" s="610"/>
      <c r="E1219" s="612"/>
      <c r="F1219" s="611"/>
      <c r="G1219" s="611"/>
      <c r="I1219" s="610"/>
      <c r="N1219" s="610"/>
    </row>
    <row r="1220" spans="2:14" s="609" customFormat="1">
      <c r="B1220" s="613"/>
      <c r="C1220" s="610"/>
      <c r="D1220" s="610"/>
      <c r="E1220" s="612"/>
      <c r="F1220" s="611"/>
      <c r="G1220" s="611"/>
      <c r="I1220" s="610"/>
      <c r="N1220" s="610"/>
    </row>
    <row r="1221" spans="2:14" s="609" customFormat="1">
      <c r="B1221" s="613"/>
      <c r="C1221" s="610"/>
      <c r="D1221" s="610"/>
      <c r="E1221" s="612"/>
      <c r="F1221" s="611"/>
      <c r="G1221" s="611"/>
      <c r="I1221" s="610"/>
      <c r="N1221" s="610"/>
    </row>
    <row r="1222" spans="2:14" s="609" customFormat="1">
      <c r="B1222" s="613"/>
      <c r="C1222" s="610"/>
      <c r="D1222" s="610"/>
      <c r="E1222" s="612"/>
      <c r="F1222" s="611"/>
      <c r="G1222" s="611"/>
      <c r="I1222" s="610"/>
      <c r="N1222" s="610"/>
    </row>
    <row r="1223" spans="2:14" s="609" customFormat="1">
      <c r="B1223" s="613"/>
      <c r="C1223" s="610"/>
      <c r="D1223" s="610"/>
      <c r="E1223" s="612"/>
      <c r="F1223" s="611"/>
      <c r="G1223" s="611"/>
      <c r="I1223" s="610"/>
      <c r="N1223" s="610"/>
    </row>
    <row r="1224" spans="2:14" s="609" customFormat="1">
      <c r="B1224" s="613"/>
      <c r="C1224" s="610"/>
      <c r="D1224" s="610"/>
      <c r="E1224" s="612"/>
      <c r="F1224" s="611"/>
      <c r="G1224" s="611"/>
      <c r="I1224" s="610"/>
      <c r="N1224" s="610"/>
    </row>
    <row r="1225" spans="2:14" s="609" customFormat="1">
      <c r="B1225" s="613"/>
      <c r="C1225" s="610"/>
      <c r="D1225" s="610"/>
      <c r="E1225" s="612"/>
      <c r="F1225" s="611"/>
      <c r="G1225" s="611"/>
      <c r="I1225" s="610"/>
      <c r="N1225" s="610"/>
    </row>
    <row r="1226" spans="2:14" s="609" customFormat="1">
      <c r="B1226" s="613"/>
      <c r="C1226" s="610"/>
      <c r="D1226" s="610"/>
      <c r="E1226" s="612"/>
      <c r="F1226" s="611"/>
      <c r="G1226" s="611"/>
      <c r="I1226" s="610"/>
      <c r="N1226" s="610"/>
    </row>
    <row r="1227" spans="2:14" s="609" customFormat="1">
      <c r="B1227" s="613"/>
      <c r="C1227" s="610"/>
      <c r="D1227" s="610"/>
      <c r="E1227" s="612"/>
      <c r="F1227" s="611"/>
      <c r="G1227" s="611"/>
      <c r="I1227" s="610"/>
      <c r="N1227" s="610"/>
    </row>
    <row r="1228" spans="2:14" s="609" customFormat="1">
      <c r="B1228" s="613"/>
      <c r="C1228" s="610"/>
      <c r="D1228" s="610"/>
      <c r="E1228" s="612"/>
      <c r="F1228" s="611"/>
      <c r="G1228" s="611"/>
      <c r="I1228" s="610"/>
      <c r="N1228" s="610"/>
    </row>
    <row r="1229" spans="2:14" s="609" customFormat="1">
      <c r="B1229" s="613"/>
      <c r="C1229" s="610"/>
      <c r="D1229" s="610"/>
      <c r="E1229" s="612"/>
      <c r="F1229" s="611"/>
      <c r="G1229" s="611"/>
      <c r="I1229" s="610"/>
      <c r="N1229" s="610"/>
    </row>
    <row r="1230" spans="2:14" s="609" customFormat="1">
      <c r="B1230" s="613"/>
      <c r="C1230" s="610"/>
      <c r="D1230" s="610"/>
      <c r="E1230" s="612"/>
      <c r="F1230" s="611"/>
      <c r="G1230" s="611"/>
      <c r="I1230" s="610"/>
      <c r="N1230" s="610"/>
    </row>
    <row r="1231" spans="2:14" s="609" customFormat="1">
      <c r="B1231" s="613"/>
      <c r="C1231" s="610"/>
      <c r="D1231" s="610"/>
      <c r="E1231" s="612"/>
      <c r="F1231" s="611"/>
      <c r="G1231" s="611"/>
      <c r="I1231" s="610"/>
      <c r="N1231" s="610"/>
    </row>
    <row r="1232" spans="2:14" s="609" customFormat="1">
      <c r="B1232" s="613"/>
      <c r="C1232" s="610"/>
      <c r="D1232" s="610"/>
      <c r="E1232" s="612"/>
      <c r="F1232" s="611"/>
      <c r="G1232" s="611"/>
      <c r="I1232" s="610"/>
      <c r="N1232" s="610"/>
    </row>
  </sheetData>
  <sheetProtection sheet="1" objects="1" scenarios="1"/>
  <mergeCells count="465">
    <mergeCell ref="F2:H2"/>
    <mergeCell ref="F4:G5"/>
    <mergeCell ref="N5:O5"/>
    <mergeCell ref="L486:M486"/>
    <mergeCell ref="P4:Q5"/>
    <mergeCell ref="B4:C5"/>
    <mergeCell ref="D4:E5"/>
    <mergeCell ref="H4:I5"/>
    <mergeCell ref="J4:K5"/>
    <mergeCell ref="L4:M5"/>
    <mergeCell ref="N4:O4"/>
    <mergeCell ref="L478:M478"/>
    <mergeCell ref="L479:M479"/>
    <mergeCell ref="L480:M480"/>
    <mergeCell ref="L481:M481"/>
    <mergeCell ref="L475:M475"/>
    <mergeCell ref="L476:M476"/>
    <mergeCell ref="L477:M477"/>
    <mergeCell ref="L487:M487"/>
    <mergeCell ref="L488:M488"/>
    <mergeCell ref="L489:M489"/>
    <mergeCell ref="L482:M482"/>
    <mergeCell ref="L483:M483"/>
    <mergeCell ref="L484:M484"/>
    <mergeCell ref="L485:M485"/>
    <mergeCell ref="L496:M496"/>
    <mergeCell ref="L497:M497"/>
    <mergeCell ref="L490:M490"/>
    <mergeCell ref="L491:M491"/>
    <mergeCell ref="L492:M492"/>
    <mergeCell ref="L493:M493"/>
    <mergeCell ref="L494:M494"/>
    <mergeCell ref="L495:M495"/>
    <mergeCell ref="L511:M511"/>
    <mergeCell ref="L512:M512"/>
    <mergeCell ref="L513:M513"/>
    <mergeCell ref="L506:M506"/>
    <mergeCell ref="L507:M507"/>
    <mergeCell ref="L508:M508"/>
    <mergeCell ref="L509:M509"/>
    <mergeCell ref="L505:M505"/>
    <mergeCell ref="L498:M498"/>
    <mergeCell ref="L499:M499"/>
    <mergeCell ref="L500:M500"/>
    <mergeCell ref="L501:M501"/>
    <mergeCell ref="L510:M510"/>
    <mergeCell ref="L502:M502"/>
    <mergeCell ref="L503:M503"/>
    <mergeCell ref="L504:M504"/>
    <mergeCell ref="L518:M518"/>
    <mergeCell ref="L519:M519"/>
    <mergeCell ref="L520:M520"/>
    <mergeCell ref="L521:M521"/>
    <mergeCell ref="L514:M514"/>
    <mergeCell ref="L515:M515"/>
    <mergeCell ref="L516:M516"/>
    <mergeCell ref="L517:M517"/>
    <mergeCell ref="L527:M527"/>
    <mergeCell ref="L528:M528"/>
    <mergeCell ref="L529:M529"/>
    <mergeCell ref="L522:M522"/>
    <mergeCell ref="L523:M523"/>
    <mergeCell ref="L524:M524"/>
    <mergeCell ref="L525:M525"/>
    <mergeCell ref="L526:M526"/>
    <mergeCell ref="L536:M536"/>
    <mergeCell ref="L537:M537"/>
    <mergeCell ref="L530:M530"/>
    <mergeCell ref="L531:M531"/>
    <mergeCell ref="L532:M532"/>
    <mergeCell ref="L533:M533"/>
    <mergeCell ref="L534:M534"/>
    <mergeCell ref="L535:M535"/>
    <mergeCell ref="L551:M551"/>
    <mergeCell ref="L552:M552"/>
    <mergeCell ref="L553:M553"/>
    <mergeCell ref="L546:M546"/>
    <mergeCell ref="L547:M547"/>
    <mergeCell ref="L548:M548"/>
    <mergeCell ref="L549:M549"/>
    <mergeCell ref="L545:M545"/>
    <mergeCell ref="L538:M538"/>
    <mergeCell ref="L539:M539"/>
    <mergeCell ref="L540:M540"/>
    <mergeCell ref="L541:M541"/>
    <mergeCell ref="L550:M550"/>
    <mergeCell ref="L542:M542"/>
    <mergeCell ref="L543:M543"/>
    <mergeCell ref="L544:M544"/>
    <mergeCell ref="L558:M558"/>
    <mergeCell ref="L559:M559"/>
    <mergeCell ref="L560:M560"/>
    <mergeCell ref="L561:M561"/>
    <mergeCell ref="L554:M554"/>
    <mergeCell ref="L555:M555"/>
    <mergeCell ref="L556:M556"/>
    <mergeCell ref="L557:M557"/>
    <mergeCell ref="L567:M567"/>
    <mergeCell ref="L568:M568"/>
    <mergeCell ref="L569:M569"/>
    <mergeCell ref="L562:M562"/>
    <mergeCell ref="L563:M563"/>
    <mergeCell ref="L564:M564"/>
    <mergeCell ref="L565:M565"/>
    <mergeCell ref="L566:M566"/>
    <mergeCell ref="L576:M576"/>
    <mergeCell ref="L577:M577"/>
    <mergeCell ref="L570:M570"/>
    <mergeCell ref="L571:M571"/>
    <mergeCell ref="L572:M572"/>
    <mergeCell ref="L573:M573"/>
    <mergeCell ref="L574:M574"/>
    <mergeCell ref="L575:M575"/>
    <mergeCell ref="L591:M591"/>
    <mergeCell ref="L592:M592"/>
    <mergeCell ref="L593:M593"/>
    <mergeCell ref="L586:M586"/>
    <mergeCell ref="L587:M587"/>
    <mergeCell ref="L588:M588"/>
    <mergeCell ref="L589:M589"/>
    <mergeCell ref="L585:M585"/>
    <mergeCell ref="L578:M578"/>
    <mergeCell ref="L579:M579"/>
    <mergeCell ref="L580:M580"/>
    <mergeCell ref="L581:M581"/>
    <mergeCell ref="L590:M590"/>
    <mergeCell ref="L582:M582"/>
    <mergeCell ref="L583:M583"/>
    <mergeCell ref="L584:M584"/>
    <mergeCell ref="L598:M598"/>
    <mergeCell ref="L599:M599"/>
    <mergeCell ref="L600:M600"/>
    <mergeCell ref="L601:M601"/>
    <mergeCell ref="L594:M594"/>
    <mergeCell ref="L595:M595"/>
    <mergeCell ref="L596:M596"/>
    <mergeCell ref="L597:M597"/>
    <mergeCell ref="L607:M607"/>
    <mergeCell ref="L608:M608"/>
    <mergeCell ref="L609:M609"/>
    <mergeCell ref="L602:M602"/>
    <mergeCell ref="L603:M603"/>
    <mergeCell ref="L604:M604"/>
    <mergeCell ref="L605:M605"/>
    <mergeCell ref="L606:M606"/>
    <mergeCell ref="L616:M616"/>
    <mergeCell ref="L617:M617"/>
    <mergeCell ref="L610:M610"/>
    <mergeCell ref="L611:M611"/>
    <mergeCell ref="L612:M612"/>
    <mergeCell ref="L613:M613"/>
    <mergeCell ref="L614:M614"/>
    <mergeCell ref="L615:M615"/>
    <mergeCell ref="L631:M631"/>
    <mergeCell ref="L632:M632"/>
    <mergeCell ref="L633:M633"/>
    <mergeCell ref="L626:M626"/>
    <mergeCell ref="L627:M627"/>
    <mergeCell ref="L628:M628"/>
    <mergeCell ref="L629:M629"/>
    <mergeCell ref="L625:M625"/>
    <mergeCell ref="L618:M618"/>
    <mergeCell ref="L619:M619"/>
    <mergeCell ref="L620:M620"/>
    <mergeCell ref="L621:M621"/>
    <mergeCell ref="L630:M630"/>
    <mergeCell ref="L622:M622"/>
    <mergeCell ref="L623:M623"/>
    <mergeCell ref="L624:M624"/>
    <mergeCell ref="L638:M638"/>
    <mergeCell ref="L639:M639"/>
    <mergeCell ref="L640:M640"/>
    <mergeCell ref="L641:M641"/>
    <mergeCell ref="L634:M634"/>
    <mergeCell ref="L635:M635"/>
    <mergeCell ref="L636:M636"/>
    <mergeCell ref="L637:M637"/>
    <mergeCell ref="L647:M647"/>
    <mergeCell ref="L648:M648"/>
    <mergeCell ref="L649:M649"/>
    <mergeCell ref="L642:M642"/>
    <mergeCell ref="L643:M643"/>
    <mergeCell ref="L644:M644"/>
    <mergeCell ref="L645:M645"/>
    <mergeCell ref="L646:M646"/>
    <mergeCell ref="L656:M656"/>
    <mergeCell ref="L657:M657"/>
    <mergeCell ref="L650:M650"/>
    <mergeCell ref="L651:M651"/>
    <mergeCell ref="L652:M652"/>
    <mergeCell ref="L653:M653"/>
    <mergeCell ref="L654:M654"/>
    <mergeCell ref="L655:M655"/>
    <mergeCell ref="L671:M671"/>
    <mergeCell ref="L672:M672"/>
    <mergeCell ref="L673:M673"/>
    <mergeCell ref="L666:M666"/>
    <mergeCell ref="L667:M667"/>
    <mergeCell ref="L668:M668"/>
    <mergeCell ref="L669:M669"/>
    <mergeCell ref="L665:M665"/>
    <mergeCell ref="L658:M658"/>
    <mergeCell ref="L659:M659"/>
    <mergeCell ref="L660:M660"/>
    <mergeCell ref="L661:M661"/>
    <mergeCell ref="L670:M670"/>
    <mergeCell ref="L662:M662"/>
    <mergeCell ref="L663:M663"/>
    <mergeCell ref="L664:M664"/>
    <mergeCell ref="L678:M678"/>
    <mergeCell ref="L679:M679"/>
    <mergeCell ref="L680:M680"/>
    <mergeCell ref="L681:M681"/>
    <mergeCell ref="L674:M674"/>
    <mergeCell ref="L675:M675"/>
    <mergeCell ref="L676:M676"/>
    <mergeCell ref="L677:M677"/>
    <mergeCell ref="L687:M687"/>
    <mergeCell ref="L688:M688"/>
    <mergeCell ref="L689:M689"/>
    <mergeCell ref="L682:M682"/>
    <mergeCell ref="L683:M683"/>
    <mergeCell ref="L684:M684"/>
    <mergeCell ref="L685:M685"/>
    <mergeCell ref="L686:M686"/>
    <mergeCell ref="L696:M696"/>
    <mergeCell ref="L697:M697"/>
    <mergeCell ref="L690:M690"/>
    <mergeCell ref="L691:M691"/>
    <mergeCell ref="L692:M692"/>
    <mergeCell ref="L693:M693"/>
    <mergeCell ref="L694:M694"/>
    <mergeCell ref="L695:M695"/>
    <mergeCell ref="L711:M711"/>
    <mergeCell ref="L712:M712"/>
    <mergeCell ref="L713:M713"/>
    <mergeCell ref="L706:M706"/>
    <mergeCell ref="L707:M707"/>
    <mergeCell ref="L708:M708"/>
    <mergeCell ref="L709:M709"/>
    <mergeCell ref="L705:M705"/>
    <mergeCell ref="L698:M698"/>
    <mergeCell ref="L699:M699"/>
    <mergeCell ref="L700:M700"/>
    <mergeCell ref="L701:M701"/>
    <mergeCell ref="L710:M710"/>
    <mergeCell ref="L702:M702"/>
    <mergeCell ref="L703:M703"/>
    <mergeCell ref="L704:M704"/>
    <mergeCell ref="L718:M718"/>
    <mergeCell ref="L719:M719"/>
    <mergeCell ref="L720:M720"/>
    <mergeCell ref="L721:M721"/>
    <mergeCell ref="L714:M714"/>
    <mergeCell ref="L715:M715"/>
    <mergeCell ref="L716:M716"/>
    <mergeCell ref="L717:M717"/>
    <mergeCell ref="L727:M727"/>
    <mergeCell ref="L728:M728"/>
    <mergeCell ref="L729:M729"/>
    <mergeCell ref="L722:M722"/>
    <mergeCell ref="L723:M723"/>
    <mergeCell ref="L724:M724"/>
    <mergeCell ref="L725:M725"/>
    <mergeCell ref="L726:M726"/>
    <mergeCell ref="L736:M736"/>
    <mergeCell ref="L737:M737"/>
    <mergeCell ref="L730:M730"/>
    <mergeCell ref="L731:M731"/>
    <mergeCell ref="L732:M732"/>
    <mergeCell ref="L733:M733"/>
    <mergeCell ref="L734:M734"/>
    <mergeCell ref="L735:M735"/>
    <mergeCell ref="L751:M751"/>
    <mergeCell ref="L752:M752"/>
    <mergeCell ref="L753:M753"/>
    <mergeCell ref="L746:M746"/>
    <mergeCell ref="L747:M747"/>
    <mergeCell ref="L748:M748"/>
    <mergeCell ref="L749:M749"/>
    <mergeCell ref="L745:M745"/>
    <mergeCell ref="L738:M738"/>
    <mergeCell ref="L739:M739"/>
    <mergeCell ref="L740:M740"/>
    <mergeCell ref="L741:M741"/>
    <mergeCell ref="L750:M750"/>
    <mergeCell ref="L742:M742"/>
    <mergeCell ref="L743:M743"/>
    <mergeCell ref="L744:M744"/>
    <mergeCell ref="L758:M758"/>
    <mergeCell ref="L759:M759"/>
    <mergeCell ref="L760:M760"/>
    <mergeCell ref="L761:M761"/>
    <mergeCell ref="L754:M754"/>
    <mergeCell ref="L755:M755"/>
    <mergeCell ref="L756:M756"/>
    <mergeCell ref="L757:M757"/>
    <mergeCell ref="L767:M767"/>
    <mergeCell ref="L768:M768"/>
    <mergeCell ref="L769:M769"/>
    <mergeCell ref="L762:M762"/>
    <mergeCell ref="L763:M763"/>
    <mergeCell ref="L764:M764"/>
    <mergeCell ref="L765:M765"/>
    <mergeCell ref="L766:M766"/>
    <mergeCell ref="L776:M776"/>
    <mergeCell ref="L777:M777"/>
    <mergeCell ref="L770:M770"/>
    <mergeCell ref="L771:M771"/>
    <mergeCell ref="L772:M772"/>
    <mergeCell ref="L773:M773"/>
    <mergeCell ref="L774:M774"/>
    <mergeCell ref="L775:M775"/>
    <mergeCell ref="L791:M791"/>
    <mergeCell ref="L792:M792"/>
    <mergeCell ref="L793:M793"/>
    <mergeCell ref="L786:M786"/>
    <mergeCell ref="L787:M787"/>
    <mergeCell ref="L788:M788"/>
    <mergeCell ref="L789:M789"/>
    <mergeCell ref="L785:M785"/>
    <mergeCell ref="L778:M778"/>
    <mergeCell ref="L779:M779"/>
    <mergeCell ref="L780:M780"/>
    <mergeCell ref="L781:M781"/>
    <mergeCell ref="L790:M790"/>
    <mergeCell ref="L782:M782"/>
    <mergeCell ref="L783:M783"/>
    <mergeCell ref="L784:M784"/>
    <mergeCell ref="L798:M798"/>
    <mergeCell ref="L799:M799"/>
    <mergeCell ref="L800:M800"/>
    <mergeCell ref="L801:M801"/>
    <mergeCell ref="L794:M794"/>
    <mergeCell ref="L795:M795"/>
    <mergeCell ref="L796:M796"/>
    <mergeCell ref="L797:M797"/>
    <mergeCell ref="L807:M807"/>
    <mergeCell ref="L808:M808"/>
    <mergeCell ref="L809:M809"/>
    <mergeCell ref="L802:M802"/>
    <mergeCell ref="L803:M803"/>
    <mergeCell ref="L804:M804"/>
    <mergeCell ref="L805:M805"/>
    <mergeCell ref="L806:M806"/>
    <mergeCell ref="L816:M816"/>
    <mergeCell ref="L817:M817"/>
    <mergeCell ref="L810:M810"/>
    <mergeCell ref="L811:M811"/>
    <mergeCell ref="L812:M812"/>
    <mergeCell ref="L813:M813"/>
    <mergeCell ref="L814:M814"/>
    <mergeCell ref="L815:M815"/>
    <mergeCell ref="L831:M831"/>
    <mergeCell ref="L832:M832"/>
    <mergeCell ref="L833:M833"/>
    <mergeCell ref="L826:M826"/>
    <mergeCell ref="L827:M827"/>
    <mergeCell ref="L828:M828"/>
    <mergeCell ref="L829:M829"/>
    <mergeCell ref="L825:M825"/>
    <mergeCell ref="L818:M818"/>
    <mergeCell ref="L819:M819"/>
    <mergeCell ref="L820:M820"/>
    <mergeCell ref="L821:M821"/>
    <mergeCell ref="L830:M830"/>
    <mergeCell ref="L822:M822"/>
    <mergeCell ref="L823:M823"/>
    <mergeCell ref="L824:M824"/>
    <mergeCell ref="L838:M838"/>
    <mergeCell ref="L839:M839"/>
    <mergeCell ref="L840:M840"/>
    <mergeCell ref="L841:M841"/>
    <mergeCell ref="L834:M834"/>
    <mergeCell ref="L835:M835"/>
    <mergeCell ref="L836:M836"/>
    <mergeCell ref="L837:M837"/>
    <mergeCell ref="L847:M847"/>
    <mergeCell ref="L848:M848"/>
    <mergeCell ref="L849:M849"/>
    <mergeCell ref="L842:M842"/>
    <mergeCell ref="L843:M843"/>
    <mergeCell ref="L844:M844"/>
    <mergeCell ref="L845:M845"/>
    <mergeCell ref="L846:M846"/>
    <mergeCell ref="L856:M856"/>
    <mergeCell ref="L857:M857"/>
    <mergeCell ref="L850:M850"/>
    <mergeCell ref="L851:M851"/>
    <mergeCell ref="L852:M852"/>
    <mergeCell ref="L853:M853"/>
    <mergeCell ref="L854:M854"/>
    <mergeCell ref="L855:M855"/>
    <mergeCell ref="L871:M871"/>
    <mergeCell ref="L872:M872"/>
    <mergeCell ref="L873:M873"/>
    <mergeCell ref="L866:M866"/>
    <mergeCell ref="L867:M867"/>
    <mergeCell ref="L868:M868"/>
    <mergeCell ref="L869:M869"/>
    <mergeCell ref="L865:M865"/>
    <mergeCell ref="L858:M858"/>
    <mergeCell ref="L859:M859"/>
    <mergeCell ref="L860:M860"/>
    <mergeCell ref="L861:M861"/>
    <mergeCell ref="L870:M870"/>
    <mergeCell ref="L862:M862"/>
    <mergeCell ref="L863:M863"/>
    <mergeCell ref="L864:M864"/>
    <mergeCell ref="L878:M878"/>
    <mergeCell ref="L879:M879"/>
    <mergeCell ref="L880:M880"/>
    <mergeCell ref="L881:M881"/>
    <mergeCell ref="L874:M874"/>
    <mergeCell ref="L875:M875"/>
    <mergeCell ref="L876:M876"/>
    <mergeCell ref="L877:M877"/>
    <mergeCell ref="L887:M887"/>
    <mergeCell ref="L888:M888"/>
    <mergeCell ref="L889:M889"/>
    <mergeCell ref="L882:M882"/>
    <mergeCell ref="L883:M883"/>
    <mergeCell ref="L884:M884"/>
    <mergeCell ref="L885:M885"/>
    <mergeCell ref="L886:M886"/>
    <mergeCell ref="L896:M896"/>
    <mergeCell ref="L897:M897"/>
    <mergeCell ref="L890:M890"/>
    <mergeCell ref="L891:M891"/>
    <mergeCell ref="L892:M892"/>
    <mergeCell ref="L893:M893"/>
    <mergeCell ref="L894:M894"/>
    <mergeCell ref="L895:M895"/>
    <mergeCell ref="L911:M911"/>
    <mergeCell ref="L912:M912"/>
    <mergeCell ref="L906:M906"/>
    <mergeCell ref="L907:M907"/>
    <mergeCell ref="L908:M908"/>
    <mergeCell ref="L909:M909"/>
    <mergeCell ref="L905:M905"/>
    <mergeCell ref="L898:M898"/>
    <mergeCell ref="L899:M899"/>
    <mergeCell ref="L900:M900"/>
    <mergeCell ref="L901:M901"/>
    <mergeCell ref="L910:M910"/>
    <mergeCell ref="L902:M902"/>
    <mergeCell ref="L903:M903"/>
    <mergeCell ref="L904:M904"/>
    <mergeCell ref="L927:M927"/>
    <mergeCell ref="L928:M928"/>
    <mergeCell ref="L929:M929"/>
    <mergeCell ref="L922:M922"/>
    <mergeCell ref="L923:M923"/>
    <mergeCell ref="L924:M924"/>
    <mergeCell ref="L925:M925"/>
    <mergeCell ref="L926:M926"/>
    <mergeCell ref="L913:M913"/>
    <mergeCell ref="L918:M918"/>
    <mergeCell ref="L919:M919"/>
    <mergeCell ref="L920:M920"/>
    <mergeCell ref="L921:M921"/>
    <mergeCell ref="L914:M914"/>
    <mergeCell ref="L915:M915"/>
    <mergeCell ref="L916:M916"/>
    <mergeCell ref="L917:M917"/>
  </mergeCells>
  <printOptions horizontalCentered="1"/>
  <pageMargins left="0.59055118110236227" right="0.59055118110236227" top="0.59055118110236227" bottom="0.59055118110236227" header="0.39370078740157483" footer="0.39370078740157483"/>
  <pageSetup paperSize="9" scale="80" firstPageNumber="12" fitToHeight="0" orientation="portrait" r:id="rId1"/>
  <headerFooter alignWithMargins="0">
    <oddFooter>&amp;L&amp;11LEL Schwäbisch Gmünd&amp;C&amp;P+8&amp;R&amp;11&amp;F</oddFooter>
  </headerFooter>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2">
    <tabColor rgb="FF00B0F0"/>
    <pageSetUpPr fitToPage="1"/>
  </sheetPr>
  <dimension ref="A1:AH221"/>
  <sheetViews>
    <sheetView showZeros="0" zoomScaleNormal="100" workbookViewId="0"/>
  </sheetViews>
  <sheetFormatPr baseColWidth="10" defaultColWidth="10.5" defaultRowHeight="12.75"/>
  <cols>
    <col min="1" max="1" width="0.75" style="31" customWidth="1"/>
    <col min="2" max="2" width="0.625" style="31" customWidth="1"/>
    <col min="3" max="3" width="11.125" style="31" customWidth="1"/>
    <col min="4" max="5" width="8.75" style="31" customWidth="1"/>
    <col min="6" max="6" width="10.5" style="31" customWidth="1"/>
    <col min="7" max="7" width="7.5" style="31" customWidth="1"/>
    <col min="8" max="8" width="5.5" style="31" customWidth="1"/>
    <col min="9" max="9" width="5.125" style="31" customWidth="1"/>
    <col min="10" max="10" width="9.25" style="31" customWidth="1"/>
    <col min="11" max="11" width="11.375" style="31" customWidth="1"/>
    <col min="12" max="12" width="7.125" style="31" customWidth="1"/>
    <col min="13" max="13" width="6.625" style="31" customWidth="1"/>
    <col min="14" max="14" width="7.5" style="31" customWidth="1"/>
    <col min="15" max="15" width="6.75" style="31" customWidth="1"/>
    <col min="16" max="16" width="11.75" style="31" customWidth="1"/>
    <col min="17" max="18" width="10.5" style="31" customWidth="1"/>
    <col min="19" max="23" width="10.5" style="31" hidden="1" customWidth="1"/>
    <col min="24" max="24" width="6" style="31" customWidth="1"/>
    <col min="25" max="26" width="10.5" style="31"/>
    <col min="27" max="27" width="0" style="31" hidden="1" customWidth="1"/>
    <col min="28" max="16384" width="10.5" style="31"/>
  </cols>
  <sheetData>
    <row r="1" spans="2:27" ht="16.5" customHeight="1">
      <c r="C1" s="1941"/>
    </row>
    <row r="2" spans="2:27" ht="20.25">
      <c r="C2" s="1041" t="s">
        <v>986</v>
      </c>
      <c r="O2" s="481" t="s">
        <v>1276</v>
      </c>
      <c r="P2" s="2352"/>
      <c r="Q2" s="2352"/>
    </row>
    <row r="3" spans="2:27" ht="2.1" customHeight="1">
      <c r="B3" s="49"/>
      <c r="C3" s="674"/>
      <c r="D3" s="673"/>
      <c r="E3" s="673"/>
      <c r="O3" s="4470">
        <f>SDÖ1!$O$3</f>
        <v>0</v>
      </c>
    </row>
    <row r="4" spans="2:27" ht="7.5" customHeight="1">
      <c r="C4" s="2351"/>
      <c r="D4" s="2350"/>
      <c r="E4" s="2350"/>
      <c r="F4" s="2349"/>
      <c r="G4" s="2349"/>
      <c r="H4" s="2349"/>
      <c r="I4" s="2349"/>
      <c r="J4" s="2349"/>
      <c r="K4" s="2349"/>
      <c r="L4" s="2349"/>
      <c r="M4" s="2349"/>
      <c r="N4" s="2349"/>
      <c r="O4" s="4470"/>
    </row>
    <row r="5" spans="2:27" ht="4.1500000000000004" customHeight="1">
      <c r="C5" s="2348"/>
      <c r="D5" s="673"/>
      <c r="E5" s="673"/>
      <c r="O5" s="4470"/>
    </row>
    <row r="6" spans="2:27" ht="19.7" customHeight="1">
      <c r="C6" s="1041" t="s">
        <v>939</v>
      </c>
      <c r="J6" s="2347" t="s">
        <v>1615</v>
      </c>
      <c r="K6" s="1041"/>
      <c r="L6" s="1041"/>
      <c r="N6" s="2346"/>
      <c r="O6" s="231"/>
    </row>
    <row r="7" spans="2:27" ht="14.25" customHeight="1">
      <c r="C7" s="35" t="s">
        <v>1614</v>
      </c>
      <c r="J7" s="35" t="s">
        <v>1613</v>
      </c>
      <c r="N7" s="2346"/>
      <c r="O7" s="231"/>
    </row>
    <row r="8" spans="2:27" ht="19.899999999999999" customHeight="1" thickBot="1">
      <c r="C8" s="380" t="s">
        <v>2113</v>
      </c>
      <c r="D8" s="54"/>
      <c r="E8" s="2345"/>
      <c r="F8" s="2345"/>
      <c r="G8" s="2345"/>
      <c r="H8" s="35"/>
      <c r="J8" s="35" t="s">
        <v>1612</v>
      </c>
    </row>
    <row r="9" spans="2:27" ht="20.25" customHeight="1">
      <c r="C9" s="3365" t="s">
        <v>936</v>
      </c>
      <c r="D9" s="3366"/>
      <c r="E9" s="3367"/>
      <c r="F9" s="3368" t="s">
        <v>1611</v>
      </c>
      <c r="G9" s="4478" t="s">
        <v>1610</v>
      </c>
      <c r="H9" s="4479"/>
      <c r="I9" s="3369"/>
      <c r="J9" s="3365" t="s">
        <v>296</v>
      </c>
      <c r="K9" s="3370"/>
      <c r="L9" s="3371"/>
      <c r="M9" s="3372"/>
      <c r="N9" s="3373"/>
      <c r="O9" s="3374"/>
      <c r="Q9" s="33"/>
    </row>
    <row r="10" spans="2:27" ht="23.1" customHeight="1" thickBot="1">
      <c r="C10" s="3375" t="s">
        <v>1609</v>
      </c>
      <c r="D10" s="3376"/>
      <c r="E10" s="3376"/>
      <c r="F10" s="3377" t="s">
        <v>1608</v>
      </c>
      <c r="G10" s="4480" t="s">
        <v>1607</v>
      </c>
      <c r="H10" s="4481"/>
      <c r="I10" s="3378"/>
      <c r="J10" s="3379"/>
      <c r="K10" s="3380"/>
      <c r="L10" s="3380"/>
      <c r="M10" s="3381" t="s">
        <v>1606</v>
      </c>
      <c r="N10" s="3382" t="s">
        <v>1177</v>
      </c>
      <c r="O10" s="3383" t="s">
        <v>171</v>
      </c>
      <c r="Q10" s="33"/>
      <c r="S10" s="35" t="s">
        <v>272</v>
      </c>
      <c r="AA10" s="35" t="s">
        <v>296</v>
      </c>
    </row>
    <row r="11" spans="2:27">
      <c r="C11" s="2344" t="s">
        <v>269</v>
      </c>
      <c r="D11" s="2118"/>
      <c r="E11" s="2343" t="s">
        <v>927</v>
      </c>
      <c r="F11" s="3970">
        <v>0.92</v>
      </c>
      <c r="G11" s="4482" t="s">
        <v>1605</v>
      </c>
      <c r="H11" s="4483"/>
      <c r="I11" s="284"/>
      <c r="J11" s="2327" t="s">
        <v>1604</v>
      </c>
      <c r="K11" s="2322"/>
      <c r="L11" s="368"/>
      <c r="M11" s="2323"/>
      <c r="N11" s="2328">
        <v>18</v>
      </c>
      <c r="O11" s="2325"/>
      <c r="P11" s="284"/>
      <c r="Q11" s="33"/>
      <c r="S11" s="2316" t="s">
        <v>1544</v>
      </c>
      <c r="AA11" s="35" t="s">
        <v>1603</v>
      </c>
    </row>
    <row r="12" spans="2:27">
      <c r="C12" s="2317" t="s">
        <v>269</v>
      </c>
      <c r="D12" s="2116"/>
      <c r="E12" s="289" t="s">
        <v>909</v>
      </c>
      <c r="F12" s="3971">
        <v>0.92</v>
      </c>
      <c r="G12" s="4450">
        <v>220</v>
      </c>
      <c r="H12" s="4451"/>
      <c r="I12" s="284"/>
      <c r="J12" s="2327" t="s">
        <v>1602</v>
      </c>
      <c r="K12" s="2322"/>
      <c r="L12" s="368"/>
      <c r="M12" s="2335">
        <v>1</v>
      </c>
      <c r="N12" s="2328">
        <v>25</v>
      </c>
      <c r="O12" s="2334">
        <v>25</v>
      </c>
      <c r="P12" s="284"/>
      <c r="Q12" s="33"/>
      <c r="S12" s="2316" t="s">
        <v>1601</v>
      </c>
      <c r="AA12" s="35" t="s">
        <v>1600</v>
      </c>
    </row>
    <row r="13" spans="2:27">
      <c r="C13" s="2317" t="s">
        <v>90</v>
      </c>
      <c r="D13" s="2116"/>
      <c r="E13" s="289"/>
      <c r="F13" s="3971">
        <v>0.84</v>
      </c>
      <c r="G13" s="4450">
        <v>120</v>
      </c>
      <c r="H13" s="4451"/>
      <c r="I13" s="284"/>
      <c r="J13" s="2327" t="s">
        <v>1599</v>
      </c>
      <c r="K13" s="2322"/>
      <c r="L13" s="368"/>
      <c r="M13" s="2335">
        <v>2</v>
      </c>
      <c r="N13" s="2328">
        <f>2.3*30</f>
        <v>69</v>
      </c>
      <c r="O13" s="2334">
        <f>M13*N13</f>
        <v>138</v>
      </c>
      <c r="P13" s="284"/>
      <c r="Q13" s="33"/>
      <c r="S13" s="2316" t="s">
        <v>1544</v>
      </c>
      <c r="AA13" s="35" t="s">
        <v>1598</v>
      </c>
    </row>
    <row r="14" spans="2:27">
      <c r="C14" s="2317" t="s">
        <v>84</v>
      </c>
      <c r="D14" s="2116"/>
      <c r="E14" s="289"/>
      <c r="F14" s="3971">
        <v>1.1200000000000001</v>
      </c>
      <c r="G14" s="4450">
        <v>220</v>
      </c>
      <c r="H14" s="4451"/>
      <c r="I14" s="284"/>
      <c r="J14" s="2327" t="s">
        <v>1597</v>
      </c>
      <c r="K14" s="2322"/>
      <c r="L14" s="368"/>
      <c r="M14" s="2339">
        <v>10</v>
      </c>
      <c r="N14" s="2338">
        <v>2</v>
      </c>
      <c r="O14" s="2337">
        <f>M14*N14</f>
        <v>20</v>
      </c>
      <c r="P14" s="284"/>
      <c r="Q14" s="33"/>
      <c r="S14" s="2316" t="s">
        <v>1596</v>
      </c>
      <c r="V14" s="2316" t="s">
        <v>1544</v>
      </c>
    </row>
    <row r="15" spans="2:27">
      <c r="C15" s="2317" t="s">
        <v>75</v>
      </c>
      <c r="D15" s="2116"/>
      <c r="E15" s="289"/>
      <c r="F15" s="3971">
        <v>0.91</v>
      </c>
      <c r="G15" s="4450">
        <v>140</v>
      </c>
      <c r="H15" s="4451"/>
      <c r="I15" s="284"/>
      <c r="J15" s="2324"/>
      <c r="K15" s="368"/>
      <c r="L15" s="368"/>
      <c r="M15" s="2321"/>
      <c r="N15" s="2320"/>
      <c r="O15" s="2319"/>
      <c r="P15" s="284"/>
      <c r="Q15" s="33"/>
      <c r="S15" s="2316" t="s">
        <v>1595</v>
      </c>
      <c r="V15" s="2316" t="s">
        <v>1544</v>
      </c>
    </row>
    <row r="16" spans="2:27" s="3595" customFormat="1">
      <c r="C16" s="3599" t="s">
        <v>86</v>
      </c>
      <c r="D16" s="2116"/>
      <c r="E16" s="289"/>
      <c r="F16" s="3971">
        <v>0.8</v>
      </c>
      <c r="G16" s="4450">
        <v>218</v>
      </c>
      <c r="H16" s="4453"/>
      <c r="I16" s="284"/>
      <c r="J16" s="2324"/>
      <c r="K16" s="368"/>
      <c r="L16" s="368"/>
      <c r="M16" s="2321"/>
      <c r="N16" s="2320"/>
      <c r="O16" s="2319"/>
      <c r="P16" s="284"/>
      <c r="Q16" s="33"/>
      <c r="S16" s="2316"/>
      <c r="V16" s="2316"/>
    </row>
    <row r="17" spans="1:27">
      <c r="C17" s="2317" t="s">
        <v>1594</v>
      </c>
      <c r="D17" s="2116"/>
      <c r="E17" s="289"/>
      <c r="F17" s="3971">
        <v>0.93</v>
      </c>
      <c r="G17" s="4450">
        <v>140</v>
      </c>
      <c r="H17" s="4451"/>
      <c r="I17" s="284"/>
      <c r="J17" s="2327"/>
      <c r="K17" s="2322"/>
      <c r="L17" s="368"/>
      <c r="M17" s="2323"/>
      <c r="N17" s="2328"/>
      <c r="O17" s="2325"/>
      <c r="P17" s="284"/>
      <c r="Q17" s="33"/>
      <c r="S17" s="2316" t="s">
        <v>1593</v>
      </c>
      <c r="AA17" s="35" t="s">
        <v>1592</v>
      </c>
    </row>
    <row r="18" spans="1:27">
      <c r="C18" s="2317" t="s">
        <v>1591</v>
      </c>
      <c r="D18" s="2116"/>
      <c r="E18" s="289"/>
      <c r="F18" s="3971">
        <v>0.93</v>
      </c>
      <c r="G18" s="4450">
        <v>140</v>
      </c>
      <c r="H18" s="4451"/>
      <c r="I18" s="284"/>
      <c r="J18" s="2327"/>
      <c r="K18" s="2322"/>
      <c r="L18" s="368"/>
      <c r="M18" s="2323"/>
      <c r="N18" s="2326"/>
      <c r="O18" s="2325"/>
      <c r="P18" s="284"/>
      <c r="Q18" s="33"/>
      <c r="S18" s="2316" t="s">
        <v>1544</v>
      </c>
    </row>
    <row r="19" spans="1:27">
      <c r="C19" s="2317" t="s">
        <v>70</v>
      </c>
      <c r="D19" s="2116"/>
      <c r="E19" s="289"/>
      <c r="F19" s="3972" t="s">
        <v>2102</v>
      </c>
      <c r="G19" s="4444" t="s">
        <v>1590</v>
      </c>
      <c r="H19" s="4445"/>
      <c r="I19" s="284"/>
      <c r="J19" s="2327"/>
      <c r="K19" s="2322"/>
      <c r="L19" s="368"/>
      <c r="M19" s="2323"/>
      <c r="N19" s="2342"/>
      <c r="O19" s="2325"/>
      <c r="P19" s="284"/>
      <c r="Q19" s="33"/>
      <c r="S19" s="2316" t="s">
        <v>1589</v>
      </c>
      <c r="V19" s="2316" t="s">
        <v>1544</v>
      </c>
    </row>
    <row r="20" spans="1:27">
      <c r="C20" s="2317" t="s">
        <v>263</v>
      </c>
      <c r="D20" s="2116"/>
      <c r="E20" s="289"/>
      <c r="F20" s="3971">
        <v>3.3</v>
      </c>
      <c r="G20" s="4444" t="s">
        <v>1588</v>
      </c>
      <c r="H20" s="4445"/>
      <c r="I20" s="284"/>
      <c r="J20" s="2324"/>
      <c r="K20" s="368"/>
      <c r="L20" s="368"/>
      <c r="M20" s="2321"/>
      <c r="N20" s="2320"/>
      <c r="O20" s="2319"/>
      <c r="P20" s="284"/>
      <c r="Q20" s="33"/>
      <c r="S20" s="2316" t="s">
        <v>1587</v>
      </c>
    </row>
    <row r="21" spans="1:27">
      <c r="C21" s="2317" t="s">
        <v>54</v>
      </c>
      <c r="D21" s="2116"/>
      <c r="E21" s="289"/>
      <c r="F21" s="3971">
        <v>1.1000000000000001</v>
      </c>
      <c r="G21" s="4450" t="s">
        <v>1586</v>
      </c>
      <c r="H21" s="4451"/>
      <c r="I21" s="284"/>
      <c r="J21" s="2327" t="s">
        <v>1585</v>
      </c>
      <c r="K21" s="2322"/>
      <c r="L21" s="368"/>
      <c r="M21" s="2339">
        <v>1</v>
      </c>
      <c r="N21" s="2341" t="s">
        <v>1584</v>
      </c>
      <c r="O21" s="2340" t="s">
        <v>1584</v>
      </c>
      <c r="P21" s="284"/>
      <c r="Q21" s="33"/>
      <c r="S21" s="2316" t="s">
        <v>1583</v>
      </c>
      <c r="AA21" s="35" t="s">
        <v>1582</v>
      </c>
    </row>
    <row r="22" spans="1:27">
      <c r="A22" s="31">
        <v>1.25</v>
      </c>
      <c r="C22" s="2317" t="s">
        <v>52</v>
      </c>
      <c r="D22" s="2116"/>
      <c r="E22" s="289"/>
      <c r="F22" s="3971">
        <v>1.3</v>
      </c>
      <c r="G22" s="4450" t="s">
        <v>1581</v>
      </c>
      <c r="H22" s="4451"/>
      <c r="I22" s="284"/>
      <c r="J22" s="2327" t="s">
        <v>1426</v>
      </c>
      <c r="K22" s="2322"/>
      <c r="L22" s="368"/>
      <c r="M22" s="2339">
        <v>1</v>
      </c>
      <c r="N22" s="2338">
        <v>181</v>
      </c>
      <c r="O22" s="2337">
        <f>M22*N22</f>
        <v>181</v>
      </c>
      <c r="P22" s="284"/>
      <c r="Q22" s="33"/>
      <c r="S22" s="2316" t="s">
        <v>1580</v>
      </c>
      <c r="AA22" s="35" t="s">
        <v>1579</v>
      </c>
    </row>
    <row r="23" spans="1:27" ht="13.9" customHeight="1">
      <c r="C23" s="2317" t="s">
        <v>60</v>
      </c>
      <c r="D23" s="2116"/>
      <c r="E23" s="289"/>
      <c r="F23" s="3972" t="s">
        <v>2103</v>
      </c>
      <c r="G23" s="4444" t="s">
        <v>1578</v>
      </c>
      <c r="H23" s="4452"/>
      <c r="I23" s="284"/>
      <c r="J23" s="2327"/>
      <c r="K23" s="2322"/>
      <c r="L23" s="368"/>
      <c r="M23" s="2323"/>
      <c r="N23" s="2326"/>
      <c r="O23" s="2325"/>
      <c r="P23" s="284"/>
      <c r="Q23" s="33"/>
      <c r="S23" s="35" t="s">
        <v>1575</v>
      </c>
    </row>
    <row r="24" spans="1:27" ht="13.9" customHeight="1">
      <c r="C24" s="2317" t="s">
        <v>64</v>
      </c>
      <c r="D24" s="2116"/>
      <c r="E24" s="289"/>
      <c r="F24" s="3972" t="s">
        <v>1577</v>
      </c>
      <c r="G24" s="4450" t="s">
        <v>1576</v>
      </c>
      <c r="H24" s="4453"/>
      <c r="I24" s="2336"/>
      <c r="J24" s="2327"/>
      <c r="K24" s="2322"/>
      <c r="L24" s="368"/>
      <c r="M24" s="2323"/>
      <c r="N24" s="2326"/>
      <c r="O24" s="2325"/>
      <c r="P24" s="284"/>
      <c r="Q24" s="33"/>
      <c r="S24" s="35" t="s">
        <v>1575</v>
      </c>
    </row>
    <row r="25" spans="1:27">
      <c r="C25" s="2317" t="s">
        <v>1574</v>
      </c>
      <c r="D25" s="2116"/>
      <c r="E25" s="289"/>
      <c r="F25" s="3971">
        <v>1.2</v>
      </c>
      <c r="G25" s="4450">
        <v>2500</v>
      </c>
      <c r="H25" s="4451"/>
      <c r="I25" s="284"/>
      <c r="J25" s="2327" t="s">
        <v>1573</v>
      </c>
      <c r="K25" s="2322"/>
      <c r="L25" s="368"/>
      <c r="M25" s="2335">
        <v>1</v>
      </c>
      <c r="N25" s="2328">
        <v>2.8</v>
      </c>
      <c r="O25" s="2334">
        <f>M25*N25</f>
        <v>2.8</v>
      </c>
      <c r="P25" s="284"/>
      <c r="Q25" s="33"/>
      <c r="S25" s="2316" t="s">
        <v>1572</v>
      </c>
    </row>
    <row r="26" spans="1:27">
      <c r="C26" s="2317"/>
      <c r="D26" s="2116"/>
      <c r="E26" s="289"/>
      <c r="F26" s="3973"/>
      <c r="G26" s="4444"/>
      <c r="H26" s="4445"/>
      <c r="I26" s="284"/>
      <c r="J26" s="2327" t="s">
        <v>1571</v>
      </c>
      <c r="K26" s="2322"/>
      <c r="L26" s="368"/>
      <c r="M26" s="2323"/>
      <c r="N26" s="2333">
        <v>5.5</v>
      </c>
      <c r="O26" s="2325"/>
      <c r="P26" s="284"/>
      <c r="Q26" s="33"/>
      <c r="S26" s="2316" t="s">
        <v>1570</v>
      </c>
      <c r="AA26" s="35" t="s">
        <v>1569</v>
      </c>
    </row>
    <row r="27" spans="1:27">
      <c r="C27" s="2331" t="s">
        <v>1565</v>
      </c>
      <c r="D27" s="2330"/>
      <c r="E27" s="2329"/>
      <c r="F27" s="3974">
        <v>4.5</v>
      </c>
      <c r="G27" s="3979" t="s">
        <v>1564</v>
      </c>
      <c r="H27" s="3980"/>
      <c r="I27" s="284"/>
      <c r="J27" s="2327" t="s">
        <v>1568</v>
      </c>
      <c r="K27" s="2322"/>
      <c r="L27" s="368"/>
      <c r="M27" s="2323"/>
      <c r="N27" s="2332" t="s">
        <v>1567</v>
      </c>
      <c r="O27" s="2319"/>
      <c r="P27" s="284"/>
      <c r="S27" s="35" t="s">
        <v>1566</v>
      </c>
    </row>
    <row r="28" spans="1:27" ht="12.75" customHeight="1">
      <c r="C28" s="2317" t="s">
        <v>1563</v>
      </c>
      <c r="D28" s="2116"/>
      <c r="E28" s="289"/>
      <c r="F28" s="3971">
        <v>5.38</v>
      </c>
      <c r="G28" s="3975" t="s">
        <v>1562</v>
      </c>
      <c r="H28" s="3976"/>
      <c r="I28" s="284"/>
      <c r="J28" s="2324"/>
      <c r="K28" s="368"/>
      <c r="L28" s="368"/>
      <c r="M28" s="2321"/>
      <c r="N28" s="2320"/>
      <c r="O28" s="2319"/>
      <c r="P28" s="284"/>
      <c r="S28" s="2316" t="s">
        <v>1544</v>
      </c>
    </row>
    <row r="29" spans="1:27" ht="14.25" customHeight="1">
      <c r="C29" s="2317" t="s">
        <v>1559</v>
      </c>
      <c r="D29" s="2116"/>
      <c r="E29" s="289"/>
      <c r="F29" s="3971">
        <v>6.66</v>
      </c>
      <c r="G29" s="3978" t="s">
        <v>1558</v>
      </c>
      <c r="H29" s="3977"/>
      <c r="I29" s="284"/>
      <c r="J29" s="2327" t="s">
        <v>1561</v>
      </c>
      <c r="K29" s="2322"/>
      <c r="L29" s="368"/>
      <c r="M29" s="2323"/>
      <c r="N29" s="2328">
        <v>0.18</v>
      </c>
      <c r="O29" s="2325"/>
      <c r="P29" s="284"/>
      <c r="S29" s="2316" t="s">
        <v>1544</v>
      </c>
      <c r="AA29" s="35" t="s">
        <v>1560</v>
      </c>
    </row>
    <row r="30" spans="1:27" ht="14.25" customHeight="1">
      <c r="C30" s="2317" t="s">
        <v>1556</v>
      </c>
      <c r="D30" s="2116"/>
      <c r="E30" s="289"/>
      <c r="F30" s="3971">
        <v>1.2</v>
      </c>
      <c r="G30" s="3975">
        <v>120</v>
      </c>
      <c r="H30" s="3976"/>
      <c r="I30" s="284"/>
      <c r="J30" s="2327" t="s">
        <v>1557</v>
      </c>
      <c r="K30" s="2322"/>
      <c r="L30" s="368"/>
      <c r="M30" s="2323"/>
      <c r="N30" s="2328">
        <v>0.7</v>
      </c>
      <c r="O30" s="2325"/>
      <c r="P30" s="284"/>
      <c r="S30" s="2316" t="s">
        <v>1544</v>
      </c>
    </row>
    <row r="31" spans="1:27">
      <c r="C31" s="2317" t="s">
        <v>888</v>
      </c>
      <c r="D31" s="2116"/>
      <c r="E31" s="289"/>
      <c r="F31" s="3971">
        <v>5.5</v>
      </c>
      <c r="G31" s="3978" t="s">
        <v>1554</v>
      </c>
      <c r="H31" s="3977"/>
      <c r="I31" s="284"/>
      <c r="J31" s="2327" t="s">
        <v>1555</v>
      </c>
      <c r="K31" s="2322"/>
      <c r="L31" s="368"/>
      <c r="M31" s="2323"/>
      <c r="N31" s="2326">
        <v>0.7</v>
      </c>
      <c r="O31" s="2325"/>
      <c r="P31" s="284"/>
      <c r="Q31" s="33"/>
      <c r="S31" s="2316" t="s">
        <v>1544</v>
      </c>
    </row>
    <row r="32" spans="1:27">
      <c r="C32" s="2317" t="s">
        <v>1549</v>
      </c>
      <c r="D32" s="2116"/>
      <c r="E32" s="289"/>
      <c r="F32" s="3971">
        <v>5.8</v>
      </c>
      <c r="G32" s="3978" t="s">
        <v>1548</v>
      </c>
      <c r="H32" s="3977"/>
      <c r="I32" s="2313"/>
      <c r="J32" s="2327" t="s">
        <v>1553</v>
      </c>
      <c r="K32" s="2322"/>
      <c r="L32" s="368"/>
      <c r="M32" s="2323"/>
      <c r="N32" s="2326">
        <v>10</v>
      </c>
      <c r="O32" s="2325"/>
      <c r="P32" s="284"/>
      <c r="Q32" s="33"/>
    </row>
    <row r="33" spans="2:20" ht="12.95" customHeight="1">
      <c r="C33" s="2317" t="s">
        <v>1547</v>
      </c>
      <c r="D33" s="2116"/>
      <c r="E33" s="289"/>
      <c r="F33" s="3971">
        <v>3.15</v>
      </c>
      <c r="G33" s="3975">
        <v>20</v>
      </c>
      <c r="H33" s="3977"/>
      <c r="I33" s="2313"/>
      <c r="J33" s="2324"/>
      <c r="K33" s="368"/>
      <c r="L33" s="368"/>
      <c r="M33" s="2321"/>
      <c r="N33" s="2320"/>
      <c r="O33" s="2319"/>
      <c r="P33" s="284"/>
      <c r="Q33" s="33"/>
    </row>
    <row r="34" spans="2:20">
      <c r="C34" s="2317" t="s">
        <v>1546</v>
      </c>
      <c r="D34" s="2116"/>
      <c r="E34" s="289"/>
      <c r="F34" s="3971">
        <v>2.2000000000000002</v>
      </c>
      <c r="G34" s="3975"/>
      <c r="H34" s="3977"/>
      <c r="I34" s="2313"/>
      <c r="J34" s="2327" t="s">
        <v>1552</v>
      </c>
      <c r="K34" s="2322"/>
      <c r="L34" s="368"/>
      <c r="M34" s="2323"/>
      <c r="N34" s="2326">
        <v>8</v>
      </c>
      <c r="O34" s="2325"/>
      <c r="P34" s="284"/>
      <c r="Q34" s="33"/>
      <c r="S34" s="2316" t="s">
        <v>1551</v>
      </c>
    </row>
    <row r="35" spans="2:20" ht="13.5" thickBot="1">
      <c r="C35" s="2315" t="s">
        <v>1545</v>
      </c>
      <c r="D35" s="2314"/>
      <c r="E35" s="3987"/>
      <c r="F35" s="3971" t="s">
        <v>2104</v>
      </c>
      <c r="G35" s="4439">
        <v>15</v>
      </c>
      <c r="H35" s="4440"/>
      <c r="I35" s="2313"/>
      <c r="J35" s="3983" t="s">
        <v>1550</v>
      </c>
      <c r="K35" s="2322"/>
      <c r="L35" s="2318"/>
      <c r="M35" s="3984"/>
      <c r="N35" s="3985">
        <v>6</v>
      </c>
      <c r="O35" s="3986"/>
      <c r="P35" s="284"/>
      <c r="Q35" s="33"/>
    </row>
    <row r="36" spans="2:20">
      <c r="B36" s="49"/>
      <c r="F36" s="668"/>
      <c r="H36" s="136"/>
      <c r="I36" s="136"/>
      <c r="J36" s="136"/>
      <c r="K36" s="3988"/>
    </row>
    <row r="37" spans="2:20" hidden="1">
      <c r="B37" s="49"/>
      <c r="C37" s="33"/>
      <c r="D37" s="33"/>
      <c r="E37" s="33"/>
      <c r="F37" s="33"/>
      <c r="G37" s="33"/>
      <c r="H37" s="33"/>
      <c r="I37" s="33"/>
    </row>
    <row r="38" spans="2:20" ht="20.25">
      <c r="C38" s="1041" t="s">
        <v>1543</v>
      </c>
      <c r="D38" s="1041"/>
      <c r="E38" s="1041"/>
      <c r="O38" s="33"/>
    </row>
    <row r="39" spans="2:20">
      <c r="C39" s="1033" t="s">
        <v>960</v>
      </c>
      <c r="D39" s="270"/>
      <c r="E39" s="270"/>
      <c r="F39" s="270"/>
      <c r="G39" s="351"/>
      <c r="H39" s="270"/>
      <c r="I39" s="1032" t="s">
        <v>228</v>
      </c>
    </row>
    <row r="40" spans="2:20">
      <c r="C40" s="1031" t="s">
        <v>680</v>
      </c>
      <c r="D40" s="270"/>
      <c r="E40" s="270"/>
      <c r="F40" s="270"/>
      <c r="G40" s="351"/>
      <c r="H40" s="270"/>
      <c r="I40" s="1030" t="s">
        <v>1542</v>
      </c>
      <c r="Q40" s="33"/>
    </row>
    <row r="41" spans="2:20">
      <c r="C41" s="743" t="s">
        <v>52</v>
      </c>
      <c r="D41" s="32"/>
      <c r="E41" s="32"/>
      <c r="F41" s="32"/>
      <c r="G41" s="743"/>
      <c r="H41" s="32"/>
      <c r="I41" s="1029" t="s">
        <v>1541</v>
      </c>
      <c r="Q41" s="33"/>
    </row>
    <row r="42" spans="2:20">
      <c r="C42" s="743" t="s">
        <v>957</v>
      </c>
      <c r="D42" s="32"/>
      <c r="E42" s="32"/>
      <c r="F42" s="32"/>
      <c r="G42" s="743"/>
      <c r="H42" s="32"/>
      <c r="I42" s="1029" t="s">
        <v>1540</v>
      </c>
      <c r="Q42" s="33"/>
    </row>
    <row r="43" spans="2:20">
      <c r="C43" s="743" t="s">
        <v>50</v>
      </c>
      <c r="D43" s="32"/>
      <c r="E43" s="32"/>
      <c r="F43" s="32"/>
      <c r="G43" s="743"/>
      <c r="H43" s="32"/>
      <c r="I43" s="1028" t="s">
        <v>955</v>
      </c>
      <c r="Q43" s="33"/>
    </row>
    <row r="44" spans="2:20">
      <c r="C44" s="1027" t="s">
        <v>954</v>
      </c>
      <c r="D44" s="312"/>
      <c r="E44" s="312"/>
      <c r="F44" s="312"/>
      <c r="G44" s="1027"/>
      <c r="H44" s="312"/>
      <c r="I44" s="1026" t="s">
        <v>1539</v>
      </c>
      <c r="Q44" s="33"/>
    </row>
    <row r="45" spans="2:20">
      <c r="C45" s="386" t="s">
        <v>1538</v>
      </c>
      <c r="D45" s="1025"/>
      <c r="E45" s="1025"/>
      <c r="F45" s="1025"/>
      <c r="G45" s="1025"/>
      <c r="H45" s="1025" t="s">
        <v>1537</v>
      </c>
      <c r="I45" s="1024"/>
    </row>
    <row r="46" spans="2:20" ht="13.5" thickBot="1">
      <c r="Q46" s="33"/>
    </row>
    <row r="47" spans="2:20" ht="14.25">
      <c r="C47" s="2312" t="s">
        <v>1536</v>
      </c>
      <c r="D47" s="668"/>
      <c r="E47" s="2311"/>
      <c r="F47" s="2310" t="s">
        <v>90</v>
      </c>
      <c r="G47" s="2310"/>
      <c r="H47" s="2310"/>
      <c r="I47" s="2309"/>
      <c r="Q47" s="33"/>
    </row>
    <row r="48" spans="2:20">
      <c r="C48" s="2202"/>
      <c r="D48" s="32"/>
      <c r="E48" s="32"/>
      <c r="F48" s="32"/>
      <c r="G48" s="32"/>
      <c r="H48" s="32"/>
      <c r="I48" s="2308"/>
      <c r="Q48" s="33"/>
      <c r="T48" s="31" t="s">
        <v>1213</v>
      </c>
    </row>
    <row r="49" spans="2:20">
      <c r="C49" s="2307" t="s">
        <v>948</v>
      </c>
      <c r="D49" s="32"/>
      <c r="E49" s="1020" t="s">
        <v>947</v>
      </c>
      <c r="F49" s="1019" t="s">
        <v>853</v>
      </c>
      <c r="G49" s="32"/>
      <c r="H49" s="323"/>
      <c r="I49" s="701"/>
      <c r="Q49" s="33"/>
    </row>
    <row r="50" spans="2:20">
      <c r="C50" s="2253" t="s">
        <v>946</v>
      </c>
      <c r="D50" s="32"/>
      <c r="E50" s="918">
        <v>30</v>
      </c>
      <c r="F50" s="232" t="s">
        <v>113</v>
      </c>
      <c r="G50" s="32"/>
      <c r="H50" s="323"/>
      <c r="I50" s="701"/>
      <c r="Q50" s="33"/>
    </row>
    <row r="51" spans="2:20">
      <c r="C51" s="2253"/>
      <c r="D51" s="32"/>
      <c r="E51" s="323"/>
      <c r="F51" s="323"/>
      <c r="G51" s="323"/>
      <c r="H51" s="323"/>
      <c r="I51" s="701"/>
      <c r="Q51" s="33"/>
    </row>
    <row r="52" spans="2:20">
      <c r="C52" s="2306">
        <f>E50%</f>
        <v>0.3</v>
      </c>
      <c r="D52" s="1017">
        <f>E49*E50%/100</f>
        <v>0.39</v>
      </c>
      <c r="E52" s="323" t="s">
        <v>945</v>
      </c>
      <c r="F52" s="702">
        <f>F13</f>
        <v>0.84</v>
      </c>
      <c r="G52" s="323" t="s">
        <v>941</v>
      </c>
      <c r="H52" s="703">
        <f>D52*F52</f>
        <v>0.3276</v>
      </c>
      <c r="I52" s="701" t="s">
        <v>171</v>
      </c>
      <c r="Q52" s="33"/>
    </row>
    <row r="53" spans="2:20">
      <c r="C53" s="2306">
        <f>1-C52</f>
        <v>0.7</v>
      </c>
      <c r="D53" s="1017">
        <f>E49*C53%</f>
        <v>0.90999999999999992</v>
      </c>
      <c r="E53" s="323" t="s">
        <v>944</v>
      </c>
      <c r="F53" s="702">
        <f>SDÖ1!O19</f>
        <v>36.300000000000004</v>
      </c>
      <c r="G53" s="323" t="s">
        <v>941</v>
      </c>
      <c r="H53" s="703">
        <f>D53*F53</f>
        <v>33.033000000000001</v>
      </c>
      <c r="I53" s="701" t="s">
        <v>171</v>
      </c>
      <c r="Q53" s="33"/>
    </row>
    <row r="54" spans="2:20" ht="14.25">
      <c r="C54" s="244"/>
      <c r="D54" s="232" t="s">
        <v>1535</v>
      </c>
      <c r="E54" s="323"/>
      <c r="F54" s="702">
        <v>15</v>
      </c>
      <c r="G54" s="323" t="s">
        <v>941</v>
      </c>
      <c r="H54" s="703">
        <f>D53*F54</f>
        <v>13.649999999999999</v>
      </c>
      <c r="I54" s="701" t="s">
        <v>171</v>
      </c>
      <c r="Q54" s="33"/>
    </row>
    <row r="55" spans="2:20" ht="14.25">
      <c r="C55" s="244"/>
      <c r="D55" s="323" t="s">
        <v>942</v>
      </c>
      <c r="E55" s="323"/>
      <c r="F55" s="702">
        <v>4</v>
      </c>
      <c r="G55" s="323" t="s">
        <v>941</v>
      </c>
      <c r="H55" s="703">
        <f>D53*F55</f>
        <v>3.6399999999999997</v>
      </c>
      <c r="I55" s="701" t="s">
        <v>171</v>
      </c>
      <c r="Q55" s="33"/>
    </row>
    <row r="56" spans="2:20" ht="13.5" thickBot="1">
      <c r="C56" s="2305" t="s">
        <v>940</v>
      </c>
      <c r="D56" s="2304"/>
      <c r="E56" s="2304"/>
      <c r="F56" s="2304"/>
      <c r="G56" s="2304"/>
      <c r="H56" s="2303">
        <f>SUM(H52:H55)</f>
        <v>50.650599999999997</v>
      </c>
      <c r="I56" s="2302" t="s">
        <v>171</v>
      </c>
      <c r="Q56" s="33"/>
    </row>
    <row r="57" spans="2:20">
      <c r="Q57" s="33"/>
      <c r="T57" s="31" t="s">
        <v>1213</v>
      </c>
    </row>
    <row r="58" spans="2:20" ht="20.25">
      <c r="B58" s="33"/>
      <c r="C58" s="4438" t="s">
        <v>844</v>
      </c>
      <c r="D58" s="4438"/>
      <c r="E58" s="4438"/>
      <c r="F58" s="4438"/>
      <c r="G58" s="4438"/>
      <c r="H58" s="4438"/>
      <c r="I58" s="4438"/>
      <c r="J58" s="4438"/>
      <c r="K58" s="4438"/>
      <c r="L58" s="4438"/>
      <c r="M58" s="4438"/>
      <c r="N58" s="33"/>
      <c r="Q58" s="33"/>
      <c r="T58" s="31" t="s">
        <v>1213</v>
      </c>
    </row>
    <row r="59" spans="2:20" ht="16.350000000000001" customHeight="1" thickBot="1">
      <c r="C59" s="4443" t="s">
        <v>843</v>
      </c>
      <c r="D59" s="4443"/>
      <c r="E59" s="4443"/>
      <c r="F59" s="4443"/>
      <c r="G59" s="4443"/>
      <c r="H59" s="4443"/>
      <c r="I59" s="4443"/>
      <c r="J59" s="4443"/>
      <c r="K59" s="4443"/>
      <c r="L59" s="4443"/>
      <c r="M59" s="4443"/>
      <c r="N59" s="33"/>
      <c r="Q59" s="33"/>
    </row>
    <row r="60" spans="2:20" ht="52.35" customHeight="1">
      <c r="B60" s="914">
        <f>ROWS($B$60:$B60)</f>
        <v>1</v>
      </c>
      <c r="C60" s="4435" t="s">
        <v>842</v>
      </c>
      <c r="D60" s="4436"/>
      <c r="E60" s="4437"/>
      <c r="F60" s="4441" t="s">
        <v>1534</v>
      </c>
      <c r="G60" s="4442"/>
      <c r="H60" s="2301"/>
      <c r="I60" s="4435" t="s">
        <v>842</v>
      </c>
      <c r="J60" s="4436"/>
      <c r="K60" s="4437"/>
      <c r="L60" s="4441" t="s">
        <v>1533</v>
      </c>
      <c r="M60" s="4442"/>
      <c r="N60" s="33"/>
      <c r="Q60" s="33"/>
    </row>
    <row r="61" spans="2:20" ht="13.7" hidden="1" customHeight="1">
      <c r="B61" s="914">
        <f>ROWS($B$60:$B61)</f>
        <v>2</v>
      </c>
      <c r="C61" s="2300"/>
      <c r="D61" s="2299"/>
      <c r="E61" s="2298"/>
      <c r="F61" s="2297"/>
      <c r="G61" s="2296"/>
      <c r="H61" s="2301"/>
      <c r="I61" s="2300"/>
      <c r="J61" s="2299"/>
      <c r="K61" s="2298"/>
      <c r="L61" s="2297"/>
      <c r="M61" s="2296"/>
      <c r="N61" s="33"/>
      <c r="Q61" s="33"/>
    </row>
    <row r="62" spans="2:20">
      <c r="B62" s="914">
        <f>ROWS($B$60:$B62)</f>
        <v>3</v>
      </c>
      <c r="C62" s="2293" t="s">
        <v>839</v>
      </c>
      <c r="D62" s="2292"/>
      <c r="E62" s="2292"/>
      <c r="F62" s="4448">
        <f>'SDK7'!G101</f>
        <v>16</v>
      </c>
      <c r="G62" s="4449"/>
      <c r="H62" s="2281">
        <v>5</v>
      </c>
      <c r="I62" s="2293" t="s">
        <v>838</v>
      </c>
      <c r="J62" s="2292"/>
      <c r="K62" s="2292"/>
      <c r="L62" s="3597">
        <v>34</v>
      </c>
      <c r="M62" s="2291"/>
      <c r="N62" s="33"/>
      <c r="Q62" s="33"/>
    </row>
    <row r="63" spans="2:20" ht="14.25">
      <c r="B63" s="914">
        <f>ROWS($B$60:$B63)</f>
        <v>4</v>
      </c>
      <c r="C63" s="2293" t="s">
        <v>837</v>
      </c>
      <c r="D63" s="2292"/>
      <c r="E63" s="2292"/>
      <c r="F63" s="4448">
        <f>'SDK7'!G102</f>
        <v>16</v>
      </c>
      <c r="G63" s="4449"/>
      <c r="H63" s="2281">
        <v>6</v>
      </c>
      <c r="I63" s="2293" t="s">
        <v>836</v>
      </c>
      <c r="J63" s="2294"/>
      <c r="K63" s="38"/>
      <c r="L63" s="3597">
        <v>12.6</v>
      </c>
      <c r="M63" s="2291"/>
      <c r="N63" s="33"/>
      <c r="P63" s="2295"/>
      <c r="Q63" s="33"/>
    </row>
    <row r="64" spans="2:20">
      <c r="B64" s="914">
        <f>ROWS($B$60:$B64)</f>
        <v>5</v>
      </c>
      <c r="C64" s="2293" t="s">
        <v>835</v>
      </c>
      <c r="D64" s="2292"/>
      <c r="E64" s="2292"/>
      <c r="F64" s="4448">
        <f>'SDK7'!G103</f>
        <v>14</v>
      </c>
      <c r="G64" s="4449"/>
      <c r="H64" s="2281">
        <v>7</v>
      </c>
      <c r="I64" s="2293" t="s">
        <v>834</v>
      </c>
      <c r="J64" s="2294"/>
      <c r="K64" s="38"/>
      <c r="L64" s="3597">
        <v>12.6</v>
      </c>
      <c r="M64" s="2291"/>
      <c r="N64" s="33"/>
    </row>
    <row r="65" spans="1:14">
      <c r="B65" s="914">
        <f>ROWS($B$60:$B65)</f>
        <v>6</v>
      </c>
      <c r="C65" s="2293" t="s">
        <v>833</v>
      </c>
      <c r="D65" s="2292"/>
      <c r="E65" s="2292"/>
      <c r="F65" s="4448">
        <f>'SDK7'!G104</f>
        <v>14</v>
      </c>
      <c r="G65" s="4449"/>
      <c r="H65" s="2281">
        <v>8</v>
      </c>
      <c r="I65" s="2293" t="s">
        <v>832</v>
      </c>
      <c r="J65" s="2294"/>
      <c r="K65" s="38"/>
      <c r="L65" s="3597">
        <v>12.6</v>
      </c>
      <c r="M65" s="2291"/>
      <c r="N65" s="33"/>
    </row>
    <row r="66" spans="1:14">
      <c r="B66" s="914">
        <f>ROWS($B$60:$B66)</f>
        <v>7</v>
      </c>
      <c r="C66" s="2293" t="s">
        <v>831</v>
      </c>
      <c r="D66" s="2292"/>
      <c r="E66" s="2292"/>
      <c r="F66" s="4448">
        <f>'SDK7'!G105</f>
        <v>43</v>
      </c>
      <c r="G66" s="4449"/>
      <c r="H66" s="2281">
        <v>9</v>
      </c>
      <c r="I66" s="2293" t="s">
        <v>830</v>
      </c>
      <c r="J66" s="2294"/>
      <c r="K66" s="38"/>
      <c r="L66" s="3597">
        <v>12.6</v>
      </c>
      <c r="M66" s="2291"/>
      <c r="N66" s="33"/>
    </row>
    <row r="67" spans="1:14" ht="13.15" customHeight="1">
      <c r="B67" s="914">
        <f>ROWS($B$60:$B67)</f>
        <v>8</v>
      </c>
      <c r="C67" s="2293" t="s">
        <v>829</v>
      </c>
      <c r="D67" s="2292"/>
      <c r="E67" s="2292"/>
      <c r="F67" s="4448">
        <f>'SDK7'!G106</f>
        <v>42</v>
      </c>
      <c r="G67" s="4449"/>
      <c r="H67" s="2281">
        <v>10</v>
      </c>
      <c r="I67" s="2293" t="s">
        <v>828</v>
      </c>
      <c r="J67" s="2294"/>
      <c r="K67" s="38"/>
      <c r="L67" s="3597">
        <v>12.6</v>
      </c>
      <c r="M67" s="2291"/>
      <c r="N67" s="33"/>
    </row>
    <row r="68" spans="1:14" ht="13.15" customHeight="1">
      <c r="B68" s="914">
        <f>ROWS($B$60:$B68)</f>
        <v>9</v>
      </c>
      <c r="C68" s="2293" t="s">
        <v>827</v>
      </c>
      <c r="D68" s="2292"/>
      <c r="E68" s="2292"/>
      <c r="F68" s="4448">
        <f>'SDK7'!G107</f>
        <v>42</v>
      </c>
      <c r="G68" s="4449"/>
      <c r="H68" s="2281">
        <v>11</v>
      </c>
      <c r="I68" s="2293" t="s">
        <v>826</v>
      </c>
      <c r="J68" s="2294"/>
      <c r="K68" s="38"/>
      <c r="L68" s="3597">
        <v>38</v>
      </c>
      <c r="M68" s="2291"/>
      <c r="N68" s="2120"/>
    </row>
    <row r="69" spans="1:14" ht="13.15" customHeight="1">
      <c r="B69" s="914">
        <f>ROWS($B$60:$B69)</f>
        <v>10</v>
      </c>
      <c r="C69" s="2293" t="s">
        <v>825</v>
      </c>
      <c r="D69" s="2292"/>
      <c r="E69" s="2292"/>
      <c r="F69" s="4448">
        <f>'SDK7'!G108</f>
        <v>28</v>
      </c>
      <c r="G69" s="4449"/>
      <c r="H69" s="2281">
        <v>12</v>
      </c>
      <c r="I69" s="2293" t="s">
        <v>824</v>
      </c>
      <c r="J69" s="2294"/>
      <c r="K69" s="38"/>
      <c r="L69" s="3597">
        <v>10</v>
      </c>
      <c r="M69" s="2291"/>
      <c r="N69" s="2120"/>
    </row>
    <row r="70" spans="1:14" ht="13.15" customHeight="1">
      <c r="B70" s="914">
        <f>ROWS($B$60:$B70)</f>
        <v>11</v>
      </c>
      <c r="C70" s="2293" t="s">
        <v>823</v>
      </c>
      <c r="D70" s="2292"/>
      <c r="E70" s="2292"/>
      <c r="F70" s="4448">
        <f>'SDK7'!G109</f>
        <v>28</v>
      </c>
      <c r="G70" s="4449"/>
      <c r="H70" s="2281">
        <v>13</v>
      </c>
      <c r="I70" s="2293" t="s">
        <v>822</v>
      </c>
      <c r="J70" s="2294"/>
      <c r="K70" s="38"/>
      <c r="L70" s="3597">
        <v>20</v>
      </c>
      <c r="M70" s="2291"/>
      <c r="N70" s="2120"/>
    </row>
    <row r="71" spans="1:14" ht="13.15" customHeight="1">
      <c r="B71" s="914">
        <f>ROWS($B$60:$B71)</f>
        <v>12</v>
      </c>
      <c r="C71" s="2293" t="s">
        <v>821</v>
      </c>
      <c r="D71" s="2292"/>
      <c r="E71" s="2292"/>
      <c r="F71" s="4448">
        <f>'SDK7'!G110</f>
        <v>28</v>
      </c>
      <c r="G71" s="4449"/>
      <c r="H71" s="2281">
        <v>14</v>
      </c>
      <c r="I71" s="2293" t="s">
        <v>820</v>
      </c>
      <c r="J71" s="2294"/>
      <c r="K71" s="38"/>
      <c r="L71" s="3597">
        <v>18</v>
      </c>
      <c r="M71" s="2291"/>
      <c r="N71" s="2120"/>
    </row>
    <row r="72" spans="1:14" ht="13.15" customHeight="1">
      <c r="B72" s="914">
        <f>ROWS($B$60:$B72)</f>
        <v>13</v>
      </c>
      <c r="C72" s="2293" t="s">
        <v>819</v>
      </c>
      <c r="D72" s="2292"/>
      <c r="E72" s="2292"/>
      <c r="F72" s="4448">
        <f>'SDK7'!G111</f>
        <v>23</v>
      </c>
      <c r="G72" s="4449"/>
      <c r="H72" s="2281">
        <v>15</v>
      </c>
      <c r="I72" s="2293" t="s">
        <v>818</v>
      </c>
      <c r="J72" s="2294"/>
      <c r="K72" s="38"/>
      <c r="L72" s="3597">
        <v>18</v>
      </c>
      <c r="M72" s="2291"/>
      <c r="N72" s="2120"/>
    </row>
    <row r="73" spans="1:14" ht="13.15" customHeight="1">
      <c r="B73" s="914">
        <f>ROWS($B$60:$B73)</f>
        <v>14</v>
      </c>
      <c r="C73" s="2293" t="s">
        <v>817</v>
      </c>
      <c r="D73" s="2292"/>
      <c r="E73" s="2292"/>
      <c r="F73" s="4448">
        <f>'SDK7'!G112</f>
        <v>15</v>
      </c>
      <c r="G73" s="4449"/>
      <c r="H73" s="2281">
        <v>16</v>
      </c>
      <c r="I73" s="2290" t="s">
        <v>1532</v>
      </c>
      <c r="J73" s="2289"/>
      <c r="K73" s="2288"/>
      <c r="L73" s="2287"/>
      <c r="M73" s="2286"/>
      <c r="N73" s="2120"/>
    </row>
    <row r="74" spans="1:14" ht="13.15" customHeight="1" thickBot="1">
      <c r="B74" s="914">
        <f>ROWS($B$60:$B74)</f>
        <v>15</v>
      </c>
      <c r="C74" s="2285"/>
      <c r="D74" s="2284"/>
      <c r="E74" s="2284"/>
      <c r="F74" s="2283"/>
      <c r="G74" s="2282"/>
      <c r="H74" s="2281">
        <v>17</v>
      </c>
      <c r="I74" s="2280"/>
      <c r="J74" s="2279"/>
      <c r="K74" s="2278"/>
      <c r="L74" s="2277"/>
      <c r="M74" s="2276"/>
      <c r="N74" s="2120"/>
    </row>
    <row r="75" spans="1:14" ht="13.15" customHeight="1">
      <c r="B75" s="2121"/>
      <c r="C75" s="2120"/>
      <c r="D75" s="2122"/>
      <c r="E75" s="2121"/>
      <c r="F75" s="2121"/>
      <c r="G75" s="2120"/>
      <c r="H75" s="390"/>
      <c r="I75" s="2275" t="s">
        <v>814</v>
      </c>
      <c r="J75" s="2274"/>
      <c r="K75" s="2274"/>
      <c r="L75" s="2274"/>
      <c r="M75" s="2273"/>
      <c r="N75" s="2120"/>
    </row>
    <row r="76" spans="1:14" ht="15" hidden="1" customHeight="1">
      <c r="A76" s="2121"/>
      <c r="B76" s="2120"/>
      <c r="C76" s="2122"/>
      <c r="D76" s="2121"/>
      <c r="E76" s="2121"/>
      <c r="F76" s="2120"/>
      <c r="G76" s="2120"/>
      <c r="H76" s="2120"/>
      <c r="I76" s="2120"/>
      <c r="J76" s="2120"/>
      <c r="K76" s="2120"/>
      <c r="L76" s="2120"/>
      <c r="M76" s="2120"/>
    </row>
    <row r="77" spans="1:14" ht="13.15" hidden="1" customHeight="1">
      <c r="I77" s="3595"/>
      <c r="J77" s="3595"/>
      <c r="K77" s="3595"/>
      <c r="L77" s="3595"/>
      <c r="M77" s="3595"/>
    </row>
    <row r="78" spans="1:14" ht="7.15" hidden="1" customHeight="1">
      <c r="I78" s="3595"/>
      <c r="J78" s="3595"/>
      <c r="K78" s="3595"/>
      <c r="L78" s="3595"/>
      <c r="M78" s="3595"/>
    </row>
    <row r="79" spans="1:14" ht="14.45" hidden="1" customHeight="1">
      <c r="I79" s="3595"/>
      <c r="J79" s="3595"/>
      <c r="K79" s="3595"/>
      <c r="L79" s="3595"/>
      <c r="M79" s="3595"/>
    </row>
    <row r="80" spans="1:14" ht="12.75" hidden="1" customHeight="1">
      <c r="I80" s="3595"/>
      <c r="J80" s="3595"/>
      <c r="K80" s="3595"/>
      <c r="L80" s="3595"/>
      <c r="M80" s="3595"/>
    </row>
    <row r="81" spans="3:14" ht="12.75" hidden="1" customHeight="1">
      <c r="I81" s="3595"/>
      <c r="J81" s="3595"/>
      <c r="K81" s="3595"/>
      <c r="L81" s="3595"/>
      <c r="M81" s="3595"/>
    </row>
    <row r="82" spans="3:14" ht="12.75" hidden="1" customHeight="1">
      <c r="I82" s="3595"/>
      <c r="J82" s="3595"/>
      <c r="K82" s="3595"/>
      <c r="L82" s="3595"/>
      <c r="M82" s="3595"/>
    </row>
    <row r="83" spans="3:14" ht="12.75" hidden="1" customHeight="1">
      <c r="I83" s="3595"/>
      <c r="J83" s="3595"/>
      <c r="K83" s="3595"/>
      <c r="L83" s="3595"/>
      <c r="M83" s="3595"/>
    </row>
    <row r="84" spans="3:14" ht="20.25">
      <c r="C84" s="321" t="s">
        <v>813</v>
      </c>
      <c r="D84" s="321"/>
      <c r="E84" s="321"/>
      <c r="F84" s="321"/>
      <c r="G84" s="321"/>
      <c r="H84" s="321"/>
      <c r="I84" s="321"/>
      <c r="J84" s="321"/>
      <c r="K84" s="321"/>
      <c r="L84" s="321"/>
      <c r="M84" s="321"/>
    </row>
    <row r="85" spans="3:14" ht="13.5" thickBot="1">
      <c r="C85" s="376" t="s">
        <v>1531</v>
      </c>
      <c r="D85" s="32"/>
      <c r="E85" s="32"/>
      <c r="F85" s="32"/>
      <c r="G85" s="32"/>
      <c r="H85" s="32"/>
      <c r="I85" s="3596"/>
      <c r="J85" s="3596"/>
      <c r="K85" s="3596"/>
      <c r="L85" s="3595"/>
      <c r="M85" s="3595"/>
    </row>
    <row r="86" spans="3:14">
      <c r="C86" s="670" t="s">
        <v>810</v>
      </c>
      <c r="D86" s="2272"/>
      <c r="E86" s="2271" t="s">
        <v>114</v>
      </c>
      <c r="F86" s="2270">
        <v>20</v>
      </c>
      <c r="G86" s="2270">
        <v>30</v>
      </c>
      <c r="H86" s="4446">
        <v>50</v>
      </c>
      <c r="I86" s="4447"/>
      <c r="J86" s="4446">
        <v>100</v>
      </c>
      <c r="K86" s="4504"/>
      <c r="L86" s="3595"/>
      <c r="M86" s="3595"/>
    </row>
    <row r="87" spans="3:14" ht="13.5" thickBot="1">
      <c r="C87" s="664" t="s">
        <v>809</v>
      </c>
      <c r="D87" s="2269"/>
      <c r="E87" s="2260" t="s">
        <v>808</v>
      </c>
      <c r="F87" s="2268">
        <v>120</v>
      </c>
      <c r="G87" s="2268">
        <v>180</v>
      </c>
      <c r="H87" s="4494">
        <v>300</v>
      </c>
      <c r="I87" s="4495"/>
      <c r="J87" s="4494">
        <v>600</v>
      </c>
      <c r="K87" s="4496"/>
      <c r="L87" s="3595"/>
      <c r="M87" s="3595"/>
    </row>
    <row r="88" spans="3:14" ht="4.9000000000000004" customHeight="1" thickBot="1">
      <c r="C88" s="65"/>
      <c r="I88" s="3595"/>
      <c r="J88" s="3595"/>
      <c r="K88" s="3595"/>
      <c r="L88" s="3595"/>
      <c r="M88" s="3595"/>
    </row>
    <row r="89" spans="3:14">
      <c r="C89" s="2267"/>
      <c r="D89" s="2236"/>
      <c r="E89" s="2266"/>
      <c r="F89" s="2236"/>
      <c r="G89" s="2236"/>
      <c r="H89" s="4493"/>
      <c r="I89" s="4493"/>
      <c r="J89" s="2236"/>
      <c r="K89" s="705"/>
      <c r="L89" s="3595"/>
      <c r="M89" s="3595"/>
    </row>
    <row r="90" spans="3:14">
      <c r="C90" s="2253" t="s">
        <v>807</v>
      </c>
      <c r="D90" s="907">
        <v>0.75</v>
      </c>
      <c r="E90" s="441" t="s">
        <v>806</v>
      </c>
      <c r="F90" s="891">
        <f>F87/$D$90</f>
        <v>160</v>
      </c>
      <c r="G90" s="891">
        <f>G87/$D$90</f>
        <v>240</v>
      </c>
      <c r="H90" s="4489">
        <f>H87/$D$90</f>
        <v>400</v>
      </c>
      <c r="I90" s="4502"/>
      <c r="J90" s="4489">
        <f>J87/$D$90</f>
        <v>800</v>
      </c>
      <c r="K90" s="4490"/>
      <c r="L90" s="3595"/>
      <c r="M90" s="3595"/>
    </row>
    <row r="91" spans="3:14" ht="18" customHeight="1">
      <c r="C91" s="2253" t="s">
        <v>805</v>
      </c>
      <c r="D91" s="855"/>
      <c r="E91" s="441" t="s">
        <v>556</v>
      </c>
      <c r="F91" s="902">
        <v>170</v>
      </c>
      <c r="G91" s="902">
        <v>160</v>
      </c>
      <c r="H91" s="4500">
        <v>120</v>
      </c>
      <c r="I91" s="4501"/>
      <c r="J91" s="4500">
        <v>100</v>
      </c>
      <c r="K91" s="4503"/>
      <c r="L91" s="3595"/>
      <c r="M91" s="3595"/>
    </row>
    <row r="92" spans="3:14" ht="10.9" customHeight="1">
      <c r="C92" s="2265" t="s">
        <v>804</v>
      </c>
      <c r="D92" s="478"/>
      <c r="E92" s="836" t="s">
        <v>556</v>
      </c>
      <c r="F92" s="897">
        <f>F90*F91</f>
        <v>27200</v>
      </c>
      <c r="G92" s="897">
        <f>G90*G91</f>
        <v>38400</v>
      </c>
      <c r="H92" s="4485">
        <f>H90*H91</f>
        <v>48000</v>
      </c>
      <c r="I92" s="4499"/>
      <c r="J92" s="4485">
        <f>J90*J91</f>
        <v>80000</v>
      </c>
      <c r="K92" s="4486"/>
      <c r="L92" s="3595"/>
      <c r="M92" s="3595"/>
    </row>
    <row r="93" spans="3:14" ht="19.899999999999999" customHeight="1">
      <c r="C93" s="2253" t="s">
        <v>803</v>
      </c>
      <c r="D93" s="892">
        <v>0.04</v>
      </c>
      <c r="E93" s="441" t="s">
        <v>556</v>
      </c>
      <c r="F93" s="891">
        <f>F92*$D$93</f>
        <v>1088</v>
      </c>
      <c r="G93" s="891">
        <f>G92*$D$93</f>
        <v>1536</v>
      </c>
      <c r="H93" s="4491">
        <f>H92*$D$93</f>
        <v>1920</v>
      </c>
      <c r="I93" s="4498"/>
      <c r="J93" s="4491">
        <f>J92*$D$93</f>
        <v>3200</v>
      </c>
      <c r="K93" s="4492"/>
      <c r="L93" s="3595"/>
      <c r="M93" s="3595"/>
    </row>
    <row r="94" spans="3:14">
      <c r="C94" s="2208" t="s">
        <v>802</v>
      </c>
      <c r="D94" s="2264">
        <v>0.02</v>
      </c>
      <c r="E94" s="804" t="s">
        <v>556</v>
      </c>
      <c r="F94" s="886">
        <f>F92*$D$94</f>
        <v>544</v>
      </c>
      <c r="G94" s="886">
        <f>G92*$D$94</f>
        <v>768</v>
      </c>
      <c r="H94" s="4487">
        <f>H92*$D$94</f>
        <v>960</v>
      </c>
      <c r="I94" s="4497"/>
      <c r="J94" s="4487">
        <f>J92*$D$94</f>
        <v>1600</v>
      </c>
      <c r="K94" s="4488"/>
      <c r="L94" s="3595"/>
      <c r="M94" s="3595"/>
      <c r="N94" s="486"/>
    </row>
    <row r="95" spans="3:14" ht="9.6" customHeight="1">
      <c r="C95" s="2263" t="s">
        <v>801</v>
      </c>
      <c r="D95" s="882"/>
      <c r="E95" s="881" t="s">
        <v>556</v>
      </c>
      <c r="F95" s="880">
        <f>SUM(F93:F94)</f>
        <v>1632</v>
      </c>
      <c r="G95" s="880">
        <f>SUM(G93:G94)</f>
        <v>2304</v>
      </c>
      <c r="H95" s="4474">
        <f>SUM(H93:H94)</f>
        <v>2880</v>
      </c>
      <c r="I95" s="4476"/>
      <c r="J95" s="4474">
        <f>SUM(J93:J94)</f>
        <v>4800</v>
      </c>
      <c r="K95" s="4475"/>
      <c r="L95" s="3595"/>
      <c r="M95" s="3595"/>
      <c r="N95" s="486"/>
    </row>
    <row r="96" spans="3:14" ht="13.5" thickBot="1">
      <c r="C96" s="2262"/>
      <c r="D96" s="2261"/>
      <c r="E96" s="2260" t="s">
        <v>755</v>
      </c>
      <c r="F96" s="2259">
        <f>F95/F87</f>
        <v>13.6</v>
      </c>
      <c r="G96" s="2259">
        <f>G95/G87</f>
        <v>12.8</v>
      </c>
      <c r="H96" s="4468">
        <f>H95/H87</f>
        <v>9.6</v>
      </c>
      <c r="I96" s="4469"/>
      <c r="J96" s="4468">
        <f>J95/J87</f>
        <v>8</v>
      </c>
      <c r="K96" s="4477"/>
      <c r="L96" s="3595"/>
      <c r="M96" s="3595"/>
      <c r="N96" s="486"/>
    </row>
    <row r="97" spans="3:34" ht="6.75" customHeight="1" thickBot="1">
      <c r="C97" s="65"/>
      <c r="I97" s="3595"/>
      <c r="J97" s="3595"/>
      <c r="K97" s="3595"/>
      <c r="L97" s="3595"/>
      <c r="M97" s="3595"/>
      <c r="N97" s="486"/>
    </row>
    <row r="98" spans="3:34">
      <c r="C98" s="2258" t="s">
        <v>759</v>
      </c>
      <c r="D98" s="668"/>
      <c r="E98" s="668"/>
      <c r="F98" s="668"/>
      <c r="G98" s="668"/>
      <c r="H98" s="668"/>
      <c r="I98" s="668"/>
      <c r="J98" s="668"/>
      <c r="K98" s="2257"/>
      <c r="L98" s="3595"/>
      <c r="M98" s="3595"/>
      <c r="N98" s="486"/>
    </row>
    <row r="99" spans="3:34">
      <c r="C99" s="2256" t="s">
        <v>1530</v>
      </c>
      <c r="D99" s="323"/>
      <c r="E99" s="323"/>
      <c r="F99" s="323"/>
      <c r="G99" s="323"/>
      <c r="H99" s="323"/>
      <c r="I99" s="323"/>
      <c r="J99" s="323"/>
      <c r="K99" s="701"/>
      <c r="L99" s="3595"/>
      <c r="M99" s="3595"/>
      <c r="N99" s="486"/>
    </row>
    <row r="100" spans="3:34">
      <c r="C100" s="2208"/>
      <c r="D100" s="849"/>
      <c r="E100" s="804" t="s">
        <v>755</v>
      </c>
      <c r="F100" s="869">
        <v>0.15</v>
      </c>
      <c r="G100" s="869">
        <v>0.15</v>
      </c>
      <c r="H100" s="4471">
        <v>0.15</v>
      </c>
      <c r="I100" s="4472"/>
      <c r="J100" s="4471">
        <v>0.15</v>
      </c>
      <c r="K100" s="4484"/>
      <c r="L100" s="3595"/>
      <c r="M100" s="3595"/>
      <c r="N100" s="486"/>
      <c r="X100" s="31" t="s">
        <v>776</v>
      </c>
    </row>
    <row r="101" spans="3:34">
      <c r="C101" s="2255" t="s">
        <v>798</v>
      </c>
      <c r="D101" s="824"/>
      <c r="E101" s="824"/>
      <c r="F101" s="824"/>
      <c r="G101" s="824"/>
      <c r="H101" s="824"/>
      <c r="I101" s="824"/>
      <c r="J101" s="824"/>
      <c r="K101" s="2254"/>
      <c r="L101" s="3595"/>
      <c r="M101" s="3595"/>
      <c r="N101" s="486"/>
      <c r="AB101" s="31" t="s">
        <v>775</v>
      </c>
      <c r="AD101" s="31" t="s">
        <v>774</v>
      </c>
      <c r="AF101" s="31" t="s">
        <v>773</v>
      </c>
      <c r="AH101" s="31" t="s">
        <v>772</v>
      </c>
    </row>
    <row r="102" spans="3:34" ht="14.25">
      <c r="C102" s="2208" t="s">
        <v>797</v>
      </c>
      <c r="D102" s="849"/>
      <c r="E102" s="804" t="s">
        <v>755</v>
      </c>
      <c r="F102" s="864">
        <v>0.05</v>
      </c>
      <c r="G102" s="864">
        <v>0.05</v>
      </c>
      <c r="H102" s="4466">
        <v>0.05</v>
      </c>
      <c r="I102" s="4467"/>
      <c r="J102" s="4466">
        <v>0.05</v>
      </c>
      <c r="K102" s="4473"/>
      <c r="L102" s="3595"/>
      <c r="M102" s="3595"/>
      <c r="P102" s="33"/>
      <c r="Q102" s="33"/>
      <c r="R102" s="33"/>
      <c r="S102" s="2252"/>
      <c r="X102" s="31" t="s">
        <v>770</v>
      </c>
      <c r="AB102" s="31" t="s">
        <v>769</v>
      </c>
      <c r="AD102" s="31" t="s">
        <v>768</v>
      </c>
      <c r="AF102" s="31" t="s">
        <v>768</v>
      </c>
      <c r="AH102" s="31" t="s">
        <v>768</v>
      </c>
    </row>
    <row r="103" spans="3:34" ht="14.25">
      <c r="C103" s="2255" t="s">
        <v>796</v>
      </c>
      <c r="D103" s="824"/>
      <c r="E103" s="824"/>
      <c r="F103" s="824"/>
      <c r="G103" s="824"/>
      <c r="H103" s="824"/>
      <c r="I103" s="824"/>
      <c r="J103" s="824"/>
      <c r="K103" s="2254"/>
      <c r="L103" s="3595"/>
      <c r="M103" s="3595"/>
      <c r="P103" s="33"/>
      <c r="Q103" s="33"/>
      <c r="R103" s="33"/>
      <c r="S103" s="2252"/>
      <c r="AB103" s="31" t="s">
        <v>766</v>
      </c>
      <c r="AD103" s="31" t="s">
        <v>765</v>
      </c>
      <c r="AF103" s="31" t="s">
        <v>764</v>
      </c>
      <c r="AH103" s="31" t="s">
        <v>764</v>
      </c>
    </row>
    <row r="104" spans="3:34" ht="14.25">
      <c r="C104" s="2208" t="s">
        <v>795</v>
      </c>
      <c r="D104" s="857">
        <v>250</v>
      </c>
      <c r="E104" s="804" t="s">
        <v>755</v>
      </c>
      <c r="F104" s="848">
        <f>$D$104/F87</f>
        <v>2.0833333333333335</v>
      </c>
      <c r="G104" s="848">
        <f>$D$104/G87</f>
        <v>1.3888888888888888</v>
      </c>
      <c r="H104" s="4459">
        <f>$D$104/H87</f>
        <v>0.83333333333333337</v>
      </c>
      <c r="I104" s="4465"/>
      <c r="J104" s="4459">
        <f>$D$104/J87</f>
        <v>0.41666666666666669</v>
      </c>
      <c r="K104" s="4460"/>
      <c r="L104" s="3595"/>
      <c r="M104" s="3595"/>
      <c r="P104" s="33"/>
      <c r="Q104" s="33"/>
      <c r="R104" s="33"/>
      <c r="S104" s="2252"/>
      <c r="AD104" s="31" t="s">
        <v>762</v>
      </c>
      <c r="AF104" s="31" t="s">
        <v>761</v>
      </c>
      <c r="AH104" s="31" t="s">
        <v>760</v>
      </c>
    </row>
    <row r="105" spans="3:34" ht="14.25">
      <c r="C105" s="2255" t="s">
        <v>794</v>
      </c>
      <c r="D105" s="824"/>
      <c r="E105" s="824"/>
      <c r="F105" s="824"/>
      <c r="G105" s="824"/>
      <c r="H105" s="824"/>
      <c r="I105" s="824"/>
      <c r="J105" s="824"/>
      <c r="K105" s="2254"/>
      <c r="L105" s="3595"/>
      <c r="M105" s="3595"/>
      <c r="P105" s="33"/>
      <c r="Q105" s="33"/>
      <c r="R105" s="33"/>
      <c r="S105" s="2252"/>
    </row>
    <row r="106" spans="3:34" ht="14.25">
      <c r="C106" s="2253" t="s">
        <v>793</v>
      </c>
      <c r="D106" s="855"/>
      <c r="E106" s="441" t="s">
        <v>792</v>
      </c>
      <c r="F106" s="854">
        <v>500</v>
      </c>
      <c r="G106" s="854">
        <v>700</v>
      </c>
      <c r="H106" s="4454">
        <v>1000</v>
      </c>
      <c r="I106" s="4455"/>
      <c r="J106" s="4454">
        <v>1000</v>
      </c>
      <c r="K106" s="4456"/>
      <c r="L106" s="3595"/>
      <c r="M106" s="3595"/>
      <c r="N106" s="747"/>
      <c r="O106" s="747"/>
      <c r="P106" s="33"/>
      <c r="Q106" s="33"/>
      <c r="R106" s="33"/>
      <c r="S106" s="2252"/>
      <c r="X106" s="31" t="s">
        <v>756</v>
      </c>
      <c r="AB106" s="723">
        <v>202765</v>
      </c>
      <c r="AD106" s="723">
        <v>202765</v>
      </c>
      <c r="AF106" s="723">
        <v>202765</v>
      </c>
      <c r="AH106" s="723">
        <v>202765</v>
      </c>
    </row>
    <row r="107" spans="3:34" ht="14.25">
      <c r="C107" s="2208"/>
      <c r="D107" s="849"/>
      <c r="E107" s="804" t="s">
        <v>755</v>
      </c>
      <c r="F107" s="848">
        <f>F106/F87</f>
        <v>4.166666666666667</v>
      </c>
      <c r="G107" s="848">
        <f>G106/G87</f>
        <v>3.8888888888888888</v>
      </c>
      <c r="H107" s="4459">
        <f>H106/H87</f>
        <v>3.3333333333333335</v>
      </c>
      <c r="I107" s="4465"/>
      <c r="J107" s="4459">
        <f>J106/J87</f>
        <v>1.6666666666666667</v>
      </c>
      <c r="K107" s="4460"/>
      <c r="L107" s="3595"/>
      <c r="M107" s="3595"/>
      <c r="N107" s="747"/>
      <c r="O107" s="747"/>
      <c r="P107" s="33"/>
      <c r="Q107" s="33"/>
      <c r="R107" s="33"/>
      <c r="S107" s="2252"/>
      <c r="X107" s="686" t="s">
        <v>754</v>
      </c>
      <c r="AB107" s="723">
        <v>19284</v>
      </c>
      <c r="AD107" s="723">
        <v>19284</v>
      </c>
      <c r="AF107" s="723">
        <v>19284</v>
      </c>
      <c r="AH107" s="723">
        <v>19284</v>
      </c>
    </row>
    <row r="108" spans="3:34" ht="13.5" thickBot="1">
      <c r="C108" s="2195" t="s">
        <v>791</v>
      </c>
      <c r="D108" s="2251"/>
      <c r="E108" s="2250" t="s">
        <v>755</v>
      </c>
      <c r="F108" s="2249">
        <f>SUM(F100,F102,F104,F107)</f>
        <v>6.4500000000000011</v>
      </c>
      <c r="G108" s="2249">
        <f>SUM(G100,G102,G104,G107)</f>
        <v>5.4777777777777779</v>
      </c>
      <c r="H108" s="4461">
        <f>SUM(H100,H102,H104,H107)</f>
        <v>4.3666666666666671</v>
      </c>
      <c r="I108" s="4462"/>
      <c r="J108" s="4461">
        <f>SUM(J100,J102,J104,J107)</f>
        <v>2.2833333333333332</v>
      </c>
      <c r="K108" s="4464"/>
      <c r="L108" s="3595"/>
      <c r="M108" s="3595"/>
      <c r="N108" s="747"/>
      <c r="O108" s="747"/>
      <c r="P108" s="33"/>
      <c r="Q108" s="33"/>
      <c r="R108" s="33"/>
      <c r="Y108" s="31" t="s">
        <v>752</v>
      </c>
      <c r="AB108" s="723">
        <v>12143</v>
      </c>
      <c r="AD108" s="723">
        <v>12143</v>
      </c>
      <c r="AF108" s="723">
        <v>12143</v>
      </c>
      <c r="AH108" s="723">
        <v>12143</v>
      </c>
    </row>
    <row r="109" spans="3:34" ht="4.9000000000000004" customHeight="1" thickBot="1">
      <c r="C109" s="486"/>
      <c r="D109" s="486"/>
      <c r="E109" s="486"/>
      <c r="F109" s="486"/>
      <c r="G109" s="486"/>
      <c r="H109" s="486"/>
      <c r="I109" s="486"/>
      <c r="J109" s="323"/>
      <c r="K109" s="486"/>
      <c r="L109" s="3595"/>
      <c r="M109" s="3595"/>
      <c r="N109" s="747"/>
      <c r="O109" s="747"/>
      <c r="P109" s="33"/>
      <c r="Q109" s="33"/>
      <c r="R109" s="33"/>
      <c r="Y109" s="31" t="s">
        <v>750</v>
      </c>
      <c r="AB109" s="723">
        <v>6085</v>
      </c>
      <c r="AD109" s="723">
        <v>6085</v>
      </c>
      <c r="AF109" s="723">
        <v>6085</v>
      </c>
      <c r="AH109" s="723">
        <v>6085</v>
      </c>
    </row>
    <row r="110" spans="3:34" ht="16.5" thickTop="1" thickBot="1">
      <c r="C110" s="2248" t="s">
        <v>790</v>
      </c>
      <c r="D110" s="2247"/>
      <c r="E110" s="2246" t="s">
        <v>755</v>
      </c>
      <c r="F110" s="2245">
        <f>F96+F108</f>
        <v>20.05</v>
      </c>
      <c r="G110" s="2245">
        <f>G96+G108</f>
        <v>18.277777777777779</v>
      </c>
      <c r="H110" s="4457">
        <f>H96+H108</f>
        <v>13.966666666666667</v>
      </c>
      <c r="I110" s="4463"/>
      <c r="J110" s="4457">
        <f>J96+J108</f>
        <v>10.283333333333333</v>
      </c>
      <c r="K110" s="4458"/>
      <c r="L110" s="3595"/>
      <c r="M110" s="3595"/>
      <c r="N110" s="747"/>
      <c r="O110" s="747"/>
      <c r="P110" s="33"/>
      <c r="Q110" s="33"/>
      <c r="R110" s="33"/>
      <c r="Y110" s="31" t="s">
        <v>748</v>
      </c>
      <c r="AB110" s="723">
        <v>1056</v>
      </c>
      <c r="AD110" s="723">
        <v>1056</v>
      </c>
      <c r="AF110" s="723">
        <v>1056</v>
      </c>
      <c r="AH110" s="723">
        <v>1056</v>
      </c>
    </row>
    <row r="111" spans="3:34" ht="8.85" customHeight="1" thickTop="1">
      <c r="I111" s="3595"/>
      <c r="J111" s="3595"/>
      <c r="K111" s="3595"/>
      <c r="L111" s="3595"/>
      <c r="M111" s="3595"/>
      <c r="N111" s="751"/>
      <c r="O111" s="751"/>
      <c r="P111" s="2244"/>
      <c r="Q111" s="2244"/>
      <c r="R111" s="2243"/>
      <c r="X111" s="686" t="s">
        <v>745</v>
      </c>
      <c r="AB111" s="723">
        <v>8133</v>
      </c>
      <c r="AD111" s="723">
        <v>8108</v>
      </c>
      <c r="AF111" s="723">
        <v>15526</v>
      </c>
      <c r="AH111" s="723">
        <v>8294</v>
      </c>
    </row>
    <row r="112" spans="3:34" ht="21" thickBot="1">
      <c r="C112" s="321" t="s">
        <v>1529</v>
      </c>
      <c r="D112" s="709"/>
      <c r="E112" s="32"/>
      <c r="F112" s="32"/>
      <c r="I112" s="3595"/>
      <c r="J112" s="3595"/>
      <c r="K112" s="3595"/>
      <c r="L112" s="3595"/>
      <c r="M112" s="3595"/>
      <c r="N112" s="751"/>
      <c r="O112" s="751"/>
      <c r="P112" s="2242"/>
      <c r="Q112" s="2242"/>
      <c r="Y112" s="31" t="s">
        <v>744</v>
      </c>
      <c r="AB112" s="723">
        <v>4456</v>
      </c>
      <c r="AD112" s="723">
        <v>4342</v>
      </c>
      <c r="AF112" s="723">
        <v>10424</v>
      </c>
      <c r="AH112" s="723">
        <v>4624</v>
      </c>
    </row>
    <row r="113" spans="3:34" ht="21" hidden="1" customHeight="1" thickBot="1">
      <c r="C113" s="376"/>
      <c r="D113" s="32"/>
      <c r="E113" s="323"/>
      <c r="F113" s="323"/>
      <c r="G113" s="486"/>
      <c r="H113" s="486"/>
      <c r="I113" s="486"/>
      <c r="J113" s="486"/>
      <c r="K113" s="2241"/>
      <c r="L113" s="486"/>
      <c r="M113" s="486"/>
      <c r="N113" s="740"/>
      <c r="O113" s="740"/>
      <c r="P113" s="740"/>
      <c r="Q113" s="740"/>
      <c r="Y113" s="31" t="s">
        <v>742</v>
      </c>
      <c r="AB113" s="723">
        <v>245.1</v>
      </c>
      <c r="AD113" s="723">
        <v>251.1</v>
      </c>
      <c r="AF113" s="723">
        <v>340.1</v>
      </c>
      <c r="AH113" s="723">
        <v>244.7</v>
      </c>
    </row>
    <row r="114" spans="3:34" ht="13.5" hidden="1" customHeight="1" thickBot="1">
      <c r="C114" s="2223"/>
      <c r="D114" s="816"/>
      <c r="E114" s="486"/>
      <c r="F114" s="486"/>
      <c r="G114" s="486"/>
      <c r="H114" s="486"/>
      <c r="I114" s="486"/>
      <c r="J114" s="486"/>
      <c r="K114" s="2241"/>
      <c r="L114" s="486"/>
      <c r="M114" s="486"/>
      <c r="N114" s="740"/>
      <c r="O114" s="740"/>
      <c r="P114" s="740"/>
      <c r="Q114" s="740"/>
      <c r="Y114" s="31" t="s">
        <v>708</v>
      </c>
      <c r="AB114" s="723">
        <v>3676</v>
      </c>
      <c r="AD114" s="723">
        <v>3766</v>
      </c>
      <c r="AF114" s="723">
        <v>5102</v>
      </c>
      <c r="AH114" s="723">
        <v>3670</v>
      </c>
    </row>
    <row r="115" spans="3:34">
      <c r="C115" s="2240" t="s">
        <v>788</v>
      </c>
      <c r="D115" s="2239">
        <v>600</v>
      </c>
      <c r="E115" s="2238" t="s">
        <v>787</v>
      </c>
      <c r="F115" s="2237"/>
      <c r="G115" s="2236"/>
      <c r="H115" s="2236"/>
      <c r="I115" s="2235" t="s">
        <v>1528</v>
      </c>
      <c r="J115" s="668"/>
      <c r="K115" s="668"/>
      <c r="L115" s="2234" t="s">
        <v>785</v>
      </c>
      <c r="M115" s="323"/>
      <c r="N115" s="733"/>
      <c r="O115" s="733"/>
      <c r="P115" s="740"/>
      <c r="Q115" s="740"/>
      <c r="X115" s="686" t="s">
        <v>739</v>
      </c>
      <c r="AB115" s="723">
        <v>27417</v>
      </c>
      <c r="AD115" s="723">
        <v>27392</v>
      </c>
      <c r="AF115" s="723">
        <v>34810</v>
      </c>
      <c r="AH115" s="723">
        <v>27578</v>
      </c>
    </row>
    <row r="116" spans="3:34" ht="18" customHeight="1" thickBot="1">
      <c r="C116" s="2233" t="s">
        <v>784</v>
      </c>
      <c r="D116" s="2232">
        <v>5</v>
      </c>
      <c r="E116" s="2231" t="s">
        <v>783</v>
      </c>
      <c r="F116" s="2230"/>
      <c r="G116" s="2229"/>
      <c r="H116" s="2229"/>
      <c r="I116" s="2228" t="s">
        <v>782</v>
      </c>
      <c r="J116" s="662"/>
      <c r="K116" s="2227">
        <v>1</v>
      </c>
      <c r="L116" s="2226">
        <v>30</v>
      </c>
      <c r="M116" s="3595"/>
      <c r="N116" s="2225"/>
      <c r="O116" s="2224"/>
      <c r="P116" s="708"/>
      <c r="Q116" s="708"/>
      <c r="X116" s="31" t="s">
        <v>737</v>
      </c>
      <c r="AB116" s="723">
        <v>2000</v>
      </c>
      <c r="AD116" s="723">
        <v>1865</v>
      </c>
      <c r="AF116" s="723">
        <v>1988</v>
      </c>
      <c r="AH116" s="723">
        <v>1980</v>
      </c>
    </row>
    <row r="117" spans="3:34" ht="9.75" customHeight="1" thickBot="1">
      <c r="C117" s="2223"/>
      <c r="D117" s="816"/>
      <c r="E117" s="486"/>
      <c r="F117" s="486"/>
      <c r="G117" s="486"/>
      <c r="H117" s="486"/>
      <c r="I117" s="3595"/>
      <c r="J117" s="3595"/>
      <c r="K117" s="3595"/>
      <c r="L117" s="3595"/>
      <c r="M117" s="3595"/>
      <c r="N117" s="720"/>
      <c r="O117" s="720"/>
      <c r="P117" s="2222"/>
      <c r="Q117" s="2222"/>
      <c r="X117" s="686" t="s">
        <v>736</v>
      </c>
      <c r="AB117" s="718">
        <v>13.71</v>
      </c>
      <c r="AD117" s="718">
        <v>14.69</v>
      </c>
      <c r="AF117" s="718">
        <v>17.510000000000002</v>
      </c>
      <c r="AH117" s="718">
        <v>13.93</v>
      </c>
    </row>
    <row r="118" spans="3:34" ht="16.899999999999999" customHeight="1">
      <c r="C118" s="2221" t="s">
        <v>781</v>
      </c>
      <c r="D118" s="2219" t="s">
        <v>780</v>
      </c>
      <c r="E118" s="2220" t="s">
        <v>564</v>
      </c>
      <c r="F118" s="2219" t="s">
        <v>779</v>
      </c>
      <c r="G118" s="2218" t="s">
        <v>750</v>
      </c>
      <c r="H118" s="2217" t="s">
        <v>778</v>
      </c>
      <c r="I118" s="2216"/>
      <c r="J118" s="2215"/>
      <c r="K118" s="2214"/>
      <c r="L118" s="2213"/>
      <c r="M118" s="323"/>
      <c r="N118" s="740"/>
      <c r="O118" s="740"/>
      <c r="P118" s="709"/>
      <c r="Q118" s="708"/>
    </row>
    <row r="119" spans="3:34" ht="13.5">
      <c r="C119" s="2209"/>
      <c r="D119" s="809" t="s">
        <v>777</v>
      </c>
      <c r="E119" s="388" t="s">
        <v>558</v>
      </c>
      <c r="F119" s="809"/>
      <c r="G119" s="2212">
        <v>0.02</v>
      </c>
      <c r="H119" s="807">
        <v>2.5000000000000001E-3</v>
      </c>
      <c r="I119" s="449" t="s">
        <v>716</v>
      </c>
      <c r="J119" s="3592" t="s">
        <v>715</v>
      </c>
      <c r="K119" s="2211" t="s">
        <v>757</v>
      </c>
      <c r="L119" s="2200"/>
      <c r="M119" s="3593"/>
    </row>
    <row r="120" spans="3:34">
      <c r="C120" s="2209"/>
      <c r="D120" s="757" t="s">
        <v>556</v>
      </c>
      <c r="E120" s="805" t="s">
        <v>557</v>
      </c>
      <c r="F120" s="757" t="s">
        <v>556</v>
      </c>
      <c r="G120" s="756" t="s">
        <v>556</v>
      </c>
      <c r="H120" s="780" t="s">
        <v>556</v>
      </c>
      <c r="I120" s="754" t="s">
        <v>556</v>
      </c>
      <c r="J120" s="780" t="s">
        <v>556</v>
      </c>
      <c r="K120" s="2210" t="s">
        <v>556</v>
      </c>
      <c r="L120" s="2197"/>
      <c r="M120" s="3594"/>
    </row>
    <row r="121" spans="3:34">
      <c r="C121" s="2209" t="s">
        <v>771</v>
      </c>
      <c r="D121" s="802">
        <v>30000</v>
      </c>
      <c r="E121" s="801">
        <v>10</v>
      </c>
      <c r="F121" s="800">
        <f>D121/E121</f>
        <v>3000</v>
      </c>
      <c r="G121" s="799">
        <f>D121*G119</f>
        <v>600</v>
      </c>
      <c r="H121" s="798">
        <f>D121*H119</f>
        <v>75</v>
      </c>
      <c r="I121" s="774">
        <f>SUM(F121:H121)</f>
        <v>3675</v>
      </c>
      <c r="J121" s="792"/>
      <c r="K121" s="2186"/>
      <c r="L121" s="2185"/>
      <c r="M121" s="3596"/>
      <c r="Y121" s="31" t="s">
        <v>732</v>
      </c>
      <c r="AB121" s="31">
        <v>125</v>
      </c>
      <c r="AC121" s="31">
        <v>160</v>
      </c>
    </row>
    <row r="122" spans="3:34">
      <c r="C122" s="2208" t="s">
        <v>767</v>
      </c>
      <c r="D122" s="797">
        <v>70000</v>
      </c>
      <c r="E122" s="796">
        <v>40</v>
      </c>
      <c r="F122" s="795">
        <f>D122/E122</f>
        <v>1750</v>
      </c>
      <c r="G122" s="794">
        <f>D122*G119</f>
        <v>1400</v>
      </c>
      <c r="H122" s="793">
        <f>D122*H119</f>
        <v>175</v>
      </c>
      <c r="I122" s="771">
        <f>SUM(F122:H122)</f>
        <v>3325</v>
      </c>
      <c r="J122" s="792"/>
      <c r="K122" s="2186"/>
      <c r="L122" s="2185"/>
      <c r="M122" s="3596"/>
      <c r="Y122" s="31" t="s">
        <v>730</v>
      </c>
      <c r="AB122" s="31">
        <v>180</v>
      </c>
      <c r="AC122" s="31">
        <v>230</v>
      </c>
    </row>
    <row r="123" spans="3:34" ht="13.5" thickBot="1">
      <c r="C123" s="2195" t="s">
        <v>763</v>
      </c>
      <c r="D123" s="2206">
        <f>SUM(D121:D122)</f>
        <v>100000</v>
      </c>
      <c r="E123" s="2207"/>
      <c r="F123" s="2206">
        <f>SUM(F121:F122)</f>
        <v>4750</v>
      </c>
      <c r="G123" s="2205">
        <f>SUM(G121:G122)</f>
        <v>2000</v>
      </c>
      <c r="H123" s="2204">
        <f>SUM(H121:H122)</f>
        <v>250</v>
      </c>
      <c r="I123" s="2193">
        <f>SUM(F123:H123)</f>
        <v>7000</v>
      </c>
      <c r="J123" s="2192">
        <f>IF(D115=0,0,I123/D115)</f>
        <v>11.666666666666666</v>
      </c>
      <c r="K123" s="2191">
        <f>J123/10</f>
        <v>1.1666666666666665</v>
      </c>
      <c r="L123" s="2203"/>
      <c r="M123" s="786"/>
    </row>
    <row r="124" spans="3:34">
      <c r="C124" s="2202"/>
      <c r="F124" s="743"/>
      <c r="I124" s="743"/>
      <c r="J124" s="2201"/>
      <c r="K124" s="2186"/>
      <c r="L124" s="2185"/>
      <c r="M124" s="3596"/>
    </row>
    <row r="125" spans="3:34" ht="13.5">
      <c r="C125" s="2190" t="s">
        <v>759</v>
      </c>
      <c r="D125" s="32"/>
      <c r="E125" s="32"/>
      <c r="F125" s="743"/>
      <c r="G125" s="448"/>
      <c r="H125" s="783" t="s">
        <v>758</v>
      </c>
      <c r="I125" s="449"/>
      <c r="J125" s="759" t="s">
        <v>715</v>
      </c>
      <c r="K125" s="2188" t="s">
        <v>757</v>
      </c>
      <c r="L125" s="2200"/>
      <c r="M125" s="3593"/>
      <c r="N125" s="33"/>
      <c r="O125" s="33"/>
      <c r="P125" s="33"/>
    </row>
    <row r="126" spans="3:34" ht="13.5">
      <c r="C126" s="2199" t="s">
        <v>337</v>
      </c>
      <c r="D126" s="312"/>
      <c r="E126" s="312"/>
      <c r="F126" s="754" t="s">
        <v>755</v>
      </c>
      <c r="G126" s="780"/>
      <c r="H126" s="779" t="s">
        <v>113</v>
      </c>
      <c r="I126" s="754"/>
      <c r="J126" s="753" t="s">
        <v>556</v>
      </c>
      <c r="K126" s="2198" t="s">
        <v>556</v>
      </c>
      <c r="L126" s="2197"/>
      <c r="M126" s="3594"/>
      <c r="N126" s="33"/>
      <c r="O126" s="33"/>
      <c r="P126" s="33"/>
    </row>
    <row r="127" spans="3:34">
      <c r="C127" s="2187" t="s">
        <v>753</v>
      </c>
      <c r="D127" s="32"/>
      <c r="E127" s="32"/>
      <c r="F127" s="776">
        <v>3</v>
      </c>
      <c r="G127" s="775"/>
      <c r="H127" s="772">
        <v>100</v>
      </c>
      <c r="I127" s="774"/>
      <c r="J127" s="742">
        <f>F127*H127%</f>
        <v>3</v>
      </c>
      <c r="K127" s="2186"/>
      <c r="L127" s="2185"/>
      <c r="M127" s="3596"/>
      <c r="N127" s="33"/>
      <c r="O127" s="33"/>
      <c r="P127" s="33"/>
    </row>
    <row r="128" spans="3:34" ht="12.95" customHeight="1">
      <c r="C128" s="2196" t="s">
        <v>751</v>
      </c>
      <c r="D128" s="32"/>
      <c r="E128" s="32"/>
      <c r="F128" s="746"/>
      <c r="G128" s="32"/>
      <c r="H128" s="772"/>
      <c r="I128" s="771"/>
      <c r="J128" s="770">
        <f>F128*H128%</f>
        <v>0</v>
      </c>
      <c r="K128" s="2186"/>
      <c r="L128" s="2185"/>
      <c r="M128" s="3596"/>
      <c r="N128" s="33"/>
      <c r="O128" s="33"/>
      <c r="P128" s="33"/>
    </row>
    <row r="129" spans="2:22" ht="13.5" thickBot="1">
      <c r="C129" s="2195" t="s">
        <v>749</v>
      </c>
      <c r="D129" s="2194"/>
      <c r="E129" s="2194"/>
      <c r="F129" s="2193"/>
      <c r="G129" s="2194"/>
      <c r="H129" s="2194"/>
      <c r="I129" s="2193"/>
      <c r="J129" s="2192">
        <f>SUM(J127:J128)</f>
        <v>3</v>
      </c>
      <c r="K129" s="2191">
        <f>J129/10</f>
        <v>0.3</v>
      </c>
      <c r="L129" s="2185"/>
      <c r="M129" s="3596"/>
      <c r="N129" s="33"/>
      <c r="O129" s="33"/>
      <c r="P129" s="33"/>
    </row>
    <row r="130" spans="2:22" ht="13.5">
      <c r="B130" s="32"/>
      <c r="C130" s="2190" t="s">
        <v>747</v>
      </c>
      <c r="F130" s="2189" t="s">
        <v>113</v>
      </c>
      <c r="G130" s="761"/>
      <c r="H130" s="760"/>
      <c r="I130" s="449"/>
      <c r="J130" s="759" t="s">
        <v>1527</v>
      </c>
      <c r="K130" s="2188" t="s">
        <v>556</v>
      </c>
      <c r="L130" s="2185"/>
      <c r="M130" s="3596"/>
      <c r="N130" s="33"/>
      <c r="O130" s="33"/>
      <c r="P130" s="33"/>
    </row>
    <row r="131" spans="2:22">
      <c r="C131" s="2187" t="s">
        <v>743</v>
      </c>
      <c r="D131" s="747"/>
      <c r="E131" s="32"/>
      <c r="F131" s="746">
        <v>0.2</v>
      </c>
      <c r="G131" s="745"/>
      <c r="H131" s="744"/>
      <c r="I131" s="743"/>
      <c r="J131" s="749">
        <f>L116*F131%</f>
        <v>0.06</v>
      </c>
      <c r="K131" s="2186"/>
      <c r="L131" s="2185"/>
      <c r="M131" s="3596"/>
      <c r="N131" s="33"/>
      <c r="O131" s="33"/>
      <c r="P131" s="33"/>
    </row>
    <row r="132" spans="2:22">
      <c r="C132" s="2187" t="s">
        <v>741</v>
      </c>
      <c r="D132" s="747"/>
      <c r="E132" s="32"/>
      <c r="F132" s="746">
        <v>4</v>
      </c>
      <c r="G132" s="745"/>
      <c r="H132" s="744"/>
      <c r="I132" s="743"/>
      <c r="J132" s="742">
        <f>L116*F132%/12</f>
        <v>9.9999999999999992E-2</v>
      </c>
      <c r="K132" s="2186"/>
      <c r="L132" s="2185"/>
      <c r="M132" s="3596"/>
      <c r="N132" s="33"/>
      <c r="O132" s="33"/>
      <c r="P132" s="33"/>
    </row>
    <row r="133" spans="2:22" ht="13.5" thickBot="1">
      <c r="C133" s="2184" t="s">
        <v>740</v>
      </c>
      <c r="D133" s="737"/>
      <c r="E133" s="737"/>
      <c r="F133" s="736"/>
      <c r="G133" s="737"/>
      <c r="H133" s="737"/>
      <c r="I133" s="736"/>
      <c r="J133" s="735">
        <f>SUM(J131:J132)</f>
        <v>0.15999999999999998</v>
      </c>
      <c r="K133" s="2183">
        <f>J133*D116</f>
        <v>0.79999999999999982</v>
      </c>
      <c r="L133" s="2182"/>
      <c r="M133" s="3596"/>
      <c r="N133" s="33"/>
      <c r="O133" s="33"/>
      <c r="P133" s="33"/>
    </row>
    <row r="134" spans="2:22" ht="16.5" thickTop="1" thickBot="1">
      <c r="C134" s="2181" t="s">
        <v>738</v>
      </c>
      <c r="D134" s="2178"/>
      <c r="E134" s="2180"/>
      <c r="F134" s="2179"/>
      <c r="G134" s="2178"/>
      <c r="H134" s="2178"/>
      <c r="I134" s="2177"/>
      <c r="J134" s="2176"/>
      <c r="K134" s="2175"/>
      <c r="L134" s="2174">
        <f>K123+K129+K133</f>
        <v>2.2666666666666666</v>
      </c>
      <c r="M134" s="2168"/>
      <c r="N134" s="33"/>
      <c r="O134" s="33"/>
      <c r="P134" s="33"/>
    </row>
    <row r="135" spans="2:22" ht="8.1" customHeight="1" thickTop="1" thickBot="1">
      <c r="C135" s="720"/>
      <c r="D135" s="720"/>
      <c r="E135" s="720"/>
      <c r="F135" s="720"/>
      <c r="G135" s="720"/>
      <c r="H135" s="720"/>
      <c r="I135" s="720"/>
      <c r="J135" s="720"/>
      <c r="K135" s="709"/>
      <c r="L135" s="721"/>
      <c r="M135" s="486"/>
      <c r="N135" s="33"/>
      <c r="O135" s="33"/>
      <c r="P135" s="33"/>
    </row>
    <row r="136" spans="2:22" ht="13.5" thickBot="1">
      <c r="C136" s="2173" t="s">
        <v>735</v>
      </c>
      <c r="D136" s="2171"/>
      <c r="E136" s="2172"/>
      <c r="F136" s="2171"/>
      <c r="G136" s="2171"/>
      <c r="H136" s="2171"/>
      <c r="I136" s="2172"/>
      <c r="J136" s="2171"/>
      <c r="K136" s="2170"/>
      <c r="L136" s="2169">
        <f>L116+L134</f>
        <v>32.266666666666666</v>
      </c>
      <c r="M136" s="2168"/>
      <c r="N136" s="33"/>
      <c r="O136" s="33"/>
      <c r="P136" s="33"/>
    </row>
    <row r="137" spans="2:22" ht="13.5" hidden="1" customHeight="1" thickBot="1">
      <c r="I137" s="3595"/>
      <c r="J137" s="3595"/>
      <c r="K137" s="3595"/>
      <c r="L137" s="3595"/>
      <c r="M137" s="3595"/>
      <c r="N137" s="33"/>
      <c r="O137" s="33"/>
      <c r="P137" s="33"/>
    </row>
    <row r="138" spans="2:22" ht="20.25">
      <c r="C138" s="321" t="s">
        <v>734</v>
      </c>
      <c r="D138" s="679"/>
      <c r="E138" s="679"/>
      <c r="F138" s="679"/>
      <c r="I138" s="3595"/>
      <c r="J138" s="3595"/>
      <c r="K138" s="3595"/>
      <c r="L138" s="3595"/>
      <c r="M138" s="3595"/>
      <c r="N138" s="33"/>
      <c r="O138" s="33"/>
      <c r="P138" s="33"/>
    </row>
    <row r="139" spans="2:22" ht="13.5" thickBot="1">
      <c r="C139" s="376" t="s">
        <v>691</v>
      </c>
      <c r="D139" s="380" t="s">
        <v>733</v>
      </c>
      <c r="E139" s="679"/>
      <c r="F139" s="679"/>
      <c r="N139" s="33"/>
      <c r="O139" s="33"/>
      <c r="P139" s="33"/>
    </row>
    <row r="140" spans="2:22">
      <c r="C140" s="707" t="s">
        <v>731</v>
      </c>
      <c r="D140" s="706"/>
      <c r="E140" s="706"/>
      <c r="F140" s="666">
        <v>1</v>
      </c>
      <c r="G140" s="705" t="s">
        <v>556</v>
      </c>
      <c r="N140" s="33"/>
      <c r="O140" s="33"/>
      <c r="P140" s="33"/>
    </row>
    <row r="141" spans="2:22" ht="13.5" thickBot="1">
      <c r="C141" s="2167" t="s">
        <v>729</v>
      </c>
      <c r="D141" s="2166"/>
      <c r="E141" s="2166"/>
      <c r="F141" s="661">
        <v>1</v>
      </c>
      <c r="G141" s="2165" t="s">
        <v>556</v>
      </c>
      <c r="N141" s="33"/>
      <c r="O141" s="33"/>
      <c r="P141" s="33"/>
    </row>
    <row r="142" spans="2:22" ht="19.899999999999999" customHeight="1">
      <c r="N142" s="33"/>
      <c r="O142" s="33"/>
      <c r="P142" s="33"/>
    </row>
    <row r="143" spans="2:22" ht="25.5" customHeight="1">
      <c r="P143" s="33"/>
      <c r="Q143" s="33"/>
    </row>
    <row r="144" spans="2:22">
      <c r="P144" s="33"/>
      <c r="Q144" s="33"/>
      <c r="R144" s="33"/>
      <c r="S144" s="33"/>
      <c r="T144" s="33"/>
      <c r="U144" s="33"/>
      <c r="V144" s="33"/>
    </row>
    <row r="145" spans="16:22">
      <c r="P145" s="33"/>
      <c r="Q145" s="33"/>
      <c r="R145" s="33"/>
      <c r="S145" s="33"/>
      <c r="T145" s="33"/>
      <c r="U145" s="33"/>
      <c r="V145" s="33"/>
    </row>
    <row r="146" spans="16:22">
      <c r="P146" s="33"/>
      <c r="Q146" s="33"/>
      <c r="R146" s="33"/>
      <c r="S146" s="33"/>
      <c r="T146" s="33"/>
      <c r="U146" s="33"/>
      <c r="V146" s="33"/>
    </row>
    <row r="147" spans="16:22">
      <c r="P147" s="33"/>
      <c r="Q147" s="33"/>
      <c r="R147" s="33"/>
      <c r="S147" s="33"/>
      <c r="T147" s="33"/>
      <c r="U147" s="33"/>
      <c r="V147" s="33"/>
    </row>
    <row r="148" spans="16:22">
      <c r="P148" s="33"/>
      <c r="Q148" s="33"/>
      <c r="R148" s="33"/>
      <c r="S148" s="33"/>
      <c r="T148" s="33"/>
      <c r="U148" s="33"/>
      <c r="V148" s="33"/>
    </row>
    <row r="149" spans="16:22">
      <c r="P149" s="33"/>
      <c r="Q149" s="33"/>
      <c r="R149" s="33"/>
      <c r="S149" s="33"/>
      <c r="T149" s="33"/>
      <c r="U149" s="33"/>
      <c r="V149" s="33"/>
    </row>
    <row r="150" spans="16:22">
      <c r="P150" s="33"/>
      <c r="Q150" s="33"/>
      <c r="R150" s="33"/>
      <c r="S150" s="33"/>
      <c r="T150" s="33"/>
      <c r="U150" s="33"/>
      <c r="V150" s="33"/>
    </row>
    <row r="151" spans="16:22">
      <c r="P151" s="33"/>
      <c r="Q151" s="33"/>
      <c r="R151" s="33"/>
      <c r="S151" s="33"/>
      <c r="T151" s="33"/>
      <c r="U151" s="33"/>
      <c r="V151" s="33"/>
    </row>
    <row r="152" spans="16:22">
      <c r="P152" s="33"/>
      <c r="Q152" s="33"/>
      <c r="R152" s="33"/>
      <c r="S152" s="33"/>
      <c r="T152" s="33"/>
      <c r="U152" s="33"/>
      <c r="V152" s="33"/>
    </row>
    <row r="153" spans="16:22">
      <c r="P153" s="33"/>
      <c r="Q153" s="33"/>
      <c r="R153" s="33"/>
      <c r="S153" s="33"/>
      <c r="T153" s="33"/>
      <c r="U153" s="33"/>
      <c r="V153" s="33"/>
    </row>
    <row r="154" spans="16:22">
      <c r="P154" s="33"/>
      <c r="Q154" s="33"/>
      <c r="R154" s="33"/>
      <c r="S154" s="33"/>
      <c r="T154" s="33"/>
      <c r="U154" s="33"/>
      <c r="V154" s="33"/>
    </row>
    <row r="155" spans="16:22">
      <c r="P155" s="33"/>
      <c r="Q155" s="33"/>
      <c r="R155" s="33"/>
      <c r="S155" s="33"/>
      <c r="T155" s="33"/>
      <c r="U155" s="33"/>
      <c r="V155" s="33"/>
    </row>
    <row r="156" spans="16:22">
      <c r="P156" s="33"/>
      <c r="Q156" s="33"/>
      <c r="R156" s="33"/>
      <c r="S156" s="33"/>
      <c r="T156" s="33"/>
      <c r="U156" s="33"/>
      <c r="V156" s="33"/>
    </row>
    <row r="157" spans="16:22">
      <c r="P157" s="33"/>
      <c r="Q157" s="33"/>
      <c r="R157" s="33"/>
      <c r="S157" s="33"/>
      <c r="T157" s="33"/>
      <c r="U157" s="33"/>
      <c r="V157" s="33"/>
    </row>
    <row r="158" spans="16:22">
      <c r="P158" s="33"/>
      <c r="Q158" s="33"/>
      <c r="R158" s="33"/>
      <c r="S158" s="33"/>
      <c r="T158" s="33"/>
      <c r="U158" s="33"/>
      <c r="V158" s="33"/>
    </row>
    <row r="159" spans="16:22">
      <c r="P159" s="33"/>
      <c r="Q159" s="33"/>
      <c r="R159" s="33"/>
      <c r="S159" s="33"/>
      <c r="T159" s="33"/>
      <c r="U159" s="33"/>
      <c r="V159" s="33"/>
    </row>
    <row r="160" spans="16:22">
      <c r="P160" s="33"/>
      <c r="Q160" s="33"/>
      <c r="R160" s="33"/>
      <c r="S160" s="33"/>
      <c r="T160" s="33"/>
      <c r="U160" s="33"/>
      <c r="V160" s="33"/>
    </row>
    <row r="161" spans="2:22">
      <c r="P161" s="33"/>
      <c r="Q161" s="33"/>
      <c r="R161" s="33"/>
      <c r="S161" s="33"/>
      <c r="T161" s="33"/>
      <c r="U161" s="33"/>
      <c r="V161" s="33"/>
    </row>
    <row r="162" spans="2:22">
      <c r="P162" s="33"/>
      <c r="Q162" s="33"/>
      <c r="R162" s="33"/>
      <c r="S162" s="33"/>
      <c r="T162" s="33"/>
      <c r="U162" s="33"/>
      <c r="V162" s="33"/>
    </row>
    <row r="163" spans="2:22">
      <c r="P163" s="33"/>
      <c r="Q163" s="33"/>
      <c r="R163" s="33"/>
      <c r="S163" s="33"/>
      <c r="T163" s="33"/>
      <c r="U163" s="33"/>
      <c r="V163" s="33"/>
    </row>
    <row r="164" spans="2:22">
      <c r="P164" s="33"/>
      <c r="Q164" s="33"/>
      <c r="R164" s="33"/>
      <c r="S164" s="33"/>
      <c r="T164" s="33"/>
      <c r="U164" s="33"/>
      <c r="V164" s="33"/>
    </row>
    <row r="165" spans="2:22">
      <c r="N165" s="33"/>
      <c r="O165" s="33"/>
      <c r="P165" s="33"/>
      <c r="Q165" s="33"/>
      <c r="R165" s="33"/>
      <c r="S165" s="33"/>
      <c r="T165" s="33"/>
      <c r="U165" s="33"/>
      <c r="V165" s="33"/>
    </row>
    <row r="166" spans="2:22">
      <c r="N166" s="33"/>
      <c r="O166" s="33"/>
      <c r="P166" s="33"/>
      <c r="Q166" s="33"/>
      <c r="R166" s="33"/>
      <c r="S166" s="33"/>
      <c r="T166" s="33"/>
      <c r="U166" s="33"/>
      <c r="V166" s="33"/>
    </row>
    <row r="167" spans="2:22">
      <c r="N167" s="33"/>
      <c r="O167" s="33"/>
      <c r="P167" s="33"/>
      <c r="Q167" s="33"/>
      <c r="R167" s="33"/>
      <c r="S167" s="33"/>
      <c r="T167" s="33"/>
      <c r="U167" s="33"/>
      <c r="V167" s="33"/>
    </row>
    <row r="168" spans="2:22">
      <c r="N168" s="33"/>
      <c r="O168" s="33"/>
      <c r="P168" s="33"/>
      <c r="Q168" s="33"/>
      <c r="R168" s="33"/>
      <c r="S168" s="33"/>
      <c r="T168" s="33"/>
      <c r="U168" s="33"/>
      <c r="V168" s="33"/>
    </row>
    <row r="169" spans="2:22">
      <c r="N169" s="33"/>
      <c r="O169" s="33"/>
      <c r="P169" s="33"/>
      <c r="Q169" s="33"/>
      <c r="R169" s="33"/>
      <c r="S169" s="33"/>
      <c r="T169" s="33"/>
      <c r="U169" s="33"/>
      <c r="V169" s="33"/>
    </row>
    <row r="170" spans="2:22">
      <c r="N170" s="33"/>
      <c r="O170" s="33"/>
      <c r="P170" s="33"/>
      <c r="Q170" s="33"/>
      <c r="R170" s="33"/>
      <c r="S170" s="33"/>
      <c r="T170" s="33"/>
      <c r="U170" s="33"/>
      <c r="V170" s="33"/>
    </row>
    <row r="171" spans="2:22">
      <c r="N171" s="33"/>
      <c r="O171" s="33"/>
      <c r="P171" s="33"/>
      <c r="Q171" s="33"/>
      <c r="R171" s="33"/>
      <c r="S171" s="33"/>
      <c r="T171" s="33"/>
      <c r="U171" s="33"/>
      <c r="V171" s="33"/>
    </row>
    <row r="172" spans="2:22">
      <c r="N172" s="33"/>
      <c r="O172" s="33"/>
      <c r="P172" s="33"/>
      <c r="Q172" s="33"/>
      <c r="R172" s="33"/>
      <c r="S172" s="33"/>
      <c r="T172" s="33"/>
      <c r="U172" s="33"/>
      <c r="V172" s="33"/>
    </row>
    <row r="173" spans="2:22">
      <c r="N173" s="33"/>
      <c r="O173" s="33"/>
      <c r="P173" s="33"/>
      <c r="Q173" s="33"/>
      <c r="R173" s="33"/>
      <c r="S173" s="33"/>
      <c r="T173" s="33"/>
      <c r="U173" s="33"/>
      <c r="V173" s="33"/>
    </row>
    <row r="174" spans="2:22">
      <c r="N174" s="33"/>
      <c r="O174" s="33"/>
      <c r="P174" s="33"/>
      <c r="Q174" s="33"/>
      <c r="R174" s="33"/>
      <c r="S174" s="33"/>
      <c r="T174" s="33"/>
      <c r="U174" s="33"/>
      <c r="V174" s="33"/>
    </row>
    <row r="175" spans="2:22">
      <c r="N175" s="33"/>
      <c r="O175" s="33"/>
      <c r="P175" s="33"/>
      <c r="Q175" s="33"/>
      <c r="R175" s="33"/>
      <c r="S175" s="33"/>
      <c r="T175" s="33"/>
      <c r="U175" s="33"/>
      <c r="V175" s="33"/>
    </row>
    <row r="176" spans="2:22" ht="7.15" customHeight="1">
      <c r="B176" s="49"/>
      <c r="N176" s="33"/>
      <c r="O176" s="33"/>
      <c r="P176" s="33"/>
      <c r="Q176" s="33"/>
      <c r="R176" s="33"/>
      <c r="S176" s="33"/>
      <c r="T176" s="33"/>
      <c r="U176" s="33"/>
      <c r="V176" s="33"/>
    </row>
    <row r="177" spans="10:22">
      <c r="N177" s="33"/>
      <c r="O177" s="33"/>
      <c r="P177" s="33"/>
      <c r="Q177" s="33"/>
      <c r="R177" s="33"/>
      <c r="S177" s="33"/>
      <c r="T177" s="33"/>
      <c r="U177" s="33"/>
      <c r="V177" s="33"/>
    </row>
    <row r="178" spans="10:22" ht="7.15" customHeight="1">
      <c r="N178" s="33"/>
      <c r="O178" s="33"/>
      <c r="P178" s="33"/>
      <c r="Q178" s="33"/>
      <c r="R178" s="33"/>
      <c r="S178" s="33"/>
      <c r="T178" s="33"/>
      <c r="U178" s="33"/>
      <c r="V178" s="33"/>
    </row>
    <row r="179" spans="10:22">
      <c r="O179" s="33"/>
      <c r="P179" s="33"/>
      <c r="Q179" s="33"/>
      <c r="R179" s="33"/>
      <c r="S179" s="33"/>
      <c r="T179" s="33"/>
      <c r="U179" s="33"/>
      <c r="V179" s="33"/>
    </row>
    <row r="180" spans="10:22">
      <c r="O180" s="33"/>
      <c r="P180" s="33"/>
      <c r="Q180" s="33"/>
      <c r="R180" s="33"/>
      <c r="S180" s="33"/>
      <c r="T180" s="33"/>
      <c r="U180" s="33"/>
      <c r="V180" s="33"/>
    </row>
    <row r="181" spans="10:22">
      <c r="O181" s="33"/>
      <c r="P181" s="33"/>
      <c r="Q181" s="33"/>
      <c r="R181" s="33"/>
      <c r="S181" s="33"/>
      <c r="T181" s="33"/>
      <c r="U181" s="33"/>
      <c r="V181" s="33"/>
    </row>
    <row r="182" spans="10:22">
      <c r="J182" s="33"/>
      <c r="O182" s="33"/>
      <c r="P182" s="33"/>
      <c r="Q182" s="33"/>
      <c r="R182" s="33"/>
      <c r="S182" s="33"/>
      <c r="T182" s="33"/>
      <c r="U182" s="33"/>
      <c r="V182" s="33"/>
    </row>
    <row r="183" spans="10:22">
      <c r="O183" s="33"/>
      <c r="P183" s="33"/>
      <c r="Q183" s="33"/>
      <c r="R183" s="33"/>
      <c r="S183" s="33"/>
      <c r="T183" s="33"/>
      <c r="U183" s="33"/>
      <c r="V183" s="33"/>
    </row>
    <row r="184" spans="10:22" ht="7.15" customHeight="1">
      <c r="K184" s="33"/>
      <c r="L184" s="33"/>
      <c r="M184" s="33"/>
      <c r="O184" s="33"/>
      <c r="P184" s="33"/>
      <c r="Q184" s="33"/>
      <c r="R184" s="33"/>
      <c r="S184" s="33"/>
      <c r="T184" s="33"/>
      <c r="U184" s="33"/>
      <c r="V184" s="33"/>
    </row>
    <row r="185" spans="10:22">
      <c r="K185" s="33"/>
      <c r="L185" s="33"/>
      <c r="M185" s="33"/>
      <c r="O185" s="33"/>
      <c r="P185" s="33"/>
      <c r="Q185" s="33"/>
      <c r="R185" s="33"/>
      <c r="S185" s="33"/>
      <c r="T185" s="33"/>
      <c r="U185" s="33"/>
      <c r="V185" s="33"/>
    </row>
    <row r="186" spans="10:22">
      <c r="K186" s="33"/>
      <c r="L186" s="33"/>
      <c r="M186" s="33"/>
      <c r="O186" s="33"/>
      <c r="P186" s="33"/>
      <c r="Q186" s="33"/>
      <c r="R186" s="33"/>
      <c r="S186" s="33"/>
      <c r="T186" s="33"/>
      <c r="U186" s="33"/>
      <c r="V186" s="33"/>
    </row>
    <row r="187" spans="10:22" ht="7.15" customHeight="1">
      <c r="K187" s="33"/>
      <c r="L187" s="33"/>
      <c r="M187" s="33"/>
      <c r="O187" s="33"/>
      <c r="P187" s="33"/>
      <c r="Q187" s="33"/>
      <c r="R187" s="33"/>
      <c r="S187" s="33"/>
      <c r="T187" s="33"/>
      <c r="U187" s="33"/>
      <c r="V187" s="33"/>
    </row>
    <row r="188" spans="10:22">
      <c r="K188" s="33"/>
      <c r="L188" s="33"/>
      <c r="M188" s="33"/>
      <c r="O188" s="33"/>
      <c r="P188" s="33"/>
      <c r="Q188" s="33"/>
      <c r="R188" s="33"/>
      <c r="S188" s="33"/>
      <c r="T188" s="33"/>
      <c r="U188" s="33"/>
      <c r="V188" s="33"/>
    </row>
    <row r="189" spans="10:22" ht="7.15" customHeight="1">
      <c r="K189" s="33"/>
      <c r="L189" s="33"/>
      <c r="M189" s="33"/>
      <c r="O189" s="33"/>
      <c r="P189" s="33"/>
      <c r="Q189" s="33"/>
      <c r="R189" s="33"/>
      <c r="S189" s="33"/>
      <c r="T189" s="33"/>
      <c r="U189" s="33"/>
      <c r="V189" s="33"/>
    </row>
    <row r="190" spans="10:22">
      <c r="K190" s="33"/>
      <c r="L190" s="33"/>
      <c r="M190" s="33"/>
      <c r="O190" s="33"/>
      <c r="P190" s="33"/>
      <c r="Q190" s="33"/>
      <c r="R190" s="33"/>
      <c r="S190" s="33"/>
      <c r="T190" s="33"/>
      <c r="U190" s="33"/>
      <c r="V190" s="33"/>
    </row>
    <row r="191" spans="10:22" ht="18" customHeight="1">
      <c r="K191" s="33"/>
      <c r="L191" s="33"/>
      <c r="M191" s="33"/>
      <c r="O191" s="33"/>
      <c r="P191" s="33"/>
      <c r="Q191" s="33"/>
      <c r="R191" s="33"/>
      <c r="S191" s="33"/>
      <c r="T191" s="33"/>
      <c r="U191" s="33"/>
      <c r="V191" s="33"/>
    </row>
    <row r="192" spans="10:22" ht="19.899999999999999" customHeight="1">
      <c r="K192" s="33"/>
      <c r="L192" s="33"/>
      <c r="M192" s="33"/>
      <c r="N192" s="33"/>
      <c r="P192" s="33"/>
      <c r="Q192" s="33"/>
      <c r="R192" s="33"/>
      <c r="S192" s="33"/>
      <c r="T192" s="33"/>
      <c r="U192" s="33"/>
      <c r="V192" s="33"/>
    </row>
    <row r="193" spans="11:13" ht="19.899999999999999" hidden="1" customHeight="1">
      <c r="K193" s="33"/>
      <c r="L193" s="33"/>
      <c r="M193" s="33"/>
    </row>
    <row r="194" spans="11:13" hidden="1">
      <c r="K194" s="33"/>
      <c r="L194" s="33"/>
      <c r="M194" s="33"/>
    </row>
    <row r="195" spans="11:13" hidden="1">
      <c r="K195" s="33"/>
      <c r="L195" s="33"/>
      <c r="M195" s="33"/>
    </row>
    <row r="196" spans="11:13" ht="19.899999999999999" hidden="1" customHeight="1">
      <c r="K196" s="33"/>
      <c r="L196" s="33"/>
      <c r="M196" s="33"/>
    </row>
    <row r="197" spans="11:13" ht="19.899999999999999" hidden="1" customHeight="1">
      <c r="K197" s="33"/>
      <c r="L197" s="33"/>
      <c r="M197" s="33"/>
    </row>
    <row r="198" spans="11:13" hidden="1"/>
    <row r="199" spans="11:13" hidden="1"/>
    <row r="200" spans="11:13" hidden="1"/>
    <row r="201" spans="11:13" ht="19.899999999999999" customHeight="1"/>
    <row r="210" spans="3:13">
      <c r="C210" s="33"/>
      <c r="D210" s="33"/>
      <c r="E210" s="33"/>
      <c r="F210" s="33"/>
      <c r="G210" s="33"/>
      <c r="H210" s="33"/>
      <c r="I210" s="33"/>
    </row>
    <row r="211" spans="3:13">
      <c r="C211" s="33"/>
      <c r="D211" s="33"/>
      <c r="E211" s="33"/>
      <c r="F211" s="33"/>
      <c r="G211" s="33"/>
      <c r="H211" s="33"/>
      <c r="I211" s="33"/>
      <c r="J211" s="33"/>
      <c r="K211" s="33"/>
      <c r="L211" s="33"/>
      <c r="M211" s="33"/>
    </row>
    <row r="212" spans="3:13" ht="15">
      <c r="C212" s="680" t="s">
        <v>692</v>
      </c>
      <c r="D212" s="679"/>
      <c r="E212" s="679"/>
      <c r="F212" s="679"/>
    </row>
    <row r="213" spans="3:13" ht="13.5" thickBot="1">
      <c r="C213" s="433" t="s">
        <v>691</v>
      </c>
      <c r="D213" s="380" t="s">
        <v>690</v>
      </c>
      <c r="E213" s="679"/>
      <c r="F213" s="679"/>
    </row>
    <row r="214" spans="3:13" ht="13.5" thickBot="1">
      <c r="C214" s="678" t="s">
        <v>689</v>
      </c>
      <c r="D214" s="677"/>
      <c r="E214" s="676">
        <v>2.5</v>
      </c>
      <c r="F214" s="675" t="s">
        <v>688</v>
      </c>
    </row>
    <row r="215" spans="3:13">
      <c r="C215" s="674"/>
      <c r="D215" s="673"/>
      <c r="E215" s="673"/>
    </row>
    <row r="216" spans="3:13" ht="15.75">
      <c r="C216" s="672" t="s">
        <v>687</v>
      </c>
    </row>
    <row r="217" spans="3:13" ht="13.5" thickBot="1">
      <c r="C217" s="433" t="s">
        <v>686</v>
      </c>
      <c r="D217" s="671"/>
    </row>
    <row r="218" spans="3:13">
      <c r="C218" s="670" t="s">
        <v>685</v>
      </c>
      <c r="D218" s="669"/>
      <c r="E218" s="668"/>
      <c r="F218" s="666"/>
      <c r="G218" s="667" t="s">
        <v>684</v>
      </c>
      <c r="H218" s="666">
        <v>1.1000000000000001</v>
      </c>
      <c r="I218" s="665" t="s">
        <v>683</v>
      </c>
      <c r="J218" s="657"/>
      <c r="K218" s="657"/>
    </row>
    <row r="219" spans="3:13" ht="13.5" thickBot="1">
      <c r="C219" s="664" t="s">
        <v>682</v>
      </c>
      <c r="D219" s="663"/>
      <c r="E219" s="662"/>
      <c r="F219" s="661"/>
      <c r="G219" s="660" t="s">
        <v>523</v>
      </c>
      <c r="H219" s="659"/>
      <c r="I219" s="658"/>
      <c r="J219" s="657"/>
      <c r="K219" s="657"/>
    </row>
    <row r="221" spans="3:13">
      <c r="C221" s="49"/>
    </row>
  </sheetData>
  <sheetProtection sheet="1" selectLockedCells="1"/>
  <mergeCells count="71">
    <mergeCell ref="H89:I89"/>
    <mergeCell ref="H87:I87"/>
    <mergeCell ref="J87:K87"/>
    <mergeCell ref="G16:H16"/>
    <mergeCell ref="H94:I94"/>
    <mergeCell ref="H93:I93"/>
    <mergeCell ref="H92:I92"/>
    <mergeCell ref="H91:I91"/>
    <mergeCell ref="H90:I90"/>
    <mergeCell ref="J91:K91"/>
    <mergeCell ref="J86:K86"/>
    <mergeCell ref="G19:H19"/>
    <mergeCell ref="G20:H20"/>
    <mergeCell ref="G21:H21"/>
    <mergeCell ref="G17:H17"/>
    <mergeCell ref="G18:H18"/>
    <mergeCell ref="J100:K100"/>
    <mergeCell ref="J92:K92"/>
    <mergeCell ref="J94:K94"/>
    <mergeCell ref="J90:K90"/>
    <mergeCell ref="J93:K93"/>
    <mergeCell ref="J104:K104"/>
    <mergeCell ref="H102:I102"/>
    <mergeCell ref="H96:I96"/>
    <mergeCell ref="O3:O5"/>
    <mergeCell ref="H104:I104"/>
    <mergeCell ref="H100:I100"/>
    <mergeCell ref="J102:K102"/>
    <mergeCell ref="J95:K95"/>
    <mergeCell ref="H95:I95"/>
    <mergeCell ref="J96:K96"/>
    <mergeCell ref="G9:H9"/>
    <mergeCell ref="G10:H10"/>
    <mergeCell ref="G11:H11"/>
    <mergeCell ref="G12:H12"/>
    <mergeCell ref="G13:H13"/>
    <mergeCell ref="G15:H15"/>
    <mergeCell ref="H106:I106"/>
    <mergeCell ref="J106:K106"/>
    <mergeCell ref="J110:K110"/>
    <mergeCell ref="J107:K107"/>
    <mergeCell ref="H108:I108"/>
    <mergeCell ref="H110:I110"/>
    <mergeCell ref="J108:K108"/>
    <mergeCell ref="H107:I107"/>
    <mergeCell ref="G14:H14"/>
    <mergeCell ref="G22:H22"/>
    <mergeCell ref="G25:H25"/>
    <mergeCell ref="G23:H23"/>
    <mergeCell ref="G24:H24"/>
    <mergeCell ref="G26:H26"/>
    <mergeCell ref="H86:I86"/>
    <mergeCell ref="F72:G72"/>
    <mergeCell ref="F73:G73"/>
    <mergeCell ref="F67:G67"/>
    <mergeCell ref="F68:G68"/>
    <mergeCell ref="F69:G69"/>
    <mergeCell ref="F70:G70"/>
    <mergeCell ref="F71:G71"/>
    <mergeCell ref="F62:G62"/>
    <mergeCell ref="F63:G63"/>
    <mergeCell ref="F64:G64"/>
    <mergeCell ref="F65:G65"/>
    <mergeCell ref="F66:G66"/>
    <mergeCell ref="C60:E60"/>
    <mergeCell ref="C58:M58"/>
    <mergeCell ref="G35:H35"/>
    <mergeCell ref="L60:M60"/>
    <mergeCell ref="C59:M59"/>
    <mergeCell ref="I60:K60"/>
    <mergeCell ref="F60:G60"/>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Gmünd&amp;R&amp;11&amp;F</oddFooter>
  </headerFooter>
  <rowBreaks count="2" manualBreakCount="2">
    <brk id="57" min="2" max="14" man="1"/>
    <brk id="141" min="2" max="14"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00B0F0"/>
    <pageSetUpPr fitToPage="1"/>
  </sheetPr>
  <dimension ref="B1:AL254"/>
  <sheetViews>
    <sheetView showZeros="0" zoomScaleNormal="100" workbookViewId="0"/>
  </sheetViews>
  <sheetFormatPr baseColWidth="10" defaultColWidth="10.5" defaultRowHeight="12.75"/>
  <cols>
    <col min="1" max="1" width="1.5" style="31" customWidth="1"/>
    <col min="2" max="2" width="2.375" style="31" customWidth="1"/>
    <col min="3" max="3" width="10.5" style="31" customWidth="1"/>
    <col min="4" max="4" width="8.75" style="31" customWidth="1"/>
    <col min="5" max="5" width="8" style="31" customWidth="1"/>
    <col min="6" max="6" width="7.75" style="31" customWidth="1"/>
    <col min="7" max="7" width="8.125" style="31" customWidth="1"/>
    <col min="8" max="8" width="5.75" style="31" customWidth="1"/>
    <col min="9" max="9" width="6.625" style="31" customWidth="1"/>
    <col min="10" max="10" width="7.75" style="31" customWidth="1"/>
    <col min="11" max="11" width="11.375" style="31" customWidth="1"/>
    <col min="12" max="13" width="6.625" style="31" customWidth="1"/>
    <col min="14" max="14" width="6.875" style="31" customWidth="1"/>
    <col min="15" max="15" width="10.5" style="31" customWidth="1"/>
    <col min="16" max="16" width="15.25" style="31" customWidth="1"/>
    <col min="17" max="23" width="10.5" style="31" customWidth="1"/>
    <col min="24" max="24" width="6" style="31" customWidth="1"/>
    <col min="25" max="16384" width="10.5" style="31"/>
  </cols>
  <sheetData>
    <row r="1" spans="2:15" ht="8.65" customHeight="1"/>
    <row r="2" spans="2:15" ht="20.25">
      <c r="C2" s="1041" t="s">
        <v>986</v>
      </c>
    </row>
    <row r="3" spans="2:15" ht="9" customHeight="1">
      <c r="B3" s="49"/>
      <c r="C3" s="674"/>
      <c r="D3" s="673"/>
      <c r="E3" s="673"/>
    </row>
    <row r="4" spans="2:15" ht="15" customHeight="1">
      <c r="C4" s="1040" t="s">
        <v>985</v>
      </c>
      <c r="D4" s="673"/>
      <c r="E4" s="673"/>
    </row>
    <row r="5" spans="2:15" ht="15" customHeight="1">
      <c r="C5" s="1040" t="s">
        <v>984</v>
      </c>
      <c r="D5" s="673"/>
      <c r="E5" s="673"/>
    </row>
    <row r="6" spans="2:15" ht="9" customHeight="1">
      <c r="C6" s="674"/>
      <c r="D6" s="673"/>
      <c r="E6" s="673"/>
    </row>
    <row r="7" spans="2:15" ht="12.95" customHeight="1">
      <c r="C7" s="1039" t="s">
        <v>983</v>
      </c>
      <c r="D7" s="673"/>
      <c r="E7" s="673"/>
    </row>
    <row r="8" spans="2:15" ht="13.7" customHeight="1">
      <c r="C8" s="1038" t="s">
        <v>982</v>
      </c>
      <c r="D8" s="308"/>
      <c r="E8" s="1037"/>
      <c r="F8" s="1036"/>
      <c r="G8" s="1035"/>
      <c r="H8" s="4509" t="s">
        <v>757</v>
      </c>
      <c r="I8" s="4510"/>
      <c r="J8" s="270"/>
      <c r="K8" s="270"/>
      <c r="L8" s="270"/>
      <c r="M8" s="270"/>
      <c r="N8" s="270"/>
      <c r="O8" s="699"/>
    </row>
    <row r="9" spans="2:15" ht="13.7" customHeight="1">
      <c r="C9" s="546" t="s">
        <v>981</v>
      </c>
      <c r="D9" s="38"/>
      <c r="E9" s="38"/>
      <c r="F9" s="38"/>
      <c r="G9" s="4517" t="s">
        <v>980</v>
      </c>
      <c r="H9" s="4518"/>
      <c r="I9" s="4519"/>
      <c r="J9" s="32"/>
      <c r="K9" s="32"/>
      <c r="L9" s="32"/>
      <c r="M9" s="32"/>
      <c r="N9" s="32"/>
      <c r="O9" s="46"/>
    </row>
    <row r="10" spans="2:15" ht="13.7" customHeight="1">
      <c r="C10" s="546" t="s">
        <v>979</v>
      </c>
      <c r="D10" s="38"/>
      <c r="E10" s="38"/>
      <c r="F10" s="38"/>
      <c r="G10" s="4520" t="s">
        <v>978</v>
      </c>
      <c r="H10" s="4521"/>
      <c r="I10" s="4522"/>
      <c r="J10" s="32"/>
      <c r="K10" s="32"/>
      <c r="L10" s="32"/>
      <c r="M10" s="32"/>
      <c r="N10" s="32"/>
      <c r="O10" s="46"/>
    </row>
    <row r="11" spans="2:15" ht="13.7" customHeight="1">
      <c r="C11" s="546" t="s">
        <v>977</v>
      </c>
      <c r="D11" s="38"/>
      <c r="E11" s="38"/>
      <c r="F11" s="38"/>
      <c r="G11" s="4523"/>
      <c r="H11" s="4524"/>
      <c r="I11" s="4525"/>
      <c r="J11" s="32"/>
      <c r="K11" s="32"/>
      <c r="L11" s="32"/>
      <c r="M11" s="32"/>
      <c r="N11" s="32"/>
      <c r="O11" s="46"/>
    </row>
    <row r="12" spans="2:15" ht="13.7" customHeight="1">
      <c r="C12" s="546" t="s">
        <v>976</v>
      </c>
      <c r="D12" s="38"/>
      <c r="E12" s="38"/>
      <c r="F12" s="38"/>
      <c r="G12" s="4523"/>
      <c r="H12" s="4524"/>
      <c r="I12" s="4525"/>
      <c r="J12" s="32"/>
      <c r="K12" s="32"/>
      <c r="L12" s="32"/>
      <c r="M12" s="32"/>
      <c r="N12" s="32"/>
      <c r="O12" s="46"/>
    </row>
    <row r="13" spans="2:15" ht="13.7" customHeight="1">
      <c r="C13" s="546" t="s">
        <v>975</v>
      </c>
      <c r="D13" s="38"/>
      <c r="E13" s="38"/>
      <c r="F13" s="38"/>
      <c r="G13" s="4520" t="s">
        <v>974</v>
      </c>
      <c r="H13" s="4521"/>
      <c r="I13" s="4522"/>
      <c r="J13" s="32"/>
      <c r="K13" s="32"/>
      <c r="L13" s="32"/>
      <c r="M13" s="32"/>
      <c r="N13" s="32"/>
      <c r="O13" s="46"/>
    </row>
    <row r="14" spans="2:15" ht="13.7" customHeight="1">
      <c r="C14" s="546" t="s">
        <v>973</v>
      </c>
      <c r="D14" s="38"/>
      <c r="E14" s="38"/>
      <c r="F14" s="38"/>
      <c r="G14" s="4523"/>
      <c r="H14" s="4524"/>
      <c r="I14" s="4525"/>
      <c r="J14" s="32"/>
      <c r="K14" s="32"/>
      <c r="L14" s="32"/>
      <c r="M14" s="32"/>
      <c r="N14" s="32"/>
      <c r="O14" s="46"/>
    </row>
    <row r="15" spans="2:15" ht="13.7" customHeight="1">
      <c r="C15" s="546" t="s">
        <v>972</v>
      </c>
      <c r="D15" s="38"/>
      <c r="E15" s="38"/>
      <c r="F15" s="38"/>
      <c r="G15" s="4520" t="s">
        <v>971</v>
      </c>
      <c r="H15" s="4521"/>
      <c r="I15" s="4522"/>
      <c r="J15" s="32"/>
      <c r="K15" s="32"/>
      <c r="L15" s="32"/>
      <c r="M15" s="32"/>
      <c r="N15" s="32"/>
      <c r="O15" s="46"/>
    </row>
    <row r="16" spans="2:15" ht="13.7" customHeight="1">
      <c r="C16" s="546" t="s">
        <v>970</v>
      </c>
      <c r="D16" s="38"/>
      <c r="E16" s="38"/>
      <c r="F16" s="38"/>
      <c r="G16" s="4520" t="s">
        <v>969</v>
      </c>
      <c r="H16" s="4521"/>
      <c r="I16" s="4522"/>
      <c r="J16" s="32"/>
      <c r="K16" s="32"/>
      <c r="L16" s="32"/>
      <c r="M16" s="32"/>
      <c r="N16" s="32"/>
      <c r="O16" s="46"/>
    </row>
    <row r="17" spans="3:22" ht="13.7" customHeight="1">
      <c r="C17" s="546" t="s">
        <v>968</v>
      </c>
      <c r="D17" s="38"/>
      <c r="E17" s="38"/>
      <c r="F17" s="38"/>
      <c r="G17" s="4520" t="s">
        <v>967</v>
      </c>
      <c r="H17" s="4521"/>
      <c r="I17" s="4522"/>
      <c r="J17" s="32"/>
      <c r="K17" s="32"/>
      <c r="L17" s="32"/>
      <c r="M17" s="32"/>
      <c r="N17" s="32"/>
      <c r="O17" s="46"/>
    </row>
    <row r="18" spans="3:22" ht="13.7" customHeight="1">
      <c r="C18" s="546" t="s">
        <v>966</v>
      </c>
      <c r="D18" s="38"/>
      <c r="E18" s="38"/>
      <c r="F18" s="38"/>
      <c r="G18" s="4520" t="s">
        <v>965</v>
      </c>
      <c r="H18" s="4521"/>
      <c r="I18" s="4522"/>
      <c r="J18" s="32"/>
      <c r="K18" s="32"/>
      <c r="L18" s="32"/>
      <c r="M18" s="32"/>
      <c r="N18" s="32"/>
      <c r="O18" s="46"/>
    </row>
    <row r="19" spans="3:22" ht="13.7" customHeight="1">
      <c r="C19" s="546" t="s">
        <v>964</v>
      </c>
      <c r="D19" s="38"/>
      <c r="E19" s="38"/>
      <c r="F19" s="38"/>
      <c r="G19" s="4547" t="s">
        <v>963</v>
      </c>
      <c r="H19" s="4548"/>
      <c r="I19" s="4549"/>
      <c r="J19" s="32"/>
      <c r="K19" s="32"/>
      <c r="L19" s="32"/>
      <c r="M19" s="32"/>
      <c r="N19" s="32"/>
      <c r="O19" s="46"/>
    </row>
    <row r="20" spans="3:22" ht="13.7" customHeight="1">
      <c r="C20" s="689" t="s">
        <v>962</v>
      </c>
      <c r="D20" s="1034"/>
      <c r="E20" s="1034"/>
      <c r="F20" s="1034"/>
      <c r="G20" s="4540" t="s">
        <v>961</v>
      </c>
      <c r="H20" s="4541"/>
      <c r="I20" s="4542"/>
      <c r="J20" s="32"/>
      <c r="K20" s="32"/>
      <c r="L20" s="32"/>
      <c r="M20" s="32"/>
      <c r="N20" s="32"/>
      <c r="O20" s="46"/>
    </row>
    <row r="21" spans="3:22" ht="13.7" customHeight="1">
      <c r="C21" s="743"/>
      <c r="D21" s="32"/>
      <c r="E21" s="32"/>
      <c r="F21" s="32"/>
      <c r="G21" s="32"/>
      <c r="H21" s="32"/>
      <c r="I21" s="32"/>
      <c r="J21" s="32"/>
      <c r="K21" s="32"/>
      <c r="L21" s="32"/>
      <c r="M21" s="32"/>
      <c r="N21" s="32"/>
      <c r="O21" s="46"/>
    </row>
    <row r="22" spans="3:22" ht="13.7" customHeight="1">
      <c r="C22" s="1033" t="s">
        <v>960</v>
      </c>
      <c r="D22" s="270"/>
      <c r="E22" s="270"/>
      <c r="F22" s="270"/>
      <c r="G22" s="351"/>
      <c r="H22" s="270"/>
      <c r="I22" s="1032" t="s">
        <v>228</v>
      </c>
      <c r="J22" s="32"/>
      <c r="K22" s="32"/>
      <c r="L22" s="32"/>
      <c r="M22" s="32"/>
      <c r="N22" s="32"/>
      <c r="O22" s="46"/>
    </row>
    <row r="23" spans="3:22" ht="13.7" customHeight="1">
      <c r="C23" s="1031" t="s">
        <v>680</v>
      </c>
      <c r="D23" s="270"/>
      <c r="E23" s="270"/>
      <c r="F23" s="270"/>
      <c r="G23" s="351"/>
      <c r="H23" s="270"/>
      <c r="I23" s="1030" t="s">
        <v>959</v>
      </c>
      <c r="J23" s="32"/>
      <c r="K23" s="32"/>
      <c r="L23" s="32"/>
      <c r="M23" s="32"/>
      <c r="N23" s="32"/>
      <c r="O23" s="46"/>
      <c r="V23" s="33"/>
    </row>
    <row r="24" spans="3:22" ht="13.7" customHeight="1">
      <c r="C24" s="743" t="s">
        <v>52</v>
      </c>
      <c r="D24" s="32"/>
      <c r="E24" s="32"/>
      <c r="F24" s="32"/>
      <c r="G24" s="743"/>
      <c r="H24" s="32"/>
      <c r="I24" s="1029" t="s">
        <v>958</v>
      </c>
      <c r="J24" s="609"/>
      <c r="K24" s="609"/>
      <c r="L24" s="609"/>
      <c r="M24" s="609"/>
      <c r="N24" s="32"/>
      <c r="O24" s="46"/>
    </row>
    <row r="25" spans="3:22" ht="13.7" customHeight="1">
      <c r="C25" s="743" t="s">
        <v>957</v>
      </c>
      <c r="D25" s="32"/>
      <c r="E25" s="32"/>
      <c r="F25" s="32"/>
      <c r="G25" s="743"/>
      <c r="H25" s="32"/>
      <c r="I25" s="1029" t="s">
        <v>956</v>
      </c>
      <c r="J25" s="609"/>
      <c r="K25" s="609"/>
      <c r="L25" s="609"/>
      <c r="M25" s="609"/>
      <c r="N25" s="32"/>
      <c r="O25" s="46"/>
    </row>
    <row r="26" spans="3:22" ht="13.7" customHeight="1">
      <c r="C26" s="743" t="s">
        <v>50</v>
      </c>
      <c r="D26" s="32"/>
      <c r="E26" s="32"/>
      <c r="F26" s="32"/>
      <c r="G26" s="743"/>
      <c r="H26" s="32"/>
      <c r="I26" s="1028" t="s">
        <v>955</v>
      </c>
      <c r="J26" s="609"/>
      <c r="K26" s="609"/>
      <c r="L26" s="609"/>
      <c r="M26" s="609"/>
      <c r="N26" s="32"/>
      <c r="O26" s="46"/>
      <c r="Q26" s="33"/>
    </row>
    <row r="27" spans="3:22" ht="13.7" customHeight="1">
      <c r="C27" s="1027" t="s">
        <v>954</v>
      </c>
      <c r="D27" s="312"/>
      <c r="E27" s="312"/>
      <c r="F27" s="312"/>
      <c r="G27" s="1027"/>
      <c r="H27" s="312"/>
      <c r="I27" s="1026" t="s">
        <v>953</v>
      </c>
      <c r="J27" s="609"/>
      <c r="K27" s="609"/>
      <c r="L27" s="609"/>
      <c r="M27" s="609"/>
      <c r="N27" s="32"/>
      <c r="O27" s="46" t="s">
        <v>952</v>
      </c>
      <c r="Q27" s="33"/>
    </row>
    <row r="28" spans="3:22" ht="13.7" customHeight="1">
      <c r="C28" s="386" t="s">
        <v>951</v>
      </c>
      <c r="D28" s="1025"/>
      <c r="E28" s="1025"/>
      <c r="F28" s="1025"/>
      <c r="G28" s="1025"/>
      <c r="H28" s="1025" t="s">
        <v>950</v>
      </c>
      <c r="I28" s="1024"/>
      <c r="J28" s="609"/>
      <c r="K28" s="609"/>
      <c r="L28" s="609"/>
      <c r="M28" s="609"/>
      <c r="N28" s="32"/>
      <c r="O28" s="46"/>
      <c r="Q28" s="33"/>
    </row>
    <row r="29" spans="3:22" ht="13.7" customHeight="1">
      <c r="C29" s="743"/>
      <c r="D29" s="32"/>
      <c r="E29" s="32"/>
      <c r="F29" s="32"/>
      <c r="G29" s="32"/>
      <c r="H29" s="243"/>
      <c r="I29" s="609"/>
      <c r="J29" s="609"/>
      <c r="K29" s="609"/>
      <c r="L29" s="609"/>
      <c r="M29" s="609"/>
      <c r="N29" s="32"/>
      <c r="O29" s="46"/>
      <c r="Q29" s="33"/>
    </row>
    <row r="30" spans="3:22" ht="13.7" customHeight="1">
      <c r="C30" s="1023" t="s">
        <v>949</v>
      </c>
      <c r="D30" s="270"/>
      <c r="E30" s="1022"/>
      <c r="F30" s="4543" t="s">
        <v>90</v>
      </c>
      <c r="G30" s="4543"/>
      <c r="H30" s="4543"/>
      <c r="I30" s="4544"/>
      <c r="J30" s="609"/>
      <c r="K30" s="609"/>
      <c r="L30" s="609"/>
      <c r="M30" s="609"/>
      <c r="N30" s="32"/>
      <c r="O30" s="46"/>
      <c r="Q30" s="33"/>
    </row>
    <row r="31" spans="3:22" ht="13.7" customHeight="1">
      <c r="C31" s="743"/>
      <c r="D31" s="32"/>
      <c r="E31" s="32"/>
      <c r="F31" s="32"/>
      <c r="G31" s="32"/>
      <c r="H31" s="32"/>
      <c r="I31" s="46"/>
      <c r="J31" s="32"/>
      <c r="K31" s="32"/>
      <c r="L31" s="32"/>
      <c r="M31" s="32"/>
      <c r="N31" s="32"/>
      <c r="O31" s="46"/>
      <c r="Q31" s="33"/>
    </row>
    <row r="32" spans="3:22" ht="13.7" customHeight="1">
      <c r="C32" s="1021" t="s">
        <v>948</v>
      </c>
      <c r="D32" s="32"/>
      <c r="E32" s="1020" t="s">
        <v>947</v>
      </c>
      <c r="F32" s="1019" t="s">
        <v>853</v>
      </c>
      <c r="G32" s="32"/>
      <c r="H32" s="323"/>
      <c r="I32" s="855"/>
      <c r="J32" s="32"/>
      <c r="K32" s="32"/>
      <c r="L32" s="32"/>
      <c r="M32" s="32"/>
      <c r="N32" s="32"/>
      <c r="O32" s="46"/>
      <c r="Q32" s="33"/>
    </row>
    <row r="33" spans="2:18" ht="13.7" customHeight="1">
      <c r="C33" s="476" t="s">
        <v>946</v>
      </c>
      <c r="D33" s="32"/>
      <c r="E33" s="918">
        <v>30</v>
      </c>
      <c r="F33" s="232" t="s">
        <v>113</v>
      </c>
      <c r="G33" s="32"/>
      <c r="H33" s="323"/>
      <c r="I33" s="855"/>
      <c r="J33" s="32"/>
      <c r="K33" s="32"/>
      <c r="L33" s="32"/>
      <c r="M33" s="32"/>
      <c r="N33" s="32"/>
      <c r="O33" s="46"/>
      <c r="Q33" s="33"/>
    </row>
    <row r="34" spans="2:18" ht="13.7" customHeight="1">
      <c r="C34" s="476"/>
      <c r="D34" s="32"/>
      <c r="E34" s="323"/>
      <c r="F34" s="323"/>
      <c r="G34" s="323"/>
      <c r="H34" s="323"/>
      <c r="I34" s="855"/>
      <c r="J34" s="32"/>
      <c r="K34" s="32"/>
      <c r="L34" s="32"/>
      <c r="M34" s="32"/>
      <c r="N34" s="32"/>
      <c r="O34" s="46"/>
    </row>
    <row r="35" spans="2:18" ht="13.7" customHeight="1">
      <c r="C35" s="1018">
        <f>E33%</f>
        <v>0.3</v>
      </c>
      <c r="D35" s="1017">
        <f>E32*E33%/100</f>
        <v>0.39</v>
      </c>
      <c r="E35" s="323" t="s">
        <v>945</v>
      </c>
      <c r="F35" s="702">
        <f>F50</f>
        <v>69</v>
      </c>
      <c r="G35" s="323" t="s">
        <v>941</v>
      </c>
      <c r="H35" s="703">
        <f>D35*F35</f>
        <v>26.91</v>
      </c>
      <c r="I35" s="855" t="s">
        <v>171</v>
      </c>
      <c r="J35" s="32"/>
      <c r="K35" s="32"/>
      <c r="L35" s="32"/>
      <c r="M35" s="32"/>
      <c r="N35" s="32"/>
      <c r="O35" s="46"/>
    </row>
    <row r="36" spans="2:18" ht="13.7" customHeight="1">
      <c r="C36" s="1018">
        <f>1-C35</f>
        <v>0.7</v>
      </c>
      <c r="D36" s="1017">
        <f>E32*C36%</f>
        <v>0.90999999999999992</v>
      </c>
      <c r="E36" s="323" t="s">
        <v>944</v>
      </c>
      <c r="F36" s="702">
        <f>'SDK1'!O20</f>
        <v>21.466666666666669</v>
      </c>
      <c r="G36" s="323" t="s">
        <v>941</v>
      </c>
      <c r="H36" s="703">
        <f>D36*F36</f>
        <v>19.534666666666666</v>
      </c>
      <c r="I36" s="855" t="s">
        <v>171</v>
      </c>
      <c r="J36" s="32"/>
      <c r="K36" s="32"/>
      <c r="L36" s="32"/>
      <c r="M36" s="32"/>
      <c r="N36" s="32"/>
      <c r="O36" s="46"/>
    </row>
    <row r="37" spans="2:18" ht="13.7" customHeight="1">
      <c r="B37" s="49"/>
      <c r="C37" s="242"/>
      <c r="D37" s="323" t="s">
        <v>943</v>
      </c>
      <c r="E37" s="323"/>
      <c r="F37" s="702">
        <v>15</v>
      </c>
      <c r="G37" s="323" t="s">
        <v>941</v>
      </c>
      <c r="H37" s="703">
        <f>D36*F37</f>
        <v>13.649999999999999</v>
      </c>
      <c r="I37" s="855" t="s">
        <v>171</v>
      </c>
      <c r="J37" s="32"/>
      <c r="K37" s="32"/>
      <c r="L37" s="32"/>
      <c r="M37" s="32"/>
      <c r="N37" s="32"/>
      <c r="O37" s="46"/>
    </row>
    <row r="38" spans="2:18" ht="13.7" customHeight="1">
      <c r="C38" s="242"/>
      <c r="D38" s="323" t="s">
        <v>942</v>
      </c>
      <c r="E38" s="323"/>
      <c r="F38" s="702">
        <v>6</v>
      </c>
      <c r="G38" s="323" t="s">
        <v>941</v>
      </c>
      <c r="H38" s="703">
        <f>D36*F38</f>
        <v>5.4599999999999991</v>
      </c>
      <c r="I38" s="855" t="s">
        <v>171</v>
      </c>
      <c r="J38" s="32"/>
      <c r="K38" s="32"/>
      <c r="L38" s="32"/>
      <c r="M38" s="32"/>
      <c r="N38" s="32"/>
      <c r="O38" s="46"/>
    </row>
    <row r="39" spans="2:18" ht="13.7" customHeight="1">
      <c r="C39" s="689" t="s">
        <v>940</v>
      </c>
      <c r="D39" s="688"/>
      <c r="E39" s="688"/>
      <c r="F39" s="688"/>
      <c r="G39" s="688"/>
      <c r="H39" s="1016">
        <f>SUM(H35:H38)</f>
        <v>65.554666666666662</v>
      </c>
      <c r="I39" s="697" t="s">
        <v>171</v>
      </c>
      <c r="J39" s="312"/>
      <c r="K39" s="312"/>
      <c r="L39" s="312"/>
      <c r="M39" s="312"/>
      <c r="N39" s="312"/>
      <c r="O39" s="687"/>
    </row>
    <row r="40" spans="2:18" ht="14.25">
      <c r="H40" s="231"/>
      <c r="Q40" s="33"/>
    </row>
    <row r="41" spans="2:18" ht="13.7" customHeight="1">
      <c r="C41" s="913" t="s">
        <v>939</v>
      </c>
      <c r="D41" s="270"/>
      <c r="E41" s="270"/>
      <c r="F41" s="270"/>
      <c r="G41" s="270"/>
      <c r="H41" s="700" t="s">
        <v>938</v>
      </c>
      <c r="I41" s="931"/>
      <c r="J41" s="931"/>
      <c r="K41" s="931"/>
      <c r="L41" s="931"/>
      <c r="M41" s="931"/>
      <c r="N41" s="931"/>
      <c r="O41" s="1015"/>
    </row>
    <row r="42" spans="2:18" ht="13.7" customHeight="1">
      <c r="C42" s="389" t="s">
        <v>2085</v>
      </c>
      <c r="D42" s="816"/>
      <c r="E42" s="32"/>
      <c r="F42" s="32"/>
      <c r="G42" s="32"/>
      <c r="H42" s="1014" t="s">
        <v>937</v>
      </c>
      <c r="I42" s="1013"/>
      <c r="J42" s="1012"/>
      <c r="K42" s="1012"/>
      <c r="L42" s="1012"/>
      <c r="M42" s="1012"/>
      <c r="N42" s="1012"/>
      <c r="O42" s="1011"/>
      <c r="R42" s="33"/>
    </row>
    <row r="43" spans="2:18" ht="13.7" customHeight="1">
      <c r="C43" s="4530" t="s">
        <v>936</v>
      </c>
      <c r="D43" s="4531"/>
      <c r="E43" s="824"/>
      <c r="F43" s="4538" t="s">
        <v>935</v>
      </c>
      <c r="G43" s="4539"/>
      <c r="H43" s="693" t="s">
        <v>934</v>
      </c>
      <c r="I43" s="369"/>
      <c r="J43" s="369"/>
      <c r="K43" s="369"/>
      <c r="L43" s="369"/>
      <c r="M43" s="1010" t="s">
        <v>933</v>
      </c>
      <c r="N43" s="1009" t="s">
        <v>932</v>
      </c>
      <c r="O43" s="1008" t="s">
        <v>931</v>
      </c>
      <c r="R43" s="33"/>
    </row>
    <row r="44" spans="2:18" ht="13.7" customHeight="1">
      <c r="C44" s="876"/>
      <c r="D44" s="323"/>
      <c r="E44" s="323"/>
      <c r="F44" s="4532" t="s">
        <v>930</v>
      </c>
      <c r="G44" s="4533"/>
      <c r="H44" s="743"/>
      <c r="I44" s="32"/>
      <c r="J44" s="32"/>
      <c r="K44" s="32"/>
      <c r="L44" s="32"/>
      <c r="M44" s="1007" t="s">
        <v>853</v>
      </c>
      <c r="N44" s="1007" t="s">
        <v>929</v>
      </c>
      <c r="O44" s="1006" t="s">
        <v>928</v>
      </c>
      <c r="R44" s="33"/>
    </row>
    <row r="45" spans="2:18" ht="13.7" customHeight="1">
      <c r="C45" s="1005" t="s">
        <v>269</v>
      </c>
      <c r="D45" s="824"/>
      <c r="E45" s="859" t="s">
        <v>927</v>
      </c>
      <c r="F45" s="3962">
        <v>79</v>
      </c>
      <c r="G45" s="1004"/>
      <c r="H45" s="912" t="s">
        <v>926</v>
      </c>
      <c r="I45" s="824"/>
      <c r="J45" s="824" t="s">
        <v>52</v>
      </c>
      <c r="K45" s="824"/>
      <c r="L45" s="824"/>
      <c r="M45" s="1003" t="s">
        <v>925</v>
      </c>
      <c r="N45" s="1002" t="s">
        <v>876</v>
      </c>
      <c r="O45" s="1001">
        <v>160</v>
      </c>
      <c r="R45" s="33"/>
    </row>
    <row r="46" spans="2:18" ht="13.7" customHeight="1">
      <c r="C46" s="476" t="s">
        <v>269</v>
      </c>
      <c r="D46" s="323"/>
      <c r="E46" s="838" t="s">
        <v>909</v>
      </c>
      <c r="F46" s="3962">
        <v>85</v>
      </c>
      <c r="G46" s="982"/>
      <c r="H46" s="476"/>
      <c r="I46" s="323"/>
      <c r="J46" s="323" t="s">
        <v>924</v>
      </c>
      <c r="K46" s="323"/>
      <c r="L46" s="323"/>
      <c r="M46" s="998" t="s">
        <v>923</v>
      </c>
      <c r="N46" s="989" t="s">
        <v>879</v>
      </c>
      <c r="O46" s="988">
        <v>144</v>
      </c>
      <c r="R46" s="33"/>
    </row>
    <row r="47" spans="2:18" ht="13.7" customHeight="1">
      <c r="C47" s="476" t="s">
        <v>269</v>
      </c>
      <c r="D47" s="323"/>
      <c r="E47" s="838" t="s">
        <v>922</v>
      </c>
      <c r="F47" s="3962">
        <v>88</v>
      </c>
      <c r="G47" s="982"/>
      <c r="H47" s="476"/>
      <c r="I47" s="323"/>
      <c r="J47" s="323" t="s">
        <v>921</v>
      </c>
      <c r="K47" s="323"/>
      <c r="L47" s="323"/>
      <c r="M47" s="998" t="s">
        <v>887</v>
      </c>
      <c r="N47" s="989" t="s">
        <v>876</v>
      </c>
      <c r="O47" s="988">
        <v>160</v>
      </c>
      <c r="R47" s="33"/>
    </row>
    <row r="48" spans="2:18" ht="13.7" customHeight="1">
      <c r="C48" s="476" t="s">
        <v>269</v>
      </c>
      <c r="D48" s="323"/>
      <c r="E48" s="838" t="s">
        <v>920</v>
      </c>
      <c r="F48" s="3962">
        <v>90</v>
      </c>
      <c r="G48" s="982"/>
      <c r="H48" s="476"/>
      <c r="I48" s="323"/>
      <c r="J48" s="323" t="s">
        <v>919</v>
      </c>
      <c r="K48" s="323"/>
      <c r="L48" s="323"/>
      <c r="M48" s="998">
        <v>70</v>
      </c>
      <c r="N48" s="989" t="s">
        <v>874</v>
      </c>
      <c r="O48" s="988">
        <v>240</v>
      </c>
      <c r="R48" s="33"/>
    </row>
    <row r="49" spans="3:20" ht="13.7" customHeight="1">
      <c r="C49" s="476" t="s">
        <v>90</v>
      </c>
      <c r="D49" s="323"/>
      <c r="E49" s="838" t="s">
        <v>918</v>
      </c>
      <c r="F49" s="3962">
        <v>75</v>
      </c>
      <c r="G49" s="982"/>
      <c r="H49" s="476"/>
      <c r="I49" s="323"/>
      <c r="J49" s="323" t="s">
        <v>50</v>
      </c>
      <c r="K49" s="323"/>
      <c r="L49" s="323"/>
      <c r="M49" s="998" t="s">
        <v>917</v>
      </c>
      <c r="N49" s="989" t="s">
        <v>876</v>
      </c>
      <c r="O49" s="988" t="s">
        <v>2073</v>
      </c>
      <c r="R49" s="33"/>
    </row>
    <row r="50" spans="3:20" ht="13.7" customHeight="1">
      <c r="C50" s="476" t="s">
        <v>90</v>
      </c>
      <c r="D50" s="323"/>
      <c r="E50" s="838" t="s">
        <v>895</v>
      </c>
      <c r="F50" s="3962">
        <v>69</v>
      </c>
      <c r="G50" s="982"/>
      <c r="H50" s="476"/>
      <c r="I50" s="323"/>
      <c r="J50" s="323" t="s">
        <v>916</v>
      </c>
      <c r="K50" s="323"/>
      <c r="L50" s="323"/>
      <c r="M50" s="998">
        <v>150</v>
      </c>
      <c r="N50" s="997" t="s">
        <v>879</v>
      </c>
      <c r="O50" s="988">
        <v>263</v>
      </c>
      <c r="R50" s="33"/>
    </row>
    <row r="51" spans="3:20" ht="13.7" customHeight="1">
      <c r="C51" s="476" t="s">
        <v>88</v>
      </c>
      <c r="D51" s="323"/>
      <c r="E51" s="838"/>
      <c r="F51" s="3962">
        <v>84</v>
      </c>
      <c r="G51" s="982"/>
      <c r="H51" s="996" t="s">
        <v>915</v>
      </c>
      <c r="I51" s="995"/>
      <c r="J51" s="995" t="s">
        <v>914</v>
      </c>
      <c r="K51" s="995"/>
      <c r="L51" s="995"/>
      <c r="M51" s="1000" t="s">
        <v>912</v>
      </c>
      <c r="N51" s="993" t="s">
        <v>879</v>
      </c>
      <c r="O51" s="992" t="s">
        <v>2074</v>
      </c>
    </row>
    <row r="52" spans="3:20" ht="13.7" customHeight="1">
      <c r="C52" s="476" t="s">
        <v>86</v>
      </c>
      <c r="D52" s="323"/>
      <c r="E52" s="838" t="s">
        <v>907</v>
      </c>
      <c r="F52" s="3962">
        <v>83</v>
      </c>
      <c r="G52" s="982"/>
      <c r="H52" s="476"/>
      <c r="I52" s="323"/>
      <c r="J52" s="323" t="s">
        <v>913</v>
      </c>
      <c r="K52" s="323"/>
      <c r="L52" s="323"/>
      <c r="M52" s="998" t="s">
        <v>912</v>
      </c>
      <c r="N52" s="997" t="s">
        <v>874</v>
      </c>
      <c r="O52" s="988" t="s">
        <v>2075</v>
      </c>
    </row>
    <row r="53" spans="3:20" ht="13.7" customHeight="1">
      <c r="C53" s="476" t="s">
        <v>84</v>
      </c>
      <c r="D53" s="323"/>
      <c r="E53" s="838"/>
      <c r="F53" s="3962">
        <v>119</v>
      </c>
      <c r="G53" s="982"/>
      <c r="H53" s="996" t="s">
        <v>911</v>
      </c>
      <c r="I53" s="995"/>
      <c r="J53" s="995" t="s">
        <v>910</v>
      </c>
      <c r="K53" s="995"/>
      <c r="L53" s="995"/>
      <c r="M53" s="1000">
        <v>20</v>
      </c>
      <c r="N53" s="993" t="s">
        <v>879</v>
      </c>
      <c r="O53" s="992">
        <v>105</v>
      </c>
    </row>
    <row r="54" spans="3:20" ht="13.7" customHeight="1">
      <c r="C54" s="476" t="s">
        <v>81</v>
      </c>
      <c r="D54" s="323"/>
      <c r="E54" s="838" t="s">
        <v>909</v>
      </c>
      <c r="F54" s="3962">
        <v>90</v>
      </c>
      <c r="G54" s="982"/>
      <c r="H54" s="476"/>
      <c r="I54" s="323"/>
      <c r="J54" s="323" t="s">
        <v>908</v>
      </c>
      <c r="K54" s="323"/>
      <c r="L54" s="323"/>
      <c r="M54" s="998">
        <v>35</v>
      </c>
      <c r="N54" s="989" t="s">
        <v>879</v>
      </c>
      <c r="O54" s="988">
        <v>157.5</v>
      </c>
    </row>
    <row r="55" spans="3:20" ht="13.7" customHeight="1">
      <c r="C55" s="476" t="s">
        <v>267</v>
      </c>
      <c r="D55" s="323"/>
      <c r="E55" s="838" t="s">
        <v>907</v>
      </c>
      <c r="F55" s="3962">
        <v>96</v>
      </c>
      <c r="G55" s="982"/>
      <c r="H55" s="476"/>
      <c r="I55" s="323"/>
      <c r="J55" s="323" t="s">
        <v>906</v>
      </c>
      <c r="K55" s="323"/>
      <c r="L55" s="323"/>
      <c r="M55" s="998">
        <v>30</v>
      </c>
      <c r="N55" s="997" t="s">
        <v>874</v>
      </c>
      <c r="O55" s="988">
        <v>96</v>
      </c>
    </row>
    <row r="56" spans="3:20" ht="13.7" customHeight="1">
      <c r="C56" s="476" t="s">
        <v>77</v>
      </c>
      <c r="D56" s="323"/>
      <c r="E56" s="838"/>
      <c r="F56" s="3962">
        <v>95</v>
      </c>
      <c r="G56" s="982"/>
      <c r="H56" s="996" t="s">
        <v>905</v>
      </c>
      <c r="I56" s="995"/>
      <c r="J56" s="995" t="s">
        <v>64</v>
      </c>
      <c r="K56" s="995"/>
      <c r="L56" s="995"/>
      <c r="M56" s="1000" t="s">
        <v>904</v>
      </c>
      <c r="N56" s="993" t="s">
        <v>879</v>
      </c>
      <c r="O56" s="992">
        <v>600</v>
      </c>
    </row>
    <row r="57" spans="3:20" ht="13.7" customHeight="1">
      <c r="C57" s="476" t="s">
        <v>75</v>
      </c>
      <c r="D57" s="323"/>
      <c r="E57" s="838"/>
      <c r="F57" s="3962">
        <v>84</v>
      </c>
      <c r="G57" s="982"/>
      <c r="H57" s="476"/>
      <c r="I57" s="323"/>
      <c r="J57" s="323" t="s">
        <v>62</v>
      </c>
      <c r="K57" s="323"/>
      <c r="L57" s="323"/>
      <c r="M57" s="998" t="s">
        <v>904</v>
      </c>
      <c r="N57" s="989" t="s">
        <v>879</v>
      </c>
      <c r="O57" s="988">
        <v>580</v>
      </c>
    </row>
    <row r="58" spans="3:20" ht="13.7" customHeight="1">
      <c r="C58" s="476" t="s">
        <v>73</v>
      </c>
      <c r="D58" s="323"/>
      <c r="E58" s="838"/>
      <c r="F58" s="3962">
        <v>131</v>
      </c>
      <c r="G58" s="982"/>
      <c r="H58" s="476"/>
      <c r="I58" s="323"/>
      <c r="J58" s="323" t="s">
        <v>903</v>
      </c>
      <c r="K58" s="323"/>
      <c r="L58" s="323"/>
      <c r="M58" s="998" t="s">
        <v>902</v>
      </c>
      <c r="N58" s="989" t="s">
        <v>901</v>
      </c>
      <c r="O58" s="988" t="s">
        <v>2076</v>
      </c>
    </row>
    <row r="59" spans="3:20" ht="13.7" customHeight="1">
      <c r="C59" s="476" t="s">
        <v>70</v>
      </c>
      <c r="D59" s="323"/>
      <c r="E59" s="838" t="s">
        <v>900</v>
      </c>
      <c r="F59" s="3962">
        <v>135</v>
      </c>
      <c r="G59" s="982"/>
      <c r="H59" s="476"/>
      <c r="I59" s="323"/>
      <c r="J59" s="323" t="s">
        <v>899</v>
      </c>
      <c r="K59" s="323"/>
      <c r="L59" s="323"/>
      <c r="M59" s="998" t="s">
        <v>898</v>
      </c>
      <c r="N59" s="989" t="s">
        <v>876</v>
      </c>
      <c r="O59" s="988"/>
    </row>
    <row r="60" spans="3:20" ht="13.7" customHeight="1">
      <c r="C60" s="476" t="s">
        <v>67</v>
      </c>
      <c r="D60" s="323"/>
      <c r="E60" s="838" t="s">
        <v>897</v>
      </c>
      <c r="F60" s="3962">
        <v>125</v>
      </c>
      <c r="G60" s="982"/>
      <c r="H60" s="476"/>
      <c r="I60" s="323"/>
      <c r="J60" s="323" t="s">
        <v>896</v>
      </c>
      <c r="K60" s="323"/>
      <c r="L60" s="323"/>
      <c r="M60" s="998" t="s">
        <v>890</v>
      </c>
      <c r="N60" s="989" t="s">
        <v>879</v>
      </c>
      <c r="O60" s="988" t="s">
        <v>2077</v>
      </c>
    </row>
    <row r="61" spans="3:20" s="33" customFormat="1" ht="13.7" customHeight="1">
      <c r="C61" s="476" t="s">
        <v>64</v>
      </c>
      <c r="D61" s="323"/>
      <c r="E61" s="838" t="s">
        <v>895</v>
      </c>
      <c r="F61" s="3962">
        <v>300</v>
      </c>
      <c r="G61" s="982"/>
      <c r="H61" s="476"/>
      <c r="I61" s="323"/>
      <c r="J61" s="323" t="s">
        <v>894</v>
      </c>
      <c r="K61" s="323"/>
      <c r="L61" s="323"/>
      <c r="M61" s="998" t="s">
        <v>890</v>
      </c>
      <c r="N61" s="989" t="s">
        <v>879</v>
      </c>
      <c r="O61" s="988" t="s">
        <v>2078</v>
      </c>
      <c r="P61" s="31"/>
      <c r="Q61" s="31"/>
      <c r="R61" s="31"/>
      <c r="S61" s="31"/>
      <c r="T61" s="31"/>
    </row>
    <row r="62" spans="3:20" ht="13.7" customHeight="1">
      <c r="C62" s="476"/>
      <c r="D62" s="323"/>
      <c r="E62" s="838" t="s">
        <v>893</v>
      </c>
      <c r="F62" s="3962">
        <v>182</v>
      </c>
      <c r="G62" s="982"/>
      <c r="H62" s="476"/>
      <c r="I62" s="323"/>
      <c r="J62" s="323" t="s">
        <v>892</v>
      </c>
      <c r="K62" s="323"/>
      <c r="L62" s="323"/>
      <c r="M62" s="998" t="s">
        <v>890</v>
      </c>
      <c r="N62" s="989" t="s">
        <v>879</v>
      </c>
      <c r="O62" s="988" t="s">
        <v>2079</v>
      </c>
    </row>
    <row r="63" spans="3:20" ht="13.7" customHeight="1">
      <c r="C63" s="476" t="s">
        <v>62</v>
      </c>
      <c r="D63" s="323"/>
      <c r="E63" s="838"/>
      <c r="F63" s="3962">
        <v>290</v>
      </c>
      <c r="G63" s="982"/>
      <c r="H63" s="476"/>
      <c r="I63" s="323"/>
      <c r="J63" s="323" t="s">
        <v>891</v>
      </c>
      <c r="K63" s="323"/>
      <c r="L63" s="323"/>
      <c r="M63" s="998" t="s">
        <v>890</v>
      </c>
      <c r="N63" s="997" t="s">
        <v>879</v>
      </c>
      <c r="O63" s="988" t="s">
        <v>2080</v>
      </c>
    </row>
    <row r="64" spans="3:20" ht="13.7" customHeight="1">
      <c r="C64" s="476" t="s">
        <v>60</v>
      </c>
      <c r="D64" s="323"/>
      <c r="E64" s="838"/>
      <c r="F64" s="3962">
        <v>350</v>
      </c>
      <c r="G64" s="982"/>
      <c r="H64" s="996" t="s">
        <v>889</v>
      </c>
      <c r="I64" s="995"/>
      <c r="J64" s="995" t="s">
        <v>888</v>
      </c>
      <c r="K64" s="995"/>
      <c r="L64" s="995"/>
      <c r="M64" s="1000" t="s">
        <v>887</v>
      </c>
      <c r="N64" s="993" t="s">
        <v>874</v>
      </c>
      <c r="O64" s="992" t="s">
        <v>2081</v>
      </c>
    </row>
    <row r="65" spans="3:29" ht="13.7" customHeight="1">
      <c r="C65" s="476" t="s">
        <v>263</v>
      </c>
      <c r="D65" s="323"/>
      <c r="E65" s="838"/>
      <c r="F65" s="3962">
        <v>85</v>
      </c>
      <c r="G65" s="999" t="s">
        <v>886</v>
      </c>
      <c r="H65" s="476"/>
      <c r="I65" s="323"/>
      <c r="J65" s="323" t="s">
        <v>885</v>
      </c>
      <c r="K65" s="323"/>
      <c r="L65" s="323"/>
      <c r="M65" s="998" t="s">
        <v>884</v>
      </c>
      <c r="N65" s="997" t="s">
        <v>871</v>
      </c>
      <c r="O65" s="988">
        <v>157.5</v>
      </c>
    </row>
    <row r="66" spans="3:29" ht="13.7" customHeight="1">
      <c r="C66" s="476" t="s">
        <v>57</v>
      </c>
      <c r="D66" s="323"/>
      <c r="E66" s="838"/>
      <c r="F66" s="3962">
        <v>310</v>
      </c>
      <c r="G66" s="982"/>
      <c r="H66" s="996" t="s">
        <v>816</v>
      </c>
      <c r="I66" s="995"/>
      <c r="J66" s="995" t="s">
        <v>883</v>
      </c>
      <c r="K66" s="995"/>
      <c r="L66" s="995"/>
      <c r="M66" s="994" t="s">
        <v>882</v>
      </c>
      <c r="N66" s="993" t="s">
        <v>876</v>
      </c>
      <c r="O66" s="992"/>
    </row>
    <row r="67" spans="3:29" ht="13.7" customHeight="1">
      <c r="C67" s="476" t="s">
        <v>54</v>
      </c>
      <c r="D67" s="323"/>
      <c r="E67" s="838"/>
      <c r="F67" s="3962">
        <v>96</v>
      </c>
      <c r="G67" s="982"/>
      <c r="H67" s="476"/>
      <c r="I67" s="323"/>
      <c r="J67" s="323" t="s">
        <v>881</v>
      </c>
      <c r="K67" s="323"/>
      <c r="L67" s="323"/>
      <c r="M67" s="990" t="s">
        <v>880</v>
      </c>
      <c r="N67" s="989" t="s">
        <v>879</v>
      </c>
      <c r="O67" s="991" t="s">
        <v>2082</v>
      </c>
    </row>
    <row r="68" spans="3:29" ht="13.7" customHeight="1">
      <c r="C68" s="476" t="s">
        <v>52</v>
      </c>
      <c r="D68" s="323"/>
      <c r="E68" s="838"/>
      <c r="F68" s="3962">
        <v>84</v>
      </c>
      <c r="G68" s="982"/>
      <c r="H68" s="476"/>
      <c r="I68" s="323"/>
      <c r="J68" s="323" t="s">
        <v>878</v>
      </c>
      <c r="K68" s="323"/>
      <c r="L68" s="323"/>
      <c r="M68" s="990" t="s">
        <v>877</v>
      </c>
      <c r="N68" s="989" t="s">
        <v>876</v>
      </c>
      <c r="O68" s="988" t="s">
        <v>2083</v>
      </c>
    </row>
    <row r="69" spans="3:29" ht="13.7" customHeight="1">
      <c r="C69" s="476" t="s">
        <v>50</v>
      </c>
      <c r="D69" s="323"/>
      <c r="E69" s="838" t="s">
        <v>875</v>
      </c>
      <c r="F69" s="3964">
        <v>202</v>
      </c>
      <c r="G69" s="982"/>
      <c r="H69" s="476"/>
      <c r="I69" s="323"/>
      <c r="J69" s="323"/>
      <c r="K69" s="323"/>
      <c r="L69" s="323"/>
      <c r="M69" s="990"/>
      <c r="N69" s="989"/>
      <c r="O69" s="988"/>
    </row>
    <row r="70" spans="3:29" ht="13.7" customHeight="1">
      <c r="C70" s="476" t="s">
        <v>45</v>
      </c>
      <c r="D70" s="323"/>
      <c r="E70" s="838"/>
      <c r="F70" s="3963">
        <v>250</v>
      </c>
      <c r="G70" s="982"/>
      <c r="H70" s="476"/>
      <c r="I70" s="323"/>
      <c r="J70" s="323"/>
      <c r="K70" s="323"/>
      <c r="L70" s="323"/>
      <c r="M70" s="990"/>
      <c r="N70" s="989"/>
      <c r="O70" s="988"/>
    </row>
    <row r="71" spans="3:29" ht="13.7" customHeight="1">
      <c r="C71" s="476" t="s">
        <v>873</v>
      </c>
      <c r="D71" s="323"/>
      <c r="E71" s="838"/>
      <c r="F71" s="3963">
        <v>177</v>
      </c>
      <c r="G71" s="982"/>
      <c r="H71" s="440"/>
      <c r="I71" s="472"/>
      <c r="J71" s="472" t="s">
        <v>90</v>
      </c>
      <c r="K71" s="472"/>
      <c r="L71" s="472"/>
      <c r="M71" s="987" t="s">
        <v>872</v>
      </c>
      <c r="N71" s="986" t="s">
        <v>871</v>
      </c>
      <c r="O71" s="985" t="s">
        <v>2084</v>
      </c>
    </row>
    <row r="72" spans="3:29" ht="13.7" customHeight="1">
      <c r="C72" s="476" t="s">
        <v>870</v>
      </c>
      <c r="D72" s="323"/>
      <c r="E72" s="838"/>
      <c r="F72" s="3963">
        <v>185</v>
      </c>
      <c r="G72" s="982"/>
      <c r="H72" s="378" t="s">
        <v>869</v>
      </c>
      <c r="I72" s="32"/>
      <c r="J72" s="32"/>
      <c r="K72" s="32"/>
      <c r="L72" s="32"/>
      <c r="M72" s="32"/>
      <c r="N72" s="32"/>
      <c r="O72" s="46"/>
    </row>
    <row r="73" spans="3:29" ht="13.7" customHeight="1">
      <c r="C73" s="984"/>
      <c r="D73" s="323"/>
      <c r="E73" s="838"/>
      <c r="F73" s="983"/>
      <c r="G73" s="982"/>
      <c r="H73" s="378" t="s">
        <v>868</v>
      </c>
      <c r="I73" s="32"/>
      <c r="J73" s="32"/>
      <c r="K73" s="32"/>
      <c r="L73" s="32"/>
      <c r="M73" s="32"/>
      <c r="N73" s="32"/>
      <c r="O73" s="46"/>
    </row>
    <row r="74" spans="3:29" ht="13.7" customHeight="1">
      <c r="C74" s="984"/>
      <c r="D74" s="323"/>
      <c r="E74" s="838"/>
      <c r="F74" s="983"/>
      <c r="G74" s="982"/>
      <c r="H74" s="378"/>
      <c r="I74" s="32"/>
      <c r="J74" s="32"/>
      <c r="K74" s="32"/>
      <c r="L74" s="32"/>
      <c r="M74" s="32"/>
      <c r="N74" s="32"/>
      <c r="O74" s="46"/>
    </row>
    <row r="75" spans="3:29" ht="13.7" customHeight="1">
      <c r="C75" s="861" t="s">
        <v>867</v>
      </c>
      <c r="D75" s="472"/>
      <c r="E75" s="981"/>
      <c r="F75" s="980">
        <v>570</v>
      </c>
      <c r="G75" s="979"/>
      <c r="H75" s="286"/>
      <c r="I75" s="312"/>
      <c r="J75" s="312"/>
      <c r="K75" s="312"/>
      <c r="L75" s="312"/>
      <c r="M75" s="312"/>
      <c r="N75" s="312"/>
      <c r="O75" s="687"/>
    </row>
    <row r="76" spans="3:29" ht="13.7" customHeight="1"/>
    <row r="77" spans="3:29" ht="13.7" customHeight="1">
      <c r="C77" s="978" t="s">
        <v>225</v>
      </c>
      <c r="D77" s="977"/>
      <c r="E77" s="270"/>
      <c r="F77" s="977"/>
      <c r="G77" s="977"/>
      <c r="H77" s="977"/>
      <c r="I77" s="977"/>
      <c r="J77" s="977"/>
      <c r="K77" s="270"/>
      <c r="L77" s="270"/>
      <c r="M77" s="270"/>
      <c r="N77" s="270"/>
      <c r="O77" s="699"/>
    </row>
    <row r="78" spans="3:29" ht="13.7" customHeight="1">
      <c r="C78" s="389" t="s">
        <v>691</v>
      </c>
      <c r="D78" s="363" t="s">
        <v>866</v>
      </c>
      <c r="E78" s="32"/>
      <c r="F78" s="974"/>
      <c r="G78" s="974"/>
      <c r="H78" s="974"/>
      <c r="I78" s="974"/>
      <c r="J78" s="974"/>
      <c r="K78" s="32"/>
      <c r="L78" s="32"/>
      <c r="M78" s="32"/>
      <c r="N78" s="32"/>
      <c r="O78" s="46"/>
      <c r="V78" s="433"/>
      <c r="W78" s="380"/>
      <c r="Y78" s="976"/>
      <c r="Z78" s="976"/>
      <c r="AA78" s="976"/>
      <c r="AB78" s="976"/>
      <c r="AC78" s="976"/>
    </row>
    <row r="79" spans="3:29" ht="13.7" customHeight="1">
      <c r="C79" s="434"/>
      <c r="D79" s="363" t="s">
        <v>865</v>
      </c>
      <c r="E79" s="32"/>
      <c r="F79" s="974"/>
      <c r="G79" s="974"/>
      <c r="H79" s="974"/>
      <c r="I79" s="974"/>
      <c r="J79" s="974"/>
      <c r="K79" s="32"/>
      <c r="L79" s="32"/>
      <c r="M79" s="32"/>
      <c r="N79" s="32"/>
      <c r="O79" s="46"/>
    </row>
    <row r="80" spans="3:29" ht="4.9000000000000004" customHeight="1">
      <c r="C80" s="434"/>
      <c r="D80" s="363"/>
      <c r="E80" s="32"/>
      <c r="F80" s="974"/>
      <c r="G80" s="974"/>
      <c r="H80" s="974"/>
      <c r="I80" s="974"/>
      <c r="J80" s="974"/>
      <c r="K80" s="32"/>
      <c r="L80" s="32"/>
      <c r="M80" s="32"/>
      <c r="N80" s="32"/>
      <c r="O80" s="46"/>
    </row>
    <row r="81" spans="3:15" ht="13.7" customHeight="1">
      <c r="C81" s="389" t="s">
        <v>864</v>
      </c>
      <c r="D81" s="975" t="s">
        <v>863</v>
      </c>
      <c r="E81" s="32"/>
      <c r="F81" s="974"/>
      <c r="G81" s="974"/>
      <c r="H81" s="974"/>
      <c r="I81" s="974"/>
      <c r="J81" s="974"/>
      <c r="K81" s="32"/>
      <c r="L81" s="32"/>
      <c r="M81" s="32"/>
      <c r="N81" s="32"/>
      <c r="O81" s="46"/>
    </row>
    <row r="82" spans="3:15" ht="13.7" customHeight="1">
      <c r="C82" s="973"/>
      <c r="D82" s="972"/>
      <c r="E82" s="972"/>
      <c r="F82" s="971"/>
      <c r="G82" s="943"/>
      <c r="H82" s="970"/>
      <c r="I82" s="4545" t="s">
        <v>862</v>
      </c>
      <c r="J82" s="970"/>
      <c r="K82" s="32"/>
      <c r="L82" s="32"/>
      <c r="M82" s="32"/>
      <c r="N82" s="32"/>
      <c r="O82" s="46"/>
    </row>
    <row r="83" spans="3:15" ht="13.7" customHeight="1">
      <c r="C83" s="941" t="s">
        <v>861</v>
      </c>
      <c r="D83" s="966"/>
      <c r="E83" s="966"/>
      <c r="F83" s="969" t="s">
        <v>176</v>
      </c>
      <c r="G83" s="4526" t="s">
        <v>860</v>
      </c>
      <c r="H83" s="4527"/>
      <c r="I83" s="4546"/>
      <c r="J83" s="968" t="s">
        <v>859</v>
      </c>
      <c r="K83" s="32"/>
      <c r="L83" s="32"/>
      <c r="M83" s="32"/>
      <c r="N83" s="32"/>
      <c r="O83" s="46"/>
    </row>
    <row r="84" spans="3:15" ht="13.7" customHeight="1">
      <c r="C84" s="967"/>
      <c r="D84" s="966" t="s">
        <v>858</v>
      </c>
      <c r="E84" s="965"/>
      <c r="F84" s="963" t="s">
        <v>172</v>
      </c>
      <c r="G84" s="964" t="s">
        <v>113</v>
      </c>
      <c r="H84" s="962" t="s">
        <v>172</v>
      </c>
      <c r="I84" s="963" t="s">
        <v>228</v>
      </c>
      <c r="J84" s="962" t="s">
        <v>556</v>
      </c>
      <c r="K84" s="32"/>
      <c r="L84" s="32"/>
      <c r="M84" s="32"/>
      <c r="N84" s="32"/>
      <c r="O84" s="46"/>
    </row>
    <row r="85" spans="3:15" ht="13.7" customHeight="1">
      <c r="C85" s="961" t="s">
        <v>857</v>
      </c>
      <c r="D85" s="4528" t="s">
        <v>856</v>
      </c>
      <c r="E85" s="4529"/>
      <c r="F85" s="960">
        <v>75</v>
      </c>
      <c r="G85" s="959">
        <v>15</v>
      </c>
      <c r="H85" s="958">
        <f>F85*G85%</f>
        <v>11.25</v>
      </c>
      <c r="I85" s="957">
        <v>17</v>
      </c>
      <c r="J85" s="942">
        <f>H85*I85</f>
        <v>191.25</v>
      </c>
      <c r="K85" s="32"/>
      <c r="L85" s="32"/>
      <c r="M85" s="32"/>
      <c r="N85" s="32"/>
      <c r="O85" s="46"/>
    </row>
    <row r="86" spans="3:15" ht="13.7" customHeight="1">
      <c r="C86" s="961" t="s">
        <v>855</v>
      </c>
      <c r="D86" s="4534" t="s">
        <v>86</v>
      </c>
      <c r="E86" s="4535"/>
      <c r="F86" s="960">
        <v>70</v>
      </c>
      <c r="G86" s="959">
        <v>10</v>
      </c>
      <c r="H86" s="958">
        <f>F86*G86%</f>
        <v>7</v>
      </c>
      <c r="I86" s="957">
        <v>13.9</v>
      </c>
      <c r="J86" s="942">
        <f>H86*I86</f>
        <v>97.3</v>
      </c>
      <c r="K86" s="32"/>
      <c r="L86" s="32"/>
      <c r="M86" s="32"/>
      <c r="N86" s="32"/>
      <c r="O86" s="46"/>
    </row>
    <row r="87" spans="3:15" ht="13.7" customHeight="1">
      <c r="C87" s="956" t="s">
        <v>854</v>
      </c>
      <c r="D87" s="4536"/>
      <c r="E87" s="4537"/>
      <c r="F87" s="955"/>
      <c r="G87" s="954"/>
      <c r="H87" s="953">
        <f>F87*G87%</f>
        <v>0</v>
      </c>
      <c r="I87" s="945"/>
      <c r="J87" s="944">
        <f>H87*I87</f>
        <v>0</v>
      </c>
      <c r="K87" s="32"/>
      <c r="L87" s="32"/>
      <c r="M87" s="32"/>
      <c r="N87" s="32"/>
      <c r="O87" s="46"/>
    </row>
    <row r="88" spans="3:15" ht="13.7" customHeight="1">
      <c r="C88" s="940"/>
      <c r="D88" s="939"/>
      <c r="E88" s="323"/>
      <c r="F88" s="939"/>
      <c r="G88" s="943"/>
      <c r="H88" s="939"/>
      <c r="I88" s="938"/>
      <c r="J88" s="942"/>
      <c r="K88" s="32"/>
      <c r="L88" s="32"/>
      <c r="M88" s="32"/>
      <c r="N88" s="32"/>
      <c r="O88" s="46"/>
    </row>
    <row r="89" spans="3:15" ht="13.7" customHeight="1">
      <c r="C89" s="940"/>
      <c r="D89" s="939"/>
      <c r="E89" s="323"/>
      <c r="F89" s="939"/>
      <c r="G89" s="940"/>
      <c r="H89" s="952" t="s">
        <v>853</v>
      </c>
      <c r="I89" s="951" t="s">
        <v>852</v>
      </c>
      <c r="J89" s="950" t="s">
        <v>556</v>
      </c>
      <c r="K89" s="32"/>
      <c r="L89" s="32"/>
      <c r="M89" s="32"/>
      <c r="N89" s="32"/>
      <c r="O89" s="46"/>
    </row>
    <row r="90" spans="3:15" ht="13.7" customHeight="1">
      <c r="C90" s="949" t="s">
        <v>851</v>
      </c>
      <c r="D90" s="948"/>
      <c r="E90" s="948"/>
      <c r="F90" s="948"/>
      <c r="G90" s="947" t="s">
        <v>850</v>
      </c>
      <c r="H90" s="946">
        <v>25</v>
      </c>
      <c r="I90" s="945">
        <v>1</v>
      </c>
      <c r="J90" s="944">
        <f>H90*I90</f>
        <v>25</v>
      </c>
      <c r="K90" s="32"/>
      <c r="L90" s="32"/>
      <c r="M90" s="32"/>
      <c r="N90" s="32"/>
      <c r="O90" s="46"/>
    </row>
    <row r="91" spans="3:15" ht="13.7" customHeight="1">
      <c r="C91" s="940"/>
      <c r="D91" s="939"/>
      <c r="E91" s="939"/>
      <c r="F91" s="939"/>
      <c r="G91" s="943"/>
      <c r="H91" s="939"/>
      <c r="I91" s="938"/>
      <c r="J91" s="942"/>
      <c r="K91" s="32"/>
      <c r="L91" s="32"/>
      <c r="M91" s="32"/>
      <c r="N91" s="32"/>
      <c r="O91" s="46"/>
    </row>
    <row r="92" spans="3:15" ht="13.7" customHeight="1">
      <c r="C92" s="941" t="s">
        <v>849</v>
      </c>
      <c r="D92" s="939"/>
      <c r="E92" s="939"/>
      <c r="F92" s="939"/>
      <c r="G92" s="940" t="s">
        <v>848</v>
      </c>
      <c r="H92" s="939"/>
      <c r="I92" s="938"/>
      <c r="J92" s="937"/>
      <c r="K92" s="32"/>
      <c r="L92" s="32"/>
      <c r="M92" s="32"/>
      <c r="N92" s="32"/>
      <c r="O92" s="46"/>
    </row>
    <row r="93" spans="3:15" ht="13.7" customHeight="1">
      <c r="C93" s="940"/>
      <c r="D93" s="939"/>
      <c r="E93" s="939"/>
      <c r="F93" s="939"/>
      <c r="G93" s="940"/>
      <c r="H93" s="939"/>
      <c r="I93" s="938"/>
      <c r="J93" s="942"/>
      <c r="K93" s="32"/>
      <c r="L93" s="32"/>
      <c r="M93" s="32"/>
      <c r="N93" s="32"/>
      <c r="O93" s="46"/>
    </row>
    <row r="94" spans="3:15" ht="13.7" customHeight="1">
      <c r="C94" s="941" t="s">
        <v>847</v>
      </c>
      <c r="D94" s="939"/>
      <c r="E94" s="939"/>
      <c r="F94" s="939"/>
      <c r="G94" s="940" t="s">
        <v>846</v>
      </c>
      <c r="H94" s="939"/>
      <c r="I94" s="938"/>
      <c r="J94" s="937"/>
      <c r="K94" s="32"/>
      <c r="L94" s="32"/>
      <c r="M94" s="32"/>
      <c r="N94" s="32"/>
      <c r="O94" s="46"/>
    </row>
    <row r="95" spans="3:15" ht="13.7" customHeight="1">
      <c r="C95" s="936" t="s">
        <v>845</v>
      </c>
      <c r="D95" s="935"/>
      <c r="E95" s="935"/>
      <c r="F95" s="935"/>
      <c r="G95" s="935"/>
      <c r="H95" s="935"/>
      <c r="I95" s="935"/>
      <c r="J95" s="934">
        <f>SUM(J85:J94)</f>
        <v>313.55</v>
      </c>
      <c r="K95" s="312"/>
      <c r="L95" s="312"/>
      <c r="M95" s="312"/>
      <c r="N95" s="312"/>
      <c r="O95" s="687"/>
    </row>
    <row r="96" spans="3:15" ht="13.7" customHeight="1">
      <c r="C96" s="933"/>
      <c r="D96" s="933"/>
      <c r="E96" s="933"/>
      <c r="F96" s="933"/>
      <c r="G96" s="933"/>
      <c r="H96" s="933"/>
      <c r="I96" s="933"/>
      <c r="J96" s="932"/>
    </row>
    <row r="97" spans="2:15" ht="13.7" customHeight="1">
      <c r="C97" s="700" t="s">
        <v>844</v>
      </c>
      <c r="D97" s="931"/>
      <c r="E97" s="931"/>
      <c r="F97" s="931"/>
      <c r="G97" s="931"/>
      <c r="H97" s="931"/>
      <c r="I97" s="931"/>
      <c r="J97" s="931"/>
      <c r="K97" s="270"/>
      <c r="L97" s="270"/>
      <c r="M97" s="270"/>
      <c r="N97" s="270"/>
      <c r="O97" s="699"/>
    </row>
    <row r="98" spans="2:15" ht="13.7" customHeight="1">
      <c r="C98" s="930" t="s">
        <v>2227</v>
      </c>
      <c r="D98" s="816"/>
      <c r="E98" s="709"/>
      <c r="F98" s="709"/>
      <c r="G98" s="709"/>
      <c r="H98" s="709"/>
      <c r="I98" s="709"/>
      <c r="J98" s="709"/>
      <c r="K98" s="32"/>
      <c r="L98" s="32"/>
      <c r="M98" s="32"/>
      <c r="N98" s="32"/>
      <c r="O98" s="46"/>
    </row>
    <row r="99" spans="2:15" ht="13.7" customHeight="1">
      <c r="B99" s="914">
        <f>ROWS($B$99:$B99)</f>
        <v>1</v>
      </c>
      <c r="C99" s="929" t="s">
        <v>842</v>
      </c>
      <c r="D99" s="926"/>
      <c r="E99" s="4511"/>
      <c r="F99" s="4512"/>
      <c r="G99" s="4511" t="s">
        <v>841</v>
      </c>
      <c r="H99" s="4513"/>
      <c r="I99" s="928"/>
      <c r="J99" s="927" t="s">
        <v>842</v>
      </c>
      <c r="K99" s="926"/>
      <c r="L99" s="4511"/>
      <c r="M99" s="4512"/>
      <c r="N99" s="4513" t="s">
        <v>841</v>
      </c>
      <c r="O99" s="4512"/>
    </row>
    <row r="100" spans="2:15" ht="13.7" customHeight="1">
      <c r="B100" s="914">
        <f>ROWS($B$99:$B100)</f>
        <v>2</v>
      </c>
      <c r="C100" s="925"/>
      <c r="D100" s="922"/>
      <c r="E100" s="4514" t="s">
        <v>840</v>
      </c>
      <c r="F100" s="4515"/>
      <c r="G100" s="4515"/>
      <c r="H100" s="4515"/>
      <c r="I100" s="924"/>
      <c r="J100" s="923"/>
      <c r="K100" s="922"/>
      <c r="L100" s="4514" t="s">
        <v>840</v>
      </c>
      <c r="M100" s="4515"/>
      <c r="N100" s="4515"/>
      <c r="O100" s="4516"/>
    </row>
    <row r="101" spans="2:15" ht="13.7" customHeight="1">
      <c r="B101" s="914">
        <f>ROWS($B$99:$B101)</f>
        <v>3</v>
      </c>
      <c r="C101" s="921" t="s">
        <v>839</v>
      </c>
      <c r="D101" s="920"/>
      <c r="E101" s="4556"/>
      <c r="F101" s="4557"/>
      <c r="G101" s="4556">
        <v>16</v>
      </c>
      <c r="H101" s="4557"/>
      <c r="I101" s="919">
        <f>ROWS($B$99:$B101)</f>
        <v>3</v>
      </c>
      <c r="J101" s="323" t="s">
        <v>838</v>
      </c>
      <c r="K101" s="46"/>
      <c r="L101" s="4556"/>
      <c r="M101" s="4557"/>
      <c r="N101" s="4556">
        <v>32</v>
      </c>
      <c r="O101" s="4557"/>
    </row>
    <row r="102" spans="2:15" ht="13.7" customHeight="1">
      <c r="B102" s="914">
        <f>ROWS($B$99:$B102)</f>
        <v>4</v>
      </c>
      <c r="C102" s="921" t="s">
        <v>837</v>
      </c>
      <c r="D102" s="920"/>
      <c r="E102" s="4556"/>
      <c r="F102" s="4557"/>
      <c r="G102" s="4556">
        <v>16</v>
      </c>
      <c r="H102" s="4557"/>
      <c r="I102" s="919">
        <f>ROWS($B$99:$B102)</f>
        <v>4</v>
      </c>
      <c r="J102" s="323" t="s">
        <v>836</v>
      </c>
      <c r="K102" s="46"/>
      <c r="L102" s="4556"/>
      <c r="M102" s="4557"/>
      <c r="N102" s="4556">
        <v>12</v>
      </c>
      <c r="O102" s="4557"/>
    </row>
    <row r="103" spans="2:15" ht="13.7" customHeight="1">
      <c r="B103" s="914">
        <f>ROWS($B$99:$B103)</f>
        <v>5</v>
      </c>
      <c r="C103" s="921" t="s">
        <v>835</v>
      </c>
      <c r="D103" s="920"/>
      <c r="E103" s="4556"/>
      <c r="F103" s="4557"/>
      <c r="G103" s="4556">
        <v>14</v>
      </c>
      <c r="H103" s="4557"/>
      <c r="I103" s="919">
        <f>ROWS($B$99:$B103)</f>
        <v>5</v>
      </c>
      <c r="J103" s="323" t="s">
        <v>834</v>
      </c>
      <c r="K103" s="46"/>
      <c r="L103" s="4556"/>
      <c r="M103" s="4557"/>
      <c r="N103" s="4556">
        <v>12</v>
      </c>
      <c r="O103" s="4557"/>
    </row>
    <row r="104" spans="2:15" ht="13.7" customHeight="1">
      <c r="B104" s="914">
        <f>ROWS($B$99:$B104)</f>
        <v>6</v>
      </c>
      <c r="C104" s="921" t="s">
        <v>833</v>
      </c>
      <c r="D104" s="920"/>
      <c r="E104" s="4556"/>
      <c r="F104" s="4557"/>
      <c r="G104" s="4556">
        <v>14</v>
      </c>
      <c r="H104" s="4557"/>
      <c r="I104" s="919">
        <f>ROWS($B$99:$B104)</f>
        <v>6</v>
      </c>
      <c r="J104" s="323" t="s">
        <v>832</v>
      </c>
      <c r="K104" s="46"/>
      <c r="L104" s="4556"/>
      <c r="M104" s="4557"/>
      <c r="N104" s="4556">
        <v>12</v>
      </c>
      <c r="O104" s="4557"/>
    </row>
    <row r="105" spans="2:15" ht="13.7" customHeight="1">
      <c r="B105" s="914">
        <f>ROWS($B$99:$B105)</f>
        <v>7</v>
      </c>
      <c r="C105" s="476" t="s">
        <v>831</v>
      </c>
      <c r="D105" s="46"/>
      <c r="E105" s="4558"/>
      <c r="F105" s="4559"/>
      <c r="G105" s="4556">
        <v>43</v>
      </c>
      <c r="H105" s="4557"/>
      <c r="I105" s="919">
        <f>ROWS($B$99:$B105)</f>
        <v>7</v>
      </c>
      <c r="J105" s="323" t="s">
        <v>830</v>
      </c>
      <c r="K105" s="46"/>
      <c r="L105" s="4556"/>
      <c r="M105" s="4557"/>
      <c r="N105" s="4556">
        <v>12</v>
      </c>
      <c r="O105" s="4557"/>
    </row>
    <row r="106" spans="2:15" ht="13.7" customHeight="1">
      <c r="B106" s="914">
        <f>ROWS($B$99:$B106)</f>
        <v>8</v>
      </c>
      <c r="C106" s="476" t="s">
        <v>829</v>
      </c>
      <c r="D106" s="46"/>
      <c r="E106" s="4558"/>
      <c r="F106" s="4559"/>
      <c r="G106" s="4556">
        <v>42</v>
      </c>
      <c r="H106" s="4557"/>
      <c r="I106" s="919">
        <f>ROWS($B$99:$B106)</f>
        <v>8</v>
      </c>
      <c r="J106" s="323" t="s">
        <v>828</v>
      </c>
      <c r="K106" s="46"/>
      <c r="L106" s="4556"/>
      <c r="M106" s="4557"/>
      <c r="N106" s="4556">
        <v>12</v>
      </c>
      <c r="O106" s="4557"/>
    </row>
    <row r="107" spans="2:15" ht="13.7" customHeight="1">
      <c r="B107" s="914">
        <f>ROWS($B$99:$B107)</f>
        <v>9</v>
      </c>
      <c r="C107" s="476" t="s">
        <v>827</v>
      </c>
      <c r="D107" s="46"/>
      <c r="E107" s="4558"/>
      <c r="F107" s="4559"/>
      <c r="G107" s="4556">
        <v>42</v>
      </c>
      <c r="H107" s="4557"/>
      <c r="I107" s="919">
        <f>ROWS($B$99:$B107)</f>
        <v>9</v>
      </c>
      <c r="J107" s="323" t="s">
        <v>826</v>
      </c>
      <c r="K107" s="46"/>
      <c r="L107" s="4556"/>
      <c r="M107" s="4557"/>
      <c r="N107" s="4556">
        <v>29</v>
      </c>
      <c r="O107" s="4557"/>
    </row>
    <row r="108" spans="2:15" ht="13.7" customHeight="1">
      <c r="B108" s="914">
        <f>ROWS($B$99:$B108)</f>
        <v>10</v>
      </c>
      <c r="C108" s="476" t="s">
        <v>825</v>
      </c>
      <c r="D108" s="46"/>
      <c r="E108" s="4558"/>
      <c r="F108" s="4559"/>
      <c r="G108" s="4556">
        <v>28</v>
      </c>
      <c r="H108" s="4557"/>
      <c r="I108" s="919">
        <f>ROWS($B$99:$B108)</f>
        <v>10</v>
      </c>
      <c r="J108" s="323" t="s">
        <v>824</v>
      </c>
      <c r="K108" s="46"/>
      <c r="L108" s="4556"/>
      <c r="M108" s="4557"/>
      <c r="N108" s="4556">
        <v>10</v>
      </c>
      <c r="O108" s="4557"/>
    </row>
    <row r="109" spans="2:15" ht="13.7" customHeight="1">
      <c r="B109" s="914">
        <f>ROWS($B$99:$B109)</f>
        <v>11</v>
      </c>
      <c r="C109" s="476" t="s">
        <v>823</v>
      </c>
      <c r="D109" s="46"/>
      <c r="E109" s="4558"/>
      <c r="F109" s="4559"/>
      <c r="G109" s="4556">
        <v>28</v>
      </c>
      <c r="H109" s="4557"/>
      <c r="I109" s="919">
        <f>ROWS($B$99:$B109)</f>
        <v>11</v>
      </c>
      <c r="J109" s="323" t="s">
        <v>822</v>
      </c>
      <c r="K109" s="46"/>
      <c r="L109" s="4556"/>
      <c r="M109" s="4557"/>
      <c r="N109" s="4556">
        <v>15</v>
      </c>
      <c r="O109" s="4557"/>
    </row>
    <row r="110" spans="2:15" ht="13.7" customHeight="1">
      <c r="B110" s="914">
        <f>ROWS($B$99:$B110)</f>
        <v>12</v>
      </c>
      <c r="C110" s="476" t="s">
        <v>821</v>
      </c>
      <c r="D110" s="46"/>
      <c r="E110" s="4558"/>
      <c r="F110" s="4559"/>
      <c r="G110" s="4556">
        <v>28</v>
      </c>
      <c r="H110" s="4557"/>
      <c r="I110" s="919">
        <f>ROWS($B$99:$B110)</f>
        <v>12</v>
      </c>
      <c r="J110" s="323" t="s">
        <v>820</v>
      </c>
      <c r="K110" s="46"/>
      <c r="L110" s="4556"/>
      <c r="M110" s="4557"/>
      <c r="N110" s="4556">
        <v>16</v>
      </c>
      <c r="O110" s="4557"/>
    </row>
    <row r="111" spans="2:15" ht="13.7" customHeight="1">
      <c r="B111" s="914">
        <f>ROWS($B$99:$B111)</f>
        <v>13</v>
      </c>
      <c r="C111" s="476" t="s">
        <v>819</v>
      </c>
      <c r="D111" s="46"/>
      <c r="E111" s="4558"/>
      <c r="F111" s="4559"/>
      <c r="G111" s="4556">
        <v>23</v>
      </c>
      <c r="H111" s="4557"/>
      <c r="I111" s="919">
        <f>ROWS($B$99:$B111)</f>
        <v>13</v>
      </c>
      <c r="J111" s="323" t="s">
        <v>818</v>
      </c>
      <c r="K111" s="46"/>
      <c r="L111" s="4556"/>
      <c r="M111" s="4557"/>
      <c r="N111" s="4556">
        <v>13</v>
      </c>
      <c r="O111" s="4557"/>
    </row>
    <row r="112" spans="2:15" ht="13.7" customHeight="1">
      <c r="B112" s="914">
        <f>ROWS($B$99:$B112)</f>
        <v>14</v>
      </c>
      <c r="C112" s="476" t="s">
        <v>817</v>
      </c>
      <c r="D112" s="46"/>
      <c r="E112" s="4558"/>
      <c r="F112" s="4559"/>
      <c r="G112" s="4556">
        <v>15</v>
      </c>
      <c r="H112" s="4557"/>
      <c r="I112" s="919">
        <f>ROWS($B$99:$B112)</f>
        <v>14</v>
      </c>
      <c r="J112" s="3930" t="s">
        <v>2030</v>
      </c>
      <c r="K112" s="3931"/>
      <c r="L112" s="4556"/>
      <c r="M112" s="4557"/>
      <c r="N112" s="4556">
        <v>9</v>
      </c>
      <c r="O112" s="4557"/>
    </row>
    <row r="113" spans="2:21" ht="13.7" customHeight="1">
      <c r="B113" s="914">
        <f>ROWS($B$99:$B113)</f>
        <v>15</v>
      </c>
      <c r="C113" s="440" t="s">
        <v>815</v>
      </c>
      <c r="D113" s="687"/>
      <c r="E113" s="4558"/>
      <c r="F113" s="4559"/>
      <c r="G113" s="4556">
        <v>11</v>
      </c>
      <c r="H113" s="4557"/>
      <c r="I113" s="917">
        <f>ROWS($B$99:$B116)</f>
        <v>18</v>
      </c>
      <c r="J113" s="916" t="s">
        <v>159</v>
      </c>
      <c r="K113" s="915"/>
      <c r="L113" s="4584"/>
      <c r="M113" s="4585"/>
      <c r="N113" s="4584"/>
      <c r="O113" s="4585"/>
    </row>
    <row r="114" spans="2:21" ht="13.7" customHeight="1">
      <c r="C114" s="286"/>
      <c r="D114" s="312"/>
      <c r="E114" s="312"/>
      <c r="F114" s="4053"/>
      <c r="G114" s="312"/>
      <c r="H114" s="312"/>
      <c r="I114" s="312"/>
      <c r="J114" s="472" t="s">
        <v>814</v>
      </c>
      <c r="K114" s="312"/>
      <c r="L114" s="312"/>
      <c r="M114" s="312"/>
      <c r="N114" s="312"/>
      <c r="O114" s="687"/>
    </row>
    <row r="115" spans="2:21" ht="13.7" customHeight="1">
      <c r="B115" s="914"/>
      <c r="C115" s="32"/>
      <c r="D115" s="32"/>
      <c r="E115" s="32"/>
      <c r="F115" s="32"/>
      <c r="G115" s="32"/>
      <c r="H115" s="32"/>
      <c r="I115" s="32"/>
      <c r="J115" s="323"/>
      <c r="K115" s="32"/>
      <c r="L115" s="32"/>
      <c r="M115" s="32"/>
      <c r="N115" s="32"/>
      <c r="O115" s="32"/>
    </row>
    <row r="116" spans="2:21" ht="13.7" hidden="1" customHeight="1">
      <c r="B116" s="914">
        <f>ROWS($B$99:$B116)</f>
        <v>18</v>
      </c>
      <c r="C116" s="913" t="s">
        <v>813</v>
      </c>
      <c r="D116" s="270"/>
      <c r="E116" s="270"/>
      <c r="F116" s="270"/>
      <c r="G116" s="270"/>
      <c r="H116" s="270"/>
      <c r="I116" s="270"/>
      <c r="J116" s="270"/>
      <c r="K116" s="270"/>
      <c r="L116" s="270"/>
      <c r="M116" s="270"/>
      <c r="N116" s="270"/>
      <c r="O116" s="699"/>
    </row>
    <row r="117" spans="2:21" ht="13.7" hidden="1" customHeight="1">
      <c r="C117" s="378" t="s">
        <v>812</v>
      </c>
      <c r="D117" s="32"/>
      <c r="E117" s="32"/>
      <c r="F117" s="32"/>
      <c r="G117" s="32"/>
      <c r="H117" s="32"/>
      <c r="I117" s="32"/>
      <c r="J117" s="32"/>
      <c r="K117" s="32"/>
      <c r="L117" s="32"/>
      <c r="M117" s="32"/>
      <c r="N117" s="32"/>
      <c r="O117" s="46"/>
      <c r="P117" s="35" t="s">
        <v>811</v>
      </c>
    </row>
    <row r="118" spans="2:21" ht="13.7" hidden="1" customHeight="1">
      <c r="C118" s="912" t="s">
        <v>810</v>
      </c>
      <c r="D118" s="858"/>
      <c r="E118" s="881" t="s">
        <v>114</v>
      </c>
      <c r="F118" s="823">
        <v>20</v>
      </c>
      <c r="G118" s="823">
        <v>30</v>
      </c>
      <c r="H118" s="4577">
        <v>50</v>
      </c>
      <c r="I118" s="4578"/>
      <c r="J118" s="912">
        <v>100</v>
      </c>
      <c r="K118" s="856"/>
      <c r="L118" s="32"/>
      <c r="M118" s="32"/>
      <c r="N118" s="32"/>
      <c r="O118" s="46"/>
      <c r="P118" s="15" t="s">
        <v>705</v>
      </c>
      <c r="U118" s="909"/>
    </row>
    <row r="119" spans="2:21" ht="13.7" hidden="1" customHeight="1">
      <c r="C119" s="440" t="s">
        <v>809</v>
      </c>
      <c r="D119" s="911"/>
      <c r="E119" s="804" t="s">
        <v>808</v>
      </c>
      <c r="F119" s="910">
        <v>120</v>
      </c>
      <c r="G119" s="910">
        <v>180</v>
      </c>
      <c r="H119" s="4579">
        <v>300</v>
      </c>
      <c r="I119" s="4580"/>
      <c r="J119" s="440">
        <v>600</v>
      </c>
      <c r="K119" s="849"/>
      <c r="L119" s="32"/>
      <c r="M119" s="32"/>
      <c r="N119" s="32"/>
      <c r="O119" s="46"/>
      <c r="P119" s="15" t="s">
        <v>704</v>
      </c>
      <c r="U119" s="909"/>
    </row>
    <row r="120" spans="2:21" ht="13.7" hidden="1" customHeight="1">
      <c r="C120" s="249"/>
      <c r="D120" s="32"/>
      <c r="E120" s="32"/>
      <c r="F120" s="32"/>
      <c r="G120" s="32"/>
      <c r="H120" s="224"/>
      <c r="I120" s="224"/>
      <c r="J120" s="224"/>
      <c r="K120" s="224"/>
      <c r="L120" s="32"/>
      <c r="M120" s="32"/>
      <c r="N120" s="32"/>
      <c r="O120" s="46"/>
      <c r="U120" s="909"/>
    </row>
    <row r="121" spans="2:21" ht="13.7" hidden="1" customHeight="1">
      <c r="C121" s="738"/>
      <c r="D121" s="824"/>
      <c r="E121" s="908"/>
      <c r="F121" s="824"/>
      <c r="G121" s="824"/>
      <c r="H121" s="859"/>
      <c r="I121" s="859"/>
      <c r="J121" s="859"/>
      <c r="K121" s="858"/>
      <c r="L121" s="32"/>
      <c r="M121" s="32"/>
      <c r="N121" s="32"/>
      <c r="O121" s="46"/>
      <c r="P121" s="15" t="s">
        <v>700</v>
      </c>
    </row>
    <row r="122" spans="2:21" ht="13.7" hidden="1" customHeight="1">
      <c r="C122" s="476" t="s">
        <v>807</v>
      </c>
      <c r="D122" s="907">
        <v>0.75</v>
      </c>
      <c r="E122" s="441" t="s">
        <v>806</v>
      </c>
      <c r="F122" s="891">
        <f>F119/$D$122</f>
        <v>160</v>
      </c>
      <c r="G122" s="891">
        <f>G119/$D$122</f>
        <v>240</v>
      </c>
      <c r="H122" s="906">
        <f>H119/$D$122</f>
        <v>400</v>
      </c>
      <c r="I122" s="905"/>
      <c r="J122" s="904">
        <f>J119/$D$122</f>
        <v>800</v>
      </c>
      <c r="K122" s="903"/>
      <c r="L122" s="32"/>
      <c r="M122" s="32"/>
      <c r="N122" s="32"/>
      <c r="O122" s="46"/>
      <c r="Q122" s="31">
        <v>2011</v>
      </c>
      <c r="R122" s="31">
        <v>2012</v>
      </c>
      <c r="S122" s="31">
        <v>2013</v>
      </c>
      <c r="T122" s="31">
        <v>2014</v>
      </c>
    </row>
    <row r="123" spans="2:21" ht="13.7" hidden="1" customHeight="1">
      <c r="C123" s="476" t="s">
        <v>805</v>
      </c>
      <c r="D123" s="855"/>
      <c r="E123" s="441" t="s">
        <v>556</v>
      </c>
      <c r="F123" s="902">
        <v>180</v>
      </c>
      <c r="G123" s="902">
        <v>170</v>
      </c>
      <c r="H123" s="901">
        <v>130</v>
      </c>
      <c r="I123" s="900"/>
      <c r="J123" s="899">
        <v>110</v>
      </c>
      <c r="K123" s="898"/>
      <c r="L123" s="32"/>
      <c r="M123" s="32"/>
      <c r="N123" s="32"/>
      <c r="O123" s="46"/>
    </row>
    <row r="124" spans="2:21" ht="13.7" hidden="1" customHeight="1">
      <c r="C124" s="769" t="s">
        <v>804</v>
      </c>
      <c r="D124" s="478"/>
      <c r="E124" s="836" t="s">
        <v>556</v>
      </c>
      <c r="F124" s="897">
        <f>F122*F123</f>
        <v>28800</v>
      </c>
      <c r="G124" s="897">
        <f>G122*G123</f>
        <v>40800</v>
      </c>
      <c r="H124" s="896">
        <f>H122*H123</f>
        <v>52000</v>
      </c>
      <c r="I124" s="895"/>
      <c r="J124" s="894">
        <f>J122*J123</f>
        <v>88000</v>
      </c>
      <c r="K124" s="893"/>
      <c r="L124" s="32"/>
      <c r="M124" s="32"/>
      <c r="N124" s="32"/>
      <c r="O124" s="46"/>
      <c r="Q124" s="31">
        <v>103.2</v>
      </c>
      <c r="R124" s="31">
        <v>105.8</v>
      </c>
      <c r="S124" s="31">
        <v>107.5</v>
      </c>
      <c r="T124" s="31">
        <v>109.5</v>
      </c>
    </row>
    <row r="125" spans="2:21" ht="13.7" hidden="1" customHeight="1">
      <c r="C125" s="476" t="s">
        <v>803</v>
      </c>
      <c r="D125" s="892">
        <v>0.04</v>
      </c>
      <c r="E125" s="441" t="s">
        <v>556</v>
      </c>
      <c r="F125" s="891">
        <f>F124*$D$125</f>
        <v>1152</v>
      </c>
      <c r="G125" s="891">
        <f>G124*$D$125</f>
        <v>1632</v>
      </c>
      <c r="H125" s="890">
        <f>H124*$D$125</f>
        <v>2080</v>
      </c>
      <c r="I125" s="889"/>
      <c r="J125" s="774">
        <f>J124*$D$125</f>
        <v>3520</v>
      </c>
      <c r="K125" s="888"/>
      <c r="L125" s="32"/>
      <c r="M125" s="32"/>
      <c r="N125" s="32"/>
      <c r="O125" s="46"/>
    </row>
    <row r="126" spans="2:21" ht="13.7" hidden="1" customHeight="1">
      <c r="C126" s="440" t="s">
        <v>802</v>
      </c>
      <c r="D126" s="887">
        <f>'SDK1'!O61/100</f>
        <v>0.03</v>
      </c>
      <c r="E126" s="804" t="s">
        <v>556</v>
      </c>
      <c r="F126" s="886">
        <f>F124*$D$126</f>
        <v>864</v>
      </c>
      <c r="G126" s="886">
        <f>G124*$D$126</f>
        <v>1224</v>
      </c>
      <c r="H126" s="885">
        <f>H124*$D$126</f>
        <v>1560</v>
      </c>
      <c r="I126" s="884"/>
      <c r="J126" s="771">
        <f>J124*$D$126</f>
        <v>2640</v>
      </c>
      <c r="K126" s="883"/>
      <c r="L126" s="32"/>
      <c r="M126" s="32"/>
      <c r="N126" s="32"/>
      <c r="O126" s="46"/>
      <c r="P126" s="31" t="s">
        <v>700</v>
      </c>
    </row>
    <row r="127" spans="2:21" ht="13.7" hidden="1" customHeight="1">
      <c r="C127" s="693" t="s">
        <v>801</v>
      </c>
      <c r="D127" s="882"/>
      <c r="E127" s="881" t="s">
        <v>556</v>
      </c>
      <c r="F127" s="880">
        <f>SUM(F125:F126)</f>
        <v>2016</v>
      </c>
      <c r="G127" s="880">
        <f>SUM(G125:G126)</f>
        <v>2856</v>
      </c>
      <c r="H127" s="879">
        <f>SUM(H125:H126)</f>
        <v>3640</v>
      </c>
      <c r="I127" s="878"/>
      <c r="J127" s="736">
        <f>SUM(J125:J126)</f>
        <v>6160</v>
      </c>
      <c r="K127" s="877"/>
      <c r="L127" s="32"/>
      <c r="M127" s="32"/>
      <c r="N127" s="32"/>
      <c r="O127" s="46"/>
      <c r="P127" s="31" t="s">
        <v>699</v>
      </c>
    </row>
    <row r="128" spans="2:21" ht="13.7" hidden="1" customHeight="1">
      <c r="C128" s="876"/>
      <c r="D128" s="849"/>
      <c r="E128" s="804" t="s">
        <v>755</v>
      </c>
      <c r="F128" s="875">
        <f>F127/F119</f>
        <v>16.8</v>
      </c>
      <c r="G128" s="875">
        <f>G127/G119</f>
        <v>15.866666666666667</v>
      </c>
      <c r="H128" s="874">
        <f>H127/H119</f>
        <v>12.133333333333333</v>
      </c>
      <c r="I128" s="873"/>
      <c r="J128" s="872">
        <f>J127/J119</f>
        <v>10.266666666666667</v>
      </c>
      <c r="K128" s="871"/>
      <c r="L128" s="32"/>
      <c r="M128" s="32"/>
      <c r="N128" s="32"/>
      <c r="O128" s="46"/>
      <c r="P128" s="31" t="s">
        <v>800</v>
      </c>
    </row>
    <row r="129" spans="3:15" ht="13.7" hidden="1" customHeight="1">
      <c r="C129" s="249"/>
      <c r="D129" s="32"/>
      <c r="E129" s="32"/>
      <c r="F129" s="32"/>
      <c r="G129" s="32"/>
      <c r="H129" s="32"/>
      <c r="I129" s="32"/>
      <c r="J129" s="32"/>
      <c r="K129" s="32"/>
      <c r="L129" s="32"/>
      <c r="M129" s="32"/>
      <c r="N129" s="32"/>
      <c r="O129" s="46"/>
    </row>
    <row r="130" spans="3:15" ht="13.7" hidden="1" customHeight="1">
      <c r="C130" s="693" t="s">
        <v>759</v>
      </c>
      <c r="D130" s="270"/>
      <c r="E130" s="270"/>
      <c r="F130" s="270"/>
      <c r="G130" s="270"/>
      <c r="H130" s="270"/>
      <c r="I130" s="270"/>
      <c r="J130" s="270"/>
      <c r="K130" s="699"/>
      <c r="L130" s="32"/>
      <c r="M130" s="32"/>
      <c r="N130" s="32"/>
      <c r="O130" s="46"/>
    </row>
    <row r="131" spans="3:15" ht="13.7" hidden="1" customHeight="1">
      <c r="C131" s="870" t="s">
        <v>799</v>
      </c>
      <c r="D131" s="323"/>
      <c r="E131" s="323"/>
      <c r="F131" s="323"/>
      <c r="G131" s="323"/>
      <c r="H131" s="323"/>
      <c r="I131" s="323"/>
      <c r="J131" s="323"/>
      <c r="K131" s="855"/>
      <c r="L131" s="32"/>
      <c r="M131" s="32"/>
      <c r="N131" s="32"/>
      <c r="O131" s="46"/>
    </row>
    <row r="132" spans="3:15" ht="13.7" hidden="1" customHeight="1">
      <c r="C132" s="440"/>
      <c r="D132" s="849"/>
      <c r="E132" s="804" t="s">
        <v>755</v>
      </c>
      <c r="F132" s="869">
        <v>0.15</v>
      </c>
      <c r="G132" s="869">
        <v>0.15</v>
      </c>
      <c r="H132" s="868">
        <v>0.15</v>
      </c>
      <c r="I132" s="867"/>
      <c r="J132" s="866">
        <v>0.15</v>
      </c>
      <c r="K132" s="865"/>
      <c r="L132" s="32"/>
      <c r="M132" s="32"/>
      <c r="N132" s="32"/>
      <c r="O132" s="46"/>
    </row>
    <row r="133" spans="3:15" ht="13.7" hidden="1" customHeight="1">
      <c r="C133" s="738" t="s">
        <v>798</v>
      </c>
      <c r="D133" s="824"/>
      <c r="E133" s="824"/>
      <c r="F133" s="824"/>
      <c r="G133" s="824"/>
      <c r="H133" s="859"/>
      <c r="I133" s="859"/>
      <c r="J133" s="859"/>
      <c r="K133" s="858"/>
      <c r="L133" s="32"/>
      <c r="M133" s="32"/>
      <c r="N133" s="32"/>
      <c r="O133" s="46"/>
    </row>
    <row r="134" spans="3:15" ht="13.7" hidden="1" customHeight="1">
      <c r="C134" s="440" t="s">
        <v>797</v>
      </c>
      <c r="D134" s="849"/>
      <c r="E134" s="804" t="s">
        <v>755</v>
      </c>
      <c r="F134" s="864">
        <v>0.05</v>
      </c>
      <c r="G134" s="864">
        <v>0.05</v>
      </c>
      <c r="H134" s="863">
        <v>0.05</v>
      </c>
      <c r="I134" s="862"/>
      <c r="J134" s="861">
        <v>0.05</v>
      </c>
      <c r="K134" s="860"/>
      <c r="L134" s="32"/>
      <c r="M134" s="32"/>
      <c r="N134" s="32"/>
      <c r="O134" s="46"/>
    </row>
    <row r="135" spans="3:15" ht="13.7" hidden="1" customHeight="1">
      <c r="C135" s="738" t="s">
        <v>796</v>
      </c>
      <c r="D135" s="824"/>
      <c r="E135" s="824"/>
      <c r="F135" s="824"/>
      <c r="G135" s="824"/>
      <c r="H135" s="859"/>
      <c r="I135" s="859"/>
      <c r="J135" s="859"/>
      <c r="K135" s="858"/>
      <c r="L135" s="32"/>
      <c r="M135" s="32"/>
      <c r="N135" s="32"/>
      <c r="O135" s="46"/>
    </row>
    <row r="136" spans="3:15" ht="13.7" hidden="1" customHeight="1">
      <c r="C136" s="440" t="s">
        <v>795</v>
      </c>
      <c r="D136" s="857">
        <v>250</v>
      </c>
      <c r="E136" s="804" t="s">
        <v>755</v>
      </c>
      <c r="F136" s="848">
        <f>$D$136/F119</f>
        <v>2.0833333333333335</v>
      </c>
      <c r="G136" s="848">
        <f>$D$136/G119</f>
        <v>1.3888888888888888</v>
      </c>
      <c r="H136" s="847">
        <f>$D$136/H119</f>
        <v>0.83333333333333337</v>
      </c>
      <c r="I136" s="846"/>
      <c r="J136" s="845">
        <f>$D$136/J119</f>
        <v>0.41666666666666669</v>
      </c>
      <c r="K136" s="844"/>
      <c r="L136" s="32"/>
      <c r="M136" s="32"/>
      <c r="N136" s="32"/>
      <c r="O136" s="46"/>
    </row>
    <row r="137" spans="3:15" ht="13.7" hidden="1" customHeight="1">
      <c r="C137" s="738" t="s">
        <v>794</v>
      </c>
      <c r="D137" s="824"/>
      <c r="E137" s="824"/>
      <c r="F137" s="824"/>
      <c r="G137" s="824"/>
      <c r="H137" s="824"/>
      <c r="I137" s="824"/>
      <c r="J137" s="824"/>
      <c r="K137" s="856"/>
      <c r="L137" s="32"/>
      <c r="M137" s="32"/>
      <c r="N137" s="32"/>
      <c r="O137" s="46"/>
    </row>
    <row r="138" spans="3:15" ht="13.7" hidden="1" customHeight="1">
      <c r="C138" s="476" t="s">
        <v>793</v>
      </c>
      <c r="D138" s="855"/>
      <c r="E138" s="441" t="s">
        <v>792</v>
      </c>
      <c r="F138" s="854">
        <v>500</v>
      </c>
      <c r="G138" s="854">
        <v>700</v>
      </c>
      <c r="H138" s="853">
        <v>1000</v>
      </c>
      <c r="I138" s="852"/>
      <c r="J138" s="851">
        <v>1000</v>
      </c>
      <c r="K138" s="850"/>
      <c r="L138" s="32"/>
      <c r="M138" s="32"/>
      <c r="N138" s="32"/>
      <c r="O138" s="46"/>
    </row>
    <row r="139" spans="3:15" ht="13.7" hidden="1" customHeight="1">
      <c r="C139" s="440"/>
      <c r="D139" s="849"/>
      <c r="E139" s="804" t="s">
        <v>755</v>
      </c>
      <c r="F139" s="848">
        <f>F138/F119</f>
        <v>4.166666666666667</v>
      </c>
      <c r="G139" s="848">
        <f>G138/G119</f>
        <v>3.8888888888888888</v>
      </c>
      <c r="H139" s="847">
        <f>H138/H119</f>
        <v>3.3333333333333335</v>
      </c>
      <c r="I139" s="846"/>
      <c r="J139" s="845">
        <f>J138/J119</f>
        <v>1.6666666666666667</v>
      </c>
      <c r="K139" s="844"/>
      <c r="L139" s="32"/>
      <c r="M139" s="32"/>
      <c r="N139" s="32"/>
      <c r="O139" s="46"/>
    </row>
    <row r="140" spans="3:15" ht="13.7" hidden="1" customHeight="1">
      <c r="C140" s="769" t="s">
        <v>791</v>
      </c>
      <c r="D140" s="478"/>
      <c r="E140" s="836" t="s">
        <v>755</v>
      </c>
      <c r="F140" s="843">
        <f>SUM(F132,F134,F136,F139)</f>
        <v>6.4500000000000011</v>
      </c>
      <c r="G140" s="843">
        <f>SUM(G132,G134,G136,G139)</f>
        <v>5.4777777777777779</v>
      </c>
      <c r="H140" s="842">
        <f>SUM(H132,H134,H136,H139)</f>
        <v>4.3666666666666671</v>
      </c>
      <c r="I140" s="841"/>
      <c r="J140" s="840">
        <f>SUM(J132,J134,J136,J139)</f>
        <v>2.2833333333333332</v>
      </c>
      <c r="K140" s="839"/>
      <c r="L140" s="32"/>
      <c r="M140" s="32"/>
      <c r="N140" s="32"/>
      <c r="O140" s="46"/>
    </row>
    <row r="141" spans="3:15" ht="13.7" hidden="1" customHeight="1">
      <c r="C141" s="476"/>
      <c r="D141" s="323"/>
      <c r="E141" s="323"/>
      <c r="F141" s="323"/>
      <c r="G141" s="323"/>
      <c r="H141" s="838"/>
      <c r="I141" s="838"/>
      <c r="J141" s="838"/>
      <c r="K141" s="838"/>
      <c r="L141" s="32"/>
      <c r="M141" s="32"/>
      <c r="N141" s="32"/>
      <c r="O141" s="46"/>
    </row>
    <row r="142" spans="3:15" ht="13.7" hidden="1" customHeight="1">
      <c r="C142" s="728" t="s">
        <v>790</v>
      </c>
      <c r="D142" s="837"/>
      <c r="E142" s="836" t="s">
        <v>755</v>
      </c>
      <c r="F142" s="835">
        <f>F128+F140</f>
        <v>23.25</v>
      </c>
      <c r="G142" s="835">
        <f>G128+G140</f>
        <v>21.344444444444445</v>
      </c>
      <c r="H142" s="834">
        <f>H128+H140</f>
        <v>16.5</v>
      </c>
      <c r="I142" s="833"/>
      <c r="J142" s="832">
        <f>J128+J140</f>
        <v>12.55</v>
      </c>
      <c r="K142" s="831"/>
      <c r="L142" s="312"/>
      <c r="M142" s="312"/>
      <c r="N142" s="312"/>
      <c r="O142" s="687"/>
    </row>
    <row r="143" spans="3:15" ht="13.7" hidden="1" customHeight="1">
      <c r="C143" s="249"/>
      <c r="D143" s="477"/>
      <c r="E143" s="777"/>
      <c r="F143" s="829"/>
      <c r="G143" s="829"/>
      <c r="H143" s="830"/>
      <c r="I143" s="830"/>
      <c r="J143" s="829"/>
      <c r="K143" s="829"/>
      <c r="L143" s="32"/>
      <c r="M143" s="32"/>
      <c r="N143" s="32"/>
      <c r="O143" s="46"/>
    </row>
    <row r="144" spans="3:15" ht="13.7" hidden="1" customHeight="1">
      <c r="C144" s="828" t="s">
        <v>789</v>
      </c>
      <c r="D144" s="709"/>
      <c r="E144" s="32"/>
      <c r="F144" s="32"/>
      <c r="G144" s="32"/>
      <c r="H144" s="32"/>
      <c r="I144" s="32"/>
      <c r="J144" s="32"/>
      <c r="K144" s="32"/>
      <c r="L144" s="32"/>
      <c r="M144" s="32"/>
      <c r="N144" s="32"/>
      <c r="O144" s="46"/>
    </row>
    <row r="145" spans="3:26" ht="13.7" hidden="1" customHeight="1">
      <c r="C145" s="827"/>
      <c r="D145" s="32"/>
      <c r="E145" s="323"/>
      <c r="F145" s="323"/>
      <c r="G145" s="323"/>
      <c r="H145" s="323"/>
      <c r="I145" s="323"/>
      <c r="J145" s="323"/>
      <c r="K145" s="826"/>
      <c r="L145" s="323"/>
      <c r="M145" s="323"/>
      <c r="N145" s="323"/>
      <c r="O145" s="46"/>
    </row>
    <row r="146" spans="3:26" ht="13.7" hidden="1" customHeight="1">
      <c r="C146" s="817"/>
      <c r="D146" s="816"/>
      <c r="E146" s="323"/>
      <c r="F146" s="323"/>
      <c r="G146" s="323"/>
      <c r="H146" s="323"/>
      <c r="I146" s="323"/>
      <c r="J146" s="323"/>
      <c r="K146" s="826"/>
      <c r="L146" s="323"/>
      <c r="M146" s="323"/>
      <c r="N146" s="323"/>
      <c r="O146" s="46"/>
    </row>
    <row r="147" spans="3:26" ht="13.7" hidden="1" customHeight="1">
      <c r="C147" s="480" t="s">
        <v>788</v>
      </c>
      <c r="D147" s="825">
        <v>600</v>
      </c>
      <c r="E147" s="479" t="s">
        <v>787</v>
      </c>
      <c r="F147" s="351"/>
      <c r="G147" s="824"/>
      <c r="H147" s="824"/>
      <c r="I147" s="351" t="s">
        <v>786</v>
      </c>
      <c r="J147" s="270"/>
      <c r="K147" s="270"/>
      <c r="L147" s="823" t="s">
        <v>785</v>
      </c>
      <c r="M147" s="323"/>
      <c r="N147" s="323"/>
      <c r="O147" s="46"/>
    </row>
    <row r="148" spans="3:26" ht="13.7" hidden="1" customHeight="1">
      <c r="C148" s="822" t="s">
        <v>784</v>
      </c>
      <c r="D148" s="821">
        <v>5</v>
      </c>
      <c r="E148" s="479" t="s">
        <v>783</v>
      </c>
      <c r="F148" s="440"/>
      <c r="G148" s="472"/>
      <c r="H148" s="472"/>
      <c r="I148" s="820" t="s">
        <v>782</v>
      </c>
      <c r="J148" s="312"/>
      <c r="K148" s="819">
        <v>1</v>
      </c>
      <c r="L148" s="818">
        <v>14</v>
      </c>
      <c r="M148" s="32"/>
      <c r="N148" s="323"/>
      <c r="O148" s="46"/>
    </row>
    <row r="149" spans="3:26" ht="13.7" hidden="1" customHeight="1">
      <c r="C149" s="817"/>
      <c r="D149" s="816"/>
      <c r="E149" s="323"/>
      <c r="F149" s="323"/>
      <c r="G149" s="323"/>
      <c r="H149" s="323"/>
      <c r="I149" s="32"/>
      <c r="J149" s="32"/>
      <c r="K149" s="32"/>
      <c r="L149" s="32"/>
      <c r="M149" s="32"/>
      <c r="N149" s="323"/>
      <c r="O149" s="46"/>
    </row>
    <row r="150" spans="3:26" ht="13.7" hidden="1" customHeight="1">
      <c r="C150" s="815" t="s">
        <v>781</v>
      </c>
      <c r="D150" s="814" t="s">
        <v>780</v>
      </c>
      <c r="E150" s="384" t="s">
        <v>564</v>
      </c>
      <c r="F150" s="814" t="s">
        <v>779</v>
      </c>
      <c r="G150" s="813" t="s">
        <v>750</v>
      </c>
      <c r="H150" s="451" t="s">
        <v>778</v>
      </c>
      <c r="I150" s="812"/>
      <c r="J150" s="811"/>
      <c r="K150" s="810"/>
      <c r="L150" s="810"/>
      <c r="M150" s="323"/>
      <c r="N150" s="323"/>
      <c r="O150" s="46"/>
    </row>
    <row r="151" spans="3:26" ht="13.7" hidden="1" customHeight="1">
      <c r="C151" s="803"/>
      <c r="D151" s="809" t="s">
        <v>777</v>
      </c>
      <c r="E151" s="388" t="s">
        <v>558</v>
      </c>
      <c r="F151" s="809"/>
      <c r="G151" s="808">
        <f>'SDK1'!O61/100</f>
        <v>0.03</v>
      </c>
      <c r="H151" s="807">
        <v>2.5000000000000001E-3</v>
      </c>
      <c r="I151" s="449" t="s">
        <v>716</v>
      </c>
      <c r="J151" s="448" t="s">
        <v>715</v>
      </c>
      <c r="K151" s="806" t="s">
        <v>757</v>
      </c>
      <c r="L151" s="782"/>
      <c r="M151" s="781"/>
      <c r="N151" s="323"/>
      <c r="O151" s="46"/>
      <c r="P151" s="31" t="s">
        <v>776</v>
      </c>
    </row>
    <row r="152" spans="3:26" ht="13.7" hidden="1" customHeight="1">
      <c r="C152" s="803"/>
      <c r="D152" s="757" t="s">
        <v>556</v>
      </c>
      <c r="E152" s="805" t="s">
        <v>557</v>
      </c>
      <c r="F152" s="757" t="s">
        <v>556</v>
      </c>
      <c r="G152" s="756" t="s">
        <v>556</v>
      </c>
      <c r="H152" s="780" t="s">
        <v>556</v>
      </c>
      <c r="I152" s="754" t="s">
        <v>556</v>
      </c>
      <c r="J152" s="780" t="s">
        <v>556</v>
      </c>
      <c r="K152" s="804" t="s">
        <v>556</v>
      </c>
      <c r="L152" s="778"/>
      <c r="M152" s="777"/>
      <c r="N152" s="323"/>
      <c r="O152" s="46"/>
      <c r="T152" s="31" t="s">
        <v>775</v>
      </c>
      <c r="V152" s="31" t="s">
        <v>774</v>
      </c>
      <c r="X152" s="31" t="s">
        <v>773</v>
      </c>
      <c r="Z152" s="31" t="s">
        <v>772</v>
      </c>
    </row>
    <row r="153" spans="3:26" ht="13.7" hidden="1" customHeight="1">
      <c r="C153" s="803" t="s">
        <v>771</v>
      </c>
      <c r="D153" s="802">
        <v>30000</v>
      </c>
      <c r="E153" s="801">
        <v>10</v>
      </c>
      <c r="F153" s="800">
        <f>D153/E153</f>
        <v>3000</v>
      </c>
      <c r="G153" s="799">
        <f>D153*G151</f>
        <v>900</v>
      </c>
      <c r="H153" s="798">
        <f>D153*H151</f>
        <v>75</v>
      </c>
      <c r="I153" s="774">
        <f>SUM(F153:H153)</f>
        <v>3975</v>
      </c>
      <c r="J153" s="792"/>
      <c r="K153" s="741"/>
      <c r="L153" s="46"/>
      <c r="M153" s="32"/>
      <c r="N153" s="32"/>
      <c r="O153" s="46"/>
      <c r="P153" s="31" t="s">
        <v>770</v>
      </c>
      <c r="T153" s="31" t="s">
        <v>769</v>
      </c>
      <c r="V153" s="31" t="s">
        <v>768</v>
      </c>
      <c r="X153" s="31" t="s">
        <v>768</v>
      </c>
      <c r="Z153" s="31" t="s">
        <v>768</v>
      </c>
    </row>
    <row r="154" spans="3:26" ht="13.7" hidden="1" customHeight="1">
      <c r="C154" s="440" t="s">
        <v>767</v>
      </c>
      <c r="D154" s="797">
        <v>70000</v>
      </c>
      <c r="E154" s="796">
        <v>40</v>
      </c>
      <c r="F154" s="795">
        <f>D154/E154</f>
        <v>1750</v>
      </c>
      <c r="G154" s="794">
        <f>D154*G151</f>
        <v>2100</v>
      </c>
      <c r="H154" s="793">
        <f>D154*H151</f>
        <v>175</v>
      </c>
      <c r="I154" s="771">
        <f>SUM(F154:H154)</f>
        <v>4025</v>
      </c>
      <c r="J154" s="792"/>
      <c r="K154" s="741"/>
      <c r="L154" s="46"/>
      <c r="M154" s="32"/>
      <c r="N154" s="32"/>
      <c r="O154" s="46"/>
      <c r="T154" s="31" t="s">
        <v>766</v>
      </c>
      <c r="V154" s="31" t="s">
        <v>765</v>
      </c>
      <c r="X154" s="31" t="s">
        <v>764</v>
      </c>
      <c r="Z154" s="31" t="s">
        <v>764</v>
      </c>
    </row>
    <row r="155" spans="3:26" ht="13.7" hidden="1" customHeight="1">
      <c r="C155" s="738" t="s">
        <v>763</v>
      </c>
      <c r="D155" s="790">
        <f>SUM(D153:D154)</f>
        <v>100000</v>
      </c>
      <c r="E155" s="791"/>
      <c r="F155" s="790">
        <f>SUM(F153:F154)</f>
        <v>4750</v>
      </c>
      <c r="G155" s="789">
        <f>SUM(G153:G154)</f>
        <v>3000</v>
      </c>
      <c r="H155" s="788">
        <f>SUM(H153:H154)</f>
        <v>250</v>
      </c>
      <c r="I155" s="736">
        <f>SUM(F155:H155)</f>
        <v>8000</v>
      </c>
      <c r="J155" s="735">
        <f>IF(D147=0,0,I155/D147)</f>
        <v>13.333333333333334</v>
      </c>
      <c r="K155" s="734">
        <f>J155/10</f>
        <v>1.3333333333333335</v>
      </c>
      <c r="L155" s="787"/>
      <c r="M155" s="786"/>
      <c r="N155" s="32"/>
      <c r="O155" s="46"/>
      <c r="V155" s="31" t="s">
        <v>762</v>
      </c>
      <c r="X155" s="31" t="s">
        <v>761</v>
      </c>
      <c r="Z155" s="31" t="s">
        <v>760</v>
      </c>
    </row>
    <row r="156" spans="3:26" ht="13.7" hidden="1" customHeight="1">
      <c r="C156" s="351"/>
      <c r="D156" s="270"/>
      <c r="E156" s="270"/>
      <c r="F156" s="351"/>
      <c r="G156" s="270"/>
      <c r="H156" s="270"/>
      <c r="I156" s="351"/>
      <c r="J156" s="785"/>
      <c r="K156" s="784"/>
      <c r="L156" s="46"/>
      <c r="M156" s="32"/>
      <c r="N156" s="32"/>
      <c r="O156" s="46"/>
    </row>
    <row r="157" spans="3:26" ht="13.7" hidden="1" customHeight="1">
      <c r="C157" s="763" t="s">
        <v>759</v>
      </c>
      <c r="D157" s="32"/>
      <c r="E157" s="32"/>
      <c r="F157" s="743"/>
      <c r="G157" s="448"/>
      <c r="H157" s="783" t="s">
        <v>758</v>
      </c>
      <c r="I157" s="449"/>
      <c r="J157" s="759" t="s">
        <v>715</v>
      </c>
      <c r="K157" s="758" t="s">
        <v>757</v>
      </c>
      <c r="L157" s="782"/>
      <c r="M157" s="781"/>
      <c r="N157" s="747"/>
      <c r="O157" s="764"/>
      <c r="P157" s="31" t="s">
        <v>756</v>
      </c>
      <c r="T157" s="723">
        <v>202765</v>
      </c>
      <c r="V157" s="723">
        <v>202765</v>
      </c>
      <c r="X157" s="723">
        <v>202765</v>
      </c>
      <c r="Z157" s="723">
        <v>202765</v>
      </c>
    </row>
    <row r="158" spans="3:26" ht="13.7" hidden="1" customHeight="1">
      <c r="C158" s="435" t="s">
        <v>337</v>
      </c>
      <c r="D158" s="312"/>
      <c r="E158" s="312"/>
      <c r="F158" s="754" t="s">
        <v>755</v>
      </c>
      <c r="G158" s="780"/>
      <c r="H158" s="779" t="s">
        <v>113</v>
      </c>
      <c r="I158" s="754"/>
      <c r="J158" s="753" t="s">
        <v>556</v>
      </c>
      <c r="K158" s="752" t="s">
        <v>556</v>
      </c>
      <c r="L158" s="778"/>
      <c r="M158" s="777"/>
      <c r="N158" s="747"/>
      <c r="O158" s="764"/>
      <c r="P158" s="686" t="s">
        <v>754</v>
      </c>
      <c r="T158" s="723">
        <v>19284</v>
      </c>
      <c r="V158" s="723">
        <v>19284</v>
      </c>
      <c r="X158" s="723">
        <v>19284</v>
      </c>
      <c r="Z158" s="723">
        <v>19284</v>
      </c>
    </row>
    <row r="159" spans="3:26" ht="13.7" hidden="1" customHeight="1">
      <c r="C159" s="748" t="s">
        <v>753</v>
      </c>
      <c r="D159" s="32"/>
      <c r="E159" s="32"/>
      <c r="F159" s="776">
        <v>3</v>
      </c>
      <c r="G159" s="775"/>
      <c r="H159" s="772">
        <v>100</v>
      </c>
      <c r="I159" s="774"/>
      <c r="J159" s="742">
        <f>F159*H159%</f>
        <v>3</v>
      </c>
      <c r="K159" s="741"/>
      <c r="L159" s="46"/>
      <c r="M159" s="32"/>
      <c r="N159" s="747"/>
      <c r="O159" s="764"/>
      <c r="Q159" s="31" t="s">
        <v>752</v>
      </c>
      <c r="T159" s="723">
        <v>12143</v>
      </c>
      <c r="V159" s="723">
        <v>12143</v>
      </c>
      <c r="X159" s="723">
        <v>12143</v>
      </c>
      <c r="Z159" s="723">
        <v>12143</v>
      </c>
    </row>
    <row r="160" spans="3:26" ht="13.7" hidden="1" customHeight="1">
      <c r="C160" s="773" t="s">
        <v>751</v>
      </c>
      <c r="D160" s="32"/>
      <c r="E160" s="32"/>
      <c r="F160" s="746"/>
      <c r="G160" s="32"/>
      <c r="H160" s="772"/>
      <c r="I160" s="771"/>
      <c r="J160" s="770">
        <f>F160*H160%</f>
        <v>0</v>
      </c>
      <c r="K160" s="741"/>
      <c r="L160" s="46"/>
      <c r="M160" s="32"/>
      <c r="N160" s="747"/>
      <c r="O160" s="764"/>
      <c r="Q160" s="31" t="s">
        <v>750</v>
      </c>
      <c r="T160" s="723">
        <v>6085</v>
      </c>
      <c r="V160" s="723">
        <v>6085</v>
      </c>
      <c r="X160" s="723">
        <v>6085</v>
      </c>
      <c r="Z160" s="723">
        <v>6085</v>
      </c>
    </row>
    <row r="161" spans="2:38" ht="13.7" hidden="1" customHeight="1">
      <c r="C161" s="769" t="s">
        <v>749</v>
      </c>
      <c r="D161" s="768"/>
      <c r="E161" s="768"/>
      <c r="F161" s="767"/>
      <c r="G161" s="768"/>
      <c r="H161" s="768"/>
      <c r="I161" s="767"/>
      <c r="J161" s="766">
        <f>SUM(J159:J160)</f>
        <v>3</v>
      </c>
      <c r="K161" s="765">
        <f>J161/10</f>
        <v>0.3</v>
      </c>
      <c r="L161" s="46"/>
      <c r="M161" s="32"/>
      <c r="N161" s="747"/>
      <c r="O161" s="764"/>
      <c r="Q161" s="31" t="s">
        <v>748</v>
      </c>
      <c r="T161" s="723">
        <v>1056</v>
      </c>
      <c r="V161" s="723">
        <v>1056</v>
      </c>
      <c r="X161" s="723">
        <v>1056</v>
      </c>
      <c r="Z161" s="723">
        <v>1056</v>
      </c>
    </row>
    <row r="162" spans="2:38" ht="13.7" hidden="1" customHeight="1">
      <c r="B162" s="32"/>
      <c r="C162" s="763" t="s">
        <v>747</v>
      </c>
      <c r="D162" s="32"/>
      <c r="E162" s="32"/>
      <c r="F162" s="762"/>
      <c r="G162" s="761"/>
      <c r="H162" s="760"/>
      <c r="I162" s="449"/>
      <c r="J162" s="759" t="s">
        <v>746</v>
      </c>
      <c r="K162" s="758"/>
      <c r="L162" s="46"/>
      <c r="M162" s="32"/>
      <c r="N162" s="751"/>
      <c r="O162" s="750"/>
      <c r="P162" s="686" t="s">
        <v>745</v>
      </c>
      <c r="T162" s="723">
        <v>8133</v>
      </c>
      <c r="V162" s="723">
        <v>8108</v>
      </c>
      <c r="X162" s="723">
        <v>15526</v>
      </c>
      <c r="Z162" s="723">
        <v>8294</v>
      </c>
    </row>
    <row r="163" spans="2:38" ht="13.7" hidden="1" customHeight="1">
      <c r="C163" s="440"/>
      <c r="D163" s="472"/>
      <c r="E163" s="472"/>
      <c r="F163" s="757" t="s">
        <v>113</v>
      </c>
      <c r="G163" s="756"/>
      <c r="H163" s="755"/>
      <c r="I163" s="754"/>
      <c r="J163" s="753" t="s">
        <v>228</v>
      </c>
      <c r="K163" s="752" t="s">
        <v>556</v>
      </c>
      <c r="L163" s="46"/>
      <c r="M163" s="32"/>
      <c r="N163" s="751"/>
      <c r="O163" s="750"/>
      <c r="Q163" s="31" t="s">
        <v>744</v>
      </c>
      <c r="T163" s="723">
        <v>4456</v>
      </c>
      <c r="V163" s="723">
        <v>4342</v>
      </c>
      <c r="X163" s="723">
        <v>10424</v>
      </c>
      <c r="Z163" s="723">
        <v>4624</v>
      </c>
    </row>
    <row r="164" spans="2:38" ht="13.7" hidden="1" customHeight="1">
      <c r="C164" s="748" t="s">
        <v>743</v>
      </c>
      <c r="D164" s="747"/>
      <c r="E164" s="32"/>
      <c r="F164" s="746">
        <v>0.2</v>
      </c>
      <c r="G164" s="745"/>
      <c r="H164" s="744"/>
      <c r="I164" s="743"/>
      <c r="J164" s="749">
        <f>L148*F164%</f>
        <v>2.8000000000000001E-2</v>
      </c>
      <c r="K164" s="741"/>
      <c r="L164" s="46"/>
      <c r="M164" s="32"/>
      <c r="N164" s="740"/>
      <c r="O164" s="739"/>
      <c r="Q164" s="31" t="s">
        <v>742</v>
      </c>
      <c r="T164" s="723">
        <v>245.1</v>
      </c>
      <c r="V164" s="723">
        <v>251.1</v>
      </c>
      <c r="X164" s="723">
        <v>340.1</v>
      </c>
      <c r="Z164" s="723">
        <v>244.7</v>
      </c>
    </row>
    <row r="165" spans="2:38" ht="13.7" hidden="1" customHeight="1">
      <c r="C165" s="748" t="s">
        <v>741</v>
      </c>
      <c r="D165" s="747"/>
      <c r="E165" s="32"/>
      <c r="F165" s="746">
        <v>1</v>
      </c>
      <c r="G165" s="745"/>
      <c r="H165" s="744"/>
      <c r="I165" s="743"/>
      <c r="J165" s="742">
        <f>L148*F165%/12</f>
        <v>1.1666666666666667E-2</v>
      </c>
      <c r="K165" s="741"/>
      <c r="L165" s="46"/>
      <c r="M165" s="32"/>
      <c r="N165" s="740"/>
      <c r="O165" s="739"/>
      <c r="Q165" s="31" t="s">
        <v>708</v>
      </c>
      <c r="T165" s="723">
        <v>3676</v>
      </c>
      <c r="V165" s="723">
        <v>3766</v>
      </c>
      <c r="X165" s="723">
        <v>5102</v>
      </c>
      <c r="Z165" s="723">
        <v>3670</v>
      </c>
    </row>
    <row r="166" spans="2:38" ht="13.7" hidden="1" customHeight="1">
      <c r="C166" s="738" t="s">
        <v>740</v>
      </c>
      <c r="D166" s="737"/>
      <c r="E166" s="737"/>
      <c r="F166" s="736"/>
      <c r="G166" s="737"/>
      <c r="H166" s="737"/>
      <c r="I166" s="736"/>
      <c r="J166" s="735">
        <f>SUM(J164:J165)</f>
        <v>3.966666666666667E-2</v>
      </c>
      <c r="K166" s="734">
        <f>J166*D148</f>
        <v>0.19833333333333336</v>
      </c>
      <c r="L166" s="46"/>
      <c r="M166" s="32"/>
      <c r="N166" s="733"/>
      <c r="O166" s="732"/>
      <c r="P166" s="686" t="s">
        <v>739</v>
      </c>
      <c r="T166" s="723">
        <v>27417</v>
      </c>
      <c r="V166" s="723">
        <v>27392</v>
      </c>
      <c r="X166" s="723">
        <v>34810</v>
      </c>
      <c r="Z166" s="723">
        <v>27578</v>
      </c>
    </row>
    <row r="167" spans="2:38" ht="13.7" hidden="1" customHeight="1">
      <c r="C167" s="730" t="s">
        <v>738</v>
      </c>
      <c r="D167" s="729"/>
      <c r="E167" s="731"/>
      <c r="F167" s="730"/>
      <c r="G167" s="729"/>
      <c r="H167" s="729"/>
      <c r="I167" s="728"/>
      <c r="J167" s="727"/>
      <c r="K167" s="714"/>
      <c r="L167" s="726">
        <f>K155+K161+K166</f>
        <v>1.831666666666667</v>
      </c>
      <c r="M167" s="725"/>
      <c r="N167" s="709"/>
      <c r="O167" s="724"/>
      <c r="P167" s="31" t="s">
        <v>737</v>
      </c>
      <c r="T167" s="723">
        <v>2000</v>
      </c>
      <c r="V167" s="723">
        <v>1865</v>
      </c>
      <c r="X167" s="723">
        <v>1988</v>
      </c>
      <c r="Z167" s="723">
        <v>1980</v>
      </c>
    </row>
    <row r="168" spans="2:38" ht="13.7" hidden="1" customHeight="1">
      <c r="C168" s="722"/>
      <c r="D168" s="720"/>
      <c r="E168" s="720"/>
      <c r="F168" s="720"/>
      <c r="G168" s="720"/>
      <c r="H168" s="720"/>
      <c r="I168" s="720"/>
      <c r="J168" s="720"/>
      <c r="K168" s="709"/>
      <c r="L168" s="721"/>
      <c r="M168" s="323"/>
      <c r="N168" s="720"/>
      <c r="O168" s="719"/>
      <c r="P168" s="686" t="s">
        <v>736</v>
      </c>
      <c r="T168" s="718">
        <v>13.71</v>
      </c>
      <c r="V168" s="718">
        <v>14.69</v>
      </c>
      <c r="X168" s="718">
        <v>17.510000000000002</v>
      </c>
      <c r="Z168" s="718">
        <v>13.93</v>
      </c>
    </row>
    <row r="169" spans="2:38" ht="13.7" hidden="1" customHeight="1">
      <c r="C169" s="717" t="s">
        <v>735</v>
      </c>
      <c r="D169" s="715"/>
      <c r="E169" s="716"/>
      <c r="F169" s="715"/>
      <c r="G169" s="715"/>
      <c r="H169" s="715"/>
      <c r="I169" s="716"/>
      <c r="J169" s="715"/>
      <c r="K169" s="714"/>
      <c r="L169" s="713">
        <f>L148+L167</f>
        <v>15.831666666666667</v>
      </c>
      <c r="M169" s="712"/>
      <c r="N169" s="711"/>
      <c r="O169" s="710"/>
      <c r="P169" s="709"/>
      <c r="Q169" s="708"/>
    </row>
    <row r="170" spans="2:38" ht="13.7" hidden="1" customHeight="1"/>
    <row r="171" spans="2:38" ht="19.899999999999999" hidden="1" customHeight="1">
      <c r="C171" s="680" t="s">
        <v>734</v>
      </c>
      <c r="D171" s="679"/>
      <c r="E171" s="679"/>
      <c r="F171" s="679"/>
    </row>
    <row r="172" spans="2:38" hidden="1">
      <c r="C172" s="433" t="s">
        <v>691</v>
      </c>
      <c r="D172" s="380" t="s">
        <v>733</v>
      </c>
      <c r="E172" s="679"/>
      <c r="F172" s="679"/>
      <c r="Y172" s="31" t="s">
        <v>732</v>
      </c>
      <c r="AB172" s="31">
        <v>125</v>
      </c>
      <c r="AC172" s="31">
        <v>160</v>
      </c>
    </row>
    <row r="173" spans="2:38" hidden="1">
      <c r="C173" s="707" t="s">
        <v>731</v>
      </c>
      <c r="D173" s="706"/>
      <c r="E173" s="706"/>
      <c r="F173" s="666">
        <v>1</v>
      </c>
      <c r="G173" s="705" t="s">
        <v>556</v>
      </c>
      <c r="Y173" s="31" t="s">
        <v>730</v>
      </c>
      <c r="AB173" s="31">
        <v>180</v>
      </c>
      <c r="AC173" s="31">
        <v>230</v>
      </c>
    </row>
    <row r="174" spans="2:38" hidden="1">
      <c r="C174" s="704" t="s">
        <v>729</v>
      </c>
      <c r="D174" s="703"/>
      <c r="E174" s="703"/>
      <c r="F174" s="702">
        <v>1</v>
      </c>
      <c r="G174" s="701" t="s">
        <v>556</v>
      </c>
    </row>
    <row r="175" spans="2:38" ht="19.899999999999999" customHeight="1">
      <c r="C175" s="700" t="s">
        <v>728</v>
      </c>
      <c r="D175" s="270"/>
      <c r="E175" s="270"/>
      <c r="F175" s="270"/>
      <c r="G175" s="270"/>
      <c r="H175" s="270"/>
      <c r="I175" s="4581">
        <v>2000</v>
      </c>
      <c r="J175" s="4581"/>
      <c r="K175" s="270"/>
      <c r="L175" s="270"/>
      <c r="M175" s="270"/>
      <c r="N175" s="270"/>
      <c r="O175" s="699"/>
      <c r="Q175" s="686" t="s">
        <v>727</v>
      </c>
      <c r="W175" s="698">
        <v>2000</v>
      </c>
      <c r="AA175" s="4550" t="s">
        <v>705</v>
      </c>
      <c r="AB175" s="4551"/>
      <c r="AC175" s="4551"/>
      <c r="AD175" s="4551"/>
      <c r="AE175" s="4551"/>
      <c r="AG175" s="33"/>
      <c r="AH175" s="33"/>
      <c r="AI175" s="33"/>
      <c r="AJ175" s="33"/>
      <c r="AK175" s="33"/>
      <c r="AL175" s="33"/>
    </row>
    <row r="176" spans="2:38" ht="13.7" customHeight="1">
      <c r="C176" s="378" t="s">
        <v>726</v>
      </c>
      <c r="D176" s="32"/>
      <c r="E176" s="32"/>
      <c r="F176" s="32"/>
      <c r="G176" s="32"/>
      <c r="H176" s="32"/>
      <c r="I176" s="32"/>
      <c r="J176" s="32"/>
      <c r="K176" s="32"/>
      <c r="L176" s="32"/>
      <c r="M176" s="32"/>
      <c r="N176" s="32"/>
      <c r="O176" s="46"/>
      <c r="Q176" s="364" t="s">
        <v>725</v>
      </c>
      <c r="AA176" s="4550" t="s">
        <v>704</v>
      </c>
      <c r="AB176" s="4551"/>
      <c r="AC176" s="4551"/>
      <c r="AD176" s="4551"/>
      <c r="AE176" s="4551"/>
      <c r="AG176" s="33"/>
      <c r="AH176" s="33"/>
      <c r="AI176" s="33"/>
      <c r="AJ176" s="33"/>
      <c r="AK176" s="33"/>
      <c r="AL176" s="33"/>
    </row>
    <row r="177" spans="3:38" ht="13.7" customHeight="1">
      <c r="C177" s="689" t="s">
        <v>724</v>
      </c>
      <c r="D177" s="688"/>
      <c r="E177" s="688"/>
      <c r="F177" s="4582"/>
      <c r="G177" s="4583"/>
      <c r="H177" s="688" t="s">
        <v>723</v>
      </c>
      <c r="I177" s="697"/>
      <c r="J177" s="32"/>
      <c r="K177" s="32"/>
      <c r="L177" s="696"/>
      <c r="M177" s="32"/>
      <c r="N177" s="32"/>
      <c r="O177" s="46"/>
      <c r="Q177" s="686" t="s">
        <v>724</v>
      </c>
      <c r="R177" s="686"/>
      <c r="S177" s="686"/>
      <c r="T177" s="4505"/>
      <c r="U177" s="4505"/>
      <c r="V177" s="686" t="s">
        <v>723</v>
      </c>
      <c r="W177" s="686"/>
      <c r="AA177" s="4552" t="s">
        <v>700</v>
      </c>
      <c r="AB177" s="4551"/>
      <c r="AC177" s="4551"/>
      <c r="AD177" s="4551"/>
      <c r="AE177" s="4551"/>
      <c r="AG177" s="33"/>
      <c r="AH177" s="33"/>
      <c r="AI177" s="33"/>
      <c r="AJ177" s="33"/>
      <c r="AK177" s="33"/>
      <c r="AL177" s="33"/>
    </row>
    <row r="178" spans="3:38">
      <c r="C178" s="546" t="s">
        <v>722</v>
      </c>
      <c r="D178" s="32"/>
      <c r="E178" s="32"/>
      <c r="F178" s="4554">
        <v>10000</v>
      </c>
      <c r="G178" s="4555"/>
      <c r="H178" s="4573"/>
      <c r="I178" s="4574"/>
      <c r="J178" s="32"/>
      <c r="K178" s="32"/>
      <c r="L178" s="32"/>
      <c r="M178" s="32"/>
      <c r="N178" s="32"/>
      <c r="O178" s="46"/>
      <c r="Q178" s="35" t="s">
        <v>722</v>
      </c>
      <c r="T178" s="4506">
        <v>10000</v>
      </c>
      <c r="U178" s="4506"/>
      <c r="V178" s="4507"/>
      <c r="W178" s="4507"/>
      <c r="AA178" s="4553" t="s">
        <v>703</v>
      </c>
      <c r="AB178" s="4551"/>
      <c r="AC178" s="4551"/>
      <c r="AD178" s="4551"/>
      <c r="AE178" s="4551"/>
      <c r="AG178" s="33"/>
      <c r="AH178" s="33"/>
      <c r="AI178" s="33"/>
      <c r="AJ178" s="33"/>
      <c r="AK178" s="33"/>
      <c r="AL178" s="33"/>
    </row>
    <row r="179" spans="3:38" ht="12.95" customHeight="1">
      <c r="C179" s="546" t="s">
        <v>721</v>
      </c>
      <c r="D179" s="32"/>
      <c r="E179" s="32"/>
      <c r="F179" s="4554">
        <f>T179*AE183/100</f>
        <v>147411.726</v>
      </c>
      <c r="G179" s="4555"/>
      <c r="H179" s="4573">
        <v>40</v>
      </c>
      <c r="I179" s="4574"/>
      <c r="J179" s="32"/>
      <c r="K179" s="32"/>
      <c r="L179" s="32"/>
      <c r="M179" s="32"/>
      <c r="N179" s="32"/>
      <c r="O179" s="46"/>
      <c r="Q179" s="35" t="s">
        <v>721</v>
      </c>
      <c r="T179" s="4506">
        <v>134499.75</v>
      </c>
      <c r="U179" s="4506"/>
      <c r="V179" s="4507">
        <v>40</v>
      </c>
      <c r="W179" s="4507"/>
      <c r="AA179" s="4553" t="s">
        <v>702</v>
      </c>
      <c r="AB179" s="4551"/>
      <c r="AC179" s="4551"/>
      <c r="AD179" s="4551"/>
      <c r="AE179" s="4551"/>
      <c r="AG179" s="33"/>
      <c r="AH179" s="33"/>
      <c r="AI179" s="33"/>
      <c r="AJ179" s="33"/>
      <c r="AK179" s="33"/>
      <c r="AL179" s="33"/>
    </row>
    <row r="180" spans="3:38" ht="12.95" customHeight="1">
      <c r="C180" s="546" t="s">
        <v>720</v>
      </c>
      <c r="D180" s="32"/>
      <c r="E180" s="32"/>
      <c r="F180" s="4554">
        <f>T180*AE183/100</f>
        <v>62716.342240000005</v>
      </c>
      <c r="G180" s="4555"/>
      <c r="H180" s="4573">
        <v>20</v>
      </c>
      <c r="I180" s="4574"/>
      <c r="J180" s="32"/>
      <c r="K180" s="32"/>
      <c r="L180" s="32"/>
      <c r="M180" s="32"/>
      <c r="N180" s="32"/>
      <c r="O180" s="46"/>
      <c r="Q180" s="35" t="s">
        <v>720</v>
      </c>
      <c r="T180" s="4506">
        <v>57222.94</v>
      </c>
      <c r="U180" s="4506"/>
      <c r="V180" s="4507">
        <v>20</v>
      </c>
      <c r="W180" s="4507"/>
      <c r="AA180" s="4553" t="s">
        <v>701</v>
      </c>
      <c r="AB180" s="4551"/>
      <c r="AC180" s="4551"/>
      <c r="AD180" s="4551"/>
      <c r="AE180" s="4551"/>
      <c r="AG180" s="33"/>
      <c r="AH180" s="33"/>
      <c r="AI180" s="33"/>
      <c r="AJ180" s="33"/>
      <c r="AK180" s="33"/>
      <c r="AL180" s="33"/>
    </row>
    <row r="181" spans="3:38" ht="13.7" customHeight="1">
      <c r="C181" s="546" t="s">
        <v>719</v>
      </c>
      <c r="D181" s="32"/>
      <c r="E181" s="32"/>
      <c r="F181" s="4554">
        <f>T181*AE183/100</f>
        <v>77629.669040000008</v>
      </c>
      <c r="G181" s="4555"/>
      <c r="H181" s="4573">
        <v>20</v>
      </c>
      <c r="I181" s="4574"/>
      <c r="J181" s="32"/>
      <c r="K181" s="32"/>
      <c r="L181" s="32"/>
      <c r="M181" s="32"/>
      <c r="N181" s="32"/>
      <c r="O181" s="46"/>
      <c r="Q181" s="35" t="s">
        <v>719</v>
      </c>
      <c r="T181" s="4506">
        <v>70829.990000000005</v>
      </c>
      <c r="U181" s="4506"/>
      <c r="V181" s="4507">
        <v>20</v>
      </c>
      <c r="W181" s="4507"/>
      <c r="AA181" s="4569" t="s">
        <v>700</v>
      </c>
      <c r="AB181" s="4570">
        <v>2013</v>
      </c>
      <c r="AC181" s="695">
        <v>2014</v>
      </c>
      <c r="AD181" s="695">
        <v>2015</v>
      </c>
      <c r="AE181" s="695">
        <v>2016</v>
      </c>
      <c r="AG181" s="33"/>
      <c r="AH181" s="33"/>
      <c r="AI181" s="33"/>
      <c r="AJ181" s="33"/>
      <c r="AK181" s="33"/>
      <c r="AL181" s="33"/>
    </row>
    <row r="182" spans="3:38">
      <c r="C182" s="694" t="s">
        <v>718</v>
      </c>
      <c r="D182" s="37"/>
      <c r="E182" s="37"/>
      <c r="F182" s="4571">
        <f>SUM(F178:G181)</f>
        <v>297757.73728</v>
      </c>
      <c r="G182" s="4572"/>
      <c r="H182" s="4575"/>
      <c r="I182" s="4576"/>
      <c r="J182" s="32"/>
      <c r="K182" s="32"/>
      <c r="L182" s="32"/>
      <c r="M182" s="32"/>
      <c r="N182" s="32"/>
      <c r="O182" s="46"/>
      <c r="Q182" s="686" t="s">
        <v>718</v>
      </c>
      <c r="R182" s="686"/>
      <c r="S182" s="686"/>
      <c r="T182" s="4508">
        <v>272552.68</v>
      </c>
      <c r="U182" s="4508"/>
      <c r="V182" s="4505"/>
      <c r="W182" s="4505"/>
      <c r="AA182" s="684" t="s">
        <v>699</v>
      </c>
      <c r="AB182" s="390"/>
      <c r="AC182" s="390"/>
      <c r="AD182" s="390"/>
      <c r="AE182" s="390"/>
      <c r="AG182" s="33"/>
      <c r="AH182" s="33"/>
      <c r="AI182" s="33"/>
      <c r="AJ182" s="33"/>
      <c r="AK182" s="33"/>
      <c r="AL182" s="33"/>
    </row>
    <row r="183" spans="3:38">
      <c r="C183" s="693" t="s">
        <v>717</v>
      </c>
      <c r="D183" s="369"/>
      <c r="E183" s="369"/>
      <c r="F183" s="4563" t="s">
        <v>716</v>
      </c>
      <c r="G183" s="4564"/>
      <c r="H183" s="4565" t="s">
        <v>715</v>
      </c>
      <c r="I183" s="4564"/>
      <c r="J183" s="32"/>
      <c r="K183" s="32"/>
      <c r="L183" s="32"/>
      <c r="M183" s="32"/>
      <c r="N183" s="32"/>
      <c r="O183" s="46"/>
      <c r="Q183" s="686" t="s">
        <v>717</v>
      </c>
      <c r="R183" s="686"/>
      <c r="S183" s="686"/>
      <c r="T183" s="4505" t="s">
        <v>716</v>
      </c>
      <c r="U183" s="4505"/>
      <c r="V183" s="4505" t="s">
        <v>715</v>
      </c>
      <c r="W183" s="4505"/>
      <c r="AA183" s="683" t="s">
        <v>714</v>
      </c>
      <c r="AB183" s="682">
        <v>105.1</v>
      </c>
      <c r="AC183" s="682">
        <v>106.4</v>
      </c>
      <c r="AD183" s="682">
        <v>107.6</v>
      </c>
      <c r="AE183" s="682">
        <v>109.6</v>
      </c>
      <c r="AG183" s="33"/>
      <c r="AH183" s="33"/>
      <c r="AI183" s="33"/>
      <c r="AJ183" s="33"/>
      <c r="AK183" s="33"/>
      <c r="AL183" s="33"/>
    </row>
    <row r="184" spans="3:38">
      <c r="C184" s="546" t="s">
        <v>713</v>
      </c>
      <c r="D184" s="32"/>
      <c r="E184" s="32"/>
      <c r="F184" s="4554">
        <f>F179/H179+F180/H180+F181/H181</f>
        <v>10702.593714000001</v>
      </c>
      <c r="G184" s="4555"/>
      <c r="H184" s="4567">
        <f>F184/$I$175</f>
        <v>5.3512968570000004</v>
      </c>
      <c r="I184" s="4555"/>
      <c r="J184" s="32"/>
      <c r="K184" s="32"/>
      <c r="L184" s="32"/>
      <c r="M184" s="32"/>
      <c r="N184" s="32"/>
      <c r="O184" s="46"/>
      <c r="Q184" s="35" t="s">
        <v>713</v>
      </c>
      <c r="T184" s="4506">
        <f>T179/V179+T180/V180+T181/V181</f>
        <v>9765.1402500000004</v>
      </c>
      <c r="U184" s="4506"/>
      <c r="V184" s="4506">
        <v>4.88</v>
      </c>
      <c r="W184" s="4506"/>
      <c r="AA184" s="681" t="s">
        <v>696</v>
      </c>
      <c r="AB184" s="390"/>
      <c r="AC184" s="390"/>
      <c r="AD184" s="390"/>
      <c r="AE184" s="390"/>
      <c r="AG184" s="33"/>
      <c r="AH184" s="33"/>
      <c r="AI184" s="33"/>
      <c r="AJ184" s="33"/>
      <c r="AK184" s="33"/>
      <c r="AL184" s="33"/>
    </row>
    <row r="185" spans="3:38">
      <c r="C185" s="546" t="s">
        <v>712</v>
      </c>
      <c r="D185" s="692">
        <f>'SDK4'!F34</f>
        <v>3</v>
      </c>
      <c r="E185" s="38" t="s">
        <v>113</v>
      </c>
      <c r="F185" s="4554">
        <f>SUM(F179:G181)*D185%*0.5+F178*D185%</f>
        <v>4616.3660591999997</v>
      </c>
      <c r="G185" s="4555"/>
      <c r="H185" s="4567">
        <f>F185/$I$175</f>
        <v>2.3081830295999999</v>
      </c>
      <c r="I185" s="4555"/>
      <c r="J185" s="32"/>
      <c r="K185" s="32"/>
      <c r="L185" s="32"/>
      <c r="M185" s="32"/>
      <c r="N185" s="32"/>
      <c r="O185" s="46"/>
      <c r="Q185" s="35" t="s">
        <v>711</v>
      </c>
      <c r="R185" s="324">
        <v>0.05</v>
      </c>
      <c r="T185" s="4506">
        <f>SUM(T179:U181)*R185*0.5+T178*R185</f>
        <v>7063.817</v>
      </c>
      <c r="U185" s="4506"/>
      <c r="V185" s="4506">
        <v>3.53</v>
      </c>
      <c r="W185" s="4506"/>
      <c r="AA185" s="681" t="s">
        <v>695</v>
      </c>
      <c r="AB185" s="390"/>
      <c r="AC185" s="390"/>
      <c r="AD185" s="390"/>
      <c r="AE185" s="390"/>
      <c r="AG185" s="33"/>
      <c r="AH185" s="33"/>
      <c r="AI185" s="33"/>
      <c r="AJ185" s="33"/>
      <c r="AK185" s="33"/>
      <c r="AL185" s="33"/>
    </row>
    <row r="186" spans="3:38">
      <c r="C186" s="546" t="s">
        <v>710</v>
      </c>
      <c r="D186" s="32"/>
      <c r="E186" s="32"/>
      <c r="F186" s="4554">
        <f>AE199/100*T186</f>
        <v>1517.7653999999998</v>
      </c>
      <c r="G186" s="4555"/>
      <c r="H186" s="4567">
        <f>F186/$I$175</f>
        <v>0.75888269999999991</v>
      </c>
      <c r="I186" s="4555"/>
      <c r="J186" s="32"/>
      <c r="K186" s="32"/>
      <c r="L186" s="32"/>
      <c r="M186" s="32"/>
      <c r="N186" s="32"/>
      <c r="O186" s="46"/>
      <c r="Q186" s="35" t="s">
        <v>710</v>
      </c>
      <c r="T186" s="4506">
        <v>1382.3</v>
      </c>
      <c r="U186" s="4506"/>
      <c r="V186" s="4506">
        <v>0.69</v>
      </c>
      <c r="W186" s="4506"/>
      <c r="AA186" s="15" t="s">
        <v>694</v>
      </c>
      <c r="AB186" s="390"/>
      <c r="AC186" s="390"/>
      <c r="AD186" s="390"/>
      <c r="AE186" s="390"/>
      <c r="AG186" s="33"/>
      <c r="AH186" s="33"/>
      <c r="AI186" s="33"/>
      <c r="AJ186" s="33"/>
      <c r="AK186" s="33"/>
      <c r="AL186" s="33"/>
    </row>
    <row r="187" spans="3:38">
      <c r="C187" s="546" t="s">
        <v>709</v>
      </c>
      <c r="D187" s="32"/>
      <c r="E187" s="32"/>
      <c r="F187" s="4554">
        <f>AE200/100+T187</f>
        <v>7424.683</v>
      </c>
      <c r="G187" s="4555"/>
      <c r="H187" s="4567">
        <f>F187/$I$175</f>
        <v>3.7123415</v>
      </c>
      <c r="I187" s="4555"/>
      <c r="J187" s="32"/>
      <c r="K187" s="32"/>
      <c r="L187" s="32"/>
      <c r="M187" s="32"/>
      <c r="N187" s="32"/>
      <c r="O187" s="46"/>
      <c r="Q187" s="35" t="s">
        <v>709</v>
      </c>
      <c r="T187" s="4506">
        <v>7423.7</v>
      </c>
      <c r="U187" s="4506"/>
      <c r="V187" s="4506">
        <v>3.71</v>
      </c>
      <c r="W187" s="4506"/>
      <c r="AA187" s="681" t="s">
        <v>693</v>
      </c>
      <c r="AB187" s="390"/>
      <c r="AC187" s="390"/>
      <c r="AD187" s="390"/>
      <c r="AE187" s="390"/>
      <c r="AG187" s="33"/>
      <c r="AH187" s="33"/>
      <c r="AI187" s="33"/>
      <c r="AJ187" s="33"/>
      <c r="AK187" s="33"/>
      <c r="AL187" s="33"/>
    </row>
    <row r="188" spans="3:38">
      <c r="C188" s="546" t="s">
        <v>708</v>
      </c>
      <c r="D188" s="691">
        <v>245</v>
      </c>
      <c r="E188" s="690">
        <f>'SDK4'!Q50</f>
        <v>18</v>
      </c>
      <c r="F188" s="4554">
        <f>D188*E188</f>
        <v>4410</v>
      </c>
      <c r="G188" s="4555"/>
      <c r="H188" s="4567">
        <f>F188/$I$175</f>
        <v>2.2050000000000001</v>
      </c>
      <c r="I188" s="4555"/>
      <c r="J188" s="32"/>
      <c r="K188" s="32"/>
      <c r="L188" s="32"/>
      <c r="M188" s="32"/>
      <c r="N188" s="32"/>
      <c r="O188" s="46"/>
      <c r="Q188" s="35" t="s">
        <v>707</v>
      </c>
      <c r="T188" s="4506">
        <v>4165</v>
      </c>
      <c r="U188" s="4506"/>
      <c r="V188" s="4506">
        <v>2.08</v>
      </c>
      <c r="W188" s="4506"/>
      <c r="AA188" s="681"/>
      <c r="AB188" s="390"/>
      <c r="AC188" s="390"/>
      <c r="AD188" s="390"/>
      <c r="AE188" s="390"/>
      <c r="AG188" s="33"/>
      <c r="AH188" s="33"/>
      <c r="AI188" s="33"/>
      <c r="AJ188" s="33"/>
      <c r="AK188" s="33"/>
      <c r="AL188" s="33"/>
    </row>
    <row r="189" spans="3:38">
      <c r="C189" s="689" t="s">
        <v>706</v>
      </c>
      <c r="D189" s="688"/>
      <c r="E189" s="688"/>
      <c r="F189" s="4560">
        <f>SUM(F184:G188)</f>
        <v>28671.408173200001</v>
      </c>
      <c r="G189" s="4561"/>
      <c r="H189" s="4568">
        <f>SUM(H184:I188)</f>
        <v>14.335704086599998</v>
      </c>
      <c r="I189" s="4561"/>
      <c r="J189" s="312"/>
      <c r="K189" s="312"/>
      <c r="L189" s="312"/>
      <c r="M189" s="312"/>
      <c r="N189" s="312"/>
      <c r="O189" s="687"/>
      <c r="Q189" s="686" t="s">
        <v>706</v>
      </c>
      <c r="R189" s="686"/>
      <c r="S189" s="686"/>
      <c r="T189" s="4508">
        <v>29799.96</v>
      </c>
      <c r="U189" s="4508"/>
      <c r="V189" s="4508">
        <v>14.9</v>
      </c>
      <c r="W189" s="4508"/>
      <c r="AA189" s="681"/>
      <c r="AB189" s="390"/>
      <c r="AC189" s="390"/>
      <c r="AD189" s="390"/>
      <c r="AE189" s="390"/>
      <c r="AG189" s="33"/>
      <c r="AH189" s="33"/>
      <c r="AI189" s="33"/>
      <c r="AJ189" s="33"/>
      <c r="AK189" s="33"/>
      <c r="AL189" s="33"/>
    </row>
    <row r="190" spans="3:38">
      <c r="AG190" s="33"/>
      <c r="AH190" s="33"/>
      <c r="AI190" s="33"/>
      <c r="AJ190" s="33"/>
      <c r="AK190" s="33"/>
      <c r="AL190" s="33"/>
    </row>
    <row r="191" spans="3:38">
      <c r="AA191" s="4550" t="s">
        <v>705</v>
      </c>
      <c r="AB191" s="4551"/>
      <c r="AC191" s="4551"/>
      <c r="AD191" s="4551"/>
      <c r="AE191" s="4551"/>
      <c r="AG191" s="33"/>
      <c r="AH191" s="33"/>
      <c r="AI191" s="33"/>
      <c r="AJ191" s="33"/>
      <c r="AK191" s="33"/>
      <c r="AL191" s="33"/>
    </row>
    <row r="192" spans="3:38">
      <c r="AA192" s="4550" t="s">
        <v>704</v>
      </c>
      <c r="AB192" s="4551"/>
      <c r="AC192" s="4551"/>
      <c r="AD192" s="4551"/>
      <c r="AE192" s="4551"/>
      <c r="AG192" s="33"/>
      <c r="AH192" s="33"/>
      <c r="AI192" s="33"/>
      <c r="AJ192" s="33"/>
      <c r="AK192" s="33"/>
      <c r="AL192" s="33"/>
    </row>
    <row r="193" spans="21:38">
      <c r="U193" s="685"/>
      <c r="AA193" s="4552" t="s">
        <v>700</v>
      </c>
      <c r="AB193" s="4551"/>
      <c r="AC193" s="4551"/>
      <c r="AD193" s="4551"/>
      <c r="AE193" s="4551"/>
      <c r="AG193" s="33"/>
      <c r="AH193" s="33"/>
      <c r="AI193" s="33"/>
      <c r="AJ193" s="33"/>
      <c r="AK193" s="33"/>
      <c r="AL193" s="33"/>
    </row>
    <row r="194" spans="21:38" ht="19.899999999999999" customHeight="1">
      <c r="U194" s="685"/>
      <c r="AA194" s="4553" t="s">
        <v>703</v>
      </c>
      <c r="AB194" s="4551"/>
      <c r="AC194" s="4551"/>
      <c r="AD194" s="4551"/>
      <c r="AE194" s="4551"/>
      <c r="AG194" s="33"/>
      <c r="AH194" s="33"/>
      <c r="AI194" s="33"/>
      <c r="AJ194" s="33"/>
      <c r="AK194" s="33"/>
      <c r="AL194" s="33"/>
    </row>
    <row r="195" spans="21:38">
      <c r="U195" s="685"/>
      <c r="AA195" s="4553" t="s">
        <v>702</v>
      </c>
      <c r="AB195" s="4551"/>
      <c r="AC195" s="4551"/>
      <c r="AD195" s="4551"/>
      <c r="AE195" s="4551"/>
      <c r="AG195" s="33"/>
      <c r="AH195" s="33"/>
      <c r="AI195" s="33"/>
      <c r="AJ195" s="33"/>
      <c r="AK195" s="33"/>
      <c r="AL195" s="33"/>
    </row>
    <row r="196" spans="21:38">
      <c r="AA196" s="4553" t="s">
        <v>701</v>
      </c>
      <c r="AB196" s="4551"/>
      <c r="AC196" s="4551"/>
      <c r="AD196" s="4551"/>
      <c r="AE196" s="4551"/>
      <c r="AG196" s="33"/>
      <c r="AH196" s="33"/>
      <c r="AI196" s="33"/>
      <c r="AJ196" s="33"/>
      <c r="AK196" s="33"/>
      <c r="AL196" s="33"/>
    </row>
    <row r="197" spans="21:38">
      <c r="AA197" s="4566" t="s">
        <v>700</v>
      </c>
      <c r="AB197" s="4562">
        <v>2013</v>
      </c>
      <c r="AC197" s="4562">
        <v>2014</v>
      </c>
      <c r="AD197" s="4562">
        <v>2015</v>
      </c>
      <c r="AE197" s="4562">
        <v>2016</v>
      </c>
      <c r="AG197" s="33"/>
      <c r="AH197" s="33"/>
      <c r="AI197" s="33"/>
      <c r="AJ197" s="33"/>
      <c r="AK197" s="33"/>
      <c r="AL197" s="33"/>
    </row>
    <row r="198" spans="21:38">
      <c r="AA198" s="684" t="s">
        <v>699</v>
      </c>
      <c r="AB198" s="390"/>
      <c r="AC198" s="390"/>
      <c r="AD198" s="390"/>
      <c r="AE198" s="390"/>
      <c r="AG198" s="33"/>
      <c r="AH198" s="33"/>
      <c r="AI198" s="33"/>
      <c r="AJ198" s="33"/>
      <c r="AK198" s="33"/>
      <c r="AL198" s="33"/>
    </row>
    <row r="199" spans="21:38">
      <c r="AA199" s="683" t="s">
        <v>698</v>
      </c>
      <c r="AB199" s="682">
        <v>122.3</v>
      </c>
      <c r="AC199" s="682">
        <v>116.3</v>
      </c>
      <c r="AD199" s="682">
        <v>113.7</v>
      </c>
      <c r="AE199" s="682">
        <v>109.8</v>
      </c>
      <c r="AG199" s="33"/>
      <c r="AH199" s="33"/>
      <c r="AI199" s="33"/>
      <c r="AJ199" s="33"/>
      <c r="AK199" s="33"/>
      <c r="AL199" s="33"/>
    </row>
    <row r="200" spans="21:38">
      <c r="AA200" s="683" t="s">
        <v>697</v>
      </c>
      <c r="AB200" s="682">
        <v>118.6</v>
      </c>
      <c r="AC200" s="682">
        <v>115.8</v>
      </c>
      <c r="AD200" s="682">
        <v>104.6</v>
      </c>
      <c r="AE200" s="682">
        <v>98.3</v>
      </c>
      <c r="AG200" s="33"/>
      <c r="AH200" s="33"/>
      <c r="AI200" s="33"/>
      <c r="AJ200" s="33"/>
      <c r="AK200" s="33"/>
      <c r="AL200" s="33"/>
    </row>
    <row r="201" spans="21:38">
      <c r="AA201" s="681" t="s">
        <v>696</v>
      </c>
      <c r="AB201" s="390"/>
      <c r="AC201" s="390"/>
      <c r="AD201" s="390"/>
      <c r="AE201" s="390"/>
      <c r="AG201" s="33"/>
      <c r="AH201" s="33"/>
      <c r="AI201" s="33"/>
      <c r="AJ201" s="33"/>
      <c r="AK201" s="33"/>
      <c r="AL201" s="33"/>
    </row>
    <row r="202" spans="21:38">
      <c r="AA202" s="681" t="s">
        <v>695</v>
      </c>
      <c r="AB202" s="390"/>
      <c r="AC202" s="390"/>
      <c r="AD202" s="390"/>
      <c r="AE202" s="390"/>
      <c r="AG202" s="33"/>
      <c r="AH202" s="33"/>
      <c r="AI202" s="33"/>
      <c r="AJ202" s="33"/>
      <c r="AK202" s="33"/>
      <c r="AL202" s="33"/>
    </row>
    <row r="203" spans="21:38">
      <c r="AA203" s="15" t="s">
        <v>694</v>
      </c>
      <c r="AB203" s="390"/>
      <c r="AC203" s="390"/>
      <c r="AD203" s="390"/>
      <c r="AE203" s="390"/>
    </row>
    <row r="204" spans="21:38">
      <c r="AA204" s="681" t="s">
        <v>693</v>
      </c>
      <c r="AB204" s="390"/>
      <c r="AC204" s="390"/>
      <c r="AD204" s="390"/>
      <c r="AE204" s="390"/>
    </row>
    <row r="209" spans="2:2">
      <c r="B209" s="49"/>
    </row>
    <row r="225" ht="19.899999999999999" customHeight="1"/>
    <row r="226" ht="19.899999999999999" customHeight="1"/>
    <row r="228" ht="12.95" customHeight="1"/>
    <row r="230" ht="7.15" customHeight="1"/>
    <row r="236" ht="7.15" customHeight="1"/>
    <row r="239" ht="7.15" customHeight="1"/>
    <row r="241" spans="3:11" ht="7.15" customHeight="1"/>
    <row r="243" spans="3:11" ht="18" customHeight="1"/>
    <row r="244" spans="3:11" ht="19.899999999999999" customHeight="1">
      <c r="C244" s="674"/>
      <c r="D244" s="673"/>
      <c r="E244" s="673"/>
    </row>
    <row r="245" spans="3:11" ht="19.899999999999999" hidden="1" customHeight="1">
      <c r="C245" s="680" t="s">
        <v>692</v>
      </c>
      <c r="D245" s="679"/>
      <c r="E245" s="679"/>
      <c r="F245" s="679"/>
    </row>
    <row r="246" spans="3:11" hidden="1">
      <c r="C246" s="433" t="s">
        <v>691</v>
      </c>
      <c r="D246" s="380" t="s">
        <v>690</v>
      </c>
      <c r="E246" s="679"/>
      <c r="F246" s="679"/>
    </row>
    <row r="247" spans="3:11" ht="13.5" hidden="1" thickBot="1">
      <c r="C247" s="678" t="s">
        <v>689</v>
      </c>
      <c r="D247" s="677"/>
      <c r="E247" s="676">
        <v>2.5</v>
      </c>
      <c r="F247" s="675" t="s">
        <v>688</v>
      </c>
    </row>
    <row r="248" spans="3:11" ht="19.899999999999999" hidden="1" customHeight="1">
      <c r="C248" s="674"/>
      <c r="D248" s="673"/>
      <c r="E248" s="673"/>
    </row>
    <row r="249" spans="3:11" ht="19.899999999999999" hidden="1" customHeight="1">
      <c r="C249" s="672" t="s">
        <v>687</v>
      </c>
    </row>
    <row r="250" spans="3:11" hidden="1">
      <c r="C250" s="433" t="s">
        <v>686</v>
      </c>
      <c r="D250" s="671"/>
    </row>
    <row r="251" spans="3:11" hidden="1">
      <c r="C251" s="670" t="s">
        <v>685</v>
      </c>
      <c r="D251" s="669"/>
      <c r="E251" s="668"/>
      <c r="F251" s="666"/>
      <c r="G251" s="667" t="s">
        <v>684</v>
      </c>
      <c r="H251" s="666">
        <v>1.1000000000000001</v>
      </c>
      <c r="I251" s="665" t="s">
        <v>683</v>
      </c>
      <c r="J251" s="657"/>
      <c r="K251" s="657"/>
    </row>
    <row r="252" spans="3:11" ht="13.5" hidden="1" thickBot="1">
      <c r="C252" s="664" t="s">
        <v>682</v>
      </c>
      <c r="D252" s="663"/>
      <c r="E252" s="662"/>
      <c r="F252" s="661"/>
      <c r="G252" s="660" t="s">
        <v>523</v>
      </c>
      <c r="H252" s="659"/>
      <c r="I252" s="658"/>
      <c r="J252" s="657"/>
      <c r="K252" s="657"/>
    </row>
    <row r="253" spans="3:11" ht="19.899999999999999" customHeight="1"/>
    <row r="254" spans="3:11">
      <c r="C254" s="79"/>
    </row>
  </sheetData>
  <sheetProtection sheet="1" objects="1" scenarios="1"/>
  <mergeCells count="152">
    <mergeCell ref="N113:O113"/>
    <mergeCell ref="N110:O110"/>
    <mergeCell ref="N111:O111"/>
    <mergeCell ref="N112:O112"/>
    <mergeCell ref="L102:M102"/>
    <mergeCell ref="L103:M103"/>
    <mergeCell ref="L104:M104"/>
    <mergeCell ref="L105:M105"/>
    <mergeCell ref="L106:M106"/>
    <mergeCell ref="L107:M107"/>
    <mergeCell ref="L108:M108"/>
    <mergeCell ref="L109:M109"/>
    <mergeCell ref="L110:M110"/>
    <mergeCell ref="L111:M111"/>
    <mergeCell ref="L112:M112"/>
    <mergeCell ref="N105:O105"/>
    <mergeCell ref="N106:O106"/>
    <mergeCell ref="N107:O107"/>
    <mergeCell ref="N108:O108"/>
    <mergeCell ref="N109:O109"/>
    <mergeCell ref="G101:H101"/>
    <mergeCell ref="E101:F101"/>
    <mergeCell ref="E102:F102"/>
    <mergeCell ref="G102:H102"/>
    <mergeCell ref="E103:F103"/>
    <mergeCell ref="G103:H103"/>
    <mergeCell ref="E104:F104"/>
    <mergeCell ref="G104:H104"/>
    <mergeCell ref="L113:M113"/>
    <mergeCell ref="E113:F113"/>
    <mergeCell ref="G106:H106"/>
    <mergeCell ref="G107:H107"/>
    <mergeCell ref="G108:H108"/>
    <mergeCell ref="G109:H109"/>
    <mergeCell ref="G110:H110"/>
    <mergeCell ref="G111:H111"/>
    <mergeCell ref="G112:H112"/>
    <mergeCell ref="G113:H113"/>
    <mergeCell ref="F181:G181"/>
    <mergeCell ref="F182:G182"/>
    <mergeCell ref="H181:I181"/>
    <mergeCell ref="H182:I182"/>
    <mergeCell ref="H180:I180"/>
    <mergeCell ref="H118:I118"/>
    <mergeCell ref="H119:I119"/>
    <mergeCell ref="I175:J175"/>
    <mergeCell ref="F177:G177"/>
    <mergeCell ref="F178:G178"/>
    <mergeCell ref="H178:I178"/>
    <mergeCell ref="F180:G180"/>
    <mergeCell ref="H179:I179"/>
    <mergeCell ref="T188:U188"/>
    <mergeCell ref="V188:W188"/>
    <mergeCell ref="V182:W182"/>
    <mergeCell ref="T183:U183"/>
    <mergeCell ref="AA181"/>
    <mergeCell ref="AB181"/>
    <mergeCell ref="AA180:AE180"/>
    <mergeCell ref="AA196:AE196"/>
    <mergeCell ref="AA191:AE191"/>
    <mergeCell ref="AA192:AE192"/>
    <mergeCell ref="AA193:AE193"/>
    <mergeCell ref="AA194:AE194"/>
    <mergeCell ref="AA195:AE195"/>
    <mergeCell ref="F189:G189"/>
    <mergeCell ref="AE197"/>
    <mergeCell ref="F188:G188"/>
    <mergeCell ref="F183:G183"/>
    <mergeCell ref="F184:G184"/>
    <mergeCell ref="H183:I183"/>
    <mergeCell ref="F187:G187"/>
    <mergeCell ref="AA197"/>
    <mergeCell ref="AB197"/>
    <mergeCell ref="AC197"/>
    <mergeCell ref="AD197"/>
    <mergeCell ref="H185:I185"/>
    <mergeCell ref="H186:I186"/>
    <mergeCell ref="H188:I188"/>
    <mergeCell ref="T187:U187"/>
    <mergeCell ref="V187:W187"/>
    <mergeCell ref="H187:I187"/>
    <mergeCell ref="H189:I189"/>
    <mergeCell ref="H184:I184"/>
    <mergeCell ref="F185:G185"/>
    <mergeCell ref="F186:G186"/>
    <mergeCell ref="T189:U189"/>
    <mergeCell ref="V189:W189"/>
    <mergeCell ref="T184:U184"/>
    <mergeCell ref="G20:I20"/>
    <mergeCell ref="F30:I30"/>
    <mergeCell ref="I82:I83"/>
    <mergeCell ref="G19:I19"/>
    <mergeCell ref="AA175:AE175"/>
    <mergeCell ref="AA176:AE176"/>
    <mergeCell ref="AA177:AE177"/>
    <mergeCell ref="AA178:AE178"/>
    <mergeCell ref="AA179:AE179"/>
    <mergeCell ref="F179:G179"/>
    <mergeCell ref="G105:H105"/>
    <mergeCell ref="E105:F105"/>
    <mergeCell ref="E106:F106"/>
    <mergeCell ref="E107:F107"/>
    <mergeCell ref="E108:F108"/>
    <mergeCell ref="E109:F109"/>
    <mergeCell ref="E110:F110"/>
    <mergeCell ref="L101:M101"/>
    <mergeCell ref="N101:O101"/>
    <mergeCell ref="N102:O102"/>
    <mergeCell ref="N103:O103"/>
    <mergeCell ref="N104:O104"/>
    <mergeCell ref="E111:F111"/>
    <mergeCell ref="E112:F112"/>
    <mergeCell ref="H8:I8"/>
    <mergeCell ref="L99:M99"/>
    <mergeCell ref="N99:O99"/>
    <mergeCell ref="L100:O100"/>
    <mergeCell ref="G9:I9"/>
    <mergeCell ref="G10:I10"/>
    <mergeCell ref="G11:I11"/>
    <mergeCell ref="G12:I12"/>
    <mergeCell ref="G13:I13"/>
    <mergeCell ref="G14:I14"/>
    <mergeCell ref="G99:H99"/>
    <mergeCell ref="G83:H83"/>
    <mergeCell ref="G15:I15"/>
    <mergeCell ref="G16:I16"/>
    <mergeCell ref="E100:H100"/>
    <mergeCell ref="E99:F99"/>
    <mergeCell ref="D85:E85"/>
    <mergeCell ref="C43:D43"/>
    <mergeCell ref="F44:G44"/>
    <mergeCell ref="D86:E86"/>
    <mergeCell ref="D87:E87"/>
    <mergeCell ref="F43:G43"/>
    <mergeCell ref="G17:I17"/>
    <mergeCell ref="G18:I18"/>
    <mergeCell ref="T177:U177"/>
    <mergeCell ref="V184:W184"/>
    <mergeCell ref="T185:U185"/>
    <mergeCell ref="V185:W185"/>
    <mergeCell ref="T186:U186"/>
    <mergeCell ref="V186:W186"/>
    <mergeCell ref="T178:U178"/>
    <mergeCell ref="V178:W178"/>
    <mergeCell ref="T179:U179"/>
    <mergeCell ref="V179:W179"/>
    <mergeCell ref="V183:W183"/>
    <mergeCell ref="V180:W180"/>
    <mergeCell ref="T182:U182"/>
    <mergeCell ref="T181:U181"/>
    <mergeCell ref="V181:W181"/>
    <mergeCell ref="T180:U180"/>
  </mergeCells>
  <printOptions horizontalCentered="1"/>
  <pageMargins left="0.59055118110236227" right="0.59055118110236227" top="0.59055118110236227" bottom="0.59055118110236227" header="0.39370078740157483" footer="0.39370078740157483"/>
  <pageSetup paperSize="9" scale="78" firstPageNumber="13" fitToHeight="0" orientation="portrait" r:id="rId1"/>
  <headerFooter alignWithMargins="0">
    <oddFooter>&amp;L&amp;11LEL Schwäbisch Gmünd&amp;C&amp;P+8&amp;R&amp;11&amp;F</oddFooter>
  </headerFooter>
  <rowBreaks count="2" manualBreakCount="2">
    <brk id="75" min="2" max="14" man="1"/>
    <brk id="189" min="2" max="14"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2">
    <tabColor rgb="FF00B0F0"/>
    <pageSetUpPr fitToPage="1"/>
  </sheetPr>
  <dimension ref="A1:AF116"/>
  <sheetViews>
    <sheetView showZeros="0" zoomScaleNormal="100" workbookViewId="0"/>
  </sheetViews>
  <sheetFormatPr baseColWidth="10" defaultColWidth="10.25" defaultRowHeight="12.75"/>
  <cols>
    <col min="1" max="1" width="2.375" style="4" customWidth="1"/>
    <col min="2" max="2" width="38.625" style="4" bestFit="1" customWidth="1"/>
    <col min="3" max="3" width="7.125" style="4" hidden="1" customWidth="1"/>
    <col min="4" max="4" width="11.25" style="1043" bestFit="1" customWidth="1"/>
    <col min="5" max="5" width="8.75" style="4" customWidth="1"/>
    <col min="6" max="6" width="8.75" style="1044" customWidth="1"/>
    <col min="7" max="7" width="9.625" style="4" customWidth="1"/>
    <col min="8" max="8" width="9.625" style="1043" customWidth="1"/>
    <col min="9" max="9" width="9.625" style="19" customWidth="1"/>
    <col min="10" max="11" width="10.25" style="609"/>
    <col min="12" max="12" width="18.625" style="1042" customWidth="1"/>
    <col min="13" max="13" width="10.25" style="609" customWidth="1"/>
    <col min="14" max="15" width="10.25" style="609"/>
    <col min="16" max="16" width="12.25" style="609" customWidth="1"/>
    <col min="17" max="16384" width="10.25" style="609"/>
  </cols>
  <sheetData>
    <row r="1" spans="1:17" s="4" customFormat="1">
      <c r="A1" s="1117"/>
      <c r="D1" s="1043"/>
      <c r="F1" s="1044"/>
      <c r="H1" s="1043"/>
      <c r="I1" s="19"/>
      <c r="L1" s="1043"/>
    </row>
    <row r="2" spans="1:17" s="4" customFormat="1" ht="22.15" customHeight="1">
      <c r="A2" s="1069"/>
      <c r="B2" s="118" t="s">
        <v>1002</v>
      </c>
      <c r="C2" s="1116"/>
      <c r="D2" s="1074"/>
      <c r="E2" s="1073"/>
      <c r="F2" s="1075"/>
      <c r="G2" s="1073"/>
      <c r="H2" s="1074"/>
      <c r="I2" s="1111"/>
      <c r="L2" s="1043"/>
    </row>
    <row r="3" spans="1:17" s="4" customFormat="1" ht="26.45" customHeight="1">
      <c r="A3" s="1069"/>
      <c r="B3" s="4023" t="s">
        <v>2130</v>
      </c>
      <c r="D3" s="1115"/>
      <c r="E3" s="1113"/>
      <c r="F3" s="1114"/>
      <c r="G3" s="1113"/>
      <c r="H3" s="1112"/>
      <c r="I3" s="1111"/>
      <c r="J3" s="1064"/>
      <c r="K3" s="1064"/>
      <c r="L3" s="1065"/>
      <c r="M3" s="1064"/>
      <c r="N3" s="1064"/>
      <c r="O3" s="1064"/>
    </row>
    <row r="4" spans="1:17" s="4" customFormat="1" ht="19.899999999999999" customHeight="1">
      <c r="A4" s="1069"/>
      <c r="B4" s="4024" t="s">
        <v>2131</v>
      </c>
      <c r="C4" s="1073"/>
      <c r="D4" s="1074"/>
      <c r="E4" s="1073"/>
      <c r="F4" s="1075"/>
      <c r="G4" s="1073"/>
      <c r="H4" s="1074"/>
      <c r="I4" s="1073"/>
      <c r="J4" s="1064"/>
      <c r="K4" s="1064"/>
      <c r="L4" s="1065"/>
      <c r="M4" s="1064"/>
      <c r="N4" s="1064"/>
      <c r="O4" s="1064"/>
    </row>
    <row r="5" spans="1:17" s="4" customFormat="1" ht="15.6" customHeight="1">
      <c r="A5" s="1069"/>
      <c r="C5" s="1073"/>
      <c r="D5" s="1074"/>
      <c r="E5" s="1110"/>
      <c r="F5" s="1110"/>
      <c r="G5" s="1109"/>
      <c r="H5" s="1070"/>
      <c r="I5" s="1071"/>
      <c r="J5" s="1064"/>
      <c r="K5" s="1064"/>
      <c r="L5" s="1065"/>
      <c r="M5" s="1097"/>
      <c r="N5" s="1097"/>
      <c r="O5" s="1097"/>
      <c r="P5" s="8"/>
    </row>
    <row r="6" spans="1:17" s="4" customFormat="1" ht="19.899999999999999" customHeight="1">
      <c r="A6" s="1058"/>
      <c r="B6" s="1108"/>
      <c r="C6" s="1107"/>
      <c r="D6" s="1106" t="s">
        <v>1001</v>
      </c>
      <c r="E6" s="1105"/>
      <c r="F6" s="1105"/>
      <c r="G6" s="1104"/>
      <c r="H6" s="1106" t="s">
        <v>1990</v>
      </c>
      <c r="I6" s="1105"/>
      <c r="J6" s="1105"/>
      <c r="K6" s="1104"/>
      <c r="L6" s="4586" t="s">
        <v>1000</v>
      </c>
      <c r="M6" s="4588" t="s">
        <v>2132</v>
      </c>
      <c r="N6" s="4589"/>
      <c r="O6" s="4589"/>
      <c r="P6" s="4589"/>
      <c r="Q6" s="4586" t="s">
        <v>2133</v>
      </c>
    </row>
    <row r="7" spans="1:17" s="8" customFormat="1" ht="15.6" customHeight="1">
      <c r="A7" s="1103"/>
      <c r="B7" s="1102" t="s">
        <v>934</v>
      </c>
      <c r="C7" s="1101" t="s">
        <v>999</v>
      </c>
      <c r="D7" s="1100" t="s">
        <v>246</v>
      </c>
      <c r="E7" s="1099" t="s">
        <v>998</v>
      </c>
      <c r="F7" s="1099" t="s">
        <v>997</v>
      </c>
      <c r="G7" s="1098" t="s">
        <v>240</v>
      </c>
      <c r="H7" s="1100" t="s">
        <v>246</v>
      </c>
      <c r="I7" s="1099" t="s">
        <v>998</v>
      </c>
      <c r="J7" s="1099" t="s">
        <v>997</v>
      </c>
      <c r="K7" s="1098" t="s">
        <v>240</v>
      </c>
      <c r="L7" s="4587"/>
      <c r="M7" s="1100" t="s">
        <v>246</v>
      </c>
      <c r="N7" s="1099" t="s">
        <v>998</v>
      </c>
      <c r="O7" s="1099" t="s">
        <v>997</v>
      </c>
      <c r="P7" s="1098" t="s">
        <v>240</v>
      </c>
      <c r="Q7" s="4587"/>
    </row>
    <row r="8" spans="1:17" s="1062" customFormat="1" ht="15.6" hidden="1" customHeight="1">
      <c r="A8" s="1058"/>
      <c r="C8" s="609"/>
      <c r="D8" s="1096" t="s">
        <v>996</v>
      </c>
      <c r="E8" s="34" t="s">
        <v>995</v>
      </c>
      <c r="F8" s="34" t="s">
        <v>994</v>
      </c>
      <c r="G8" s="34" t="s">
        <v>993</v>
      </c>
      <c r="H8" s="1096" t="s">
        <v>992</v>
      </c>
      <c r="I8" s="34" t="s">
        <v>991</v>
      </c>
      <c r="J8" s="34" t="s">
        <v>990</v>
      </c>
      <c r="K8" s="34" t="s">
        <v>989</v>
      </c>
      <c r="L8" s="1096"/>
    </row>
    <row r="9" spans="1:17" s="1050" customFormat="1" ht="15.6" customHeight="1">
      <c r="A9" s="1058">
        <v>1</v>
      </c>
      <c r="B9" s="1095"/>
      <c r="C9" s="1091"/>
      <c r="D9" s="1094"/>
      <c r="E9" s="1093"/>
      <c r="F9" s="1092"/>
      <c r="G9" s="1091"/>
      <c r="H9" s="1031"/>
      <c r="I9" s="1092"/>
      <c r="J9" s="1092"/>
      <c r="K9" s="1091"/>
      <c r="L9" s="928"/>
      <c r="P9" s="2014"/>
      <c r="Q9" s="2010"/>
    </row>
    <row r="10" spans="1:17" s="1050" customFormat="1" ht="15.6" customHeight="1">
      <c r="A10" s="1058">
        <f>A9+1</f>
        <v>2</v>
      </c>
      <c r="B10" s="1085" t="s">
        <v>98</v>
      </c>
      <c r="C10" s="1084" t="s">
        <v>97</v>
      </c>
      <c r="D10" s="1089">
        <v>1.81</v>
      </c>
      <c r="E10" s="1088">
        <v>0.8</v>
      </c>
      <c r="F10" s="1088">
        <v>0.6</v>
      </c>
      <c r="G10" s="1087">
        <v>0.2</v>
      </c>
      <c r="H10" s="1089">
        <f t="shared" ref="H10:K15" si="0">M10-D10</f>
        <v>0.39999999999999991</v>
      </c>
      <c r="I10" s="1088">
        <f t="shared" si="0"/>
        <v>0.24</v>
      </c>
      <c r="J10" s="1088">
        <f t="shared" si="0"/>
        <v>1.1200000000000001</v>
      </c>
      <c r="K10" s="1087">
        <f t="shared" si="0"/>
        <v>0.15999999999999998</v>
      </c>
      <c r="L10" s="1080">
        <v>80</v>
      </c>
      <c r="M10" s="1088">
        <v>2.21</v>
      </c>
      <c r="N10" s="1088">
        <v>1.04</v>
      </c>
      <c r="O10" s="1088">
        <v>1.72</v>
      </c>
      <c r="P10" s="1087">
        <v>0.36</v>
      </c>
      <c r="Q10" s="4025"/>
    </row>
    <row r="11" spans="1:17" s="1050" customFormat="1" ht="15.6" customHeight="1">
      <c r="A11" s="1058">
        <f t="shared" ref="A11:A44" si="1">A10+1</f>
        <v>3</v>
      </c>
      <c r="B11" s="1085" t="s">
        <v>96</v>
      </c>
      <c r="C11" s="1084" t="s">
        <v>95</v>
      </c>
      <c r="D11" s="1089">
        <v>2.11</v>
      </c>
      <c r="E11" s="1088">
        <v>0.8</v>
      </c>
      <c r="F11" s="1088">
        <v>0.6</v>
      </c>
      <c r="G11" s="1087">
        <v>0.2</v>
      </c>
      <c r="H11" s="1089">
        <f t="shared" si="0"/>
        <v>0.39999999999999991</v>
      </c>
      <c r="I11" s="1088">
        <f t="shared" si="0"/>
        <v>0.24</v>
      </c>
      <c r="J11" s="1088">
        <f t="shared" si="0"/>
        <v>1.1200000000000001</v>
      </c>
      <c r="K11" s="1087">
        <f t="shared" si="0"/>
        <v>0.15999999999999998</v>
      </c>
      <c r="L11" s="1080">
        <v>80</v>
      </c>
      <c r="M11" s="1088">
        <v>2.5099999999999998</v>
      </c>
      <c r="N11" s="1088">
        <v>1.04</v>
      </c>
      <c r="O11" s="1088">
        <v>1.72</v>
      </c>
      <c r="P11" s="1087">
        <v>0.36</v>
      </c>
      <c r="Q11" s="4025"/>
    </row>
    <row r="12" spans="1:17" s="1050" customFormat="1" ht="15" customHeight="1">
      <c r="A12" s="1058">
        <f t="shared" si="1"/>
        <v>4</v>
      </c>
      <c r="B12" s="1085" t="s">
        <v>211</v>
      </c>
      <c r="C12" s="1084" t="s">
        <v>93</v>
      </c>
      <c r="D12" s="1089">
        <v>2.11</v>
      </c>
      <c r="E12" s="1088">
        <v>0.8</v>
      </c>
      <c r="F12" s="1088">
        <v>0.6</v>
      </c>
      <c r="G12" s="1087">
        <v>0.2</v>
      </c>
      <c r="H12" s="1089">
        <f t="shared" si="0"/>
        <v>0.39999999999999991</v>
      </c>
      <c r="I12" s="1088">
        <f t="shared" si="0"/>
        <v>0.24</v>
      </c>
      <c r="J12" s="1088">
        <f t="shared" si="0"/>
        <v>1.1200000000000001</v>
      </c>
      <c r="K12" s="1087">
        <f t="shared" si="0"/>
        <v>0.15999999999999998</v>
      </c>
      <c r="L12" s="1080">
        <v>80</v>
      </c>
      <c r="M12" s="1088">
        <v>2.5099999999999998</v>
      </c>
      <c r="N12" s="1088">
        <v>1.04</v>
      </c>
      <c r="O12" s="1088">
        <v>1.72</v>
      </c>
      <c r="P12" s="1087">
        <v>0.36</v>
      </c>
      <c r="Q12" s="4025"/>
    </row>
    <row r="13" spans="1:17" s="1050" customFormat="1" ht="15.6" customHeight="1">
      <c r="A13" s="1058">
        <f t="shared" si="1"/>
        <v>5</v>
      </c>
      <c r="B13" s="1085" t="s">
        <v>209</v>
      </c>
      <c r="C13" s="1084" t="s">
        <v>91</v>
      </c>
      <c r="D13" s="1089">
        <v>2.41</v>
      </c>
      <c r="E13" s="1088">
        <v>0.8</v>
      </c>
      <c r="F13" s="1088">
        <v>0.6</v>
      </c>
      <c r="G13" s="1087">
        <v>0.2</v>
      </c>
      <c r="H13" s="1089">
        <f t="shared" si="0"/>
        <v>0.39999999999999991</v>
      </c>
      <c r="I13" s="1088">
        <f t="shared" si="0"/>
        <v>0.24</v>
      </c>
      <c r="J13" s="1088">
        <f t="shared" si="0"/>
        <v>1.1200000000000001</v>
      </c>
      <c r="K13" s="1087">
        <f t="shared" si="0"/>
        <v>0.15999999999999998</v>
      </c>
      <c r="L13" s="1080">
        <v>80</v>
      </c>
      <c r="M13" s="1088">
        <v>2.81</v>
      </c>
      <c r="N13" s="1088">
        <v>1.04</v>
      </c>
      <c r="O13" s="1088">
        <v>1.72</v>
      </c>
      <c r="P13" s="1087">
        <v>0.36</v>
      </c>
      <c r="Q13" s="4025"/>
    </row>
    <row r="14" spans="1:17" s="1050" customFormat="1" ht="15.6" customHeight="1">
      <c r="A14" s="1058">
        <f t="shared" si="1"/>
        <v>6</v>
      </c>
      <c r="B14" s="1085" t="s">
        <v>90</v>
      </c>
      <c r="C14" s="1084" t="s">
        <v>89</v>
      </c>
      <c r="D14" s="1089">
        <v>1.51</v>
      </c>
      <c r="E14" s="1088">
        <v>0.8</v>
      </c>
      <c r="F14" s="1088">
        <v>0.6</v>
      </c>
      <c r="G14" s="1087">
        <v>0.2</v>
      </c>
      <c r="H14" s="1089">
        <f t="shared" si="0"/>
        <v>0.44999999999999996</v>
      </c>
      <c r="I14" s="1088">
        <f t="shared" si="0"/>
        <v>0.27</v>
      </c>
      <c r="J14" s="1088">
        <f t="shared" si="0"/>
        <v>1.7999999999999998</v>
      </c>
      <c r="K14" s="1087">
        <f t="shared" si="0"/>
        <v>0.18</v>
      </c>
      <c r="L14" s="1080">
        <v>90</v>
      </c>
      <c r="M14" s="1088">
        <v>1.96</v>
      </c>
      <c r="N14" s="1088">
        <v>1.07</v>
      </c>
      <c r="O14" s="1088">
        <v>2.4</v>
      </c>
      <c r="P14" s="1087">
        <v>0.38</v>
      </c>
      <c r="Q14" s="4025"/>
    </row>
    <row r="15" spans="1:17" s="1050" customFormat="1" ht="15.6" customHeight="1">
      <c r="A15" s="1058">
        <f t="shared" si="1"/>
        <v>7</v>
      </c>
      <c r="B15" s="1085" t="s">
        <v>88</v>
      </c>
      <c r="C15" s="1084" t="s">
        <v>87</v>
      </c>
      <c r="D15" s="1089">
        <v>1.79</v>
      </c>
      <c r="E15" s="1088">
        <v>0.8</v>
      </c>
      <c r="F15" s="1090">
        <v>0.6</v>
      </c>
      <c r="G15" s="1087">
        <v>0.2</v>
      </c>
      <c r="H15" s="1089">
        <f t="shared" si="0"/>
        <v>0.45000000000000018</v>
      </c>
      <c r="I15" s="1088">
        <f t="shared" si="0"/>
        <v>0.27</v>
      </c>
      <c r="J15" s="1088">
        <f t="shared" si="0"/>
        <v>1.5299999999999998</v>
      </c>
      <c r="K15" s="1087">
        <f t="shared" si="0"/>
        <v>0.18</v>
      </c>
      <c r="L15" s="1080">
        <v>90</v>
      </c>
      <c r="M15" s="1088">
        <v>2.2400000000000002</v>
      </c>
      <c r="N15" s="1088">
        <v>1.07</v>
      </c>
      <c r="O15" s="1088">
        <v>2.13</v>
      </c>
      <c r="P15" s="1087">
        <v>0.38</v>
      </c>
      <c r="Q15" s="4025"/>
    </row>
    <row r="16" spans="1:17" s="1050" customFormat="1" ht="15.6" customHeight="1">
      <c r="A16" s="1058">
        <f t="shared" si="1"/>
        <v>8</v>
      </c>
      <c r="B16" s="1085" t="s">
        <v>86</v>
      </c>
      <c r="C16" s="1084" t="s">
        <v>85</v>
      </c>
      <c r="D16" s="1089">
        <v>1.79</v>
      </c>
      <c r="E16" s="1088">
        <v>0.8</v>
      </c>
      <c r="F16" s="1090">
        <v>0.6</v>
      </c>
      <c r="G16" s="1087">
        <v>0.2</v>
      </c>
      <c r="H16" s="1089">
        <f t="shared" ref="H16:H26" si="2">M16-D16</f>
        <v>0.35000000000000009</v>
      </c>
      <c r="I16" s="1088">
        <f t="shared" ref="I16:I26" si="3">N16-E16</f>
        <v>0.20999999999999996</v>
      </c>
      <c r="J16" s="1088">
        <f t="shared" ref="J16:J28" si="4">O16-F16</f>
        <v>1.19</v>
      </c>
      <c r="K16" s="1087">
        <f t="shared" ref="K16:K28" si="5">P16-G16</f>
        <v>7.0000000000000007E-2</v>
      </c>
      <c r="L16" s="1080">
        <v>70</v>
      </c>
      <c r="M16" s="1088">
        <v>2.14</v>
      </c>
      <c r="N16" s="1088">
        <v>1.01</v>
      </c>
      <c r="O16" s="1088">
        <v>1.79</v>
      </c>
      <c r="P16" s="1087">
        <v>0.27</v>
      </c>
      <c r="Q16" s="4025"/>
    </row>
    <row r="17" spans="1:17" s="1050" customFormat="1" ht="15.6" customHeight="1">
      <c r="A17" s="1058">
        <f t="shared" si="1"/>
        <v>9</v>
      </c>
      <c r="B17" s="1085" t="s">
        <v>84</v>
      </c>
      <c r="C17" s="1084" t="s">
        <v>83</v>
      </c>
      <c r="D17" s="1089">
        <v>1.6</v>
      </c>
      <c r="E17" s="1088">
        <v>0.8</v>
      </c>
      <c r="F17" s="1088">
        <v>0.8</v>
      </c>
      <c r="G17" s="1087">
        <v>0.2</v>
      </c>
      <c r="H17" s="1089">
        <f t="shared" si="2"/>
        <v>0.5</v>
      </c>
      <c r="I17" s="1088">
        <f t="shared" si="3"/>
        <v>0.30000000000000004</v>
      </c>
      <c r="J17" s="1088">
        <f t="shared" si="4"/>
        <v>1.7</v>
      </c>
      <c r="K17" s="1087">
        <f t="shared" si="5"/>
        <v>0.15999999999999998</v>
      </c>
      <c r="L17" s="1080">
        <v>90</v>
      </c>
      <c r="M17" s="1088">
        <v>2.1</v>
      </c>
      <c r="N17" s="1088">
        <v>1.1000000000000001</v>
      </c>
      <c r="O17" s="1088">
        <v>2.5</v>
      </c>
      <c r="P17" s="1087">
        <v>0.36</v>
      </c>
      <c r="Q17" s="4025"/>
    </row>
    <row r="18" spans="1:17" s="1050" customFormat="1" ht="15.6" customHeight="1">
      <c r="A18" s="1058">
        <f t="shared" si="1"/>
        <v>10</v>
      </c>
      <c r="B18" s="1085" t="s">
        <v>208</v>
      </c>
      <c r="C18" s="1084" t="s">
        <v>80</v>
      </c>
      <c r="D18" s="1089">
        <v>2.11</v>
      </c>
      <c r="E18" s="1088">
        <v>0.8</v>
      </c>
      <c r="F18" s="1088">
        <v>0.6</v>
      </c>
      <c r="G18" s="1087">
        <v>0.2</v>
      </c>
      <c r="H18" s="1089">
        <f t="shared" si="2"/>
        <v>0.39999999999999991</v>
      </c>
      <c r="I18" s="1088">
        <f t="shared" si="3"/>
        <v>0.24</v>
      </c>
      <c r="J18" s="1088">
        <f t="shared" si="4"/>
        <v>1.1200000000000001</v>
      </c>
      <c r="K18" s="1087">
        <f t="shared" si="5"/>
        <v>0.15999999999999998</v>
      </c>
      <c r="L18" s="1080">
        <v>80</v>
      </c>
      <c r="M18" s="1088">
        <v>2.5099999999999998</v>
      </c>
      <c r="N18" s="1088">
        <v>1.04</v>
      </c>
      <c r="O18" s="1088">
        <v>1.72</v>
      </c>
      <c r="P18" s="1087">
        <v>0.36</v>
      </c>
      <c r="Q18" s="4025"/>
    </row>
    <row r="19" spans="1:17" s="1050" customFormat="1" ht="15.6" customHeight="1">
      <c r="A19" s="1058">
        <f t="shared" si="1"/>
        <v>11</v>
      </c>
      <c r="B19" s="1085" t="s">
        <v>207</v>
      </c>
      <c r="C19" s="1084" t="s">
        <v>78</v>
      </c>
      <c r="D19" s="1089">
        <v>1.79</v>
      </c>
      <c r="E19" s="1088">
        <v>0.8</v>
      </c>
      <c r="F19" s="1088">
        <v>0.6</v>
      </c>
      <c r="G19" s="1087">
        <v>0.2</v>
      </c>
      <c r="H19" s="1089">
        <f t="shared" si="2"/>
        <v>0.39999999999999991</v>
      </c>
      <c r="I19" s="1088">
        <f t="shared" si="3"/>
        <v>0.24</v>
      </c>
      <c r="J19" s="1088">
        <f t="shared" si="4"/>
        <v>1.3599999999999999</v>
      </c>
      <c r="K19" s="1087">
        <f t="shared" si="5"/>
        <v>8.0000000000000016E-2</v>
      </c>
      <c r="L19" s="1080">
        <v>80</v>
      </c>
      <c r="M19" s="1088">
        <v>2.19</v>
      </c>
      <c r="N19" s="1088">
        <v>1.04</v>
      </c>
      <c r="O19" s="1088">
        <v>1.96</v>
      </c>
      <c r="P19" s="1087">
        <v>0.28000000000000003</v>
      </c>
      <c r="Q19" s="4025"/>
    </row>
    <row r="20" spans="1:17" s="1050" customFormat="1" ht="15.6" customHeight="1">
      <c r="A20" s="1058">
        <f t="shared" si="1"/>
        <v>12</v>
      </c>
      <c r="B20" s="1085" t="s">
        <v>77</v>
      </c>
      <c r="C20" s="1084" t="s">
        <v>76</v>
      </c>
      <c r="D20" s="1089">
        <v>1.38</v>
      </c>
      <c r="E20" s="1088">
        <v>0.8</v>
      </c>
      <c r="F20" s="1090">
        <v>0.6</v>
      </c>
      <c r="G20" s="1087">
        <v>0.2</v>
      </c>
      <c r="H20" s="1089">
        <f t="shared" si="2"/>
        <v>0.35000000000000009</v>
      </c>
      <c r="I20" s="1088">
        <f t="shared" si="3"/>
        <v>0.20999999999999996</v>
      </c>
      <c r="J20" s="1088">
        <f t="shared" si="4"/>
        <v>1.19</v>
      </c>
      <c r="K20" s="1087">
        <f t="shared" si="5"/>
        <v>7.0000000000000007E-2</v>
      </c>
      <c r="L20" s="1080">
        <v>70</v>
      </c>
      <c r="M20" s="1088">
        <v>1.73</v>
      </c>
      <c r="N20" s="1088">
        <v>1.01</v>
      </c>
      <c r="O20" s="1088">
        <v>1.79</v>
      </c>
      <c r="P20" s="1087">
        <v>0.27</v>
      </c>
      <c r="Q20" s="4025"/>
    </row>
    <row r="21" spans="1:17" s="1050" customFormat="1" ht="15.6" customHeight="1">
      <c r="A21" s="1058">
        <f t="shared" si="1"/>
        <v>13</v>
      </c>
      <c r="B21" s="1085" t="s">
        <v>206</v>
      </c>
      <c r="C21" s="1084" t="s">
        <v>74</v>
      </c>
      <c r="D21" s="1089">
        <v>1.51</v>
      </c>
      <c r="E21" s="1088">
        <v>0.8</v>
      </c>
      <c r="F21" s="1090">
        <v>0.6</v>
      </c>
      <c r="G21" s="1087">
        <v>0.2</v>
      </c>
      <c r="H21" s="1089">
        <f t="shared" si="2"/>
        <v>0.55000000000000004</v>
      </c>
      <c r="I21" s="1088">
        <f t="shared" si="3"/>
        <v>0.32999999999999985</v>
      </c>
      <c r="J21" s="1088">
        <f t="shared" si="4"/>
        <v>1.87</v>
      </c>
      <c r="K21" s="1087">
        <f t="shared" si="5"/>
        <v>0.21999999999999997</v>
      </c>
      <c r="L21" s="1080">
        <v>110</v>
      </c>
      <c r="M21" s="1088">
        <v>2.06</v>
      </c>
      <c r="N21" s="1088">
        <v>1.1299999999999999</v>
      </c>
      <c r="O21" s="1088">
        <v>2.4700000000000002</v>
      </c>
      <c r="P21" s="1087">
        <v>0.42</v>
      </c>
      <c r="Q21" s="4025"/>
    </row>
    <row r="22" spans="1:17" s="1050" customFormat="1" ht="15.6" customHeight="1">
      <c r="A22" s="1058">
        <f t="shared" si="1"/>
        <v>14</v>
      </c>
      <c r="B22" s="1085" t="s">
        <v>73</v>
      </c>
      <c r="C22" s="1084" t="s">
        <v>72</v>
      </c>
      <c r="D22" s="1089">
        <v>2.2599999999999998</v>
      </c>
      <c r="E22" s="1088">
        <v>0.8</v>
      </c>
      <c r="F22" s="1090">
        <v>0.6</v>
      </c>
      <c r="G22" s="1087">
        <v>0.2</v>
      </c>
      <c r="H22" s="1089">
        <f t="shared" si="2"/>
        <v>0.40000000000000036</v>
      </c>
      <c r="I22" s="1088">
        <f t="shared" si="3"/>
        <v>0.24</v>
      </c>
      <c r="J22" s="1088">
        <f t="shared" si="4"/>
        <v>1.3599999999999999</v>
      </c>
      <c r="K22" s="1087">
        <f t="shared" si="5"/>
        <v>0.15999999999999998</v>
      </c>
      <c r="L22" s="1080">
        <v>80</v>
      </c>
      <c r="M22" s="1088">
        <v>2.66</v>
      </c>
      <c r="N22" s="1088">
        <v>1.04</v>
      </c>
      <c r="O22" s="1088">
        <v>1.96</v>
      </c>
      <c r="P22" s="1087">
        <v>0.36</v>
      </c>
      <c r="Q22" s="1087"/>
    </row>
    <row r="23" spans="1:17" s="1050" customFormat="1" ht="15.6" customHeight="1">
      <c r="A23" s="1058">
        <f t="shared" si="1"/>
        <v>15</v>
      </c>
      <c r="B23" s="1085" t="s">
        <v>205</v>
      </c>
      <c r="C23" s="1084" t="s">
        <v>69</v>
      </c>
      <c r="D23" s="1089">
        <v>1.38</v>
      </c>
      <c r="E23" s="1088">
        <v>0.8</v>
      </c>
      <c r="F23" s="1088">
        <v>0.5</v>
      </c>
      <c r="G23" s="1087">
        <v>0.2</v>
      </c>
      <c r="H23" s="1089">
        <f t="shared" si="2"/>
        <v>0.89999999999999991</v>
      </c>
      <c r="I23" s="1088">
        <f t="shared" si="3"/>
        <v>0.19999999999999996</v>
      </c>
      <c r="J23" s="1088">
        <f t="shared" si="4"/>
        <v>2</v>
      </c>
      <c r="K23" s="1087">
        <f t="shared" si="5"/>
        <v>0.39999999999999997</v>
      </c>
      <c r="L23" s="1080">
        <v>100</v>
      </c>
      <c r="M23" s="1088">
        <v>2.2799999999999998</v>
      </c>
      <c r="N23" s="1088">
        <v>1</v>
      </c>
      <c r="O23" s="1088">
        <v>2.5</v>
      </c>
      <c r="P23" s="1087">
        <v>0.6</v>
      </c>
      <c r="Q23" s="1087"/>
    </row>
    <row r="24" spans="1:17" s="1050" customFormat="1" ht="15.6" customHeight="1">
      <c r="A24" s="1058">
        <f t="shared" si="1"/>
        <v>16</v>
      </c>
      <c r="B24" s="1085" t="s">
        <v>204</v>
      </c>
      <c r="C24" s="1084" t="s">
        <v>66</v>
      </c>
      <c r="D24" s="1089">
        <v>2.0699999999999998</v>
      </c>
      <c r="E24" s="1088">
        <v>0.75</v>
      </c>
      <c r="F24" s="1090">
        <v>0.48</v>
      </c>
      <c r="G24" s="1087">
        <v>0.26</v>
      </c>
      <c r="H24" s="1089">
        <f t="shared" si="2"/>
        <v>0.11000000000000032</v>
      </c>
      <c r="I24" s="1088">
        <f t="shared" si="3"/>
        <v>0.29000000000000004</v>
      </c>
      <c r="J24" s="1088">
        <f t="shared" si="4"/>
        <v>2.09</v>
      </c>
      <c r="K24" s="1087">
        <f t="shared" si="5"/>
        <v>0.29000000000000004</v>
      </c>
      <c r="L24" s="1080"/>
      <c r="M24" s="1088">
        <v>2.1800000000000002</v>
      </c>
      <c r="N24" s="1088">
        <v>1.04</v>
      </c>
      <c r="O24" s="1088">
        <v>2.57</v>
      </c>
      <c r="P24" s="1087">
        <v>0.55000000000000004</v>
      </c>
      <c r="Q24" s="1087"/>
    </row>
    <row r="25" spans="1:17" s="1050" customFormat="1" ht="15.6" customHeight="1">
      <c r="A25" s="1058">
        <f t="shared" si="1"/>
        <v>17</v>
      </c>
      <c r="B25" s="1085" t="s">
        <v>64</v>
      </c>
      <c r="C25" s="1084" t="s">
        <v>63</v>
      </c>
      <c r="D25" s="1089">
        <v>3.35</v>
      </c>
      <c r="E25" s="1088">
        <v>1.8</v>
      </c>
      <c r="F25" s="1088">
        <v>1</v>
      </c>
      <c r="G25" s="1087">
        <v>0.5</v>
      </c>
      <c r="H25" s="1089">
        <f t="shared" si="2"/>
        <v>1.19</v>
      </c>
      <c r="I25" s="1088">
        <f t="shared" si="3"/>
        <v>0.67999999999999994</v>
      </c>
      <c r="J25" s="1088">
        <f t="shared" si="4"/>
        <v>4.25</v>
      </c>
      <c r="K25" s="1087">
        <f t="shared" si="5"/>
        <v>0.7</v>
      </c>
      <c r="L25" s="1080">
        <v>170</v>
      </c>
      <c r="M25" s="1088">
        <v>4.54</v>
      </c>
      <c r="N25" s="1088">
        <v>2.48</v>
      </c>
      <c r="O25" s="1088">
        <v>5.25</v>
      </c>
      <c r="P25" s="1087">
        <v>1.2</v>
      </c>
      <c r="Q25" s="1087"/>
    </row>
    <row r="26" spans="1:17" s="1050" customFormat="1" ht="15.6" customHeight="1">
      <c r="A26" s="1058">
        <f t="shared" si="1"/>
        <v>18</v>
      </c>
      <c r="B26" s="1085" t="s">
        <v>203</v>
      </c>
      <c r="C26" s="1084" t="s">
        <v>61</v>
      </c>
      <c r="D26" s="1089">
        <v>3.35</v>
      </c>
      <c r="E26" s="1090">
        <v>1.8</v>
      </c>
      <c r="F26" s="1088">
        <v>1</v>
      </c>
      <c r="G26" s="1087">
        <v>0.5</v>
      </c>
      <c r="H26" s="1089">
        <f t="shared" si="2"/>
        <v>1.19</v>
      </c>
      <c r="I26" s="1088">
        <f t="shared" si="3"/>
        <v>0.67999999999999994</v>
      </c>
      <c r="J26" s="1088">
        <f t="shared" si="4"/>
        <v>4.25</v>
      </c>
      <c r="K26" s="1087">
        <f t="shared" si="5"/>
        <v>0.7</v>
      </c>
      <c r="L26" s="1080">
        <v>170</v>
      </c>
      <c r="M26" s="1088">
        <v>4.54</v>
      </c>
      <c r="N26" s="1088">
        <v>2.48</v>
      </c>
      <c r="O26" s="1088">
        <v>5.25</v>
      </c>
      <c r="P26" s="1087">
        <v>1.2</v>
      </c>
      <c r="Q26" s="1087"/>
    </row>
    <row r="27" spans="1:17" s="1050" customFormat="1" ht="15.6" customHeight="1">
      <c r="A27" s="1058">
        <f t="shared" si="1"/>
        <v>19</v>
      </c>
      <c r="B27" s="1085" t="s">
        <v>202</v>
      </c>
      <c r="C27" s="1084" t="s">
        <v>59</v>
      </c>
      <c r="D27" s="1089">
        <v>2.91</v>
      </c>
      <c r="E27" s="1088">
        <v>1.6</v>
      </c>
      <c r="F27" s="1088">
        <v>2.4</v>
      </c>
      <c r="G27" s="1087">
        <v>0.7</v>
      </c>
      <c r="H27" s="1086">
        <f>M27-D27</f>
        <v>2</v>
      </c>
      <c r="I27" s="1086">
        <f>N27-E27</f>
        <v>1.7999999999999998</v>
      </c>
      <c r="J27" s="1086">
        <f t="shared" si="4"/>
        <v>10</v>
      </c>
      <c r="K27" s="1086">
        <f t="shared" si="5"/>
        <v>0.5</v>
      </c>
      <c r="L27" s="1080">
        <v>200</v>
      </c>
      <c r="M27" s="1086">
        <v>4.91</v>
      </c>
      <c r="N27" s="1086">
        <v>3.4</v>
      </c>
      <c r="O27" s="1086">
        <v>12.4</v>
      </c>
      <c r="P27" s="4026">
        <v>1.2</v>
      </c>
      <c r="Q27" s="1087"/>
    </row>
    <row r="28" spans="1:17" s="1050" customFormat="1" ht="15.6" customHeight="1">
      <c r="A28" s="1058">
        <f t="shared" si="1"/>
        <v>20</v>
      </c>
      <c r="B28" s="1085" t="s">
        <v>201</v>
      </c>
      <c r="C28" s="1084" t="s">
        <v>58</v>
      </c>
      <c r="D28" s="1089">
        <f>4.4-Q28</f>
        <v>-0.89999999999999947</v>
      </c>
      <c r="E28" s="1088">
        <v>1.5</v>
      </c>
      <c r="F28" s="1088">
        <v>1.9359999999999999</v>
      </c>
      <c r="G28" s="1087">
        <v>0.3</v>
      </c>
      <c r="H28" s="1086">
        <f>M28-4.4</f>
        <v>1.5</v>
      </c>
      <c r="I28" s="1086">
        <f>N28-E28</f>
        <v>0.30000000000000004</v>
      </c>
      <c r="J28" s="1086">
        <f t="shared" si="4"/>
        <v>3.2839999999999998</v>
      </c>
      <c r="K28" s="1086">
        <f t="shared" si="5"/>
        <v>0.66999999999999993</v>
      </c>
      <c r="L28" s="1080">
        <v>100</v>
      </c>
      <c r="M28" s="1086">
        <v>5.9</v>
      </c>
      <c r="N28" s="1086">
        <v>1.8</v>
      </c>
      <c r="O28" s="1086">
        <v>5.22</v>
      </c>
      <c r="P28" s="4026">
        <v>0.97</v>
      </c>
      <c r="Q28" s="4026">
        <v>5.3</v>
      </c>
    </row>
    <row r="29" spans="1:17" s="1050" customFormat="1" ht="15.6" customHeight="1">
      <c r="A29" s="1058">
        <f t="shared" si="1"/>
        <v>21</v>
      </c>
      <c r="B29" s="1085" t="s">
        <v>200</v>
      </c>
      <c r="C29" s="1084" t="s">
        <v>56</v>
      </c>
      <c r="D29" s="1089">
        <v>3.5</v>
      </c>
      <c r="E29" s="1088">
        <v>1.2</v>
      </c>
      <c r="F29" s="1088">
        <v>1</v>
      </c>
      <c r="G29" s="1087">
        <v>0.8</v>
      </c>
      <c r="H29" s="1086">
        <f>M29-D29</f>
        <v>0.79999999999999982</v>
      </c>
      <c r="I29" s="1086">
        <f t="shared" ref="I29:K30" si="6">N29-E29</f>
        <v>0.30000000000000004</v>
      </c>
      <c r="J29" s="1086">
        <f t="shared" si="6"/>
        <v>2.1</v>
      </c>
      <c r="K29" s="1086">
        <f t="shared" si="6"/>
        <v>0.14999999999999991</v>
      </c>
      <c r="L29" s="1080">
        <v>150</v>
      </c>
      <c r="M29" s="1086">
        <v>4.3</v>
      </c>
      <c r="N29" s="1086">
        <v>1.5</v>
      </c>
      <c r="O29" s="1086">
        <v>3.1</v>
      </c>
      <c r="P29" s="4026">
        <v>0.95</v>
      </c>
      <c r="Q29" s="1087"/>
    </row>
    <row r="30" spans="1:17" s="1050" customFormat="1" ht="15.6" customHeight="1">
      <c r="A30" s="1058">
        <f t="shared" si="1"/>
        <v>22</v>
      </c>
      <c r="B30" s="1085" t="s">
        <v>199</v>
      </c>
      <c r="C30" s="1084" t="s">
        <v>53</v>
      </c>
      <c r="D30" s="1089">
        <f>3.6-Q30</f>
        <v>-0.80000000000000027</v>
      </c>
      <c r="E30" s="1088">
        <v>1.1000000000000001</v>
      </c>
      <c r="F30" s="1088">
        <v>1.4</v>
      </c>
      <c r="G30" s="1087">
        <v>0.2</v>
      </c>
      <c r="H30" s="1086">
        <f>M30-3.6</f>
        <v>1.4999999999999996</v>
      </c>
      <c r="I30" s="1086">
        <f t="shared" si="6"/>
        <v>0.29999999999999982</v>
      </c>
      <c r="J30" s="1086">
        <f>O30-F30</f>
        <v>2.6</v>
      </c>
      <c r="K30" s="1086">
        <f t="shared" si="6"/>
        <v>0.3</v>
      </c>
      <c r="L30" s="1080">
        <v>100</v>
      </c>
      <c r="M30" s="1086">
        <v>5.0999999999999996</v>
      </c>
      <c r="N30" s="1086">
        <v>1.4</v>
      </c>
      <c r="O30" s="1086">
        <v>4</v>
      </c>
      <c r="P30" s="4026">
        <v>0.5</v>
      </c>
      <c r="Q30" s="4026">
        <v>4.4000000000000004</v>
      </c>
    </row>
    <row r="31" spans="1:17" s="1050" customFormat="1" ht="15.6" customHeight="1">
      <c r="A31" s="1058">
        <f t="shared" si="1"/>
        <v>23</v>
      </c>
      <c r="B31" s="1085" t="s">
        <v>198</v>
      </c>
      <c r="C31" s="1084" t="s">
        <v>51</v>
      </c>
      <c r="D31" s="1089">
        <f>4.1-Q31</f>
        <v>-0.90000000000000036</v>
      </c>
      <c r="E31" s="1088">
        <v>1.2</v>
      </c>
      <c r="F31" s="1088">
        <v>1.4</v>
      </c>
      <c r="G31" s="1087">
        <v>0.2</v>
      </c>
      <c r="H31" s="1086">
        <f>M31-4.1</f>
        <v>1.5</v>
      </c>
      <c r="I31" s="1086">
        <v>0.3</v>
      </c>
      <c r="J31" s="1086">
        <v>1.7</v>
      </c>
      <c r="K31" s="1086">
        <v>0.15</v>
      </c>
      <c r="L31" s="1080">
        <v>100</v>
      </c>
      <c r="M31" s="1086">
        <v>5.6</v>
      </c>
      <c r="N31" s="1086">
        <v>1.5</v>
      </c>
      <c r="O31" s="1086">
        <v>4</v>
      </c>
      <c r="P31" s="4026">
        <v>0.5</v>
      </c>
      <c r="Q31" s="4026">
        <v>5</v>
      </c>
    </row>
    <row r="32" spans="1:17" s="1050" customFormat="1" ht="15.6" customHeight="1">
      <c r="A32" s="1058">
        <f t="shared" si="1"/>
        <v>24</v>
      </c>
      <c r="B32" s="1085" t="s">
        <v>197</v>
      </c>
      <c r="C32" s="1084" t="s">
        <v>49</v>
      </c>
      <c r="D32" s="1089">
        <f>4.48-Q32</f>
        <v>-0.51999999999999957</v>
      </c>
      <c r="E32" s="1088">
        <v>1.02</v>
      </c>
      <c r="F32" s="1088">
        <v>1.66</v>
      </c>
      <c r="G32" s="1087">
        <v>0.2</v>
      </c>
      <c r="H32" s="1086">
        <f>M32-4.48</f>
        <v>1.5</v>
      </c>
      <c r="I32" s="1086">
        <v>0.3</v>
      </c>
      <c r="J32" s="1086">
        <v>1.7</v>
      </c>
      <c r="K32" s="1086">
        <v>0.15</v>
      </c>
      <c r="L32" s="1080">
        <v>100</v>
      </c>
      <c r="M32" s="1086">
        <v>5.98</v>
      </c>
      <c r="N32" s="1086">
        <v>1.32</v>
      </c>
      <c r="O32" s="1086">
        <v>3.29</v>
      </c>
      <c r="P32" s="4026">
        <v>0.5</v>
      </c>
      <c r="Q32" s="4026">
        <v>5</v>
      </c>
    </row>
    <row r="33" spans="1:19" s="1050" customFormat="1" ht="15.6" customHeight="1">
      <c r="A33" s="1058">
        <f t="shared" si="1"/>
        <v>25</v>
      </c>
      <c r="B33" s="1085" t="s">
        <v>196</v>
      </c>
      <c r="C33" s="1084" t="s">
        <v>44</v>
      </c>
      <c r="D33" s="1089">
        <v>0.18</v>
      </c>
      <c r="E33" s="1088">
        <v>0.1</v>
      </c>
      <c r="F33" s="1088">
        <v>0.25</v>
      </c>
      <c r="G33" s="1087">
        <v>0.08</v>
      </c>
      <c r="H33" s="1086">
        <f>M33-D33</f>
        <v>0.26</v>
      </c>
      <c r="I33" s="1086">
        <f t="shared" ref="I33:K37" si="7">N33-E33</f>
        <v>7.9999999999999988E-2</v>
      </c>
      <c r="J33" s="1086">
        <f t="shared" si="7"/>
        <v>0.42000000000000004</v>
      </c>
      <c r="K33" s="1086">
        <f t="shared" si="7"/>
        <v>6.9999999999999993E-2</v>
      </c>
      <c r="L33" s="1080">
        <v>70</v>
      </c>
      <c r="M33" s="1086">
        <v>0.44</v>
      </c>
      <c r="N33" s="1086">
        <v>0.18</v>
      </c>
      <c r="O33" s="1086">
        <v>0.67</v>
      </c>
      <c r="P33" s="4026">
        <v>0.15</v>
      </c>
      <c r="Q33" s="1087"/>
    </row>
    <row r="34" spans="1:19" s="1050" customFormat="1" ht="15.6" customHeight="1">
      <c r="A34" s="1058">
        <f t="shared" si="1"/>
        <v>26</v>
      </c>
      <c r="B34" s="1085" t="s">
        <v>195</v>
      </c>
      <c r="C34" s="1084" t="s">
        <v>42</v>
      </c>
      <c r="D34" s="1089">
        <v>0.35</v>
      </c>
      <c r="E34" s="1088">
        <v>0.14000000000000001</v>
      </c>
      <c r="F34" s="1088">
        <v>0.6</v>
      </c>
      <c r="G34" s="1087">
        <v>0.04</v>
      </c>
      <c r="H34" s="1086">
        <f t="shared" ref="H34:H37" si="8">M34-D34</f>
        <v>0.20000000000000007</v>
      </c>
      <c r="I34" s="1086">
        <f>N34-E34</f>
        <v>9.9999999999999811E-3</v>
      </c>
      <c r="J34" s="1086">
        <v>0</v>
      </c>
      <c r="K34" s="1086">
        <v>0</v>
      </c>
      <c r="L34" s="1080">
        <v>20</v>
      </c>
      <c r="M34" s="1086">
        <v>0.55000000000000004</v>
      </c>
      <c r="N34" s="1086">
        <v>0.15</v>
      </c>
      <c r="O34" s="1086">
        <v>0.67200000000000004</v>
      </c>
      <c r="P34" s="4026">
        <v>0.06</v>
      </c>
      <c r="Q34" s="1087"/>
    </row>
    <row r="35" spans="1:19" s="1050" customFormat="1" ht="15.6" customHeight="1">
      <c r="A35" s="1058">
        <f t="shared" si="1"/>
        <v>27</v>
      </c>
      <c r="B35" s="1085" t="s">
        <v>194</v>
      </c>
      <c r="C35" s="1084" t="s">
        <v>40</v>
      </c>
      <c r="D35" s="1089">
        <v>0.35</v>
      </c>
      <c r="E35" s="1088">
        <v>0.14000000000000001</v>
      </c>
      <c r="F35" s="1088">
        <v>0.6</v>
      </c>
      <c r="G35" s="1087">
        <v>0.04</v>
      </c>
      <c r="H35" s="1086">
        <f t="shared" si="8"/>
        <v>0.20000000000000007</v>
      </c>
      <c r="I35" s="1086">
        <f t="shared" si="7"/>
        <v>9.9999999999999811E-3</v>
      </c>
      <c r="J35" s="1086">
        <v>0</v>
      </c>
      <c r="K35" s="1086">
        <v>0</v>
      </c>
      <c r="L35" s="1080">
        <v>20</v>
      </c>
      <c r="M35" s="1086">
        <v>0.55000000000000004</v>
      </c>
      <c r="N35" s="1086">
        <v>0.15</v>
      </c>
      <c r="O35" s="1086">
        <v>0.67200000000000004</v>
      </c>
      <c r="P35" s="4026">
        <v>0.06</v>
      </c>
      <c r="Q35" s="1087"/>
    </row>
    <row r="36" spans="1:19" s="1050" customFormat="1" ht="15.6" customHeight="1">
      <c r="A36" s="1058">
        <f t="shared" si="1"/>
        <v>28</v>
      </c>
      <c r="B36" s="1085" t="s">
        <v>193</v>
      </c>
      <c r="C36" s="1084" t="s">
        <v>38</v>
      </c>
      <c r="D36" s="1089">
        <v>0.35</v>
      </c>
      <c r="E36" s="1088">
        <v>0.14000000000000001</v>
      </c>
      <c r="F36" s="1088">
        <v>0.6</v>
      </c>
      <c r="G36" s="1087">
        <v>0.04</v>
      </c>
      <c r="H36" s="1086">
        <f t="shared" si="8"/>
        <v>0.20000000000000007</v>
      </c>
      <c r="I36" s="1086">
        <f t="shared" si="7"/>
        <v>9.9999999999999811E-3</v>
      </c>
      <c r="J36" s="1086">
        <v>0</v>
      </c>
      <c r="K36" s="1086">
        <v>0</v>
      </c>
      <c r="L36" s="1080">
        <v>20</v>
      </c>
      <c r="M36" s="1086">
        <v>0.55000000000000004</v>
      </c>
      <c r="N36" s="1086">
        <v>0.15</v>
      </c>
      <c r="O36" s="1086">
        <v>0.67200000000000004</v>
      </c>
      <c r="P36" s="4026">
        <v>0.06</v>
      </c>
      <c r="Q36" s="1087"/>
    </row>
    <row r="37" spans="1:19" s="1050" customFormat="1" ht="15.6" customHeight="1">
      <c r="A37" s="1058">
        <f t="shared" si="1"/>
        <v>29</v>
      </c>
      <c r="B37" s="1085" t="s">
        <v>37</v>
      </c>
      <c r="C37" s="1084" t="s">
        <v>36</v>
      </c>
      <c r="D37" s="1089">
        <v>0.35</v>
      </c>
      <c r="E37" s="1088">
        <v>0.14000000000000001</v>
      </c>
      <c r="F37" s="1088">
        <v>0.6</v>
      </c>
      <c r="G37" s="1087">
        <v>0.04</v>
      </c>
      <c r="H37" s="1086">
        <f t="shared" si="8"/>
        <v>0.20000000000000007</v>
      </c>
      <c r="I37" s="1086">
        <f t="shared" si="7"/>
        <v>9.9999999999999811E-3</v>
      </c>
      <c r="J37" s="1086">
        <v>0</v>
      </c>
      <c r="K37" s="1086"/>
      <c r="L37" s="1080">
        <v>20</v>
      </c>
      <c r="M37" s="1086">
        <v>0.55000000000000004</v>
      </c>
      <c r="N37" s="1086">
        <v>0.15</v>
      </c>
      <c r="O37" s="1086">
        <v>0.67200000000000004</v>
      </c>
      <c r="P37" s="4026">
        <v>0.06</v>
      </c>
      <c r="Q37" s="1087"/>
    </row>
    <row r="38" spans="1:19" s="1050" customFormat="1" ht="15.6" customHeight="1">
      <c r="A38" s="1058">
        <f t="shared" si="1"/>
        <v>30</v>
      </c>
      <c r="B38" s="1085" t="s">
        <v>23</v>
      </c>
      <c r="C38" s="1084" t="s">
        <v>988</v>
      </c>
      <c r="D38" s="1083">
        <v>0</v>
      </c>
      <c r="E38" s="1082">
        <v>0</v>
      </c>
      <c r="F38" s="1082">
        <v>0</v>
      </c>
      <c r="G38" s="1081">
        <v>0</v>
      </c>
      <c r="H38" s="1083">
        <v>0</v>
      </c>
      <c r="I38" s="1082">
        <v>0</v>
      </c>
      <c r="J38" s="1082">
        <v>0</v>
      </c>
      <c r="K38" s="1081"/>
      <c r="L38" s="1080"/>
    </row>
    <row r="39" spans="1:19" s="1050" customFormat="1" ht="15.6" customHeight="1">
      <c r="A39" s="1058">
        <f t="shared" si="1"/>
        <v>31</v>
      </c>
      <c r="B39" s="1085" t="s">
        <v>192</v>
      </c>
      <c r="C39" s="1084" t="s">
        <v>28</v>
      </c>
      <c r="D39" s="1083">
        <v>0</v>
      </c>
      <c r="E39" s="1082">
        <v>0</v>
      </c>
      <c r="F39" s="1082">
        <v>0</v>
      </c>
      <c r="G39" s="1081">
        <v>0</v>
      </c>
      <c r="H39" s="1083">
        <v>0</v>
      </c>
      <c r="I39" s="1082">
        <v>0</v>
      </c>
      <c r="J39" s="1082">
        <v>0</v>
      </c>
      <c r="K39" s="1081">
        <v>0</v>
      </c>
      <c r="L39" s="1080"/>
    </row>
    <row r="40" spans="1:19" s="1050" customFormat="1" ht="15.6" customHeight="1">
      <c r="A40" s="1058">
        <f t="shared" si="1"/>
        <v>32</v>
      </c>
      <c r="B40" s="1085" t="s">
        <v>191</v>
      </c>
      <c r="C40" s="1084" t="s">
        <v>987</v>
      </c>
      <c r="D40" s="1083">
        <v>0</v>
      </c>
      <c r="E40" s="1082">
        <v>0</v>
      </c>
      <c r="F40" s="1082">
        <v>0</v>
      </c>
      <c r="G40" s="1081">
        <v>0</v>
      </c>
      <c r="H40" s="1083">
        <v>0</v>
      </c>
      <c r="I40" s="1082">
        <v>0</v>
      </c>
      <c r="J40" s="1082">
        <v>0</v>
      </c>
      <c r="K40" s="1081">
        <v>0</v>
      </c>
      <c r="L40" s="1080"/>
    </row>
    <row r="41" spans="1:19" s="1050" customFormat="1" ht="15.6" customHeight="1">
      <c r="A41" s="1058">
        <f t="shared" si="1"/>
        <v>33</v>
      </c>
      <c r="B41" s="1085" t="s">
        <v>1287</v>
      </c>
      <c r="C41" s="1084" t="s">
        <v>987</v>
      </c>
      <c r="D41" s="3604">
        <v>-2</v>
      </c>
      <c r="E41" s="1082">
        <v>0.75</v>
      </c>
      <c r="F41" s="1082">
        <v>3.08</v>
      </c>
      <c r="G41" s="1081">
        <v>0.41</v>
      </c>
      <c r="H41" s="1083">
        <v>0</v>
      </c>
      <c r="I41" s="1082">
        <v>0</v>
      </c>
      <c r="J41" s="1082">
        <v>0</v>
      </c>
      <c r="K41" s="1081">
        <v>0</v>
      </c>
      <c r="L41" s="1080"/>
      <c r="S41" s="1050">
        <f>230/115</f>
        <v>2</v>
      </c>
    </row>
    <row r="42" spans="1:19" s="1050" customFormat="1" ht="15.6" customHeight="1">
      <c r="A42" s="1058">
        <f t="shared" si="1"/>
        <v>34</v>
      </c>
      <c r="B42" s="1085" t="s">
        <v>1289</v>
      </c>
      <c r="C42" s="1084" t="s">
        <v>987</v>
      </c>
      <c r="D42" s="3604">
        <v>-1.375</v>
      </c>
      <c r="E42" s="1082">
        <v>0.77</v>
      </c>
      <c r="F42" s="1082">
        <v>3.13</v>
      </c>
      <c r="G42" s="1081">
        <v>0.41</v>
      </c>
      <c r="H42" s="1083">
        <v>0</v>
      </c>
      <c r="I42" s="1082">
        <v>0</v>
      </c>
      <c r="J42" s="1082">
        <v>0</v>
      </c>
      <c r="K42" s="1081">
        <v>0</v>
      </c>
      <c r="L42" s="1080"/>
      <c r="S42" s="1050">
        <f>165/120</f>
        <v>1.375</v>
      </c>
    </row>
    <row r="43" spans="1:19" s="4" customFormat="1" ht="15">
      <c r="A43" s="1058">
        <f t="shared" si="1"/>
        <v>35</v>
      </c>
      <c r="B43" s="1085" t="s">
        <v>1290</v>
      </c>
      <c r="C43" s="1084" t="s">
        <v>987</v>
      </c>
      <c r="D43" s="3604">
        <v>-2</v>
      </c>
      <c r="E43" s="1082">
        <v>0.75</v>
      </c>
      <c r="F43" s="1082">
        <v>3.08</v>
      </c>
      <c r="G43" s="1081">
        <v>0.41</v>
      </c>
      <c r="H43" s="1083">
        <v>0</v>
      </c>
      <c r="I43" s="1082">
        <v>0</v>
      </c>
      <c r="J43" s="1082">
        <v>0</v>
      </c>
      <c r="K43" s="1081">
        <v>0</v>
      </c>
      <c r="L43" s="1080"/>
      <c r="M43" s="1050"/>
      <c r="N43" s="1050"/>
      <c r="O43" s="1050"/>
      <c r="P43" s="1050"/>
      <c r="Q43" s="1050"/>
      <c r="R43" s="1050"/>
      <c r="S43" s="4">
        <f>230/115</f>
        <v>2</v>
      </c>
    </row>
    <row r="44" spans="1:19" s="4" customFormat="1" ht="15">
      <c r="A44" s="1058">
        <f t="shared" si="1"/>
        <v>36</v>
      </c>
      <c r="B44" s="1085" t="s">
        <v>1638</v>
      </c>
      <c r="C44" s="1084" t="s">
        <v>987</v>
      </c>
      <c r="D44" s="3604">
        <v>-1.375</v>
      </c>
      <c r="E44" s="1082">
        <v>0.77</v>
      </c>
      <c r="F44" s="1082">
        <v>3.13</v>
      </c>
      <c r="G44" s="1081">
        <v>0.41</v>
      </c>
      <c r="H44" s="1083">
        <v>0</v>
      </c>
      <c r="I44" s="1082">
        <v>0</v>
      </c>
      <c r="J44" s="1082">
        <v>0</v>
      </c>
      <c r="K44" s="1081">
        <v>0</v>
      </c>
      <c r="L44" s="1080"/>
      <c r="M44" s="1050"/>
      <c r="N44" s="1050"/>
      <c r="O44" s="1050"/>
      <c r="P44" s="1050"/>
      <c r="Q44" s="1050"/>
      <c r="R44" s="1050"/>
      <c r="S44" s="4">
        <f>165/120</f>
        <v>1.375</v>
      </c>
    </row>
    <row r="45" spans="1:19" s="4" customFormat="1" ht="15.6" customHeight="1">
      <c r="A45" s="1058"/>
      <c r="B45" s="1072"/>
      <c r="D45" s="1043"/>
      <c r="E45" s="78"/>
      <c r="F45" s="9"/>
      <c r="G45" s="1069"/>
      <c r="H45" s="1079"/>
      <c r="I45" s="1078"/>
      <c r="J45" s="1064"/>
      <c r="K45" s="1064"/>
      <c r="L45" s="1065"/>
      <c r="M45" s="1050"/>
      <c r="N45" s="1050"/>
      <c r="O45" s="1050"/>
      <c r="P45" s="1050"/>
      <c r="Q45" s="1050"/>
      <c r="R45" s="1050"/>
    </row>
    <row r="46" spans="1:19" s="4" customFormat="1" ht="15.6" customHeight="1">
      <c r="A46" s="1058"/>
      <c r="B46" s="1068"/>
      <c r="C46" s="1060"/>
      <c r="D46" s="1043"/>
      <c r="E46" s="78"/>
      <c r="F46" s="9"/>
      <c r="G46" s="1076"/>
      <c r="H46" s="1077"/>
      <c r="I46" s="1076"/>
      <c r="J46" s="1064"/>
      <c r="K46" s="1064"/>
      <c r="L46" s="1065"/>
      <c r="M46" s="1050"/>
      <c r="N46" s="1050"/>
      <c r="O46" s="1050"/>
      <c r="P46" s="1050"/>
      <c r="Q46" s="1050"/>
      <c r="R46" s="1050"/>
    </row>
    <row r="47" spans="1:19" s="4" customFormat="1" ht="15.6" customHeight="1">
      <c r="A47" s="1058"/>
      <c r="B47" s="23"/>
      <c r="C47" s="78"/>
      <c r="D47" s="1046"/>
      <c r="E47" s="78"/>
      <c r="F47" s="22"/>
      <c r="G47" s="247"/>
      <c r="H47" s="1059"/>
      <c r="I47" s="247"/>
      <c r="J47" s="1064"/>
      <c r="K47" s="1064"/>
      <c r="L47" s="1065"/>
      <c r="M47" s="1050"/>
      <c r="N47" s="1050"/>
      <c r="O47" s="1050"/>
      <c r="P47" s="1050"/>
      <c r="Q47" s="1050"/>
      <c r="R47" s="1050"/>
    </row>
    <row r="48" spans="1:19" s="1062" customFormat="1" ht="15.6" customHeight="1">
      <c r="A48" s="1058"/>
      <c r="B48" s="1060"/>
      <c r="C48" s="78"/>
      <c r="D48" s="1046"/>
      <c r="E48" s="78"/>
      <c r="F48" s="9"/>
      <c r="G48" s="247"/>
      <c r="H48" s="1059"/>
      <c r="I48" s="247"/>
      <c r="L48" s="1063"/>
    </row>
    <row r="49" spans="1:15" s="1050" customFormat="1" ht="15.6" customHeight="1">
      <c r="A49" s="1058"/>
      <c r="B49" s="1060"/>
      <c r="C49" s="78"/>
      <c r="D49" s="1046"/>
      <c r="E49" s="78"/>
      <c r="F49" s="9"/>
      <c r="G49" s="247"/>
      <c r="H49" s="1059"/>
      <c r="I49" s="247"/>
      <c r="L49" s="1051"/>
    </row>
    <row r="50" spans="1:15" s="1050" customFormat="1" ht="15.6" customHeight="1">
      <c r="A50" s="1058"/>
      <c r="B50" s="78"/>
      <c r="C50" s="78"/>
      <c r="D50" s="1046"/>
      <c r="E50" s="78"/>
      <c r="F50" s="9"/>
      <c r="G50" s="247"/>
      <c r="H50" s="1059"/>
      <c r="I50" s="247"/>
      <c r="L50" s="1051"/>
    </row>
    <row r="51" spans="1:15" s="78" customFormat="1" ht="15.6" customHeight="1">
      <c r="A51" s="1058"/>
      <c r="B51" s="4"/>
      <c r="C51" s="1073"/>
      <c r="D51" s="1074"/>
      <c r="E51" s="1073"/>
      <c r="F51" s="1075"/>
      <c r="G51" s="1073"/>
      <c r="H51" s="1074"/>
      <c r="I51" s="1073"/>
      <c r="L51" s="1046"/>
    </row>
    <row r="52" spans="1:15" s="4" customFormat="1" ht="17.45" customHeight="1">
      <c r="A52" s="1058"/>
      <c r="B52" s="1072"/>
      <c r="D52" s="1043"/>
      <c r="F52" s="1044"/>
      <c r="G52" s="1071"/>
      <c r="H52" s="1070"/>
      <c r="I52" s="1069"/>
      <c r="J52" s="1064"/>
      <c r="K52" s="1064"/>
      <c r="L52" s="1065"/>
      <c r="M52" s="1064"/>
      <c r="N52" s="1064"/>
      <c r="O52" s="1064"/>
    </row>
    <row r="53" spans="1:15" s="4" customFormat="1" ht="19.899999999999999" customHeight="1">
      <c r="A53" s="1058"/>
      <c r="B53" s="1068"/>
      <c r="D53" s="1043"/>
      <c r="F53" s="1044"/>
      <c r="G53" s="1066"/>
      <c r="H53" s="1067"/>
      <c r="I53" s="1066"/>
      <c r="J53" s="1064"/>
      <c r="K53" s="1064"/>
      <c r="L53" s="1065"/>
      <c r="M53" s="1064"/>
      <c r="N53" s="1064"/>
      <c r="O53" s="1064"/>
    </row>
    <row r="54" spans="1:15" s="4" customFormat="1" ht="15.6" customHeight="1">
      <c r="A54" s="1058"/>
      <c r="B54" s="23"/>
      <c r="C54" s="78"/>
      <c r="D54" s="1046"/>
      <c r="E54" s="78"/>
      <c r="F54" s="22"/>
      <c r="G54" s="247"/>
      <c r="H54" s="1059"/>
      <c r="I54" s="247"/>
      <c r="J54" s="1064"/>
      <c r="K54" s="1064"/>
      <c r="L54" s="1065"/>
      <c r="M54" s="1064"/>
      <c r="N54" s="1064"/>
      <c r="O54" s="1064"/>
    </row>
    <row r="55" spans="1:15" s="1062" customFormat="1" ht="15.6" customHeight="1">
      <c r="A55" s="1058"/>
      <c r="B55" s="1060"/>
      <c r="C55" s="78"/>
      <c r="D55" s="1046"/>
      <c r="E55" s="78"/>
      <c r="F55" s="9"/>
      <c r="G55" s="247"/>
      <c r="H55" s="1059"/>
      <c r="I55" s="247"/>
      <c r="L55" s="1063"/>
    </row>
    <row r="56" spans="1:15" s="1050" customFormat="1" ht="15.6" customHeight="1">
      <c r="A56" s="1058"/>
      <c r="B56" s="1060"/>
      <c r="C56" s="1061"/>
      <c r="D56" s="1046"/>
      <c r="E56" s="78"/>
      <c r="F56" s="9"/>
      <c r="G56" s="247"/>
      <c r="H56" s="1059"/>
      <c r="I56" s="247"/>
      <c r="L56" s="1051"/>
    </row>
    <row r="57" spans="1:15" s="1050" customFormat="1" ht="15.6" hidden="1" customHeight="1">
      <c r="A57" s="1058"/>
      <c r="B57" s="1060"/>
      <c r="C57" s="78"/>
      <c r="D57" s="1046"/>
      <c r="E57" s="78"/>
      <c r="F57" s="9"/>
      <c r="G57" s="247"/>
      <c r="H57" s="1059"/>
      <c r="I57" s="247"/>
      <c r="L57" s="1051"/>
    </row>
    <row r="58" spans="1:15" s="1050" customFormat="1" ht="15.6" customHeight="1">
      <c r="A58" s="1058"/>
      <c r="B58" s="78"/>
      <c r="C58" s="78"/>
      <c r="D58" s="1057"/>
      <c r="E58" s="1056"/>
      <c r="F58" s="1055"/>
      <c r="G58" s="1053"/>
      <c r="H58" s="1054"/>
      <c r="I58" s="1053"/>
      <c r="L58" s="1051"/>
    </row>
    <row r="59" spans="1:15" s="1050" customFormat="1" ht="15.6" customHeight="1">
      <c r="C59" s="1052"/>
      <c r="D59" s="1051"/>
      <c r="H59" s="1051"/>
      <c r="L59" s="1051"/>
    </row>
    <row r="60" spans="1:15" ht="7.15" customHeight="1">
      <c r="A60" s="78"/>
      <c r="B60" s="78"/>
      <c r="C60" s="78"/>
      <c r="D60" s="1049"/>
      <c r="E60" s="1048"/>
      <c r="F60" s="9"/>
      <c r="G60" s="1048"/>
      <c r="H60" s="1047"/>
      <c r="I60" s="78"/>
    </row>
    <row r="61" spans="1:15" ht="16.149999999999999" customHeight="1">
      <c r="A61" s="609"/>
    </row>
    <row r="62" spans="1:15" ht="14.25">
      <c r="A62" s="78"/>
      <c r="B62" s="78"/>
      <c r="C62" s="78"/>
    </row>
    <row r="63" spans="1:15" ht="14.25">
      <c r="A63" s="78"/>
      <c r="B63" s="78"/>
      <c r="C63" s="78"/>
    </row>
    <row r="64" spans="1:15" ht="14.25">
      <c r="A64" s="78"/>
      <c r="B64" s="78"/>
      <c r="C64" s="78"/>
    </row>
    <row r="65" spans="1:32" ht="14.25">
      <c r="A65" s="78"/>
      <c r="B65" s="78"/>
      <c r="C65" s="78"/>
    </row>
    <row r="66" spans="1:32" ht="14.25">
      <c r="A66" s="78"/>
      <c r="B66" s="78"/>
      <c r="C66" s="78"/>
    </row>
    <row r="67" spans="1:32" ht="14.25">
      <c r="A67" s="78"/>
      <c r="B67" s="78"/>
      <c r="C67" s="78"/>
    </row>
    <row r="68" spans="1:32" ht="14.25">
      <c r="A68" s="78"/>
      <c r="B68" s="78"/>
      <c r="C68" s="78"/>
    </row>
    <row r="69" spans="1:32" ht="14.25">
      <c r="A69" s="78"/>
      <c r="B69" s="78"/>
      <c r="C69" s="78"/>
    </row>
    <row r="70" spans="1:32" ht="14.25">
      <c r="A70" s="78"/>
      <c r="B70" s="78"/>
      <c r="C70" s="78"/>
    </row>
    <row r="71" spans="1:32" ht="14.25">
      <c r="A71" s="78"/>
      <c r="B71" s="78"/>
      <c r="C71" s="78"/>
    </row>
    <row r="72" spans="1:32" ht="14.25">
      <c r="A72" s="78"/>
      <c r="B72" s="78"/>
      <c r="C72" s="78"/>
    </row>
    <row r="73" spans="1:32" ht="14.25">
      <c r="A73" s="78"/>
      <c r="B73" s="78"/>
      <c r="C73" s="78"/>
    </row>
    <row r="74" spans="1:32" ht="14.25">
      <c r="A74" s="78"/>
      <c r="B74" s="78"/>
      <c r="C74" s="78"/>
    </row>
    <row r="75" spans="1:32" s="4" customFormat="1" ht="14.25">
      <c r="A75" s="78"/>
      <c r="B75" s="78"/>
      <c r="C75" s="78"/>
      <c r="D75" s="1043"/>
      <c r="F75" s="1044"/>
      <c r="H75" s="1043"/>
      <c r="I75" s="19"/>
      <c r="J75" s="609"/>
      <c r="K75" s="609"/>
      <c r="L75" s="1042"/>
      <c r="M75" s="609"/>
      <c r="N75" s="609"/>
      <c r="O75" s="609"/>
      <c r="P75" s="609"/>
      <c r="Q75" s="609"/>
      <c r="R75" s="609"/>
      <c r="S75" s="609"/>
      <c r="T75" s="609"/>
      <c r="U75" s="609"/>
      <c r="V75" s="609"/>
      <c r="W75" s="609"/>
      <c r="X75" s="609"/>
      <c r="Y75" s="609"/>
      <c r="Z75" s="609"/>
      <c r="AA75" s="609"/>
      <c r="AB75" s="609"/>
      <c r="AC75" s="609"/>
      <c r="AD75" s="609"/>
      <c r="AE75" s="609"/>
      <c r="AF75" s="609"/>
    </row>
    <row r="76" spans="1:32" s="4" customFormat="1" ht="14.25">
      <c r="A76" s="78"/>
      <c r="B76" s="78"/>
      <c r="C76" s="78"/>
      <c r="D76" s="1043"/>
      <c r="F76" s="1044"/>
      <c r="H76" s="1043"/>
      <c r="I76" s="19"/>
      <c r="J76" s="609"/>
      <c r="K76" s="609"/>
      <c r="L76" s="1042"/>
      <c r="M76" s="609"/>
      <c r="N76" s="609"/>
      <c r="O76" s="609"/>
      <c r="P76" s="609"/>
      <c r="Q76" s="609"/>
      <c r="R76" s="609"/>
      <c r="S76" s="609"/>
      <c r="T76" s="609"/>
      <c r="U76" s="609"/>
      <c r="V76" s="609"/>
      <c r="W76" s="609"/>
      <c r="X76" s="609"/>
      <c r="Y76" s="609"/>
      <c r="Z76" s="609"/>
      <c r="AA76" s="609"/>
      <c r="AB76" s="609"/>
      <c r="AC76" s="609"/>
      <c r="AD76" s="609"/>
      <c r="AE76" s="609"/>
      <c r="AF76" s="609"/>
    </row>
    <row r="77" spans="1:32" s="4" customFormat="1" ht="14.25">
      <c r="A77" s="78"/>
      <c r="B77" s="78"/>
      <c r="C77" s="78"/>
      <c r="D77" s="1043"/>
      <c r="F77" s="1044"/>
      <c r="H77" s="1043"/>
      <c r="I77" s="19"/>
      <c r="J77" s="609"/>
      <c r="K77" s="609"/>
      <c r="L77" s="1042"/>
      <c r="M77" s="609"/>
      <c r="N77" s="609"/>
      <c r="O77" s="609"/>
      <c r="P77" s="609"/>
      <c r="Q77" s="609"/>
      <c r="R77" s="609"/>
      <c r="S77" s="609"/>
      <c r="T77" s="609"/>
      <c r="U77" s="609"/>
      <c r="V77" s="609"/>
      <c r="W77" s="609"/>
      <c r="X77" s="609"/>
      <c r="Y77" s="609"/>
      <c r="Z77" s="609"/>
      <c r="AA77" s="609"/>
      <c r="AB77" s="609"/>
      <c r="AC77" s="609"/>
      <c r="AD77" s="609"/>
      <c r="AE77" s="609"/>
      <c r="AF77" s="609"/>
    </row>
    <row r="78" spans="1:32" s="4" customFormat="1" ht="14.25">
      <c r="A78" s="78"/>
      <c r="B78" s="78"/>
      <c r="C78" s="78"/>
      <c r="D78" s="1043"/>
      <c r="F78" s="1044"/>
      <c r="H78" s="1043"/>
      <c r="I78" s="19"/>
      <c r="J78" s="609"/>
      <c r="K78" s="609"/>
      <c r="L78" s="1042"/>
      <c r="M78" s="609"/>
      <c r="N78" s="609"/>
      <c r="O78" s="609"/>
      <c r="P78" s="609"/>
      <c r="Q78" s="609"/>
      <c r="R78" s="609"/>
      <c r="S78" s="609"/>
      <c r="T78" s="609"/>
      <c r="U78" s="609"/>
      <c r="V78" s="609"/>
      <c r="W78" s="609"/>
      <c r="X78" s="609"/>
      <c r="Y78" s="609"/>
      <c r="Z78" s="609"/>
      <c r="AA78" s="609"/>
      <c r="AB78" s="609"/>
      <c r="AC78" s="609"/>
      <c r="AD78" s="609"/>
      <c r="AE78" s="609"/>
      <c r="AF78" s="609"/>
    </row>
    <row r="79" spans="1:32" s="4" customFormat="1" ht="14.25">
      <c r="A79" s="78"/>
      <c r="B79" s="78"/>
      <c r="C79" s="78"/>
      <c r="D79" s="1043"/>
      <c r="F79" s="1044"/>
      <c r="H79" s="1043"/>
      <c r="I79" s="19"/>
      <c r="J79" s="609"/>
      <c r="K79" s="609"/>
      <c r="L79" s="1042"/>
      <c r="M79" s="609"/>
      <c r="N79" s="609"/>
      <c r="O79" s="609"/>
      <c r="P79" s="609"/>
      <c r="Q79" s="609"/>
      <c r="R79" s="609"/>
      <c r="S79" s="609"/>
      <c r="T79" s="609"/>
      <c r="U79" s="609"/>
      <c r="V79" s="609"/>
      <c r="W79" s="609"/>
      <c r="X79" s="609"/>
      <c r="Y79" s="609"/>
      <c r="Z79" s="609"/>
      <c r="AA79" s="609"/>
      <c r="AB79" s="609"/>
      <c r="AC79" s="609"/>
      <c r="AD79" s="609"/>
      <c r="AE79" s="609"/>
      <c r="AF79" s="609"/>
    </row>
    <row r="80" spans="1:32" s="4" customFormat="1" ht="14.25">
      <c r="A80" s="78"/>
      <c r="B80" s="78"/>
      <c r="C80" s="78"/>
      <c r="D80" s="1043"/>
      <c r="F80" s="1044"/>
      <c r="H80" s="1043"/>
      <c r="I80" s="19"/>
      <c r="J80" s="609"/>
      <c r="K80" s="609"/>
      <c r="L80" s="1042"/>
      <c r="M80" s="609"/>
      <c r="N80" s="609"/>
      <c r="O80" s="609"/>
      <c r="P80" s="609"/>
      <c r="Q80" s="609"/>
      <c r="R80" s="609"/>
      <c r="S80" s="609"/>
      <c r="T80" s="609"/>
      <c r="U80" s="609"/>
      <c r="V80" s="609"/>
      <c r="W80" s="609"/>
      <c r="X80" s="609"/>
      <c r="Y80" s="609"/>
      <c r="Z80" s="609"/>
      <c r="AA80" s="609"/>
      <c r="AB80" s="609"/>
      <c r="AC80" s="609"/>
      <c r="AD80" s="609"/>
      <c r="AE80" s="609"/>
      <c r="AF80" s="609"/>
    </row>
    <row r="81" spans="1:32" s="4" customFormat="1" ht="14.25">
      <c r="A81" s="78"/>
      <c r="B81" s="78"/>
      <c r="C81" s="78"/>
      <c r="D81" s="1043"/>
      <c r="F81" s="1044"/>
      <c r="H81" s="1043"/>
      <c r="I81" s="19"/>
      <c r="J81" s="609"/>
      <c r="K81" s="609"/>
      <c r="L81" s="1042"/>
      <c r="M81" s="609"/>
      <c r="N81" s="609"/>
      <c r="O81" s="609"/>
      <c r="P81" s="609"/>
      <c r="Q81" s="609"/>
      <c r="R81" s="609"/>
      <c r="S81" s="609"/>
      <c r="T81" s="609"/>
      <c r="U81" s="609"/>
      <c r="V81" s="609"/>
      <c r="W81" s="609"/>
      <c r="X81" s="609"/>
      <c r="Y81" s="609"/>
      <c r="Z81" s="609"/>
      <c r="AA81" s="609"/>
      <c r="AB81" s="609"/>
      <c r="AC81" s="609"/>
      <c r="AD81" s="609"/>
      <c r="AE81" s="609"/>
      <c r="AF81" s="609"/>
    </row>
    <row r="82" spans="1:32" s="4" customFormat="1" ht="14.25">
      <c r="A82" s="78"/>
      <c r="B82" s="78"/>
      <c r="C82" s="78"/>
      <c r="D82" s="1043"/>
      <c r="F82" s="1044"/>
      <c r="H82" s="1043"/>
      <c r="I82" s="19"/>
      <c r="J82" s="609"/>
      <c r="K82" s="609"/>
      <c r="L82" s="1042"/>
      <c r="M82" s="609"/>
      <c r="N82" s="609"/>
      <c r="O82" s="609"/>
      <c r="P82" s="609"/>
      <c r="Q82" s="609"/>
      <c r="R82" s="609"/>
      <c r="S82" s="609"/>
      <c r="T82" s="609"/>
      <c r="U82" s="609"/>
      <c r="V82" s="609"/>
      <c r="W82" s="609"/>
      <c r="X82" s="609"/>
      <c r="Y82" s="609"/>
      <c r="Z82" s="609"/>
      <c r="AA82" s="609"/>
      <c r="AB82" s="609"/>
      <c r="AC82" s="609"/>
      <c r="AD82" s="609"/>
      <c r="AE82" s="609"/>
      <c r="AF82" s="609"/>
    </row>
    <row r="83" spans="1:32" s="4" customFormat="1" ht="14.25">
      <c r="A83" s="78"/>
      <c r="B83" s="78"/>
      <c r="C83" s="78"/>
      <c r="D83" s="1043"/>
      <c r="F83" s="1044"/>
      <c r="H83" s="1043"/>
      <c r="I83" s="19"/>
      <c r="J83" s="609"/>
      <c r="K83" s="609"/>
      <c r="L83" s="1042"/>
      <c r="M83" s="609"/>
      <c r="N83" s="609"/>
      <c r="O83" s="609"/>
      <c r="P83" s="609"/>
      <c r="Q83" s="609"/>
      <c r="R83" s="609"/>
      <c r="S83" s="609"/>
      <c r="T83" s="609"/>
      <c r="U83" s="609"/>
      <c r="V83" s="609"/>
      <c r="W83" s="609"/>
      <c r="X83" s="609"/>
      <c r="Y83" s="609"/>
      <c r="Z83" s="609"/>
      <c r="AA83" s="609"/>
      <c r="AB83" s="609"/>
      <c r="AC83" s="609"/>
      <c r="AD83" s="609"/>
      <c r="AE83" s="609"/>
      <c r="AF83" s="609"/>
    </row>
    <row r="84" spans="1:32" s="4" customFormat="1" ht="14.25">
      <c r="A84" s="78"/>
      <c r="B84" s="78"/>
      <c r="C84" s="78"/>
      <c r="D84" s="1043"/>
      <c r="F84" s="1044"/>
      <c r="H84" s="1043"/>
      <c r="I84" s="19"/>
      <c r="J84" s="609"/>
      <c r="K84" s="609"/>
      <c r="L84" s="1042"/>
      <c r="M84" s="609"/>
      <c r="N84" s="609"/>
      <c r="O84" s="609"/>
      <c r="P84" s="609"/>
      <c r="Q84" s="609"/>
      <c r="R84" s="609"/>
      <c r="S84" s="609"/>
      <c r="T84" s="609"/>
      <c r="U84" s="609"/>
      <c r="V84" s="609"/>
      <c r="W84" s="609"/>
      <c r="X84" s="609"/>
      <c r="Y84" s="609"/>
      <c r="Z84" s="609"/>
      <c r="AA84" s="609"/>
      <c r="AB84" s="609"/>
      <c r="AC84" s="609"/>
      <c r="AD84" s="609"/>
      <c r="AE84" s="609"/>
      <c r="AF84" s="609"/>
    </row>
    <row r="85" spans="1:32" s="4" customFormat="1" ht="14.25">
      <c r="A85" s="78"/>
      <c r="B85" s="78"/>
      <c r="C85" s="78"/>
      <c r="D85" s="1043"/>
      <c r="F85" s="1044"/>
      <c r="H85" s="1043"/>
      <c r="I85" s="19"/>
      <c r="J85" s="609"/>
      <c r="K85" s="609"/>
      <c r="L85" s="1042"/>
      <c r="M85" s="609"/>
      <c r="N85" s="609"/>
      <c r="O85" s="609"/>
      <c r="P85" s="609"/>
      <c r="Q85" s="609"/>
      <c r="R85" s="609"/>
      <c r="S85" s="609"/>
      <c r="T85" s="609"/>
      <c r="U85" s="609"/>
      <c r="V85" s="609"/>
      <c r="W85" s="609"/>
      <c r="X85" s="609"/>
      <c r="Y85" s="609"/>
      <c r="Z85" s="609"/>
      <c r="AA85" s="609"/>
      <c r="AB85" s="609"/>
      <c r="AC85" s="609"/>
      <c r="AD85" s="609"/>
      <c r="AE85" s="609"/>
      <c r="AF85" s="609"/>
    </row>
    <row r="86" spans="1:32" s="4" customFormat="1" ht="14.25">
      <c r="A86" s="78"/>
      <c r="B86" s="78"/>
      <c r="C86" s="78"/>
      <c r="D86" s="1043"/>
      <c r="F86" s="1044"/>
      <c r="H86" s="1043"/>
      <c r="I86" s="19"/>
      <c r="J86" s="609"/>
      <c r="K86" s="609"/>
      <c r="L86" s="1042"/>
      <c r="M86" s="609"/>
      <c r="N86" s="609"/>
      <c r="O86" s="609"/>
      <c r="P86" s="609"/>
      <c r="Q86" s="609"/>
      <c r="R86" s="609"/>
      <c r="S86" s="609"/>
      <c r="T86" s="609"/>
      <c r="U86" s="609"/>
      <c r="V86" s="609"/>
      <c r="W86" s="609"/>
      <c r="X86" s="609"/>
      <c r="Y86" s="609"/>
      <c r="Z86" s="609"/>
      <c r="AA86" s="609"/>
      <c r="AB86" s="609"/>
      <c r="AC86" s="609"/>
      <c r="AD86" s="609"/>
      <c r="AE86" s="609"/>
      <c r="AF86" s="609"/>
    </row>
    <row r="87" spans="1:32" s="4" customFormat="1" ht="14.25">
      <c r="A87" s="78"/>
      <c r="B87" s="78"/>
      <c r="C87" s="78"/>
      <c r="D87" s="1043"/>
      <c r="F87" s="1044"/>
      <c r="H87" s="1043"/>
      <c r="I87" s="19"/>
      <c r="J87" s="609"/>
      <c r="K87" s="609"/>
      <c r="L87" s="1042"/>
      <c r="M87" s="609"/>
      <c r="N87" s="609"/>
      <c r="O87" s="609"/>
      <c r="P87" s="609"/>
      <c r="Q87" s="609"/>
      <c r="R87" s="609"/>
      <c r="S87" s="609"/>
      <c r="T87" s="609"/>
      <c r="U87" s="609"/>
      <c r="V87" s="609"/>
      <c r="W87" s="609"/>
      <c r="X87" s="609"/>
      <c r="Y87" s="609"/>
      <c r="Z87" s="609"/>
      <c r="AA87" s="609"/>
      <c r="AB87" s="609"/>
      <c r="AC87" s="609"/>
      <c r="AD87" s="609"/>
      <c r="AE87" s="609"/>
      <c r="AF87" s="609"/>
    </row>
    <row r="88" spans="1:32" s="4" customFormat="1" ht="14.25">
      <c r="A88" s="78"/>
      <c r="B88" s="78"/>
      <c r="C88" s="78"/>
      <c r="D88" s="1043"/>
      <c r="F88" s="1044"/>
      <c r="H88" s="1043"/>
      <c r="I88" s="19"/>
      <c r="J88" s="609"/>
      <c r="K88" s="609"/>
      <c r="L88" s="1042"/>
      <c r="M88" s="609"/>
      <c r="N88" s="609"/>
      <c r="O88" s="609"/>
      <c r="P88" s="609"/>
      <c r="Q88" s="609"/>
      <c r="R88" s="609"/>
      <c r="S88" s="609"/>
      <c r="T88" s="609"/>
      <c r="U88" s="609"/>
      <c r="V88" s="609"/>
      <c r="W88" s="609"/>
      <c r="X88" s="609"/>
      <c r="Y88" s="609"/>
      <c r="Z88" s="609"/>
      <c r="AA88" s="609"/>
      <c r="AB88" s="609"/>
      <c r="AC88" s="609"/>
      <c r="AD88" s="609"/>
      <c r="AE88" s="609"/>
      <c r="AF88" s="609"/>
    </row>
    <row r="89" spans="1:32" s="4" customFormat="1" ht="14.25">
      <c r="A89" s="78"/>
      <c r="B89" s="78"/>
      <c r="C89" s="78"/>
      <c r="D89" s="1043"/>
      <c r="F89" s="1044"/>
      <c r="H89" s="1043"/>
      <c r="I89" s="19"/>
      <c r="J89" s="609"/>
      <c r="K89" s="609"/>
      <c r="L89" s="1042"/>
      <c r="M89" s="609"/>
      <c r="N89" s="609"/>
      <c r="O89" s="609"/>
      <c r="P89" s="609"/>
      <c r="Q89" s="609"/>
      <c r="R89" s="609"/>
      <c r="S89" s="609"/>
      <c r="T89" s="609"/>
      <c r="U89" s="609"/>
      <c r="V89" s="609"/>
      <c r="W89" s="609"/>
      <c r="X89" s="609"/>
      <c r="Y89" s="609"/>
      <c r="Z89" s="609"/>
      <c r="AA89" s="609"/>
      <c r="AB89" s="609"/>
      <c r="AC89" s="609"/>
      <c r="AD89" s="609"/>
      <c r="AE89" s="609"/>
      <c r="AF89" s="609"/>
    </row>
    <row r="90" spans="1:32" s="4" customFormat="1" ht="14.25">
      <c r="A90" s="78"/>
      <c r="B90" s="78"/>
      <c r="C90" s="78"/>
      <c r="D90" s="1043"/>
      <c r="F90" s="1044"/>
      <c r="H90" s="1043"/>
      <c r="I90" s="19"/>
      <c r="J90" s="609"/>
      <c r="K90" s="609"/>
      <c r="L90" s="1042"/>
      <c r="M90" s="609"/>
      <c r="N90" s="609"/>
      <c r="O90" s="609"/>
      <c r="P90" s="609"/>
      <c r="Q90" s="609"/>
      <c r="R90" s="609"/>
      <c r="S90" s="609"/>
      <c r="T90" s="609"/>
      <c r="U90" s="609"/>
      <c r="V90" s="609"/>
      <c r="W90" s="609"/>
      <c r="X90" s="609"/>
      <c r="Y90" s="609"/>
      <c r="Z90" s="609"/>
      <c r="AA90" s="609"/>
      <c r="AB90" s="609"/>
      <c r="AC90" s="609"/>
      <c r="AD90" s="609"/>
      <c r="AE90" s="609"/>
      <c r="AF90" s="609"/>
    </row>
    <row r="91" spans="1:32" s="1045" customFormat="1" ht="14.25">
      <c r="A91" s="78"/>
      <c r="B91" s="78"/>
      <c r="C91" s="78"/>
      <c r="D91" s="1043"/>
      <c r="E91" s="4"/>
      <c r="F91" s="1044"/>
      <c r="G91" s="4"/>
      <c r="H91" s="1043"/>
      <c r="I91" s="19"/>
      <c r="J91" s="609"/>
      <c r="K91" s="609"/>
      <c r="L91" s="1042"/>
      <c r="M91" s="609"/>
      <c r="N91" s="609"/>
      <c r="O91" s="609"/>
      <c r="P91" s="609"/>
      <c r="Q91" s="609"/>
      <c r="R91" s="609"/>
      <c r="S91" s="609"/>
      <c r="T91" s="609"/>
      <c r="U91" s="609"/>
      <c r="V91" s="609"/>
      <c r="W91" s="609"/>
      <c r="X91" s="609"/>
      <c r="Y91" s="609"/>
      <c r="Z91" s="609"/>
      <c r="AA91" s="609"/>
      <c r="AB91" s="609"/>
      <c r="AC91" s="609"/>
      <c r="AD91" s="609"/>
      <c r="AE91" s="609"/>
      <c r="AF91" s="609"/>
    </row>
    <row r="92" spans="1:32" s="1045" customFormat="1" ht="14.25">
      <c r="A92" s="78"/>
      <c r="B92" s="78"/>
      <c r="C92" s="78"/>
      <c r="D92" s="1043"/>
      <c r="E92" s="4"/>
      <c r="F92" s="1044"/>
      <c r="G92" s="4"/>
      <c r="H92" s="1043"/>
      <c r="I92" s="19"/>
      <c r="J92" s="609"/>
      <c r="K92" s="609"/>
      <c r="L92" s="1042"/>
      <c r="M92" s="609"/>
      <c r="N92" s="609"/>
      <c r="O92" s="609"/>
      <c r="P92" s="609"/>
      <c r="Q92" s="609"/>
      <c r="R92" s="609"/>
      <c r="S92" s="609"/>
      <c r="T92" s="609"/>
      <c r="U92" s="609"/>
      <c r="V92" s="609"/>
      <c r="W92" s="609"/>
      <c r="X92" s="609"/>
      <c r="Y92" s="609"/>
      <c r="Z92" s="609"/>
      <c r="AA92" s="609"/>
      <c r="AB92" s="609"/>
      <c r="AC92" s="609"/>
      <c r="AD92" s="609"/>
      <c r="AE92" s="609"/>
      <c r="AF92" s="609"/>
    </row>
    <row r="93" spans="1:32" s="1045" customFormat="1" ht="14.25">
      <c r="A93" s="78"/>
      <c r="B93" s="78"/>
      <c r="C93" s="78"/>
      <c r="D93" s="1043"/>
      <c r="E93" s="4"/>
      <c r="F93" s="1044"/>
      <c r="G93" s="4"/>
      <c r="H93" s="1043"/>
      <c r="I93" s="19"/>
      <c r="J93" s="609"/>
      <c r="K93" s="609"/>
      <c r="L93" s="1042"/>
      <c r="M93" s="609"/>
      <c r="N93" s="609"/>
      <c r="O93" s="609"/>
      <c r="P93" s="609"/>
      <c r="Q93" s="609"/>
      <c r="R93" s="609"/>
      <c r="S93" s="609"/>
      <c r="T93" s="609"/>
      <c r="U93" s="609"/>
      <c r="V93" s="609"/>
      <c r="W93" s="609"/>
      <c r="X93" s="609"/>
      <c r="Y93" s="609"/>
      <c r="Z93" s="609"/>
      <c r="AA93" s="609"/>
      <c r="AB93" s="609"/>
      <c r="AC93" s="609"/>
      <c r="AD93" s="609"/>
      <c r="AE93" s="609"/>
      <c r="AF93" s="609"/>
    </row>
    <row r="94" spans="1:32" s="1045" customFormat="1" ht="14.25">
      <c r="A94" s="78"/>
      <c r="B94" s="78"/>
      <c r="C94" s="78"/>
      <c r="D94" s="1043"/>
      <c r="E94" s="4"/>
      <c r="F94" s="1044"/>
      <c r="G94" s="4"/>
      <c r="H94" s="1043"/>
      <c r="I94" s="19"/>
      <c r="J94" s="609"/>
      <c r="K94" s="609"/>
      <c r="L94" s="1042"/>
      <c r="M94" s="609"/>
      <c r="N94" s="609"/>
      <c r="O94" s="609"/>
      <c r="P94" s="609"/>
      <c r="Q94" s="609"/>
      <c r="R94" s="609"/>
      <c r="S94" s="609"/>
      <c r="T94" s="609"/>
      <c r="U94" s="609"/>
      <c r="V94" s="609"/>
      <c r="W94" s="609"/>
      <c r="X94" s="609"/>
      <c r="Y94" s="609"/>
      <c r="Z94" s="609"/>
      <c r="AA94" s="609"/>
      <c r="AB94" s="609"/>
      <c r="AC94" s="609"/>
      <c r="AD94" s="609"/>
      <c r="AE94" s="609"/>
      <c r="AF94" s="609"/>
    </row>
    <row r="95" spans="1:32" s="1045" customFormat="1" ht="14.25">
      <c r="A95" s="78"/>
      <c r="B95" s="78"/>
      <c r="C95" s="78"/>
      <c r="D95" s="1043"/>
      <c r="E95" s="4"/>
      <c r="F95" s="1044"/>
      <c r="G95" s="4"/>
      <c r="H95" s="1043"/>
      <c r="I95" s="19"/>
      <c r="J95" s="609"/>
      <c r="K95" s="609"/>
      <c r="L95" s="1042"/>
      <c r="M95" s="609"/>
      <c r="N95" s="609"/>
      <c r="O95" s="609"/>
      <c r="P95" s="609"/>
      <c r="Q95" s="609"/>
      <c r="R95" s="609"/>
      <c r="S95" s="609"/>
      <c r="T95" s="609"/>
      <c r="U95" s="609"/>
      <c r="V95" s="609"/>
      <c r="W95" s="609"/>
      <c r="X95" s="609"/>
      <c r="Y95" s="609"/>
      <c r="Z95" s="609"/>
      <c r="AA95" s="609"/>
      <c r="AB95" s="609"/>
      <c r="AC95" s="609"/>
      <c r="AD95" s="609"/>
      <c r="AE95" s="609"/>
      <c r="AF95" s="609"/>
    </row>
    <row r="96" spans="1:32" s="1045" customFormat="1" ht="14.25">
      <c r="A96" s="78"/>
      <c r="B96" s="78"/>
      <c r="C96" s="78"/>
      <c r="D96" s="1043"/>
      <c r="E96" s="4"/>
      <c r="F96" s="1044"/>
      <c r="G96" s="4"/>
      <c r="H96" s="1043"/>
      <c r="I96" s="19"/>
      <c r="J96" s="609"/>
      <c r="K96" s="609"/>
      <c r="L96" s="1042"/>
      <c r="M96" s="609"/>
      <c r="N96" s="609"/>
      <c r="O96" s="609"/>
      <c r="P96" s="609"/>
      <c r="Q96" s="609"/>
      <c r="R96" s="609"/>
      <c r="S96" s="609"/>
      <c r="T96" s="609"/>
      <c r="U96" s="609"/>
      <c r="V96" s="609"/>
      <c r="W96" s="609"/>
      <c r="X96" s="609"/>
      <c r="Y96" s="609"/>
      <c r="Z96" s="609"/>
      <c r="AA96" s="609"/>
      <c r="AB96" s="609"/>
      <c r="AC96" s="609"/>
      <c r="AD96" s="609"/>
      <c r="AE96" s="609"/>
      <c r="AF96" s="609"/>
    </row>
    <row r="97" spans="1:32" s="1045" customFormat="1" ht="14.25">
      <c r="A97" s="78"/>
      <c r="B97" s="78"/>
      <c r="C97" s="78"/>
      <c r="D97" s="1043"/>
      <c r="E97" s="4"/>
      <c r="F97" s="1044"/>
      <c r="G97" s="4"/>
      <c r="H97" s="1043"/>
      <c r="I97" s="19"/>
      <c r="J97" s="609"/>
      <c r="K97" s="609"/>
      <c r="L97" s="1042"/>
      <c r="M97" s="609"/>
      <c r="N97" s="609"/>
      <c r="O97" s="609"/>
      <c r="P97" s="609"/>
      <c r="Q97" s="609"/>
      <c r="R97" s="609"/>
      <c r="S97" s="609"/>
      <c r="T97" s="609"/>
      <c r="U97" s="609"/>
      <c r="V97" s="609"/>
      <c r="W97" s="609"/>
      <c r="X97" s="609"/>
      <c r="Y97" s="609"/>
      <c r="Z97" s="609"/>
      <c r="AA97" s="609"/>
      <c r="AB97" s="609"/>
      <c r="AC97" s="609"/>
      <c r="AD97" s="609"/>
      <c r="AE97" s="609"/>
      <c r="AF97" s="609"/>
    </row>
    <row r="98" spans="1:32" s="1045" customFormat="1" ht="14.25">
      <c r="A98" s="78"/>
      <c r="B98" s="78"/>
      <c r="C98" s="78"/>
      <c r="D98" s="1043"/>
      <c r="E98" s="4"/>
      <c r="F98" s="1044"/>
      <c r="G98" s="4"/>
      <c r="H98" s="1043"/>
      <c r="I98" s="19"/>
      <c r="J98" s="609"/>
      <c r="K98" s="609"/>
      <c r="L98" s="1042"/>
      <c r="M98" s="609"/>
      <c r="N98" s="609"/>
      <c r="O98" s="609"/>
      <c r="P98" s="609"/>
      <c r="Q98" s="609"/>
      <c r="R98" s="609"/>
      <c r="S98" s="609"/>
      <c r="T98" s="609"/>
      <c r="U98" s="609"/>
      <c r="V98" s="609"/>
      <c r="W98" s="609"/>
      <c r="X98" s="609"/>
      <c r="Y98" s="609"/>
      <c r="Z98" s="609"/>
      <c r="AA98" s="609"/>
      <c r="AB98" s="609"/>
      <c r="AC98" s="609"/>
      <c r="AD98" s="609"/>
      <c r="AE98" s="609"/>
      <c r="AF98" s="609"/>
    </row>
    <row r="99" spans="1:32" s="1045" customFormat="1" ht="14.25">
      <c r="A99" s="78"/>
      <c r="B99" s="78"/>
      <c r="C99" s="78"/>
      <c r="D99" s="1043"/>
      <c r="E99" s="4"/>
      <c r="F99" s="1044"/>
      <c r="G99" s="4"/>
      <c r="H99" s="1043"/>
      <c r="I99" s="19"/>
      <c r="J99" s="609"/>
      <c r="K99" s="609"/>
      <c r="L99" s="1042"/>
      <c r="M99" s="609"/>
      <c r="N99" s="609"/>
      <c r="O99" s="609"/>
      <c r="P99" s="609"/>
      <c r="Q99" s="609"/>
      <c r="R99" s="609"/>
      <c r="S99" s="609"/>
      <c r="T99" s="609"/>
      <c r="U99" s="609"/>
      <c r="V99" s="609"/>
      <c r="W99" s="609"/>
      <c r="X99" s="609"/>
      <c r="Y99" s="609"/>
      <c r="Z99" s="609"/>
      <c r="AA99" s="609"/>
      <c r="AB99" s="609"/>
      <c r="AC99" s="609"/>
      <c r="AD99" s="609"/>
      <c r="AE99" s="609"/>
      <c r="AF99" s="609"/>
    </row>
    <row r="100" spans="1:32" s="1045" customFormat="1" ht="14.25">
      <c r="A100" s="78"/>
      <c r="B100" s="78"/>
      <c r="C100" s="78"/>
      <c r="D100" s="1043"/>
      <c r="E100" s="4"/>
      <c r="F100" s="1044"/>
      <c r="G100" s="4"/>
      <c r="H100" s="1043"/>
      <c r="I100" s="19"/>
      <c r="J100" s="609"/>
      <c r="K100" s="609"/>
      <c r="L100" s="1042"/>
      <c r="M100" s="609"/>
      <c r="N100" s="609"/>
      <c r="O100" s="609"/>
      <c r="P100" s="609"/>
      <c r="Q100" s="609"/>
      <c r="R100" s="609"/>
      <c r="S100" s="609"/>
      <c r="T100" s="609"/>
      <c r="U100" s="609"/>
      <c r="V100" s="609"/>
      <c r="W100" s="609"/>
      <c r="X100" s="609"/>
      <c r="Y100" s="609"/>
      <c r="Z100" s="609"/>
      <c r="AA100" s="609"/>
      <c r="AB100" s="609"/>
      <c r="AC100" s="609"/>
      <c r="AD100" s="609"/>
      <c r="AE100" s="609"/>
      <c r="AF100" s="609"/>
    </row>
    <row r="101" spans="1:32" s="1045" customFormat="1" ht="14.25">
      <c r="A101" s="78"/>
      <c r="B101" s="78"/>
      <c r="C101" s="78"/>
      <c r="D101" s="1043"/>
      <c r="E101" s="4"/>
      <c r="F101" s="1044"/>
      <c r="G101" s="4"/>
      <c r="H101" s="1043"/>
      <c r="I101" s="19"/>
      <c r="J101" s="609"/>
      <c r="K101" s="609"/>
      <c r="L101" s="1042"/>
      <c r="M101" s="609"/>
      <c r="N101" s="609"/>
      <c r="O101" s="609"/>
      <c r="P101" s="609"/>
      <c r="Q101" s="609"/>
      <c r="R101" s="609"/>
      <c r="S101" s="609"/>
      <c r="T101" s="609"/>
      <c r="U101" s="609"/>
      <c r="V101" s="609"/>
      <c r="W101" s="609"/>
      <c r="X101" s="609"/>
      <c r="Y101" s="609"/>
      <c r="Z101" s="609"/>
      <c r="AA101" s="609"/>
      <c r="AB101" s="609"/>
      <c r="AC101" s="609"/>
      <c r="AD101" s="609"/>
      <c r="AE101" s="609"/>
      <c r="AF101" s="609"/>
    </row>
    <row r="102" spans="1:32" s="1045" customFormat="1" ht="14.25">
      <c r="A102" s="78"/>
      <c r="B102" s="78"/>
      <c r="C102" s="78"/>
      <c r="D102" s="1046"/>
      <c r="E102" s="78"/>
      <c r="F102" s="9"/>
      <c r="G102" s="78"/>
      <c r="H102" s="1046"/>
      <c r="I102" s="78"/>
      <c r="J102" s="609"/>
      <c r="K102" s="609"/>
      <c r="L102" s="1042"/>
      <c r="M102" s="609"/>
      <c r="N102" s="609"/>
      <c r="O102" s="609"/>
      <c r="P102" s="609"/>
      <c r="Q102" s="609"/>
      <c r="R102" s="609"/>
      <c r="S102" s="609"/>
      <c r="T102" s="609"/>
      <c r="U102" s="609"/>
      <c r="V102" s="609"/>
      <c r="W102" s="609"/>
      <c r="X102" s="609"/>
      <c r="Y102" s="609"/>
      <c r="Z102" s="609"/>
      <c r="AA102" s="609"/>
      <c r="AB102" s="609"/>
      <c r="AC102" s="609"/>
      <c r="AD102" s="609"/>
      <c r="AE102" s="609"/>
      <c r="AF102" s="609"/>
    </row>
    <row r="103" spans="1:32" s="1045" customFormat="1" ht="14.25">
      <c r="A103" s="78"/>
      <c r="B103" s="78"/>
      <c r="C103" s="78"/>
      <c r="D103" s="1046"/>
      <c r="E103" s="78"/>
      <c r="F103" s="9"/>
      <c r="G103" s="78"/>
      <c r="H103" s="1046"/>
      <c r="I103" s="78"/>
      <c r="J103" s="609"/>
      <c r="K103" s="609"/>
      <c r="L103" s="1042"/>
      <c r="M103" s="609"/>
      <c r="N103" s="609"/>
      <c r="O103" s="609"/>
      <c r="P103" s="609"/>
      <c r="Q103" s="609"/>
      <c r="R103" s="609"/>
      <c r="S103" s="609"/>
      <c r="T103" s="609"/>
      <c r="U103" s="609"/>
      <c r="V103" s="609"/>
      <c r="W103" s="609"/>
      <c r="X103" s="609"/>
      <c r="Y103" s="609"/>
      <c r="Z103" s="609"/>
      <c r="AA103" s="609"/>
      <c r="AB103" s="609"/>
      <c r="AC103" s="609"/>
      <c r="AD103" s="609"/>
      <c r="AE103" s="609"/>
      <c r="AF103" s="609"/>
    </row>
    <row r="104" spans="1:32" s="1045" customFormat="1" ht="14.25">
      <c r="A104" s="78"/>
      <c r="B104" s="78"/>
      <c r="C104" s="78"/>
      <c r="D104" s="1046"/>
      <c r="E104" s="78"/>
      <c r="F104" s="9"/>
      <c r="G104" s="78"/>
      <c r="H104" s="1046"/>
      <c r="I104" s="78"/>
      <c r="J104" s="609"/>
      <c r="K104" s="609"/>
      <c r="L104" s="1042"/>
      <c r="M104" s="609"/>
      <c r="N104" s="609"/>
      <c r="O104" s="609"/>
      <c r="P104" s="609"/>
      <c r="Q104" s="609"/>
      <c r="R104" s="609"/>
      <c r="S104" s="609"/>
      <c r="T104" s="609"/>
      <c r="U104" s="609"/>
      <c r="V104" s="609"/>
      <c r="W104" s="609"/>
      <c r="X104" s="609"/>
      <c r="Y104" s="609"/>
      <c r="Z104" s="609"/>
      <c r="AA104" s="609"/>
      <c r="AB104" s="609"/>
      <c r="AC104" s="609"/>
      <c r="AD104" s="609"/>
      <c r="AE104" s="609"/>
      <c r="AF104" s="609"/>
    </row>
    <row r="105" spans="1:32" s="1045" customFormat="1" ht="14.25">
      <c r="A105" s="78"/>
      <c r="B105" s="78"/>
      <c r="C105" s="78"/>
      <c r="D105" s="1046"/>
      <c r="E105" s="78"/>
      <c r="F105" s="9"/>
      <c r="G105" s="78"/>
      <c r="H105" s="1046"/>
      <c r="I105" s="78"/>
      <c r="J105" s="609"/>
      <c r="K105" s="609"/>
      <c r="L105" s="1042"/>
      <c r="M105" s="609"/>
      <c r="N105" s="609"/>
      <c r="O105" s="609"/>
      <c r="P105" s="609"/>
      <c r="Q105" s="609"/>
      <c r="R105" s="609"/>
      <c r="S105" s="609"/>
      <c r="T105" s="609"/>
      <c r="U105" s="609"/>
      <c r="V105" s="609"/>
      <c r="W105" s="609"/>
      <c r="X105" s="609"/>
      <c r="Y105" s="609"/>
      <c r="Z105" s="609"/>
      <c r="AA105" s="609"/>
      <c r="AB105" s="609"/>
      <c r="AC105" s="609"/>
      <c r="AD105" s="609"/>
      <c r="AE105" s="609"/>
      <c r="AF105" s="609"/>
    </row>
    <row r="106" spans="1:32" s="1045" customFormat="1" ht="14.25">
      <c r="A106" s="78"/>
      <c r="B106" s="78"/>
      <c r="C106" s="78"/>
      <c r="D106" s="1046"/>
      <c r="E106" s="78"/>
      <c r="F106" s="9"/>
      <c r="G106" s="78"/>
      <c r="H106" s="1046"/>
      <c r="I106" s="78"/>
      <c r="J106" s="609"/>
      <c r="K106" s="609"/>
      <c r="L106" s="1042"/>
      <c r="M106" s="609"/>
      <c r="N106" s="609"/>
      <c r="O106" s="609"/>
      <c r="P106" s="609"/>
      <c r="Q106" s="609"/>
      <c r="R106" s="609"/>
      <c r="S106" s="609"/>
      <c r="T106" s="609"/>
      <c r="U106" s="609"/>
      <c r="V106" s="609"/>
      <c r="W106" s="609"/>
      <c r="X106" s="609"/>
      <c r="Y106" s="609"/>
      <c r="Z106" s="609"/>
      <c r="AA106" s="609"/>
      <c r="AB106" s="609"/>
      <c r="AC106" s="609"/>
      <c r="AD106" s="609"/>
      <c r="AE106" s="609"/>
      <c r="AF106" s="609"/>
    </row>
    <row r="107" spans="1:32" s="1045" customFormat="1" ht="14.25">
      <c r="A107" s="78"/>
      <c r="B107" s="78"/>
      <c r="C107" s="78"/>
      <c r="D107" s="1046"/>
      <c r="E107" s="78"/>
      <c r="F107" s="9"/>
      <c r="G107" s="78"/>
      <c r="H107" s="1046"/>
      <c r="I107" s="78"/>
      <c r="J107" s="609"/>
      <c r="K107" s="609"/>
      <c r="L107" s="1042"/>
      <c r="M107" s="609"/>
      <c r="N107" s="609"/>
      <c r="O107" s="609"/>
      <c r="P107" s="609"/>
      <c r="Q107" s="609"/>
      <c r="R107" s="609"/>
      <c r="S107" s="609"/>
      <c r="T107" s="609"/>
      <c r="U107" s="609"/>
      <c r="V107" s="609"/>
      <c r="W107" s="609"/>
      <c r="X107" s="609"/>
      <c r="Y107" s="609"/>
      <c r="Z107" s="609"/>
      <c r="AA107" s="609"/>
      <c r="AB107" s="609"/>
      <c r="AC107" s="609"/>
      <c r="AD107" s="609"/>
      <c r="AE107" s="609"/>
      <c r="AF107" s="609"/>
    </row>
    <row r="108" spans="1:32" s="1045" customFormat="1" ht="14.25">
      <c r="A108" s="78"/>
      <c r="B108" s="78"/>
      <c r="C108" s="78"/>
      <c r="D108" s="1046"/>
      <c r="E108" s="78"/>
      <c r="F108" s="9"/>
      <c r="G108" s="78"/>
      <c r="H108" s="1046"/>
      <c r="I108" s="78"/>
      <c r="J108" s="609"/>
      <c r="K108" s="609"/>
      <c r="L108" s="1042"/>
      <c r="M108" s="609"/>
      <c r="N108" s="609"/>
      <c r="O108" s="609"/>
      <c r="P108" s="609"/>
      <c r="Q108" s="609"/>
      <c r="R108" s="609"/>
      <c r="S108" s="609"/>
      <c r="T108" s="609"/>
      <c r="U108" s="609"/>
      <c r="V108" s="609"/>
      <c r="W108" s="609"/>
      <c r="X108" s="609"/>
      <c r="Y108" s="609"/>
      <c r="Z108" s="609"/>
      <c r="AA108" s="609"/>
      <c r="AB108" s="609"/>
      <c r="AC108" s="609"/>
      <c r="AD108" s="609"/>
      <c r="AE108" s="609"/>
      <c r="AF108" s="609"/>
    </row>
    <row r="109" spans="1:32" s="1045" customFormat="1" ht="14.25">
      <c r="A109" s="78"/>
      <c r="B109" s="78"/>
      <c r="C109" s="78"/>
      <c r="D109" s="1046"/>
      <c r="E109" s="78"/>
      <c r="F109" s="9"/>
      <c r="G109" s="78"/>
      <c r="H109" s="1046"/>
      <c r="I109" s="78"/>
      <c r="J109" s="609"/>
      <c r="K109" s="609"/>
      <c r="L109" s="1042"/>
      <c r="M109" s="609"/>
      <c r="N109" s="609"/>
      <c r="O109" s="609"/>
      <c r="P109" s="609"/>
      <c r="Q109" s="609"/>
      <c r="R109" s="609"/>
      <c r="S109" s="609"/>
      <c r="T109" s="609"/>
      <c r="U109" s="609"/>
      <c r="V109" s="609"/>
      <c r="W109" s="609"/>
      <c r="X109" s="609"/>
      <c r="Y109" s="609"/>
      <c r="Z109" s="609"/>
      <c r="AA109" s="609"/>
      <c r="AB109" s="609"/>
      <c r="AC109" s="609"/>
      <c r="AD109" s="609"/>
      <c r="AE109" s="609"/>
      <c r="AF109" s="609"/>
    </row>
    <row r="110" spans="1:32" s="1045" customFormat="1" ht="14.25">
      <c r="A110" s="78"/>
      <c r="B110" s="78"/>
      <c r="C110" s="78"/>
      <c r="D110" s="1046"/>
      <c r="E110" s="78"/>
      <c r="F110" s="9"/>
      <c r="G110" s="78"/>
      <c r="H110" s="1046"/>
      <c r="I110" s="78"/>
      <c r="J110" s="609"/>
      <c r="K110" s="609"/>
      <c r="L110" s="1042"/>
      <c r="M110" s="609"/>
      <c r="N110" s="609"/>
      <c r="O110" s="609"/>
      <c r="P110" s="609"/>
      <c r="Q110" s="609"/>
      <c r="R110" s="609"/>
      <c r="S110" s="609"/>
      <c r="T110" s="609"/>
      <c r="U110" s="609"/>
      <c r="V110" s="609"/>
      <c r="W110" s="609"/>
      <c r="X110" s="609"/>
      <c r="Y110" s="609"/>
      <c r="Z110" s="609"/>
      <c r="AA110" s="609"/>
      <c r="AB110" s="609"/>
      <c r="AC110" s="609"/>
      <c r="AD110" s="609"/>
      <c r="AE110" s="609"/>
      <c r="AF110" s="609"/>
    </row>
    <row r="111" spans="1:32" s="1045" customFormat="1" ht="14.25">
      <c r="A111" s="78"/>
      <c r="B111" s="78"/>
      <c r="C111" s="78"/>
      <c r="D111" s="1046"/>
      <c r="E111" s="78"/>
      <c r="F111" s="9"/>
      <c r="G111" s="78"/>
      <c r="H111" s="1046"/>
      <c r="I111" s="78"/>
      <c r="J111" s="609"/>
      <c r="K111" s="609"/>
      <c r="L111" s="1042"/>
      <c r="M111" s="609"/>
      <c r="N111" s="609"/>
      <c r="O111" s="609"/>
      <c r="P111" s="609"/>
      <c r="Q111" s="609"/>
      <c r="R111" s="609"/>
      <c r="S111" s="609"/>
      <c r="T111" s="609"/>
      <c r="U111" s="609"/>
      <c r="V111" s="609"/>
      <c r="W111" s="609"/>
      <c r="X111" s="609"/>
      <c r="Y111" s="609"/>
      <c r="Z111" s="609"/>
      <c r="AA111" s="609"/>
      <c r="AB111" s="609"/>
      <c r="AC111" s="609"/>
      <c r="AD111" s="609"/>
      <c r="AE111" s="609"/>
      <c r="AF111" s="609"/>
    </row>
    <row r="112" spans="1:32" s="1045" customFormat="1" ht="14.25">
      <c r="A112" s="78"/>
      <c r="B112" s="78"/>
      <c r="C112" s="78"/>
      <c r="D112" s="1046"/>
      <c r="E112" s="78"/>
      <c r="F112" s="9"/>
      <c r="G112" s="78"/>
      <c r="H112" s="1046"/>
      <c r="I112" s="78"/>
      <c r="J112" s="609"/>
      <c r="K112" s="609"/>
      <c r="L112" s="1042"/>
      <c r="M112" s="609"/>
      <c r="N112" s="609"/>
      <c r="O112" s="609"/>
      <c r="P112" s="609"/>
      <c r="Q112" s="609"/>
      <c r="R112" s="609"/>
      <c r="S112" s="609"/>
      <c r="T112" s="609"/>
      <c r="U112" s="609"/>
      <c r="V112" s="609"/>
      <c r="W112" s="609"/>
      <c r="X112" s="609"/>
      <c r="Y112" s="609"/>
      <c r="Z112" s="609"/>
      <c r="AA112" s="609"/>
      <c r="AB112" s="609"/>
      <c r="AC112" s="609"/>
      <c r="AD112" s="609"/>
      <c r="AE112" s="609"/>
      <c r="AF112" s="609"/>
    </row>
    <row r="113" spans="1:32" s="1045" customFormat="1" ht="14.25">
      <c r="A113" s="78"/>
      <c r="B113" s="78"/>
      <c r="C113" s="78"/>
      <c r="D113" s="1046"/>
      <c r="E113" s="78"/>
      <c r="F113" s="9"/>
      <c r="G113" s="78"/>
      <c r="H113" s="1046"/>
      <c r="I113" s="78"/>
      <c r="J113" s="609"/>
      <c r="K113" s="609"/>
      <c r="L113" s="1042"/>
      <c r="M113" s="609"/>
      <c r="N113" s="609"/>
      <c r="O113" s="609"/>
      <c r="P113" s="609"/>
      <c r="Q113" s="609"/>
      <c r="R113" s="609"/>
      <c r="S113" s="609"/>
      <c r="T113" s="609"/>
      <c r="U113" s="609"/>
      <c r="V113" s="609"/>
      <c r="W113" s="609"/>
      <c r="X113" s="609"/>
      <c r="Y113" s="609"/>
      <c r="Z113" s="609"/>
      <c r="AA113" s="609"/>
      <c r="AB113" s="609"/>
      <c r="AC113" s="609"/>
      <c r="AD113" s="609"/>
      <c r="AE113" s="609"/>
      <c r="AF113" s="609"/>
    </row>
    <row r="114" spans="1:32" s="1045" customFormat="1" ht="14.25">
      <c r="A114" s="78"/>
      <c r="B114" s="78"/>
      <c r="C114" s="78"/>
      <c r="D114" s="1046"/>
      <c r="E114" s="78"/>
      <c r="F114" s="9"/>
      <c r="G114" s="78"/>
      <c r="H114" s="1046"/>
      <c r="I114" s="78"/>
      <c r="J114" s="609"/>
      <c r="K114" s="609"/>
      <c r="L114" s="1042"/>
      <c r="M114" s="609"/>
      <c r="N114" s="609"/>
      <c r="O114" s="609"/>
      <c r="P114" s="609"/>
      <c r="Q114" s="609"/>
      <c r="R114" s="609"/>
      <c r="S114" s="609"/>
      <c r="T114" s="609"/>
      <c r="U114" s="609"/>
      <c r="V114" s="609"/>
      <c r="W114" s="609"/>
      <c r="X114" s="609"/>
      <c r="Y114" s="609"/>
      <c r="Z114" s="609"/>
      <c r="AA114" s="609"/>
      <c r="AB114" s="609"/>
      <c r="AC114" s="609"/>
      <c r="AD114" s="609"/>
      <c r="AE114" s="609"/>
      <c r="AF114" s="609"/>
    </row>
    <row r="115" spans="1:32" s="1045" customFormat="1" ht="14.25">
      <c r="A115" s="78"/>
      <c r="B115" s="78"/>
      <c r="C115" s="78"/>
      <c r="D115" s="1046"/>
      <c r="E115" s="78"/>
      <c r="F115" s="9"/>
      <c r="G115" s="78"/>
      <c r="H115" s="1046"/>
      <c r="I115" s="78"/>
      <c r="J115" s="609"/>
      <c r="K115" s="609"/>
      <c r="L115" s="1042"/>
      <c r="M115" s="609"/>
      <c r="N115" s="609"/>
      <c r="O115" s="609"/>
      <c r="P115" s="609"/>
      <c r="Q115" s="609"/>
      <c r="R115" s="609"/>
      <c r="S115" s="609"/>
      <c r="T115" s="609"/>
      <c r="U115" s="609"/>
      <c r="V115" s="609"/>
      <c r="W115" s="609"/>
      <c r="X115" s="609"/>
      <c r="Y115" s="609"/>
      <c r="Z115" s="609"/>
      <c r="AA115" s="609"/>
      <c r="AB115" s="609"/>
      <c r="AC115" s="609"/>
      <c r="AD115" s="609"/>
      <c r="AE115" s="609"/>
      <c r="AF115" s="609"/>
    </row>
    <row r="116" spans="1:32" s="1045" customFormat="1" ht="14.25">
      <c r="A116" s="78"/>
      <c r="B116" s="78"/>
      <c r="C116" s="78"/>
      <c r="D116" s="1046"/>
      <c r="E116" s="78"/>
      <c r="F116" s="9"/>
      <c r="G116" s="78"/>
      <c r="H116" s="1046"/>
      <c r="I116" s="78"/>
      <c r="J116" s="609"/>
      <c r="K116" s="609"/>
      <c r="L116" s="1042"/>
      <c r="M116" s="609"/>
      <c r="N116" s="609"/>
      <c r="O116" s="609"/>
      <c r="P116" s="609"/>
      <c r="Q116" s="609"/>
      <c r="R116" s="609"/>
      <c r="S116" s="609"/>
      <c r="T116" s="609"/>
      <c r="U116" s="609"/>
      <c r="V116" s="609"/>
      <c r="W116" s="609"/>
      <c r="X116" s="609"/>
      <c r="Y116" s="609"/>
      <c r="Z116" s="609"/>
      <c r="AA116" s="609"/>
      <c r="AB116" s="609"/>
      <c r="AC116" s="609"/>
      <c r="AD116" s="609"/>
      <c r="AE116" s="609"/>
      <c r="AF116" s="609"/>
    </row>
  </sheetData>
  <sheetProtection sheet="1" objects="1" scenarios="1"/>
  <mergeCells count="3">
    <mergeCell ref="L6:L7"/>
    <mergeCell ref="M6:P6"/>
    <mergeCell ref="Q6:Q7"/>
  </mergeCells>
  <printOptions horizontalCentered="1"/>
  <pageMargins left="0.59055118110236227" right="0.59055118110236227" top="0.59055118110236227" bottom="0.59055118110236227" header="0.39370078740157483" footer="0.39370078740157483"/>
  <pageSetup paperSize="9" scale="78" firstPageNumber="6" orientation="portrait" useFirstPageNumber="1" r:id="rId1"/>
  <headerFooter alignWithMargins="0">
    <oddFooter>&amp;L&amp;11LEL Schwäbisch Gmünd&amp;C&amp;11&amp;P+8&amp;R&amp;11&amp;F</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0000"/>
  </sheetPr>
  <dimension ref="A1:L86"/>
  <sheetViews>
    <sheetView workbookViewId="0"/>
  </sheetViews>
  <sheetFormatPr baseColWidth="10" defaultColWidth="11.25" defaultRowHeight="12.75"/>
  <cols>
    <col min="1" max="1" width="26.625" style="33" bestFit="1" customWidth="1"/>
    <col min="2" max="3" width="11.25" style="33"/>
    <col min="4" max="4" width="3" style="33" customWidth="1"/>
    <col min="5" max="5" width="38.625" style="33" bestFit="1" customWidth="1"/>
    <col min="6" max="6" width="11.375" style="33" bestFit="1" customWidth="1"/>
    <col min="7" max="7" width="12.125" style="33" bestFit="1" customWidth="1"/>
    <col min="8" max="8" width="11.25" style="33"/>
    <col min="9" max="9" width="12.875" style="33" bestFit="1" customWidth="1"/>
    <col min="10" max="10" width="12.5" style="33" bestFit="1" customWidth="1"/>
    <col min="11" max="11" width="13.375" style="1984" bestFit="1" customWidth="1"/>
    <col min="12" max="16384" width="11.25" style="33"/>
  </cols>
  <sheetData>
    <row r="1" spans="1:12" ht="20.25">
      <c r="A1" s="205" t="s">
        <v>1858</v>
      </c>
    </row>
    <row r="2" spans="1:12">
      <c r="A2" s="15" t="s">
        <v>1857</v>
      </c>
      <c r="H2" s="15" t="s">
        <v>1856</v>
      </c>
      <c r="I2" s="2973">
        <v>0.02</v>
      </c>
      <c r="J2" s="15"/>
    </row>
    <row r="4" spans="1:12" ht="25.5">
      <c r="A4" s="15" t="s">
        <v>561</v>
      </c>
      <c r="B4" s="15" t="s">
        <v>114</v>
      </c>
      <c r="E4" s="15" t="s">
        <v>1855</v>
      </c>
      <c r="F4" s="2972" t="s">
        <v>1854</v>
      </c>
      <c r="G4" s="15" t="s">
        <v>723</v>
      </c>
      <c r="H4" s="15" t="s">
        <v>1853</v>
      </c>
      <c r="I4" s="15" t="s">
        <v>1852</v>
      </c>
      <c r="J4" s="15" t="s">
        <v>1851</v>
      </c>
      <c r="K4" s="1984" t="s">
        <v>1850</v>
      </c>
      <c r="L4" s="15" t="s">
        <v>469</v>
      </c>
    </row>
    <row r="5" spans="1:12">
      <c r="A5" s="383" t="s">
        <v>1849</v>
      </c>
      <c r="B5" s="2971">
        <f>SUM(B6:B35)</f>
        <v>150</v>
      </c>
      <c r="C5" s="15"/>
      <c r="D5" s="4530" t="s">
        <v>471</v>
      </c>
      <c r="E5" s="4592"/>
    </row>
    <row r="6" spans="1:12">
      <c r="A6" s="383" t="str">
        <f>'SD8'!B10</f>
        <v>Winterweizen (Futter-)</v>
      </c>
      <c r="B6" s="2971">
        <v>50</v>
      </c>
      <c r="C6" s="15"/>
      <c r="D6" s="459">
        <v>1</v>
      </c>
      <c r="E6" s="464" t="s">
        <v>486</v>
      </c>
      <c r="F6" s="2970">
        <v>100000</v>
      </c>
      <c r="G6" s="2970">
        <v>12</v>
      </c>
      <c r="H6" s="2970">
        <v>10000</v>
      </c>
      <c r="I6" s="2969">
        <f t="shared" ref="I6:I11" si="0">IFERROR((F6-H6)/G6+(F6+H6)/2*$I$2+0.01*F6+0.01*F6,"")</f>
        <v>10600</v>
      </c>
      <c r="K6" s="2967" t="str">
        <f>IFERROR(I6/J6,"")</f>
        <v/>
      </c>
    </row>
    <row r="7" spans="1:12">
      <c r="A7" s="383" t="str">
        <f>'SD8'!B11</f>
        <v>Winterweizen (Brot-)</v>
      </c>
      <c r="B7" s="2971"/>
      <c r="D7" s="459">
        <v>2</v>
      </c>
      <c r="E7" s="383" t="s">
        <v>484</v>
      </c>
      <c r="F7" s="2970"/>
      <c r="G7" s="2971"/>
      <c r="H7" s="2971"/>
      <c r="I7" s="2969" t="str">
        <f t="shared" si="0"/>
        <v/>
      </c>
    </row>
    <row r="8" spans="1:12">
      <c r="A8" s="383" t="str">
        <f>'SD8'!B12</f>
        <v>Winterweizen (Aufmisch-; A-Sort.)</v>
      </c>
      <c r="B8" s="2971"/>
      <c r="D8" s="459">
        <v>3</v>
      </c>
      <c r="E8" s="383" t="s">
        <v>482</v>
      </c>
      <c r="F8" s="2970"/>
      <c r="G8" s="2971"/>
      <c r="H8" s="2971"/>
      <c r="I8" s="2969" t="str">
        <f t="shared" si="0"/>
        <v/>
      </c>
    </row>
    <row r="9" spans="1:12">
      <c r="A9" s="383" t="str">
        <f>'SD8'!B13</f>
        <v>Winterweizen (Qualität-; E-Sorte)</v>
      </c>
      <c r="B9" s="2971"/>
      <c r="D9" s="459">
        <v>4</v>
      </c>
      <c r="E9" s="383" t="s">
        <v>480</v>
      </c>
      <c r="F9" s="2970"/>
      <c r="G9" s="2971"/>
      <c r="H9" s="2971"/>
      <c r="I9" s="2969" t="str">
        <f t="shared" si="0"/>
        <v/>
      </c>
    </row>
    <row r="10" spans="1:12">
      <c r="A10" s="383" t="str">
        <f>'SD8'!B14</f>
        <v>Winterroggen</v>
      </c>
      <c r="B10" s="2971"/>
      <c r="D10" s="459">
        <v>5</v>
      </c>
      <c r="E10" s="383" t="s">
        <v>478</v>
      </c>
      <c r="F10" s="2970"/>
      <c r="G10" s="2971"/>
      <c r="H10" s="2971"/>
      <c r="I10" s="2969" t="str">
        <f t="shared" si="0"/>
        <v/>
      </c>
    </row>
    <row r="11" spans="1:12">
      <c r="A11" s="383" t="str">
        <f>'SD8'!B15</f>
        <v>Triticale</v>
      </c>
      <c r="B11" s="2971"/>
      <c r="D11" s="459">
        <v>6</v>
      </c>
      <c r="E11" s="383" t="s">
        <v>475</v>
      </c>
      <c r="F11" s="2970"/>
      <c r="G11" s="2971"/>
      <c r="H11" s="2971"/>
      <c r="I11" s="2969" t="str">
        <f t="shared" si="0"/>
        <v/>
      </c>
    </row>
    <row r="12" spans="1:12">
      <c r="A12" s="383" t="str">
        <f>'SD8'!B16</f>
        <v>Wintergerste</v>
      </c>
      <c r="B12" s="2971">
        <v>30</v>
      </c>
      <c r="D12" s="4530" t="s">
        <v>472</v>
      </c>
      <c r="E12" s="4592"/>
    </row>
    <row r="13" spans="1:12">
      <c r="A13" s="383" t="str">
        <f>'SD8'!B17</f>
        <v>Dinkel</v>
      </c>
      <c r="B13" s="2971"/>
      <c r="D13" s="4593" t="s">
        <v>1848</v>
      </c>
      <c r="E13" s="383" t="s">
        <v>462</v>
      </c>
      <c r="F13" s="2970">
        <v>15000</v>
      </c>
      <c r="G13" s="2971">
        <v>12</v>
      </c>
      <c r="H13" s="2970">
        <v>1000</v>
      </c>
      <c r="I13" s="2969">
        <f t="shared" ref="I13:I44" si="1">IFERROR((F13-H13)/G13+(F13+H13)/2*$I$2+0.01*F13,"")</f>
        <v>1476.6666666666667</v>
      </c>
      <c r="J13" s="2968">
        <f ca="1">SUMIF(Maschinenauslastung!D:D,E13,Maschinenauslastung!E:E)</f>
        <v>100</v>
      </c>
      <c r="K13" s="2967">
        <f t="shared" ref="K13:K44" ca="1" si="2">IFERROR(I13/J13,"")</f>
        <v>14.766666666666667</v>
      </c>
      <c r="L13" s="605">
        <f>VLOOKUP(E13,'SDK3'!C:O,2,FALSE)</f>
        <v>12</v>
      </c>
    </row>
    <row r="14" spans="1:12">
      <c r="A14" s="383" t="str">
        <f>'SD8'!B18</f>
        <v xml:space="preserve">Sommerweizen </v>
      </c>
      <c r="B14" s="2971"/>
      <c r="D14" s="4594"/>
      <c r="E14" s="383" t="s">
        <v>459</v>
      </c>
      <c r="F14" s="2970">
        <v>10000</v>
      </c>
      <c r="G14" s="2971">
        <v>8</v>
      </c>
      <c r="H14" s="2970">
        <v>2000</v>
      </c>
      <c r="I14" s="2969">
        <f t="shared" si="1"/>
        <v>1220</v>
      </c>
      <c r="J14" s="2968">
        <f ca="1">SUMIF(Maschinenauslastung!D:D,E14,Maschinenauslastung!E:E)</f>
        <v>0</v>
      </c>
      <c r="K14" s="2967" t="str">
        <f t="shared" ca="1" si="2"/>
        <v/>
      </c>
      <c r="L14" s="605">
        <f>VLOOKUP(E14,'SDK3'!C:O,2,FALSE)</f>
        <v>5</v>
      </c>
    </row>
    <row r="15" spans="1:12">
      <c r="A15" s="383" t="str">
        <f>'SD8'!B19</f>
        <v xml:space="preserve">Sommerfuttergerste </v>
      </c>
      <c r="B15" s="2971"/>
      <c r="D15" s="4594"/>
      <c r="E15" s="383" t="s">
        <v>456</v>
      </c>
      <c r="F15" s="2970"/>
      <c r="G15" s="2971"/>
      <c r="H15" s="2970"/>
      <c r="I15" s="2969" t="str">
        <f t="shared" si="1"/>
        <v/>
      </c>
      <c r="J15" s="2968">
        <f ca="1">SUMIF(Maschinenauslastung!D:D,E15,Maschinenauslastung!E:E)</f>
        <v>0</v>
      </c>
      <c r="K15" s="2967" t="str">
        <f t="shared" ca="1" si="2"/>
        <v/>
      </c>
      <c r="L15" s="605">
        <f>VLOOKUP(E15,'SDK3'!C:O,2,FALSE)</f>
        <v>5.5</v>
      </c>
    </row>
    <row r="16" spans="1:12">
      <c r="A16" s="383" t="str">
        <f>'SD8'!B20</f>
        <v>Braugerste</v>
      </c>
      <c r="B16" s="2971"/>
      <c r="D16" s="4594"/>
      <c r="E16" s="415" t="s">
        <v>453</v>
      </c>
      <c r="F16" s="2970"/>
      <c r="G16" s="2971"/>
      <c r="H16" s="2970"/>
      <c r="I16" s="2969" t="str">
        <f t="shared" si="1"/>
        <v/>
      </c>
      <c r="J16" s="2968">
        <f ca="1">SUMIF(Maschinenauslastung!D:D,E16,Maschinenauslastung!E:E)</f>
        <v>0</v>
      </c>
      <c r="K16" s="2967" t="str">
        <f t="shared" ca="1" si="2"/>
        <v/>
      </c>
      <c r="L16" s="605">
        <f>VLOOKUP(E16,'SDK3'!C:O,2,FALSE)</f>
        <v>4</v>
      </c>
    </row>
    <row r="17" spans="1:12">
      <c r="A17" s="383" t="str">
        <f>'SD8'!B21</f>
        <v xml:space="preserve">Hafer </v>
      </c>
      <c r="B17" s="2971"/>
      <c r="D17" s="4594"/>
      <c r="E17" s="383" t="s">
        <v>451</v>
      </c>
      <c r="F17" s="2970"/>
      <c r="G17" s="2971"/>
      <c r="H17" s="2970"/>
      <c r="I17" s="2969" t="str">
        <f t="shared" si="1"/>
        <v/>
      </c>
      <c r="J17" s="2968">
        <f ca="1">SUMIF(Maschinenauslastung!D:D,E17,Maschinenauslastung!E:E)</f>
        <v>0</v>
      </c>
      <c r="K17" s="2967" t="str">
        <f t="shared" ca="1" si="2"/>
        <v/>
      </c>
      <c r="L17" s="605">
        <f>VLOOKUP(E17,'SDK3'!C:O,2,FALSE)</f>
        <v>7</v>
      </c>
    </row>
    <row r="18" spans="1:12">
      <c r="A18" s="383" t="str">
        <f>'SD8'!B22</f>
        <v>Durum</v>
      </c>
      <c r="B18" s="2971"/>
      <c r="D18" s="4594"/>
      <c r="E18" s="383" t="s">
        <v>449</v>
      </c>
      <c r="F18" s="2970"/>
      <c r="G18" s="2971"/>
      <c r="H18" s="2970"/>
      <c r="I18" s="2969" t="str">
        <f t="shared" si="1"/>
        <v/>
      </c>
      <c r="J18" s="2968">
        <f ca="1">SUMIF(Maschinenauslastung!D:D,E18,Maschinenauslastung!E:E)</f>
        <v>0</v>
      </c>
      <c r="K18" s="2967" t="str">
        <f t="shared" ca="1" si="2"/>
        <v/>
      </c>
      <c r="L18" s="605">
        <f>VLOOKUP(E18,'SDK3'!C:O,2,FALSE)</f>
        <v>2</v>
      </c>
    </row>
    <row r="19" spans="1:12">
      <c r="A19" s="383" t="str">
        <f>'SD8'!B23</f>
        <v xml:space="preserve">Körnermais </v>
      </c>
      <c r="B19" s="2971">
        <v>30</v>
      </c>
      <c r="D19" s="4590" t="s">
        <v>1847</v>
      </c>
      <c r="E19" s="383" t="s">
        <v>446</v>
      </c>
      <c r="F19" s="2970"/>
      <c r="G19" s="2971"/>
      <c r="H19" s="2970"/>
      <c r="I19" s="2969" t="str">
        <f t="shared" si="1"/>
        <v/>
      </c>
      <c r="J19" s="2968">
        <f ca="1">SUMIF(Maschinenauslastung!D:D,E19,Maschinenauslastung!E:E)</f>
        <v>10</v>
      </c>
      <c r="K19" s="2967" t="str">
        <f t="shared" ca="1" si="2"/>
        <v/>
      </c>
      <c r="L19" s="605">
        <f>VLOOKUP(E19,'SDK3'!C:O,2,FALSE)</f>
        <v>10</v>
      </c>
    </row>
    <row r="20" spans="1:12">
      <c r="A20" s="383" t="str">
        <f>'SD8'!B24</f>
        <v>Körnerhirse (Lebens-/Futtermittel)</v>
      </c>
      <c r="B20" s="2971"/>
      <c r="D20" s="4591"/>
      <c r="E20" s="383" t="s">
        <v>443</v>
      </c>
      <c r="F20" s="2970"/>
      <c r="G20" s="2971"/>
      <c r="H20" s="2970"/>
      <c r="I20" s="2969" t="str">
        <f t="shared" si="1"/>
        <v/>
      </c>
      <c r="J20" s="2968">
        <f ca="1">SUMIF(Maschinenauslastung!D:D,E20,Maschinenauslastung!E:E)</f>
        <v>0</v>
      </c>
      <c r="K20" s="2967" t="str">
        <f t="shared" ca="1" si="2"/>
        <v/>
      </c>
      <c r="L20" s="605" t="e">
        <f>VLOOKUP(E20,'SDK3'!C:O,2,FALSE)</f>
        <v>#N/A</v>
      </c>
    </row>
    <row r="21" spans="1:12">
      <c r="A21" s="383" t="str">
        <f>'SD8'!B25</f>
        <v>Winterraps</v>
      </c>
      <c r="B21" s="2971">
        <v>20</v>
      </c>
      <c r="D21" s="4591"/>
      <c r="E21" s="383" t="s">
        <v>440</v>
      </c>
      <c r="F21" s="2970"/>
      <c r="G21" s="2971"/>
      <c r="H21" s="2970"/>
      <c r="I21" s="2969" t="str">
        <f t="shared" si="1"/>
        <v/>
      </c>
      <c r="J21" s="2968">
        <f ca="1">SUMIF(Maschinenauslastung!D:D,E21,Maschinenauslastung!E:E)</f>
        <v>0</v>
      </c>
      <c r="K21" s="2967" t="str">
        <f t="shared" ca="1" si="2"/>
        <v/>
      </c>
      <c r="L21" s="605">
        <f>VLOOKUP(E21,'SDK3'!C:O,2,FALSE)</f>
        <v>3</v>
      </c>
    </row>
    <row r="22" spans="1:12">
      <c r="A22" s="383" t="str">
        <f>'SD8'!B26</f>
        <v xml:space="preserve">Sommerraps </v>
      </c>
      <c r="B22" s="2971"/>
      <c r="D22" s="4591"/>
      <c r="E22" s="383" t="s">
        <v>437</v>
      </c>
      <c r="F22" s="2970"/>
      <c r="G22" s="2971"/>
      <c r="H22" s="2970"/>
      <c r="I22" s="2969" t="str">
        <f t="shared" si="1"/>
        <v/>
      </c>
      <c r="J22" s="2968">
        <f ca="1">SUMIF(Maschinenauslastung!D:D,E22,Maschinenauslastung!E:E)</f>
        <v>0</v>
      </c>
      <c r="K22" s="2967" t="str">
        <f t="shared" ca="1" si="2"/>
        <v/>
      </c>
      <c r="L22" s="605">
        <f>VLOOKUP(E22,'SDK3'!C:O,2,FALSE)</f>
        <v>8</v>
      </c>
    </row>
    <row r="23" spans="1:12">
      <c r="A23" s="383" t="str">
        <f>'SD8'!B27</f>
        <v xml:space="preserve">Sonnenblumen </v>
      </c>
      <c r="B23" s="2971"/>
      <c r="D23" s="4591"/>
      <c r="E23" s="383" t="s">
        <v>434</v>
      </c>
      <c r="F23" s="2970"/>
      <c r="G23" s="2971"/>
      <c r="H23" s="2970"/>
      <c r="I23" s="2969" t="str">
        <f t="shared" si="1"/>
        <v/>
      </c>
      <c r="J23" s="2968">
        <f ca="1">SUMIF(Maschinenauslastung!D:D,E23,Maschinenauslastung!E:E)</f>
        <v>0</v>
      </c>
      <c r="K23" s="2967" t="str">
        <f t="shared" ca="1" si="2"/>
        <v/>
      </c>
      <c r="L23" s="605">
        <f>VLOOKUP(E23,'SDK3'!C:O,2,FALSE)</f>
        <v>9</v>
      </c>
    </row>
    <row r="24" spans="1:12">
      <c r="A24" s="383" t="str">
        <f>'SD8'!B28</f>
        <v xml:space="preserve">Sojabohne </v>
      </c>
      <c r="B24" s="2971"/>
      <c r="D24" s="4591"/>
      <c r="E24" s="383" t="s">
        <v>431</v>
      </c>
      <c r="F24" s="2970"/>
      <c r="G24" s="2971"/>
      <c r="H24" s="2970"/>
      <c r="I24" s="2969" t="str">
        <f t="shared" si="1"/>
        <v/>
      </c>
      <c r="J24" s="2968">
        <f ca="1">SUMIF(Maschinenauslastung!D:D,E24,Maschinenauslastung!E:E)</f>
        <v>0</v>
      </c>
      <c r="K24" s="2967" t="str">
        <f t="shared" ca="1" si="2"/>
        <v/>
      </c>
      <c r="L24" s="605">
        <f>VLOOKUP(E24,'SDK3'!C:O,2,FALSE)</f>
        <v>8</v>
      </c>
    </row>
    <row r="25" spans="1:12">
      <c r="A25" s="383" t="str">
        <f>'SD8'!B29</f>
        <v xml:space="preserve">Öllein (Industrie) </v>
      </c>
      <c r="B25" s="2971"/>
      <c r="D25" s="4591"/>
      <c r="E25" s="383" t="s">
        <v>427</v>
      </c>
      <c r="F25" s="2970"/>
      <c r="G25" s="2971"/>
      <c r="H25" s="2970"/>
      <c r="I25" s="2969" t="str">
        <f t="shared" si="1"/>
        <v/>
      </c>
      <c r="J25" s="2968">
        <f ca="1">SUMIF(Maschinenauslastung!D:D,E25,Maschinenauslastung!E:E)</f>
        <v>0</v>
      </c>
      <c r="K25" s="2967" t="str">
        <f t="shared" ca="1" si="2"/>
        <v/>
      </c>
      <c r="L25" s="605">
        <f>VLOOKUP(E25,'SDK3'!C:O,2,FALSE)</f>
        <v>12</v>
      </c>
    </row>
    <row r="26" spans="1:12">
      <c r="A26" s="383" t="str">
        <f>'SD8'!B30</f>
        <v xml:space="preserve">Futtererbsen </v>
      </c>
      <c r="B26" s="2971">
        <v>10</v>
      </c>
      <c r="D26" s="4595" t="s">
        <v>1846</v>
      </c>
      <c r="E26" s="383" t="s">
        <v>426</v>
      </c>
      <c r="F26" s="2970"/>
      <c r="G26" s="2971"/>
      <c r="H26" s="2970"/>
      <c r="I26" s="2969" t="str">
        <f t="shared" si="1"/>
        <v/>
      </c>
      <c r="J26" s="2968">
        <f ca="1">SUMIF(Maschinenauslastung!D:D,E26,Maschinenauslastung!E:E)</f>
        <v>20</v>
      </c>
      <c r="K26" s="2967" t="str">
        <f t="shared" ca="1" si="2"/>
        <v/>
      </c>
      <c r="L26" s="605">
        <f>VLOOKUP(E26,'SDK3'!C:O,2,FALSE)</f>
        <v>0.25</v>
      </c>
    </row>
    <row r="27" spans="1:12">
      <c r="A27" s="383" t="str">
        <f>'SD8'!B31</f>
        <v xml:space="preserve">Ackerbohnen </v>
      </c>
      <c r="B27" s="2971"/>
      <c r="D27" s="4594"/>
      <c r="E27" s="415" t="s">
        <v>422</v>
      </c>
      <c r="F27" s="2970"/>
      <c r="G27" s="2971"/>
      <c r="H27" s="2970"/>
      <c r="I27" s="2969" t="str">
        <f t="shared" si="1"/>
        <v/>
      </c>
      <c r="J27" s="2968">
        <f ca="1">SUMIF(Maschinenauslastung!D:D,E27,Maschinenauslastung!E:E)</f>
        <v>0</v>
      </c>
      <c r="K27" s="2967" t="str">
        <f t="shared" ca="1" si="2"/>
        <v/>
      </c>
      <c r="L27" s="605">
        <f>VLOOKUP(E27,'SDK3'!C:O,2,FALSE)</f>
        <v>13</v>
      </c>
    </row>
    <row r="28" spans="1:12">
      <c r="A28" s="383" t="str">
        <f>'SD8'!B32</f>
        <v xml:space="preserve">Blaue Lupine </v>
      </c>
      <c r="B28" s="2971"/>
      <c r="D28" s="4594"/>
      <c r="E28" s="415" t="s">
        <v>421</v>
      </c>
      <c r="F28" s="2970"/>
      <c r="G28" s="2971"/>
      <c r="H28" s="2970"/>
      <c r="I28" s="2969" t="str">
        <f t="shared" si="1"/>
        <v/>
      </c>
      <c r="J28" s="2968">
        <f ca="1">SUMIF(Maschinenauslastung!D:D,E28,Maschinenauslastung!E:E)</f>
        <v>0</v>
      </c>
      <c r="K28" s="2967" t="str">
        <f t="shared" ca="1" si="2"/>
        <v/>
      </c>
      <c r="L28" s="605" t="e">
        <f>VLOOKUP(E28,'SDK3'!C:O,2,FALSE)</f>
        <v>#N/A</v>
      </c>
    </row>
    <row r="29" spans="1:12">
      <c r="A29" s="383" t="str">
        <f>'SD8'!B33</f>
        <v xml:space="preserve">Zuckerrüben </v>
      </c>
      <c r="B29" s="2971"/>
      <c r="D29" s="4594"/>
      <c r="E29" s="415" t="s">
        <v>1449</v>
      </c>
      <c r="F29" s="2970"/>
      <c r="G29" s="2971"/>
      <c r="H29" s="2970"/>
      <c r="I29" s="2969" t="str">
        <f t="shared" si="1"/>
        <v/>
      </c>
      <c r="J29" s="2968">
        <f ca="1">SUMIF(Maschinenauslastung!D:D,E29,Maschinenauslastung!E:E)</f>
        <v>0</v>
      </c>
      <c r="K29" s="2967" t="str">
        <f t="shared" ca="1" si="2"/>
        <v/>
      </c>
      <c r="L29" s="605" t="e">
        <f>VLOOKUP(E29,'SDK3'!C:O,2,FALSE)</f>
        <v>#N/A</v>
      </c>
    </row>
    <row r="30" spans="1:12">
      <c r="A30" s="383" t="str">
        <f>'SD8'!B34</f>
        <v>Frühkartoffeln</v>
      </c>
      <c r="B30" s="2971"/>
      <c r="D30" s="4590" t="s">
        <v>1087</v>
      </c>
      <c r="E30" s="383" t="s">
        <v>419</v>
      </c>
      <c r="F30" s="2970"/>
      <c r="G30" s="2971"/>
      <c r="H30" s="2970"/>
      <c r="I30" s="2969" t="str">
        <f t="shared" si="1"/>
        <v/>
      </c>
      <c r="J30" s="2968">
        <f ca="1">SUMIF(Maschinenauslastung!D:D,E30,Maschinenauslastung!E:E)</f>
        <v>100</v>
      </c>
      <c r="K30" s="2967" t="str">
        <f t="shared" ca="1" si="2"/>
        <v/>
      </c>
      <c r="L30" s="605">
        <f>VLOOKUP(E30,'SDK3'!C:O,2,FALSE)</f>
        <v>0.65</v>
      </c>
    </row>
    <row r="31" spans="1:12">
      <c r="A31" s="383" t="str">
        <f>'SD8'!B35</f>
        <v>Frühkartoffeln, Folie, beregnet</v>
      </c>
      <c r="B31" s="2971"/>
      <c r="D31" s="4591"/>
      <c r="E31" s="383" t="s">
        <v>414</v>
      </c>
      <c r="F31" s="2970"/>
      <c r="G31" s="2971"/>
      <c r="H31" s="2970"/>
      <c r="I31" s="2969" t="str">
        <f t="shared" si="1"/>
        <v/>
      </c>
      <c r="J31" s="2968">
        <f ca="1">SUMIF(Maschinenauslastung!D:D,E31,Maschinenauslastung!E:E)</f>
        <v>0</v>
      </c>
      <c r="K31" s="2967" t="str">
        <f t="shared" ca="1" si="2"/>
        <v/>
      </c>
      <c r="L31" s="605">
        <f>VLOOKUP(E31,'SDK3'!C:O,2,FALSE)</f>
        <v>2.9</v>
      </c>
    </row>
    <row r="32" spans="1:12">
      <c r="A32" s="383" t="str">
        <f>'SD8'!B36</f>
        <v>Speisekartoffeln spät</v>
      </c>
      <c r="B32" s="2971">
        <v>10</v>
      </c>
      <c r="D32" s="4591"/>
      <c r="E32" s="415" t="s">
        <v>411</v>
      </c>
      <c r="F32" s="2970"/>
      <c r="G32" s="2971"/>
      <c r="H32" s="2970"/>
      <c r="I32" s="2969" t="str">
        <f t="shared" si="1"/>
        <v/>
      </c>
      <c r="J32" s="2968">
        <f ca="1">SUMIF(Maschinenauslastung!D:D,E32,Maschinenauslastung!E:E)</f>
        <v>0</v>
      </c>
      <c r="K32" s="2967" t="str">
        <f t="shared" ca="1" si="2"/>
        <v/>
      </c>
      <c r="L32" s="605" t="e">
        <f>VLOOKUP(E32,'SDK3'!C:O,2,FALSE)</f>
        <v>#N/A</v>
      </c>
    </row>
    <row r="33" spans="1:12">
      <c r="A33" s="383" t="str">
        <f>'SD8'!B37</f>
        <v>Speisekartoffeln spät, beregnet</v>
      </c>
      <c r="B33" s="2971"/>
      <c r="D33" s="4591"/>
      <c r="E33" s="383" t="s">
        <v>410</v>
      </c>
      <c r="F33" s="2970"/>
      <c r="G33" s="2971"/>
      <c r="H33" s="2970"/>
      <c r="I33" s="2969" t="str">
        <f t="shared" si="1"/>
        <v/>
      </c>
      <c r="J33" s="2968">
        <f ca="1">SUMIF(Maschinenauslastung!D:D,E33,Maschinenauslastung!E:E)</f>
        <v>0</v>
      </c>
      <c r="K33" s="2967" t="str">
        <f t="shared" ca="1" si="2"/>
        <v/>
      </c>
      <c r="L33" s="605">
        <f>VLOOKUP(E33,'SDK3'!C:O,2,FALSE)</f>
        <v>2</v>
      </c>
    </row>
    <row r="34" spans="1:12">
      <c r="A34" s="383" t="str">
        <f>'SD8'!B38</f>
        <v>Kultur A</v>
      </c>
      <c r="B34" s="2971"/>
      <c r="D34" s="4591"/>
      <c r="E34" s="383" t="s">
        <v>407</v>
      </c>
      <c r="F34" s="2970"/>
      <c r="G34" s="2971"/>
      <c r="H34" s="2970"/>
      <c r="I34" s="2969" t="str">
        <f t="shared" si="1"/>
        <v/>
      </c>
      <c r="J34" s="2968">
        <f ca="1">SUMIF(Maschinenauslastung!D:D,E34,Maschinenauslastung!E:E)</f>
        <v>0</v>
      </c>
      <c r="K34" s="2967" t="str">
        <f t="shared" ca="1" si="2"/>
        <v/>
      </c>
      <c r="L34" s="605">
        <f>VLOOKUP(E34,'SDK3'!C:O,2,FALSE)</f>
        <v>3</v>
      </c>
    </row>
    <row r="35" spans="1:12">
      <c r="A35" s="383" t="str">
        <f>'SD8'!B39</f>
        <v>FAKT - Brachebegrünung</v>
      </c>
      <c r="B35" s="2971"/>
      <c r="D35" s="4595" t="s">
        <v>1845</v>
      </c>
      <c r="E35" s="383" t="s">
        <v>405</v>
      </c>
      <c r="F35" s="2970"/>
      <c r="G35" s="2971"/>
      <c r="H35" s="2970"/>
      <c r="I35" s="2969" t="str">
        <f t="shared" si="1"/>
        <v/>
      </c>
      <c r="J35" s="2968">
        <f ca="1">SUMIF(Maschinenauslastung!D:D,E35,Maschinenauslastung!E:E)</f>
        <v>0</v>
      </c>
      <c r="K35" s="2967" t="str">
        <f t="shared" ca="1" si="2"/>
        <v/>
      </c>
      <c r="L35" s="605" t="e">
        <f>VLOOKUP(E35,'SDK3'!C:O,2,FALSE)</f>
        <v>#N/A</v>
      </c>
    </row>
    <row r="36" spans="1:12">
      <c r="A36" s="383" t="str">
        <f>'SD8'!B40</f>
        <v>Begrünung</v>
      </c>
      <c r="B36" s="2971"/>
      <c r="D36" s="4594"/>
      <c r="E36" s="415" t="s">
        <v>404</v>
      </c>
      <c r="F36" s="2970"/>
      <c r="G36" s="2971"/>
      <c r="H36" s="2970"/>
      <c r="I36" s="2969" t="str">
        <f t="shared" si="1"/>
        <v/>
      </c>
      <c r="J36" s="2968">
        <f ca="1">SUMIF(Maschinenauslastung!D:D,E36,Maschinenauslastung!E:E)</f>
        <v>0</v>
      </c>
      <c r="K36" s="2967" t="str">
        <f t="shared" ca="1" si="2"/>
        <v/>
      </c>
      <c r="L36" s="605" t="e">
        <f>VLOOKUP(E36,'SDK3'!C:O,2,FALSE)</f>
        <v>#N/A</v>
      </c>
    </row>
    <row r="37" spans="1:12">
      <c r="D37" s="4590" t="s">
        <v>546</v>
      </c>
      <c r="E37" s="383" t="s">
        <v>403</v>
      </c>
      <c r="F37" s="2970"/>
      <c r="G37" s="2971"/>
      <c r="H37" s="2970"/>
      <c r="I37" s="2969" t="str">
        <f t="shared" si="1"/>
        <v/>
      </c>
      <c r="J37" s="2968">
        <f ca="1">SUMIF(Maschinenauslastung!D:D,E37,Maschinenauslastung!E:E)</f>
        <v>0</v>
      </c>
      <c r="K37" s="2967" t="str">
        <f t="shared" ca="1" si="2"/>
        <v/>
      </c>
      <c r="L37" s="605">
        <f>VLOOKUP(E37,'SDK3'!C:O,2,FALSE)</f>
        <v>1.2000000000000002</v>
      </c>
    </row>
    <row r="38" spans="1:12">
      <c r="D38" s="4591"/>
      <c r="E38" s="383" t="s">
        <v>400</v>
      </c>
      <c r="F38" s="2970"/>
      <c r="G38" s="2971"/>
      <c r="H38" s="2970"/>
      <c r="I38" s="2969" t="str">
        <f t="shared" si="1"/>
        <v/>
      </c>
      <c r="J38" s="2968">
        <f ca="1">SUMIF(Maschinenauslastung!D:D,E38,Maschinenauslastung!E:E)</f>
        <v>0</v>
      </c>
      <c r="K38" s="2967" t="str">
        <f t="shared" ca="1" si="2"/>
        <v/>
      </c>
      <c r="L38" s="605">
        <f>VLOOKUP(E38,'SDK3'!C:O,2,FALSE)</f>
        <v>1.2000000000000002</v>
      </c>
    </row>
    <row r="39" spans="1:12">
      <c r="D39" s="4591"/>
      <c r="E39" s="383" t="s">
        <v>397</v>
      </c>
      <c r="F39" s="2970"/>
      <c r="G39" s="2971"/>
      <c r="H39" s="2970"/>
      <c r="I39" s="2969" t="str">
        <f t="shared" si="1"/>
        <v/>
      </c>
      <c r="J39" s="2968">
        <f ca="1">SUMIF(Maschinenauslastung!D:D,E39,Maschinenauslastung!E:E)</f>
        <v>0</v>
      </c>
      <c r="K39" s="2967" t="str">
        <f t="shared" ca="1" si="2"/>
        <v/>
      </c>
      <c r="L39" s="605">
        <f>VLOOKUP(E39,'SDK3'!C:O,2,FALSE)</f>
        <v>10</v>
      </c>
    </row>
    <row r="40" spans="1:12">
      <c r="D40" s="4591"/>
      <c r="E40" s="383" t="s">
        <v>396</v>
      </c>
      <c r="F40" s="2970"/>
      <c r="G40" s="2971"/>
      <c r="H40" s="2970"/>
      <c r="I40" s="2969" t="str">
        <f t="shared" si="1"/>
        <v/>
      </c>
      <c r="J40" s="2968">
        <f ca="1">SUMIF(Maschinenauslastung!D:D,E40,Maschinenauslastung!E:E)</f>
        <v>65</v>
      </c>
      <c r="K40" s="2967" t="str">
        <f t="shared" ca="1" si="2"/>
        <v/>
      </c>
      <c r="L40" s="605">
        <f>VLOOKUP(E40,'SDK3'!C:O,2,FALSE)</f>
        <v>0.8</v>
      </c>
    </row>
    <row r="41" spans="1:12">
      <c r="D41" s="4595" t="s">
        <v>1844</v>
      </c>
      <c r="E41" s="383" t="s">
        <v>393</v>
      </c>
      <c r="F41" s="2970"/>
      <c r="G41" s="2971"/>
      <c r="H41" s="2970"/>
      <c r="I41" s="2969" t="str">
        <f t="shared" si="1"/>
        <v/>
      </c>
      <c r="J41" s="2968">
        <f ca="1">SUMIF(Maschinenauslastung!D:D,E41,Maschinenauslastung!E:E)</f>
        <v>0</v>
      </c>
      <c r="K41" s="2967" t="str">
        <f t="shared" ca="1" si="2"/>
        <v/>
      </c>
      <c r="L41" s="605">
        <f>VLOOKUP(E41,'SDK3'!C:O,2,FALSE)</f>
        <v>0.5</v>
      </c>
    </row>
    <row r="42" spans="1:12">
      <c r="D42" s="4594"/>
      <c r="E42" s="383" t="s">
        <v>392</v>
      </c>
      <c r="F42" s="2970"/>
      <c r="G42" s="2971"/>
      <c r="H42" s="2970"/>
      <c r="I42" s="2969" t="str">
        <f t="shared" si="1"/>
        <v/>
      </c>
      <c r="J42" s="2968">
        <f ca="1">SUMIF(Maschinenauslastung!D:D,E42,Maschinenauslastung!E:E)</f>
        <v>0</v>
      </c>
      <c r="K42" s="2967" t="str">
        <f t="shared" ca="1" si="2"/>
        <v/>
      </c>
      <c r="L42" s="605">
        <f>VLOOKUP(E42,'SDK3'!C:O,2,FALSE)</f>
        <v>2.2000000000000002</v>
      </c>
    </row>
    <row r="43" spans="1:12">
      <c r="D43" s="4594"/>
      <c r="E43" s="383" t="s">
        <v>391</v>
      </c>
      <c r="F43" s="2970"/>
      <c r="G43" s="2971"/>
      <c r="H43" s="2970"/>
      <c r="I43" s="2969" t="str">
        <f t="shared" si="1"/>
        <v/>
      </c>
      <c r="J43" s="2968">
        <f ca="1">SUMIF(Maschinenauslastung!D:D,E43,Maschinenauslastung!E:E)</f>
        <v>0</v>
      </c>
      <c r="K43" s="2967" t="str">
        <f t="shared" ca="1" si="2"/>
        <v/>
      </c>
      <c r="L43" s="605">
        <f>VLOOKUP(E43,'SDK3'!C:O,2,FALSE)</f>
        <v>2</v>
      </c>
    </row>
    <row r="44" spans="1:12">
      <c r="D44" s="4594"/>
      <c r="E44" s="383" t="s">
        <v>390</v>
      </c>
      <c r="F44" s="2970"/>
      <c r="G44" s="2971"/>
      <c r="H44" s="2970"/>
      <c r="I44" s="2969" t="str">
        <f t="shared" si="1"/>
        <v/>
      </c>
      <c r="J44" s="2968">
        <f ca="1">SUMIF(Maschinenauslastung!D:D,E44,Maschinenauslastung!E:E)</f>
        <v>0</v>
      </c>
      <c r="K44" s="2967" t="str">
        <f t="shared" ca="1" si="2"/>
        <v/>
      </c>
      <c r="L44" s="605">
        <f>VLOOKUP(E44,'SDK3'!C:O,2,FALSE)</f>
        <v>2.5</v>
      </c>
    </row>
    <row r="45" spans="1:12">
      <c r="D45" s="4594"/>
      <c r="E45" s="383" t="s">
        <v>389</v>
      </c>
      <c r="F45" s="2970"/>
      <c r="G45" s="2971"/>
      <c r="H45" s="2970"/>
      <c r="I45" s="2969" t="str">
        <f t="shared" ref="I45:I76" si="3">IFERROR((F45-H45)/G45+(F45+H45)/2*$I$2+0.01*F45,"")</f>
        <v/>
      </c>
      <c r="J45" s="2968">
        <f ca="1">SUMIF(Maschinenauslastung!D:D,E45,Maschinenauslastung!E:E)</f>
        <v>0</v>
      </c>
      <c r="K45" s="2967" t="str">
        <f t="shared" ref="K45:K76" ca="1" si="4">IFERROR(I45/J45,"")</f>
        <v/>
      </c>
      <c r="L45" s="605">
        <f>VLOOKUP(E45,'SDK3'!C:O,2,FALSE)</f>
        <v>1.7</v>
      </c>
    </row>
    <row r="46" spans="1:12">
      <c r="D46" s="4594"/>
      <c r="E46" s="383" t="s">
        <v>388</v>
      </c>
      <c r="F46" s="2970"/>
      <c r="G46" s="2971"/>
      <c r="H46" s="2970"/>
      <c r="I46" s="2969" t="str">
        <f t="shared" si="3"/>
        <v/>
      </c>
      <c r="J46" s="2968">
        <f ca="1">SUMIF(Maschinenauslastung!D:D,E46,Maschinenauslastung!E:E)</f>
        <v>0</v>
      </c>
      <c r="K46" s="2967" t="str">
        <f t="shared" ca="1" si="4"/>
        <v/>
      </c>
      <c r="L46" s="605">
        <f>VLOOKUP(E46,'SDK3'!C:O,2,FALSE)</f>
        <v>2.2999999999999998</v>
      </c>
    </row>
    <row r="47" spans="1:12">
      <c r="D47" s="4594"/>
      <c r="E47" s="383" t="s">
        <v>387</v>
      </c>
      <c r="F47" s="2970"/>
      <c r="G47" s="2971"/>
      <c r="H47" s="2970"/>
      <c r="I47" s="2969" t="str">
        <f t="shared" si="3"/>
        <v/>
      </c>
      <c r="J47" s="2968">
        <f ca="1">SUMIF(Maschinenauslastung!D:D,E47,Maschinenauslastung!E:E)</f>
        <v>0</v>
      </c>
      <c r="K47" s="2967" t="str">
        <f t="shared" ca="1" si="4"/>
        <v/>
      </c>
      <c r="L47" s="605" t="e">
        <f>VLOOKUP(E47,'SDK3'!C:O,2,FALSE)</f>
        <v>#N/A</v>
      </c>
    </row>
    <row r="48" spans="1:12">
      <c r="D48" s="4594"/>
      <c r="E48" s="383" t="s">
        <v>385</v>
      </c>
      <c r="F48" s="2970"/>
      <c r="G48" s="2971"/>
      <c r="H48" s="2970"/>
      <c r="I48" s="2969" t="str">
        <f t="shared" si="3"/>
        <v/>
      </c>
      <c r="J48" s="2968">
        <f ca="1">SUMIF(Maschinenauslastung!D:D,E48,Maschinenauslastung!E:E)</f>
        <v>0</v>
      </c>
      <c r="K48" s="2967" t="str">
        <f t="shared" ca="1" si="4"/>
        <v/>
      </c>
      <c r="L48" s="605" t="e">
        <f>VLOOKUP(E48,'SDK3'!C:O,2,FALSE)</f>
        <v>#N/A</v>
      </c>
    </row>
    <row r="49" spans="4:12">
      <c r="D49" s="4590" t="s">
        <v>954</v>
      </c>
      <c r="E49" s="383" t="s">
        <v>384</v>
      </c>
      <c r="F49" s="2970"/>
      <c r="G49" s="2971"/>
      <c r="H49" s="2970"/>
      <c r="I49" s="2969" t="str">
        <f t="shared" si="3"/>
        <v/>
      </c>
      <c r="J49" s="2968">
        <f ca="1">SUMIF(Maschinenauslastung!D:D,E49,Maschinenauslastung!E:E)</f>
        <v>0</v>
      </c>
      <c r="K49" s="2967" t="str">
        <f t="shared" ca="1" si="4"/>
        <v/>
      </c>
      <c r="L49" s="605">
        <f>VLOOKUP(E49,'SDK3'!C:O,2,FALSE)</f>
        <v>97.8</v>
      </c>
    </row>
    <row r="50" spans="4:12">
      <c r="D50" s="4591"/>
      <c r="E50" s="383" t="s">
        <v>382</v>
      </c>
      <c r="F50" s="2970"/>
      <c r="G50" s="2971"/>
      <c r="H50" s="2970"/>
      <c r="I50" s="2969" t="str">
        <f t="shared" si="3"/>
        <v/>
      </c>
      <c r="J50" s="2968">
        <f ca="1">SUMIF(Maschinenauslastung!D:D,E50,Maschinenauslastung!E:E)</f>
        <v>0</v>
      </c>
      <c r="K50" s="2967" t="str">
        <f t="shared" ca="1" si="4"/>
        <v/>
      </c>
      <c r="L50" s="605">
        <f>VLOOKUP(E50,'SDK3'!C:O,2,FALSE)</f>
        <v>0.92400000000000015</v>
      </c>
    </row>
    <row r="51" spans="4:12">
      <c r="D51" s="4591"/>
      <c r="E51" s="383" t="s">
        <v>378</v>
      </c>
      <c r="F51" s="2970"/>
      <c r="G51" s="2971"/>
      <c r="H51" s="2970"/>
      <c r="I51" s="2969" t="str">
        <f t="shared" si="3"/>
        <v/>
      </c>
      <c r="J51" s="2968">
        <f ca="1">SUMIF(Maschinenauslastung!D:D,E51,Maschinenauslastung!E:E)</f>
        <v>0</v>
      </c>
      <c r="K51" s="2967" t="str">
        <f t="shared" ca="1" si="4"/>
        <v/>
      </c>
      <c r="L51" s="605">
        <f>VLOOKUP(E51,'SDK3'!C:O,2,FALSE)</f>
        <v>13</v>
      </c>
    </row>
    <row r="52" spans="4:12">
      <c r="D52" s="4591"/>
      <c r="E52" s="383" t="s">
        <v>374</v>
      </c>
      <c r="F52" s="2970"/>
      <c r="G52" s="2971"/>
      <c r="H52" s="2970"/>
      <c r="I52" s="2969" t="str">
        <f t="shared" si="3"/>
        <v/>
      </c>
      <c r="J52" s="2968">
        <f ca="1">SUMIF(Maschinenauslastung!D:D,E52,Maschinenauslastung!E:E)</f>
        <v>10</v>
      </c>
      <c r="K52" s="2967" t="str">
        <f t="shared" ca="1" si="4"/>
        <v/>
      </c>
      <c r="L52" s="605">
        <f>VLOOKUP(E52,'SDK3'!C:O,2,FALSE)</f>
        <v>13</v>
      </c>
    </row>
    <row r="53" spans="4:12">
      <c r="D53" s="4591"/>
      <c r="E53" s="383" t="s">
        <v>370</v>
      </c>
      <c r="F53" s="2970"/>
      <c r="G53" s="2971"/>
      <c r="H53" s="2970"/>
      <c r="I53" s="2969" t="str">
        <f t="shared" si="3"/>
        <v/>
      </c>
      <c r="J53" s="2968">
        <f ca="1">SUMIF(Maschinenauslastung!D:D,E53,Maschinenauslastung!E:E)</f>
        <v>10</v>
      </c>
      <c r="K53" s="2967" t="str">
        <f t="shared" ca="1" si="4"/>
        <v/>
      </c>
      <c r="L53" s="605">
        <f>VLOOKUP(E53,'SDK3'!C:O,2,FALSE)</f>
        <v>3</v>
      </c>
    </row>
    <row r="54" spans="4:12">
      <c r="D54" s="4591"/>
      <c r="E54" s="415" t="s">
        <v>368</v>
      </c>
      <c r="F54" s="2970"/>
      <c r="G54" s="2971"/>
      <c r="H54" s="2970"/>
      <c r="I54" s="2969" t="str">
        <f t="shared" si="3"/>
        <v/>
      </c>
      <c r="J54" s="2968">
        <f ca="1">SUMIF(Maschinenauslastung!D:D,E54,Maschinenauslastung!E:E)</f>
        <v>0</v>
      </c>
      <c r="K54" s="2967" t="str">
        <f t="shared" ca="1" si="4"/>
        <v/>
      </c>
      <c r="L54" s="605">
        <f>VLOOKUP(E54,'SDK3'!C:O,2,FALSE)</f>
        <v>3</v>
      </c>
    </row>
    <row r="55" spans="4:12">
      <c r="D55" s="4591"/>
      <c r="E55" s="383" t="s">
        <v>366</v>
      </c>
      <c r="F55" s="2970"/>
      <c r="G55" s="2971"/>
      <c r="H55" s="2970"/>
      <c r="I55" s="2969" t="str">
        <f t="shared" si="3"/>
        <v/>
      </c>
      <c r="J55" s="2968">
        <f ca="1">SUMIF(Maschinenauslastung!D:D,E55,Maschinenauslastung!E:E)</f>
        <v>0</v>
      </c>
      <c r="K55" s="2967" t="str">
        <f t="shared" ca="1" si="4"/>
        <v/>
      </c>
      <c r="L55" s="605">
        <f>VLOOKUP(E55,'SDK3'!C:O,2,FALSE)</f>
        <v>3</v>
      </c>
    </row>
    <row r="56" spans="4:12">
      <c r="D56" s="4591"/>
      <c r="E56" s="415" t="s">
        <v>362</v>
      </c>
      <c r="F56" s="2970"/>
      <c r="G56" s="2971"/>
      <c r="H56" s="2970"/>
      <c r="I56" s="2969" t="str">
        <f t="shared" si="3"/>
        <v/>
      </c>
      <c r="J56" s="2968">
        <f ca="1">SUMIF(Maschinenauslastung!D:D,E56,Maschinenauslastung!E:E)</f>
        <v>0</v>
      </c>
      <c r="K56" s="2967" t="str">
        <f t="shared" ca="1" si="4"/>
        <v/>
      </c>
      <c r="L56" s="605">
        <f>VLOOKUP(E56,'SDK3'!C:O,2,FALSE)</f>
        <v>6</v>
      </c>
    </row>
    <row r="57" spans="4:12">
      <c r="D57" s="4591"/>
      <c r="E57" s="415" t="s">
        <v>361</v>
      </c>
      <c r="F57" s="2970"/>
      <c r="G57" s="2971"/>
      <c r="H57" s="2970"/>
      <c r="I57" s="2969" t="str">
        <f t="shared" si="3"/>
        <v/>
      </c>
      <c r="J57" s="2968">
        <f ca="1">SUMIF(Maschinenauslastung!D:D,E57,Maschinenauslastung!E:E)</f>
        <v>0</v>
      </c>
      <c r="K57" s="2967" t="str">
        <f t="shared" ca="1" si="4"/>
        <v/>
      </c>
      <c r="L57" s="605">
        <f>VLOOKUP(E57,'SDK3'!C:O,2,FALSE)</f>
        <v>50</v>
      </c>
    </row>
    <row r="58" spans="4:12">
      <c r="D58" s="4591"/>
      <c r="E58" s="383" t="s">
        <v>360</v>
      </c>
      <c r="F58" s="2970"/>
      <c r="G58" s="2971"/>
      <c r="H58" s="2970"/>
      <c r="I58" s="2969" t="str">
        <f t="shared" si="3"/>
        <v/>
      </c>
      <c r="J58" s="2968">
        <f ca="1">SUMIF(Maschinenauslastung!D:D,E58,Maschinenauslastung!E:E)</f>
        <v>0</v>
      </c>
      <c r="K58" s="2967" t="str">
        <f t="shared" ca="1" si="4"/>
        <v/>
      </c>
      <c r="L58" s="605">
        <f>VLOOKUP(E58,'SDK3'!C:O,2,FALSE)</f>
        <v>50</v>
      </c>
    </row>
    <row r="59" spans="4:12">
      <c r="D59" s="4591"/>
      <c r="E59" s="383" t="s">
        <v>1448</v>
      </c>
      <c r="F59" s="2970"/>
      <c r="G59" s="2971"/>
      <c r="H59" s="2970"/>
      <c r="I59" s="2969" t="str">
        <f t="shared" si="3"/>
        <v/>
      </c>
      <c r="J59" s="2968">
        <f ca="1">SUMIF(Maschinenauslastung!D:D,E59,Maschinenauslastung!E:E)</f>
        <v>0</v>
      </c>
      <c r="K59" s="2967" t="str">
        <f t="shared" ca="1" si="4"/>
        <v/>
      </c>
      <c r="L59" s="605" t="e">
        <f>VLOOKUP(E59,'SDK3'!C:O,2,FALSE)</f>
        <v>#N/A</v>
      </c>
    </row>
    <row r="60" spans="4:12">
      <c r="D60" s="4591"/>
      <c r="E60" s="415" t="s">
        <v>352</v>
      </c>
      <c r="F60" s="2970"/>
      <c r="G60" s="2971"/>
      <c r="H60" s="2970"/>
      <c r="I60" s="2969" t="str">
        <f t="shared" si="3"/>
        <v/>
      </c>
      <c r="J60" s="2968">
        <f ca="1">SUMIF(Maschinenauslastung!D:D,E60,Maschinenauslastung!E:E)</f>
        <v>0</v>
      </c>
      <c r="K60" s="2967" t="str">
        <f t="shared" ca="1" si="4"/>
        <v/>
      </c>
      <c r="L60" s="605" t="e">
        <f>VLOOKUP(E60,'SDK3'!C:O,2,FALSE)</f>
        <v>#N/A</v>
      </c>
    </row>
    <row r="61" spans="4:12">
      <c r="D61" s="4591"/>
      <c r="E61" s="383" t="s">
        <v>350</v>
      </c>
      <c r="F61" s="2970"/>
      <c r="G61" s="2971"/>
      <c r="H61" s="2970"/>
      <c r="I61" s="2969" t="str">
        <f t="shared" si="3"/>
        <v/>
      </c>
      <c r="J61" s="2968">
        <f ca="1">SUMIF(Maschinenauslastung!D:D,E61,Maschinenauslastung!E:E)</f>
        <v>38.095238095238095</v>
      </c>
      <c r="K61" s="2967" t="str">
        <f t="shared" ca="1" si="4"/>
        <v/>
      </c>
      <c r="L61" s="605">
        <f>VLOOKUP(E61,'SDK3'!C:O,2,FALSE)</f>
        <v>9</v>
      </c>
    </row>
    <row r="62" spans="4:12">
      <c r="D62" s="4591"/>
      <c r="E62" s="383" t="s">
        <v>347</v>
      </c>
      <c r="F62" s="2970"/>
      <c r="G62" s="2971"/>
      <c r="H62" s="2970"/>
      <c r="I62" s="2969" t="str">
        <f t="shared" si="3"/>
        <v/>
      </c>
      <c r="J62" s="2968">
        <f ca="1">SUMIF(Maschinenauslastung!D:D,E62,Maschinenauslastung!E:E)</f>
        <v>0</v>
      </c>
      <c r="K62" s="2967" t="str">
        <f t="shared" ca="1" si="4"/>
        <v/>
      </c>
      <c r="L62" s="605" t="e">
        <f>VLOOKUP(E62,'SDK3'!C:O,2,FALSE)</f>
        <v>#N/A</v>
      </c>
    </row>
    <row r="63" spans="4:12">
      <c r="D63" s="4591"/>
      <c r="E63" s="383" t="s">
        <v>346</v>
      </c>
      <c r="F63" s="2970"/>
      <c r="G63" s="2971"/>
      <c r="H63" s="2970"/>
      <c r="I63" s="2969" t="str">
        <f t="shared" si="3"/>
        <v/>
      </c>
      <c r="J63" s="2968">
        <f ca="1">SUMIF(Maschinenauslastung!D:D,E63,Maschinenauslastung!E:E)</f>
        <v>0</v>
      </c>
      <c r="K63" s="2967" t="str">
        <f t="shared" ca="1" si="4"/>
        <v/>
      </c>
      <c r="L63" s="605" t="e">
        <f>VLOOKUP(E63,'SDK3'!C:O,2,FALSE)</f>
        <v>#N/A</v>
      </c>
    </row>
    <row r="64" spans="4:12">
      <c r="D64" s="4591"/>
      <c r="E64" s="383" t="s">
        <v>345</v>
      </c>
      <c r="F64" s="2970"/>
      <c r="G64" s="2971"/>
      <c r="H64" s="2970"/>
      <c r="I64" s="2969" t="str">
        <f t="shared" si="3"/>
        <v/>
      </c>
      <c r="J64" s="2968">
        <f ca="1">SUMIF(Maschinenauslastung!D:D,E64,Maschinenauslastung!E:E)</f>
        <v>0</v>
      </c>
      <c r="K64" s="2967" t="str">
        <f t="shared" ca="1" si="4"/>
        <v/>
      </c>
      <c r="L64" s="605">
        <f>VLOOKUP(E64,'SDK3'!C:O,2,FALSE)</f>
        <v>28.11</v>
      </c>
    </row>
    <row r="65" spans="4:12">
      <c r="D65" s="4591"/>
      <c r="E65" s="383" t="s">
        <v>1445</v>
      </c>
      <c r="F65" s="2970"/>
      <c r="G65" s="2971"/>
      <c r="H65" s="2970"/>
      <c r="I65" s="2969" t="str">
        <f t="shared" si="3"/>
        <v/>
      </c>
      <c r="J65" s="2968">
        <f ca="1">SUMIF(Maschinenauslastung!D:D,E65,Maschinenauslastung!E:E)</f>
        <v>0</v>
      </c>
      <c r="K65" s="2967" t="str">
        <f t="shared" ca="1" si="4"/>
        <v/>
      </c>
      <c r="L65" s="605" t="e">
        <f>VLOOKUP(E65,'SDK3'!C:O,2,FALSE)</f>
        <v>#N/A</v>
      </c>
    </row>
    <row r="66" spans="4:12">
      <c r="D66" s="4595" t="s">
        <v>571</v>
      </c>
      <c r="E66" s="383" t="s">
        <v>1444</v>
      </c>
      <c r="F66" s="2970"/>
      <c r="G66" s="2971"/>
      <c r="H66" s="2970"/>
      <c r="I66" s="2969" t="str">
        <f t="shared" si="3"/>
        <v/>
      </c>
      <c r="J66" s="2968">
        <f ca="1">SUMIF(Maschinenauslastung!D:D,E66,Maschinenauslastung!E:E)</f>
        <v>0</v>
      </c>
      <c r="K66" s="2967" t="str">
        <f t="shared" ca="1" si="4"/>
        <v/>
      </c>
      <c r="L66" s="605" t="e">
        <f>VLOOKUP(E66,'SDK3'!C:O,2,FALSE)</f>
        <v>#N/A</v>
      </c>
    </row>
    <row r="67" spans="4:12">
      <c r="D67" s="4594"/>
      <c r="E67" s="383" t="s">
        <v>1442</v>
      </c>
      <c r="F67" s="2970"/>
      <c r="G67" s="2971"/>
      <c r="H67" s="2970"/>
      <c r="I67" s="2969" t="str">
        <f t="shared" si="3"/>
        <v/>
      </c>
      <c r="J67" s="2968">
        <f ca="1">SUMIF(Maschinenauslastung!D:D,E67,Maschinenauslastung!E:E)</f>
        <v>0</v>
      </c>
      <c r="K67" s="2967" t="str">
        <f t="shared" ca="1" si="4"/>
        <v/>
      </c>
      <c r="L67" s="605" t="e">
        <f>VLOOKUP(E67,'SDK3'!C:O,2,FALSE)</f>
        <v>#N/A</v>
      </c>
    </row>
    <row r="68" spans="4:12">
      <c r="D68" s="4594"/>
      <c r="E68" s="383" t="s">
        <v>1441</v>
      </c>
      <c r="F68" s="2970"/>
      <c r="G68" s="2971"/>
      <c r="H68" s="2970"/>
      <c r="I68" s="2969" t="str">
        <f t="shared" si="3"/>
        <v/>
      </c>
      <c r="J68" s="2968">
        <f ca="1">SUMIF(Maschinenauslastung!D:D,E68,Maschinenauslastung!E:E)</f>
        <v>0</v>
      </c>
      <c r="K68" s="2967" t="str">
        <f t="shared" ca="1" si="4"/>
        <v/>
      </c>
      <c r="L68" s="605" t="e">
        <f>VLOOKUP(E68,'SDK3'!C:O,2,FALSE)</f>
        <v>#N/A</v>
      </c>
    </row>
    <row r="69" spans="4:12">
      <c r="D69" s="4594"/>
      <c r="E69" s="383" t="s">
        <v>1440</v>
      </c>
      <c r="F69" s="2970"/>
      <c r="G69" s="2971"/>
      <c r="H69" s="2970"/>
      <c r="I69" s="2969" t="str">
        <f t="shared" si="3"/>
        <v/>
      </c>
      <c r="J69" s="2968">
        <f ca="1">SUMIF(Maschinenauslastung!D:D,E69,Maschinenauslastung!E:E)</f>
        <v>0</v>
      </c>
      <c r="K69" s="2967" t="str">
        <f t="shared" ca="1" si="4"/>
        <v/>
      </c>
      <c r="L69" s="605" t="e">
        <f>VLOOKUP(E69,'SDK3'!C:O,2,FALSE)</f>
        <v>#N/A</v>
      </c>
    </row>
    <row r="70" spans="4:12">
      <c r="D70" s="4590" t="s">
        <v>1843</v>
      </c>
      <c r="E70" s="2971"/>
      <c r="F70" s="2970"/>
      <c r="G70" s="2971"/>
      <c r="H70" s="2970"/>
      <c r="I70" s="2969" t="str">
        <f t="shared" si="3"/>
        <v/>
      </c>
      <c r="J70" s="2968">
        <f ca="1">SUMIF(Maschinenauslastung!D:D,E70,Maschinenauslastung!E:E)</f>
        <v>0</v>
      </c>
      <c r="K70" s="2967" t="str">
        <f t="shared" ca="1" si="4"/>
        <v/>
      </c>
      <c r="L70" s="605" t="e">
        <f>VLOOKUP(E70,'SDK3'!C:O,2,FALSE)</f>
        <v>#N/A</v>
      </c>
    </row>
    <row r="71" spans="4:12">
      <c r="D71" s="4591"/>
      <c r="E71" s="2971"/>
      <c r="F71" s="2970"/>
      <c r="G71" s="2971"/>
      <c r="H71" s="2970"/>
      <c r="I71" s="2969" t="str">
        <f t="shared" si="3"/>
        <v/>
      </c>
      <c r="J71" s="2968">
        <f ca="1">SUMIF(Maschinenauslastung!D:D,E71,Maschinenauslastung!E:E)</f>
        <v>0</v>
      </c>
      <c r="K71" s="2967" t="str">
        <f t="shared" ca="1" si="4"/>
        <v/>
      </c>
    </row>
    <row r="72" spans="4:12">
      <c r="D72" s="4591"/>
      <c r="E72" s="2971"/>
      <c r="F72" s="2970"/>
      <c r="G72" s="2971"/>
      <c r="H72" s="2970"/>
      <c r="I72" s="2969" t="str">
        <f t="shared" si="3"/>
        <v/>
      </c>
      <c r="J72" s="2968">
        <f ca="1">SUMIF(Maschinenauslastung!D:D,E72,Maschinenauslastung!E:E)</f>
        <v>0</v>
      </c>
      <c r="K72" s="2967" t="str">
        <f t="shared" ca="1" si="4"/>
        <v/>
      </c>
    </row>
    <row r="73" spans="4:12">
      <c r="D73" s="4591"/>
      <c r="E73" s="2971"/>
      <c r="F73" s="2970"/>
      <c r="G73" s="2971"/>
      <c r="H73" s="2970"/>
      <c r="I73" s="2969" t="str">
        <f t="shared" si="3"/>
        <v/>
      </c>
      <c r="J73" s="2968">
        <f ca="1">SUMIF(Maschinenauslastung!D:D,E73,Maschinenauslastung!E:E)</f>
        <v>0</v>
      </c>
      <c r="K73" s="2967" t="str">
        <f t="shared" ca="1" si="4"/>
        <v/>
      </c>
    </row>
    <row r="74" spans="4:12">
      <c r="D74" s="4591"/>
      <c r="E74" s="2971"/>
      <c r="F74" s="2970"/>
      <c r="G74" s="2971"/>
      <c r="H74" s="2970"/>
      <c r="I74" s="2969" t="str">
        <f t="shared" si="3"/>
        <v/>
      </c>
      <c r="J74" s="2968">
        <f ca="1">SUMIF(Maschinenauslastung!D:D,E74,Maschinenauslastung!E:E)</f>
        <v>0</v>
      </c>
      <c r="K74" s="2967" t="str">
        <f t="shared" ca="1" si="4"/>
        <v/>
      </c>
    </row>
    <row r="75" spans="4:12">
      <c r="D75" s="4591"/>
      <c r="E75" s="2971"/>
      <c r="F75" s="2970"/>
      <c r="G75" s="2971"/>
      <c r="H75" s="2970"/>
      <c r="I75" s="2969" t="str">
        <f t="shared" si="3"/>
        <v/>
      </c>
      <c r="J75" s="2968">
        <f ca="1">SUMIF(Maschinenauslastung!D:D,E75,Maschinenauslastung!E:E)</f>
        <v>0</v>
      </c>
      <c r="K75" s="2967" t="str">
        <f t="shared" ca="1" si="4"/>
        <v/>
      </c>
    </row>
    <row r="76" spans="4:12">
      <c r="D76" s="4591"/>
      <c r="E76" s="2971"/>
      <c r="F76" s="2970"/>
      <c r="G76" s="2971"/>
      <c r="H76" s="2970"/>
      <c r="I76" s="2969" t="str">
        <f t="shared" si="3"/>
        <v/>
      </c>
      <c r="J76" s="2968">
        <f ca="1">SUMIF(Maschinenauslastung!D:D,E76,Maschinenauslastung!E:E)</f>
        <v>0</v>
      </c>
      <c r="K76" s="2967" t="str">
        <f t="shared" ca="1" si="4"/>
        <v/>
      </c>
    </row>
    <row r="77" spans="4:12">
      <c r="D77" s="4591"/>
      <c r="E77" s="2971"/>
      <c r="F77" s="2970"/>
      <c r="G77" s="2971"/>
      <c r="H77" s="2970"/>
      <c r="I77" s="2969" t="str">
        <f t="shared" ref="I77:I86" si="5">IFERROR((F77-H77)/G77+(F77+H77)/2*$I$2+0.01*F77,"")</f>
        <v/>
      </c>
      <c r="J77" s="2968">
        <f ca="1">SUMIF(Maschinenauslastung!D:D,E77,Maschinenauslastung!E:E)</f>
        <v>0</v>
      </c>
      <c r="K77" s="2967" t="str">
        <f t="shared" ref="K77:K86" ca="1" si="6">IFERROR(I77/J77,"")</f>
        <v/>
      </c>
    </row>
    <row r="78" spans="4:12">
      <c r="D78" s="4591"/>
      <c r="E78" s="2971"/>
      <c r="F78" s="2970"/>
      <c r="G78" s="2971"/>
      <c r="H78" s="2970"/>
      <c r="I78" s="2969" t="str">
        <f t="shared" si="5"/>
        <v/>
      </c>
      <c r="J78" s="2968">
        <f ca="1">SUMIF(Maschinenauslastung!D:D,E78,Maschinenauslastung!E:E)</f>
        <v>0</v>
      </c>
      <c r="K78" s="2967" t="str">
        <f t="shared" ca="1" si="6"/>
        <v/>
      </c>
    </row>
    <row r="79" spans="4:12">
      <c r="D79" s="4591"/>
      <c r="E79" s="2971"/>
      <c r="F79" s="2970"/>
      <c r="G79" s="2971"/>
      <c r="H79" s="2970"/>
      <c r="I79" s="2969" t="str">
        <f t="shared" si="5"/>
        <v/>
      </c>
      <c r="J79" s="2968">
        <f ca="1">SUMIF(Maschinenauslastung!D:D,E79,Maschinenauslastung!E:E)</f>
        <v>0</v>
      </c>
      <c r="K79" s="2967" t="str">
        <f t="shared" ca="1" si="6"/>
        <v/>
      </c>
    </row>
    <row r="80" spans="4:12">
      <c r="D80" s="4591"/>
      <c r="E80" s="2971"/>
      <c r="F80" s="2970"/>
      <c r="G80" s="2971"/>
      <c r="H80" s="2970"/>
      <c r="I80" s="2969" t="str">
        <f t="shared" si="5"/>
        <v/>
      </c>
      <c r="J80" s="2968">
        <f ca="1">SUMIF(Maschinenauslastung!D:D,E80,Maschinenauslastung!E:E)</f>
        <v>0</v>
      </c>
      <c r="K80" s="2967" t="str">
        <f t="shared" ca="1" si="6"/>
        <v/>
      </c>
    </row>
    <row r="81" spans="4:11">
      <c r="D81" s="4591"/>
      <c r="E81" s="2971"/>
      <c r="F81" s="2970"/>
      <c r="G81" s="2971"/>
      <c r="H81" s="2970"/>
      <c r="I81" s="2969" t="str">
        <f t="shared" si="5"/>
        <v/>
      </c>
      <c r="J81" s="2968">
        <f ca="1">SUMIF(Maschinenauslastung!D:D,E81,Maschinenauslastung!E:E)</f>
        <v>0</v>
      </c>
      <c r="K81" s="2967" t="str">
        <f t="shared" ca="1" si="6"/>
        <v/>
      </c>
    </row>
    <row r="82" spans="4:11">
      <c r="D82" s="4591"/>
      <c r="E82" s="2971"/>
      <c r="F82" s="2970"/>
      <c r="G82" s="2971"/>
      <c r="H82" s="2970"/>
      <c r="I82" s="2969" t="str">
        <f t="shared" si="5"/>
        <v/>
      </c>
      <c r="J82" s="2968">
        <f ca="1">SUMIF(Maschinenauslastung!D:D,E82,Maschinenauslastung!E:E)</f>
        <v>0</v>
      </c>
      <c r="K82" s="2967" t="str">
        <f t="shared" ca="1" si="6"/>
        <v/>
      </c>
    </row>
    <row r="83" spans="4:11">
      <c r="D83" s="4591"/>
      <c r="E83" s="2971"/>
      <c r="F83" s="2970"/>
      <c r="G83" s="2971"/>
      <c r="H83" s="2970"/>
      <c r="I83" s="2969" t="str">
        <f t="shared" si="5"/>
        <v/>
      </c>
      <c r="J83" s="2968">
        <f ca="1">SUMIF(Maschinenauslastung!D:D,E83,Maschinenauslastung!E:E)</f>
        <v>0</v>
      </c>
      <c r="K83" s="2967" t="str">
        <f t="shared" ca="1" si="6"/>
        <v/>
      </c>
    </row>
    <row r="84" spans="4:11">
      <c r="D84" s="4591"/>
      <c r="E84" s="2971"/>
      <c r="F84" s="2970"/>
      <c r="G84" s="2971"/>
      <c r="H84" s="2970"/>
      <c r="I84" s="2969" t="str">
        <f t="shared" si="5"/>
        <v/>
      </c>
      <c r="J84" s="2968">
        <f ca="1">SUMIF(Maschinenauslastung!D:D,E84,Maschinenauslastung!E:E)</f>
        <v>0</v>
      </c>
      <c r="K84" s="2967" t="str">
        <f t="shared" ca="1" si="6"/>
        <v/>
      </c>
    </row>
    <row r="85" spans="4:11">
      <c r="D85" s="4591"/>
      <c r="E85" s="2971"/>
      <c r="F85" s="2970"/>
      <c r="G85" s="2971"/>
      <c r="H85" s="2970"/>
      <c r="I85" s="2969" t="str">
        <f t="shared" si="5"/>
        <v/>
      </c>
      <c r="J85" s="2968">
        <f ca="1">SUMIF(Maschinenauslastung!D:D,E85,Maschinenauslastung!E:E)</f>
        <v>0</v>
      </c>
      <c r="K85" s="2967" t="str">
        <f t="shared" ca="1" si="6"/>
        <v/>
      </c>
    </row>
    <row r="86" spans="4:11">
      <c r="D86" s="4591"/>
      <c r="E86" s="2971"/>
      <c r="F86" s="2970"/>
      <c r="G86" s="2971"/>
      <c r="H86" s="2970"/>
      <c r="I86" s="2969" t="str">
        <f t="shared" si="5"/>
        <v/>
      </c>
      <c r="J86" s="2968">
        <f ca="1">SUMIF(Maschinenauslastung!D:D,E86,Maschinenauslastung!E:E)</f>
        <v>0</v>
      </c>
      <c r="K86" s="2967" t="str">
        <f t="shared" ca="1" si="6"/>
        <v/>
      </c>
    </row>
  </sheetData>
  <mergeCells count="12">
    <mergeCell ref="D70:D86"/>
    <mergeCell ref="D35:D36"/>
    <mergeCell ref="D37:D40"/>
    <mergeCell ref="D41:D48"/>
    <mergeCell ref="D49:D65"/>
    <mergeCell ref="D66:D69"/>
    <mergeCell ref="D30:D34"/>
    <mergeCell ref="D19:D25"/>
    <mergeCell ref="D5:E5"/>
    <mergeCell ref="D12:E12"/>
    <mergeCell ref="D13:D18"/>
    <mergeCell ref="D26:D29"/>
  </mergeCells>
  <dataValidations count="1">
    <dataValidation allowBlank="1" showInputMessage="1" showErrorMessage="1" prompt="Abschreibung, Kapitalverzinsung &amp; 1% der Anschaffungskosten für Versicherung und Unterbringung" sqref="I4"/>
  </dataValidation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4">
    <tabColor rgb="FFFF0000"/>
    <pageSetUpPr fitToPage="1"/>
  </sheetPr>
  <dimension ref="A1:AB301"/>
  <sheetViews>
    <sheetView showZeros="0" zoomScaleNormal="100" workbookViewId="0">
      <pane xSplit="8" topLeftCell="I1" activePane="topRight" state="frozen"/>
      <selection activeCell="AF19" sqref="AF19"/>
      <selection pane="topRight" activeCell="A2" sqref="A2"/>
    </sheetView>
  </sheetViews>
  <sheetFormatPr baseColWidth="10" defaultColWidth="10.5" defaultRowHeight="14.25"/>
  <cols>
    <col min="1" max="1" width="0.75" style="1120" customWidth="1"/>
    <col min="2" max="2" width="3" style="1" bestFit="1" customWidth="1"/>
    <col min="3" max="3" width="0.75" style="1120" customWidth="1"/>
    <col min="4" max="4" width="3.875" style="1119" bestFit="1" customWidth="1"/>
    <col min="5" max="5" width="2.375" style="4" customWidth="1"/>
    <col min="6" max="6" width="26.75" style="4" customWidth="1"/>
    <col min="7" max="7" width="20.625" style="4" customWidth="1"/>
    <col min="8" max="8" width="8.75" style="1118" customWidth="1"/>
    <col min="9" max="9" width="12.75" style="19" customWidth="1"/>
    <col min="10" max="22" width="12.75" style="4" customWidth="1"/>
    <col min="23" max="24" width="12.75" style="78" customWidth="1"/>
    <col min="25" max="25" width="10.5" style="1" customWidth="1"/>
    <col min="26" max="16384" width="10.5" style="1"/>
  </cols>
  <sheetData>
    <row r="1" spans="1:25" ht="19.149999999999999" customHeight="1">
      <c r="A1" s="1210"/>
      <c r="B1" s="1210"/>
      <c r="C1" s="1210"/>
      <c r="D1" s="1210"/>
      <c r="E1" s="1210"/>
      <c r="F1" s="1422"/>
      <c r="G1" s="1422"/>
      <c r="H1" s="1422"/>
      <c r="I1" s="1422"/>
      <c r="J1" s="1422">
        <v>1</v>
      </c>
      <c r="K1" s="1422"/>
      <c r="L1" s="1422">
        <v>2</v>
      </c>
      <c r="M1" s="1422"/>
      <c r="N1" s="1422">
        <v>3</v>
      </c>
      <c r="O1" s="1422"/>
      <c r="P1" s="1422">
        <v>4</v>
      </c>
      <c r="Q1" s="1422"/>
      <c r="R1" s="1422">
        <v>5</v>
      </c>
      <c r="S1" s="1422"/>
      <c r="T1" s="1422">
        <v>6</v>
      </c>
      <c r="U1" s="1422"/>
      <c r="V1" s="1422">
        <v>7</v>
      </c>
      <c r="W1" s="3764"/>
      <c r="X1" s="3764">
        <v>8</v>
      </c>
      <c r="Y1" s="4658"/>
    </row>
    <row r="2" spans="1:25" ht="18.75" customHeight="1">
      <c r="A2" s="1210"/>
      <c r="B2" s="1210"/>
      <c r="C2" s="1210"/>
      <c r="D2" s="1210"/>
      <c r="E2" s="1432" t="str">
        <f>"Kostenrechnung " &amp; 'SDK1'!L8</f>
        <v xml:space="preserve">Kostenrechnung </v>
      </c>
      <c r="F2" s="1431"/>
      <c r="G2" s="1430"/>
      <c r="H2" s="1430"/>
      <c r="I2" s="4811" t="s">
        <v>96</v>
      </c>
      <c r="J2" s="4812"/>
      <c r="K2" s="4811" t="s">
        <v>86</v>
      </c>
      <c r="L2" s="4813"/>
      <c r="M2" s="4814" t="s">
        <v>64</v>
      </c>
      <c r="N2" s="4813"/>
      <c r="O2" s="4811" t="s">
        <v>205</v>
      </c>
      <c r="P2" s="4813"/>
      <c r="Q2" s="4814" t="s">
        <v>199</v>
      </c>
      <c r="R2" s="4813"/>
      <c r="S2" s="4811" t="s">
        <v>1287</v>
      </c>
      <c r="T2" s="4813"/>
      <c r="U2" s="4814" t="s">
        <v>201</v>
      </c>
      <c r="V2" s="4812"/>
      <c r="W2" s="4660" t="s">
        <v>1992</v>
      </c>
      <c r="X2" s="4661"/>
      <c r="Y2" s="4659"/>
    </row>
    <row r="3" spans="1:25" ht="3.4" customHeight="1">
      <c r="A3" s="1210"/>
      <c r="B3" s="1210"/>
      <c r="C3" s="1210"/>
      <c r="D3" s="1210"/>
      <c r="E3" s="1210"/>
      <c r="F3" s="1210"/>
      <c r="G3" s="1210"/>
      <c r="H3" s="1210"/>
      <c r="I3" s="1210"/>
      <c r="J3" s="1210"/>
      <c r="K3" s="1210"/>
      <c r="L3" s="1210"/>
      <c r="M3" s="1210"/>
      <c r="N3" s="1210"/>
      <c r="O3" s="1210"/>
      <c r="P3" s="1210"/>
      <c r="Q3" s="1210"/>
      <c r="R3" s="1210"/>
      <c r="S3" s="1210"/>
      <c r="T3" s="1210"/>
      <c r="U3" s="1210"/>
      <c r="V3" s="1210"/>
      <c r="W3" s="3765"/>
      <c r="X3" s="3765"/>
      <c r="Y3" s="4659"/>
    </row>
    <row r="4" spans="1:25" ht="15" customHeight="1">
      <c r="A4" s="1210"/>
      <c r="B4" s="1210"/>
      <c r="C4" s="1210"/>
      <c r="D4" s="1210"/>
      <c r="E4" s="1429" t="s">
        <v>1098</v>
      </c>
      <c r="F4" s="1228"/>
      <c r="G4" s="1428">
        <f>'WW1'!P4</f>
        <v>0</v>
      </c>
      <c r="H4" s="1427"/>
      <c r="I4" s="1426" t="str">
        <f>HLOOKUP(J$6,Daten!$D$3:$GR$64,ROW()+56,FALSE)</f>
        <v>Lohndrusch, 2 ha-Schlag</v>
      </c>
      <c r="J4" s="1425"/>
      <c r="K4" s="1424" t="str">
        <f>HLOOKUP(L$6,Daten!$D$3:$GR$64,ROW()+56,FALSE)</f>
        <v>Lohndrusch, 2 ha-Schlag</v>
      </c>
      <c r="L4" s="1425"/>
      <c r="M4" s="1424" t="str">
        <f>HLOOKUP(N$6,Daten!$D$3:$GX$64,ROW()+56,FALSE)</f>
        <v>Lohndrusch, 2 ha-Schlag</v>
      </c>
      <c r="N4" s="1423"/>
      <c r="O4" s="1424" t="str">
        <f>HLOOKUP(P$6,Daten!$D$3:$GX$64,ROW()+56,FALSE)</f>
        <v>Lohndrusch, 2 ha-Schlag</v>
      </c>
      <c r="P4" s="1425"/>
      <c r="Q4" s="1424" t="str">
        <f>HLOOKUP(R$6,Daten!$D$3:$GX$64,ROW()+56,FALSE)</f>
        <v>Lohndrusch, 2 ha-Schlag</v>
      </c>
      <c r="R4" s="1423"/>
      <c r="S4" s="1424" t="str">
        <f>HLOOKUP(T$6,Daten!$D$3:$GX$64,ROW()+56,FALSE)</f>
        <v>Kleegras 1jährig, 2mal mulchen</v>
      </c>
      <c r="T4" s="1425"/>
      <c r="U4" s="1424" t="str">
        <f>HLOOKUP(V$6,Daten!$D$3:$GX$64,ROW()+56,FALSE)</f>
        <v>Lohndrusch, 2 ha-Schlag</v>
      </c>
      <c r="V4" s="1423"/>
      <c r="W4" s="1424"/>
      <c r="X4" s="1423"/>
      <c r="Y4" s="4659"/>
    </row>
    <row r="5" spans="1:25" ht="13.15" customHeight="1">
      <c r="A5" s="1210"/>
      <c r="B5" s="1210"/>
      <c r="C5" s="1210"/>
      <c r="D5" s="1210"/>
      <c r="E5" s="1210"/>
      <c r="F5" s="1210"/>
      <c r="G5" s="1210"/>
      <c r="H5" s="1210"/>
      <c r="I5" s="4818" t="str">
        <f>HYPERLINK("#"&amp;HLOOKUP(J$6,Daten!$D$3:$GX$65,ROW()+58,FALSE)&amp;"!A1","Daten ändern")</f>
        <v>Daten ändern</v>
      </c>
      <c r="J5" s="4819"/>
      <c r="K5" s="4818" t="str">
        <f>HYPERLINK("#"&amp;HLOOKUP(L$6,Daten!$D$3:$GX$65,ROW()+58,FALSE)&amp;"!A1","Daten ändern")</f>
        <v>Daten ändern</v>
      </c>
      <c r="L5" s="4819"/>
      <c r="M5" s="4818" t="str">
        <f>HYPERLINK("#"&amp;HLOOKUP(N$6,Daten!$D$3:$GX$65,ROW()+58,FALSE)&amp;"!A1","Daten ändern")</f>
        <v>Daten ändern</v>
      </c>
      <c r="N5" s="4819"/>
      <c r="O5" s="4818" t="str">
        <f>HYPERLINK("#"&amp;HLOOKUP(P$6,Daten!$D$3:$GX$65,ROW()+58,FALSE)&amp;"!A1","Daten ändern")</f>
        <v>Daten ändern</v>
      </c>
      <c r="P5" s="4819"/>
      <c r="Q5" s="4818" t="str">
        <f>HYPERLINK("#"&amp;HLOOKUP(R$6,Daten!$D$3:$GX$65,ROW()+58,FALSE)&amp;"!A1","Daten ändern")</f>
        <v>Daten ändern</v>
      </c>
      <c r="R5" s="4819"/>
      <c r="S5" s="4818" t="str">
        <f>HYPERLINK("#"&amp;HLOOKUP(T$6,Daten!$D$3:$GX$65,ROW()+58,FALSE)&amp;"!A1","Daten ändern")</f>
        <v>Daten ändern</v>
      </c>
      <c r="T5" s="4819"/>
      <c r="U5" s="4818" t="str">
        <f>HYPERLINK("#"&amp;HLOOKUP(V$6,Daten!$D$3:$GX$65,ROW()+58,FALSE)&amp;"!A1","Daten ändern")</f>
        <v>Daten ändern</v>
      </c>
      <c r="V5" s="4819"/>
      <c r="W5" s="4662"/>
      <c r="X5" s="4663"/>
      <c r="Y5" s="4659"/>
    </row>
    <row r="6" spans="1:25" ht="18.600000000000001" hidden="1" customHeight="1">
      <c r="A6" s="1210"/>
      <c r="B6" s="1210"/>
      <c r="C6" s="1210"/>
      <c r="D6" s="1210"/>
      <c r="E6" s="1210"/>
      <c r="F6" s="1210"/>
      <c r="G6" s="1210"/>
      <c r="H6" s="1210"/>
      <c r="I6" s="1422">
        <f>VLOOKUP(I2,$F$233:$G$289,2,FALSE)</f>
        <v>3</v>
      </c>
      <c r="J6" s="1210" t="str">
        <f>I6 &amp; LEFT(I8,1)</f>
        <v>3h</v>
      </c>
      <c r="K6" s="1422">
        <f>VLOOKUP(K2,$F$233:$G$289,2,FALSE)</f>
        <v>8</v>
      </c>
      <c r="L6" s="1210" t="str">
        <f>K6 &amp; LEFT(K8,1)</f>
        <v>8h</v>
      </c>
      <c r="M6" s="1422">
        <f>VLOOKUP(M2,$F$233:$G$289,2,FALSE)</f>
        <v>17</v>
      </c>
      <c r="N6" s="1210" t="str">
        <f>M6 &amp; LEFT(M8,1)</f>
        <v>17m</v>
      </c>
      <c r="O6" s="1422">
        <f>VLOOKUP(O2,$F$233:$G$289,2,FALSE)</f>
        <v>15</v>
      </c>
      <c r="P6" s="1210" t="str">
        <f>O6 &amp; LEFT(O8,1)</f>
        <v>15m</v>
      </c>
      <c r="Q6" s="1422">
        <f>VLOOKUP(Q2,$F$233:$G$289,2,FALSE)</f>
        <v>22</v>
      </c>
      <c r="R6" s="1210" t="str">
        <f>Q6 &amp; LEFT(Q8,1)</f>
        <v>22m</v>
      </c>
      <c r="S6" s="1422">
        <f>VLOOKUP(S2,$F$233:$G$289,2,FALSE)</f>
        <v>33</v>
      </c>
      <c r="T6" s="1210" t="str">
        <f>S6 &amp; LEFT(S8,1)</f>
        <v>33m</v>
      </c>
      <c r="U6" s="1422">
        <f>VLOOKUP(U2,$F$233:$G$289,2,FALSE)</f>
        <v>20</v>
      </c>
      <c r="V6" s="1210" t="str">
        <f>U6 &amp; LEFT(U8,1)</f>
        <v>20m</v>
      </c>
      <c r="W6" s="3764"/>
      <c r="X6" s="3765"/>
      <c r="Y6" s="4659"/>
    </row>
    <row r="7" spans="1:25" ht="30">
      <c r="A7" s="1210"/>
      <c r="B7" s="1210"/>
      <c r="C7" s="1210"/>
      <c r="D7" s="1210"/>
      <c r="E7" s="1421" t="s">
        <v>230</v>
      </c>
      <c r="F7" s="1420"/>
      <c r="G7" s="1420"/>
      <c r="H7" s="1419" t="s">
        <v>1937</v>
      </c>
      <c r="I7" s="3023"/>
      <c r="J7" s="3832">
        <v>25</v>
      </c>
      <c r="K7" s="3001"/>
      <c r="L7" s="3831">
        <v>25</v>
      </c>
      <c r="M7" s="3001"/>
      <c r="N7" s="3832">
        <v>25</v>
      </c>
      <c r="O7" s="3001"/>
      <c r="P7" s="3831">
        <v>25</v>
      </c>
      <c r="Q7" s="3001"/>
      <c r="R7" s="3832"/>
      <c r="S7" s="3001"/>
      <c r="T7" s="3831"/>
      <c r="U7" s="3001"/>
      <c r="V7" s="3024"/>
      <c r="W7" s="3766"/>
      <c r="X7" s="3767">
        <f>SUM(J7:W7)</f>
        <v>100</v>
      </c>
      <c r="Y7" s="2997" t="s">
        <v>1903</v>
      </c>
    </row>
    <row r="8" spans="1:25" s="1400" customFormat="1" ht="15" customHeight="1">
      <c r="A8" s="1210"/>
      <c r="B8" s="1210"/>
      <c r="C8" s="1210"/>
      <c r="D8" s="1258"/>
      <c r="E8" s="1418" t="s">
        <v>1097</v>
      </c>
      <c r="F8" s="1418"/>
      <c r="G8" s="1418"/>
      <c r="H8" s="1417"/>
      <c r="I8" s="4799" t="s">
        <v>178</v>
      </c>
      <c r="J8" s="4800"/>
      <c r="K8" s="4799" t="s">
        <v>178</v>
      </c>
      <c r="L8" s="4800"/>
      <c r="M8" s="4799" t="s">
        <v>152</v>
      </c>
      <c r="N8" s="4800"/>
      <c r="O8" s="4799" t="s">
        <v>152</v>
      </c>
      <c r="P8" s="4800"/>
      <c r="Q8" s="4799" t="s">
        <v>152</v>
      </c>
      <c r="R8" s="4800"/>
      <c r="S8" s="4799" t="s">
        <v>152</v>
      </c>
      <c r="T8" s="4800"/>
      <c r="U8" s="4799" t="s">
        <v>152</v>
      </c>
      <c r="V8" s="4800"/>
      <c r="W8" s="4664"/>
      <c r="X8" s="4665"/>
      <c r="Y8" s="2998"/>
    </row>
    <row r="9" spans="1:25" s="1400" customFormat="1" ht="16.5">
      <c r="A9" s="1210"/>
      <c r="B9" s="1210"/>
      <c r="C9" s="1210"/>
      <c r="D9" s="1416">
        <v>1</v>
      </c>
      <c r="E9" s="1415" t="s">
        <v>1096</v>
      </c>
      <c r="F9" s="1414"/>
      <c r="G9" s="1414"/>
      <c r="H9" s="1413" t="s">
        <v>172</v>
      </c>
      <c r="I9" s="1410"/>
      <c r="J9" s="1409">
        <f>HLOOKUP(J$6,Daten!$D$3:$GR$65,ROW()-6,FALSE)</f>
        <v>90</v>
      </c>
      <c r="K9" s="1412"/>
      <c r="L9" s="1411">
        <f>HLOOKUP(L$6,Daten!$D$3:$GR$65,ROW()-6,FALSE)</f>
        <v>85</v>
      </c>
      <c r="M9" s="1410"/>
      <c r="N9" s="1409">
        <f>HLOOKUP(N$6,Daten!$D$3:$GR$65,ROW()-6,FALSE)</f>
        <v>40</v>
      </c>
      <c r="O9" s="1412"/>
      <c r="P9" s="1411">
        <f>HLOOKUP(P$6,Daten!$D$3:$GR$64,ROW()-6,FALSE)</f>
        <v>100</v>
      </c>
      <c r="Q9" s="1410"/>
      <c r="R9" s="1409">
        <f>HLOOKUP(R$6,Daten!$D$3:$GR$65,ROW()-6,FALSE)</f>
        <v>35</v>
      </c>
      <c r="S9" s="1412"/>
      <c r="T9" s="1411">
        <f>HLOOKUP(T$6,Daten!$D$3:$GR$65,ROW()-6,FALSE)</f>
        <v>400</v>
      </c>
      <c r="U9" s="1410"/>
      <c r="V9" s="1409">
        <f>HLOOKUP(V$6,Daten!$D$3:$GR$65,ROW()-6,FALSE)</f>
        <v>27</v>
      </c>
      <c r="W9" s="1410"/>
      <c r="X9" s="3768">
        <f t="shared" ref="X9:X34" si="0">SUMPRODUCT($I$7:$V$7,I9:V9)/$X$7</f>
        <v>78.75</v>
      </c>
      <c r="Y9" s="2999"/>
    </row>
    <row r="10" spans="1:25" s="1400" customFormat="1" ht="15">
      <c r="A10" s="1210"/>
      <c r="B10" s="1210"/>
      <c r="C10" s="1210"/>
      <c r="D10" s="1222">
        <f t="shared" ref="D10:D19" si="1">D9+1</f>
        <v>2</v>
      </c>
      <c r="E10" s="1408" t="s">
        <v>1095</v>
      </c>
      <c r="F10" s="1408" t="s">
        <v>1094</v>
      </c>
      <c r="G10" s="1407"/>
      <c r="H10" s="1192"/>
      <c r="I10" s="1404"/>
      <c r="J10" s="1403">
        <f>HLOOKUP(J$6,Daten!$D$3:$GR$65,ROW()-6,FALSE)</f>
        <v>90</v>
      </c>
      <c r="K10" s="1406"/>
      <c r="L10" s="1405">
        <f>HLOOKUP(L$6,Daten!$D$3:$GR$65,ROW()-6,FALSE)</f>
        <v>85</v>
      </c>
      <c r="M10" s="1404"/>
      <c r="N10" s="1403">
        <f>HLOOKUP(N$6,Daten!$D$3:$GR$64,ROW()-6,FALSE)</f>
        <v>40</v>
      </c>
      <c r="O10" s="1406"/>
      <c r="P10" s="1405">
        <f>HLOOKUP(P$6,Daten!$D$3:$GR$64,ROW()-6,FALSE)</f>
        <v>100</v>
      </c>
      <c r="Q10" s="1404"/>
      <c r="R10" s="1403">
        <f>HLOOKUP(R$6,Daten!$D$3:$GR$65,ROW()-6,FALSE)</f>
        <v>35</v>
      </c>
      <c r="S10" s="1406"/>
      <c r="T10" s="1405">
        <f>HLOOKUP(T$6,Daten!$D$3:$GR$65,ROW()-6,FALSE)</f>
        <v>400</v>
      </c>
      <c r="U10" s="1404"/>
      <c r="V10" s="1403">
        <f>HLOOKUP(V$6,Daten!$D$3:$GR$65,ROW()-6,FALSE)</f>
        <v>27</v>
      </c>
      <c r="W10" s="1404"/>
      <c r="X10" s="3769">
        <f t="shared" si="0"/>
        <v>78.75</v>
      </c>
      <c r="Y10" s="2999"/>
    </row>
    <row r="11" spans="1:25" s="1400" customFormat="1" ht="16.5">
      <c r="A11" s="1210"/>
      <c r="B11" s="1210"/>
      <c r="C11" s="1210"/>
      <c r="D11" s="1217">
        <f t="shared" si="1"/>
        <v>3</v>
      </c>
      <c r="E11" s="1402" t="str">
        <f>IF('SDK1'!L9&gt;0,"Preis Hauptprodukt (incl. MwSt.)","Preis Hauptprodukt (ohne MwSt.)")</f>
        <v>Preis Hauptprodukt (incl. MwSt.)</v>
      </c>
      <c r="F11" s="1399"/>
      <c r="G11" s="1402"/>
      <c r="H11" s="1401" t="s">
        <v>228</v>
      </c>
      <c r="I11" s="3534"/>
      <c r="J11" s="3529">
        <f>HLOOKUP(J$6,Daten!$D$3:$GR$65,ROW()-6,FALSE)</f>
        <v>23.533333333333331</v>
      </c>
      <c r="K11" s="3536"/>
      <c r="L11" s="3535">
        <f>HLOOKUP(L$6,Daten!$D$3:$GR$65,ROW()-6,FALSE)</f>
        <v>19.900000000000002</v>
      </c>
      <c r="M11" s="3534"/>
      <c r="N11" s="3529">
        <f>HLOOKUP(N$6,Daten!$D$3:$GR$64,ROW()-6,FALSE)</f>
        <v>52.166666666666657</v>
      </c>
      <c r="O11" s="3536"/>
      <c r="P11" s="3535">
        <f>HLOOKUP(P$6,Daten!$D$3:$GR$64,ROW()-6,FALSE)</f>
        <v>24.633333333333336</v>
      </c>
      <c r="Q11" s="3534"/>
      <c r="R11" s="3529">
        <f>HLOOKUP(R6,Daten!$D$3:$GR$65,ROW()-6,FALSE)</f>
        <v>29.966666666666669</v>
      </c>
      <c r="S11" s="3536"/>
      <c r="T11" s="3535">
        <f>HLOOKUP(T$6,Daten!$D$3:$GR$65,ROW()-6,FALSE)</f>
        <v>0</v>
      </c>
      <c r="U11" s="3534"/>
      <c r="V11" s="3529">
        <f>HLOOKUP(V$6,Daten!$D$3:$GR$65,ROW()-6,FALSE)</f>
        <v>52.333333333333343</v>
      </c>
      <c r="W11" s="3770"/>
      <c r="X11" s="3529">
        <f t="shared" si="0"/>
        <v>30.058333333333334</v>
      </c>
      <c r="Y11" s="3005"/>
    </row>
    <row r="12" spans="1:25" ht="15" customHeight="1">
      <c r="A12" s="1210"/>
      <c r="B12" s="4596" t="s">
        <v>1093</v>
      </c>
      <c r="C12" s="1210"/>
      <c r="D12" s="1249">
        <f t="shared" si="1"/>
        <v>4</v>
      </c>
      <c r="E12" s="1046"/>
      <c r="F12" s="78" t="s">
        <v>227</v>
      </c>
      <c r="G12" s="1194"/>
      <c r="H12" s="9" t="s">
        <v>171</v>
      </c>
      <c r="I12" s="1199"/>
      <c r="J12" s="3532">
        <f>HLOOKUP(J$6,Daten!$D$3:$GR$65,ROW()-6,FALSE)</f>
        <v>2118</v>
      </c>
      <c r="K12" s="3537"/>
      <c r="L12" s="3538">
        <f>HLOOKUP(L$6,Daten!$D$3:$GR$65,ROW()-6,FALSE)</f>
        <v>1691.5000000000002</v>
      </c>
      <c r="M12" s="1199"/>
      <c r="N12" s="3532">
        <f>HLOOKUP(N$6,Daten!$D$3:$GR$65,ROW()-6,FALSE)</f>
        <v>2086.6666666666661</v>
      </c>
      <c r="O12" s="3537"/>
      <c r="P12" s="3538">
        <f>HLOOKUP(P$6,Daten!$D$3:$GR$65,ROW()-6,FALSE)</f>
        <v>2463.3333333333335</v>
      </c>
      <c r="Q12" s="1199"/>
      <c r="R12" s="3532">
        <f>HLOOKUP(R6,Daten!$D$3:$GR$65,ROW()-6,FALSE)</f>
        <v>1048.8333333333335</v>
      </c>
      <c r="S12" s="3537"/>
      <c r="T12" s="3538">
        <f>HLOOKUP(T6,Daten!$D$3:$GR$65,ROW()-6,FALSE)</f>
        <v>0</v>
      </c>
      <c r="U12" s="1199"/>
      <c r="V12" s="3532">
        <f>HLOOKUP(V6,Daten!$D$3:$GR$65,ROW()-6,FALSE)</f>
        <v>1413.0000000000002</v>
      </c>
      <c r="W12" s="1410"/>
      <c r="X12" s="3532">
        <f t="shared" si="0"/>
        <v>2089.875</v>
      </c>
      <c r="Y12" s="3006"/>
    </row>
    <row r="13" spans="1:25">
      <c r="A13" s="1210"/>
      <c r="B13" s="4597"/>
      <c r="C13" s="1210"/>
      <c r="D13" s="1222">
        <f t="shared" si="1"/>
        <v>5</v>
      </c>
      <c r="E13" s="1046"/>
      <c r="F13" s="78" t="s">
        <v>1018</v>
      </c>
      <c r="G13" s="4801"/>
      <c r="H13" s="4801"/>
      <c r="I13" s="1186"/>
      <c r="J13" s="3530">
        <f>HLOOKUP(J$6,Daten!$D$3:$GR$65,ROW()-6,FALSE)</f>
        <v>0</v>
      </c>
      <c r="K13" s="3539"/>
      <c r="L13" s="3540">
        <f>HLOOKUP(L$6,Daten!$D$3:$GR$65,ROW()-6,FALSE)</f>
        <v>0</v>
      </c>
      <c r="M13" s="1186"/>
      <c r="N13" s="3530">
        <f>HLOOKUP(N$6,Daten!$D$3:$GR$65,ROW()-6,FALSE)</f>
        <v>0</v>
      </c>
      <c r="O13" s="3539"/>
      <c r="P13" s="3540">
        <f>HLOOKUP(P$6,Daten!$D$3:$GR$65,ROW()-6,FALSE)</f>
        <v>0</v>
      </c>
      <c r="Q13" s="1186"/>
      <c r="R13" s="3530">
        <f>HLOOKUP(R6,Daten!$D$3:$GR$65,ROW()-6,FALSE)</f>
        <v>0</v>
      </c>
      <c r="S13" s="3539"/>
      <c r="T13" s="3540">
        <f>HLOOKUP(T6,Daten!$D$3:$GR$65,ROW()-6,FALSE)</f>
        <v>0</v>
      </c>
      <c r="U13" s="1186"/>
      <c r="V13" s="3530">
        <f>HLOOKUP(V6,Daten!$D$3:$GR$65,ROW()-6,FALSE)</f>
        <v>0</v>
      </c>
      <c r="W13" s="3771"/>
      <c r="X13" s="3530">
        <f t="shared" si="0"/>
        <v>0</v>
      </c>
      <c r="Y13" s="3006"/>
    </row>
    <row r="14" spans="1:25" ht="15">
      <c r="A14" s="1210"/>
      <c r="B14" s="4597"/>
      <c r="C14" s="1210"/>
      <c r="D14" s="1222">
        <f t="shared" si="1"/>
        <v>6</v>
      </c>
      <c r="E14" s="1046"/>
      <c r="F14" s="78" t="s">
        <v>225</v>
      </c>
      <c r="G14" s="1194"/>
      <c r="H14" s="9"/>
      <c r="I14" s="1186"/>
      <c r="J14" s="3531">
        <f>HLOOKUP(J$6,Daten!$D$3:$GR$65,ROW()-6,FALSE)</f>
        <v>0</v>
      </c>
      <c r="K14" s="3539"/>
      <c r="L14" s="3541">
        <f>HLOOKUP(L$6,Daten!$D$3:$GR$65,ROW()-6,FALSE)</f>
        <v>0</v>
      </c>
      <c r="M14" s="1186"/>
      <c r="N14" s="3531">
        <f>HLOOKUP(N$6,Daten!$D$3:$GR$65,ROW()-6,FALSE)</f>
        <v>0</v>
      </c>
      <c r="O14" s="3539"/>
      <c r="P14" s="3541">
        <f>HLOOKUP(P$6,Daten!$D$3:$GR$65,ROW()-6,FALSE)</f>
        <v>0</v>
      </c>
      <c r="Q14" s="1186"/>
      <c r="R14" s="3531">
        <f>HLOOKUP(R6,Daten!$D$3:$GR$65,ROW()-6,FALSE)</f>
        <v>0</v>
      </c>
      <c r="S14" s="3539"/>
      <c r="T14" s="3541">
        <f>HLOOKUP(T6,Daten!$D$3:$GR$65,ROW()-6,FALSE)</f>
        <v>0</v>
      </c>
      <c r="U14" s="1186"/>
      <c r="V14" s="3531">
        <f>HLOOKUP(V6,Daten!$D$3:$GR$65,ROW()-6,FALSE)</f>
        <v>0</v>
      </c>
      <c r="W14" s="3771">
        <f>SUMPRODUCT($J$7:$V$7,J14:V14)/$X$7</f>
        <v>0</v>
      </c>
      <c r="X14" s="3531">
        <f t="shared" si="0"/>
        <v>0</v>
      </c>
      <c r="Y14" s="3007"/>
    </row>
    <row r="15" spans="1:25" ht="16.5">
      <c r="A15" s="1210"/>
      <c r="B15" s="4597"/>
      <c r="C15" s="1210"/>
      <c r="D15" s="1222">
        <f t="shared" si="1"/>
        <v>7</v>
      </c>
      <c r="E15" s="1394" t="s">
        <v>1092</v>
      </c>
      <c r="F15" s="1399"/>
      <c r="G15" s="1399"/>
      <c r="H15" s="1192"/>
      <c r="I15" s="4615">
        <f>SUM(J12:J14)</f>
        <v>2118</v>
      </c>
      <c r="J15" s="4616"/>
      <c r="K15" s="4847">
        <f>SUM(L12:L14)</f>
        <v>1691.5000000000002</v>
      </c>
      <c r="L15" s="4848"/>
      <c r="M15" s="4615">
        <f>SUM(N12:N14)</f>
        <v>2086.6666666666661</v>
      </c>
      <c r="N15" s="4616"/>
      <c r="O15" s="4847">
        <f>SUM(P12:P14)</f>
        <v>2463.3333333333335</v>
      </c>
      <c r="P15" s="4848"/>
      <c r="Q15" s="4615">
        <f>SUM(R12:R14)</f>
        <v>1048.8333333333335</v>
      </c>
      <c r="R15" s="4616"/>
      <c r="S15" s="4847">
        <f>SUM(T12:T14)</f>
        <v>0</v>
      </c>
      <c r="T15" s="4848"/>
      <c r="U15" s="4615">
        <f>SUM(V12:V14)</f>
        <v>1413.0000000000002</v>
      </c>
      <c r="V15" s="4616"/>
      <c r="W15" s="4615">
        <f>SUMPRODUCT($I$7:$V$7,H15:U15)/$X$7</f>
        <v>2089.875</v>
      </c>
      <c r="X15" s="4616">
        <f t="shared" si="0"/>
        <v>0</v>
      </c>
      <c r="Y15" s="3007"/>
    </row>
    <row r="16" spans="1:25" ht="15" customHeight="1">
      <c r="A16" s="1210"/>
      <c r="B16" s="4597"/>
      <c r="C16" s="1210"/>
      <c r="D16" s="1398">
        <f t="shared" si="1"/>
        <v>8</v>
      </c>
      <c r="E16" s="1358"/>
      <c r="F16" s="1357" t="s">
        <v>1091</v>
      </c>
      <c r="G16" s="1390"/>
      <c r="H16" s="1389"/>
      <c r="I16" s="4611">
        <f>HLOOKUP(J$6,Daten!$D$3:$GR$65,ROW()+45,FALSE)</f>
        <v>221.4</v>
      </c>
      <c r="J16" s="4782"/>
      <c r="K16" s="4783">
        <f>HLOOKUP(L$6,Daten!$D$3:$GR$65,ROW()+45,FALSE)</f>
        <v>355.4</v>
      </c>
      <c r="L16" s="4784"/>
      <c r="M16" s="4611">
        <f>HLOOKUP(N$6,Daten!$D$3:$GR$65,ROW()+45,FALSE)</f>
        <v>355.4</v>
      </c>
      <c r="N16" s="4782"/>
      <c r="O16" s="4783">
        <f>HLOOKUP(P$6,Daten!$D$3:$GR$65,ROW()+45,FALSE)</f>
        <v>355.4</v>
      </c>
      <c r="P16" s="4849"/>
      <c r="Q16" s="4611">
        <f>HLOOKUP(R$6,Daten!$D$3:$GR$65,ROW()+45,FALSE)</f>
        <v>355.4</v>
      </c>
      <c r="R16" s="4782"/>
      <c r="S16" s="4783">
        <f>HLOOKUP(T$6,Daten!$D$3:$GR$65,ROW()+45,FALSE)</f>
        <v>355.4</v>
      </c>
      <c r="T16" s="4784"/>
      <c r="U16" s="4611">
        <f>HLOOKUP(V$6,Daten!$D$3:$GR$65,ROW()+45,FALSE)</f>
        <v>355.4</v>
      </c>
      <c r="V16" s="4619"/>
      <c r="W16" s="4611">
        <f>SUMPRODUCT($I$7:$V$7,H16:U16)/$X$7</f>
        <v>321.89999999999998</v>
      </c>
      <c r="X16" s="4612">
        <f t="shared" si="0"/>
        <v>0</v>
      </c>
      <c r="Y16" s="3007"/>
    </row>
    <row r="17" spans="1:28" ht="15" customHeight="1">
      <c r="A17" s="1210"/>
      <c r="B17" s="4597"/>
      <c r="C17" s="1210"/>
      <c r="D17" s="1398">
        <f t="shared" si="1"/>
        <v>9</v>
      </c>
      <c r="E17" s="1397"/>
      <c r="F17" s="1387" t="s">
        <v>1090</v>
      </c>
      <c r="G17" s="1386"/>
      <c r="H17" s="1388"/>
      <c r="I17" s="4613">
        <f>HLOOKUP(J$6,Daten!$D$3:$GR$65,ROW()+45,FALSE)</f>
        <v>100</v>
      </c>
      <c r="J17" s="4739"/>
      <c r="K17" s="4785">
        <f>HLOOKUP(L$6,Daten!$D$3:$GR$65,ROW()+45,FALSE)</f>
        <v>100</v>
      </c>
      <c r="L17" s="4786"/>
      <c r="M17" s="4613">
        <f>HLOOKUP(N$6,Daten!$D$3:$GR$65,ROW()+45,FALSE)</f>
        <v>100</v>
      </c>
      <c r="N17" s="4739"/>
      <c r="O17" s="4785">
        <f>HLOOKUP(P$6,Daten!$D$3:$GR$65,ROW()+45,FALSE)</f>
        <v>0</v>
      </c>
      <c r="P17" s="4786"/>
      <c r="Q17" s="4613">
        <f>HLOOKUP(R$6,Daten!$D$3:$GR$65,ROW()+45,FALSE)</f>
        <v>200</v>
      </c>
      <c r="R17" s="4739"/>
      <c r="S17" s="4785">
        <f>HLOOKUP(T$6,Daten!$D$3:$GR$65,ROW()+45,FALSE)</f>
        <v>100</v>
      </c>
      <c r="T17" s="4786"/>
      <c r="U17" s="4613">
        <f>HLOOKUP(V$6,Daten!$D$3:$GR$65,ROW()+45,FALSE)</f>
        <v>100</v>
      </c>
      <c r="V17" s="4620"/>
      <c r="W17" s="4613">
        <f>SUMPRODUCT($I$7:$V$7,H17:U17)/$X$7</f>
        <v>75</v>
      </c>
      <c r="X17" s="4614">
        <f t="shared" si="0"/>
        <v>0</v>
      </c>
      <c r="Y17" s="3007"/>
    </row>
    <row r="18" spans="1:28" ht="15" customHeight="1">
      <c r="A18" s="1210"/>
      <c r="B18" s="4597"/>
      <c r="C18" s="1210"/>
      <c r="D18" s="1222">
        <f t="shared" si="1"/>
        <v>10</v>
      </c>
      <c r="E18" s="1394"/>
      <c r="F18" s="1396" t="s">
        <v>1089</v>
      </c>
      <c r="G18" s="1395"/>
      <c r="H18" s="1368"/>
      <c r="I18" s="4615">
        <f>SUM(I16:J17)</f>
        <v>321.39999999999998</v>
      </c>
      <c r="J18" s="4616"/>
      <c r="K18" s="4795">
        <f>SUM(K16:L17)</f>
        <v>455.4</v>
      </c>
      <c r="L18" s="4796"/>
      <c r="M18" s="4615">
        <f>SUM(M16:N17)</f>
        <v>455.4</v>
      </c>
      <c r="N18" s="4616"/>
      <c r="O18" s="4795">
        <f>SUM(O16:P17)</f>
        <v>355.4</v>
      </c>
      <c r="P18" s="4796"/>
      <c r="Q18" s="4615">
        <f>SUM(Q16:R17)</f>
        <v>555.4</v>
      </c>
      <c r="R18" s="4616"/>
      <c r="S18" s="4795">
        <f>SUM(S16:T17)</f>
        <v>455.4</v>
      </c>
      <c r="T18" s="4796"/>
      <c r="U18" s="4615">
        <f>SUM(U16:V17)</f>
        <v>455.4</v>
      </c>
      <c r="V18" s="4616"/>
      <c r="W18" s="4615">
        <f>SUMPRODUCT($I$7:$V$7,H18:U18)/$X$7</f>
        <v>396.9</v>
      </c>
      <c r="X18" s="4616">
        <f t="shared" si="0"/>
        <v>0</v>
      </c>
      <c r="Y18" s="3007"/>
    </row>
    <row r="19" spans="1:28" ht="15" customHeight="1">
      <c r="A19" s="1210"/>
      <c r="B19" s="4598"/>
      <c r="C19" s="1210"/>
      <c r="D19" s="1217">
        <f t="shared" si="1"/>
        <v>11</v>
      </c>
      <c r="E19" s="1394" t="s">
        <v>1088</v>
      </c>
      <c r="F19" s="1393"/>
      <c r="G19" s="1392"/>
      <c r="H19" s="1391"/>
      <c r="I19" s="4617">
        <f>I15+I18</f>
        <v>2439.4</v>
      </c>
      <c r="J19" s="4618"/>
      <c r="K19" s="4787">
        <f>K15+K18</f>
        <v>2146.9</v>
      </c>
      <c r="L19" s="4788"/>
      <c r="M19" s="4617">
        <f>M15+M18</f>
        <v>2542.0666666666662</v>
      </c>
      <c r="N19" s="4618"/>
      <c r="O19" s="4787">
        <f>O15+O18</f>
        <v>2818.7333333333336</v>
      </c>
      <c r="P19" s="4788"/>
      <c r="Q19" s="4617">
        <f>Q15+Q18</f>
        <v>1604.2333333333336</v>
      </c>
      <c r="R19" s="4618"/>
      <c r="S19" s="4787">
        <f>S15+S18</f>
        <v>455.4</v>
      </c>
      <c r="T19" s="4788"/>
      <c r="U19" s="4617">
        <f>U15+U18</f>
        <v>1868.4</v>
      </c>
      <c r="V19" s="4618"/>
      <c r="W19" s="4617">
        <f>SUMPRODUCT($I$7:$V$7,H19:U19)/$X$7</f>
        <v>2486.7750000000001</v>
      </c>
      <c r="X19" s="4618">
        <f t="shared" si="0"/>
        <v>0</v>
      </c>
      <c r="Y19" s="3007"/>
    </row>
    <row r="20" spans="1:28" ht="17.45" customHeight="1">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c r="W20" s="3765"/>
      <c r="X20" s="3765">
        <f t="shared" si="0"/>
        <v>0</v>
      </c>
      <c r="Y20" s="2999"/>
    </row>
    <row r="21" spans="1:28" ht="13.7" customHeight="1">
      <c r="A21" s="1210"/>
      <c r="B21" s="4596" t="s">
        <v>469</v>
      </c>
      <c r="C21" s="1210"/>
      <c r="D21" s="1258">
        <f>D19+1</f>
        <v>12</v>
      </c>
      <c r="E21" s="3820"/>
      <c r="F21" s="3820" t="str">
        <f>IF(OR(I6&lt;26,I6&gt;29),"Saatgut (ggf. mit Begrünung)","Pflanzgut (ggf. mit Begrünung)")</f>
        <v>Saatgut (ggf. mit Begrünung)</v>
      </c>
      <c r="G21" s="3820" t="s">
        <v>1144</v>
      </c>
      <c r="H21" s="3821" t="s">
        <v>171</v>
      </c>
      <c r="I21" s="1199"/>
      <c r="J21" s="3822">
        <f>HLOOKUP(J$6,Daten!$D$3:$GR$64,$AB21,FALSE)</f>
        <v>161.5</v>
      </c>
      <c r="K21" s="3537"/>
      <c r="L21" s="3538">
        <f>HLOOKUP(L$6,Daten!$D$3:$GR$64,$AB21,FALSE)</f>
        <v>145.25</v>
      </c>
      <c r="M21" s="1196"/>
      <c r="N21" s="3822">
        <f>HLOOKUP(N$6,Daten!$D$3:$GR$64,$AB21,FALSE)</f>
        <v>105</v>
      </c>
      <c r="O21" s="3537"/>
      <c r="P21" s="3538">
        <f>HLOOKUP(P$6,Daten!$D$3:$GR$64,$AB21,FALSE)</f>
        <v>243</v>
      </c>
      <c r="Q21" s="1196"/>
      <c r="R21" s="3822">
        <f>HLOOKUP(R$6,Daten!$D$3:$GR$64,$AB21,FALSE)</f>
        <v>168</v>
      </c>
      <c r="S21" s="3537"/>
      <c r="T21" s="3538">
        <f>HLOOKUP(T$6,Daten!$D$3:$GR$64,$AB21,FALSE)</f>
        <v>200</v>
      </c>
      <c r="U21" s="1196"/>
      <c r="V21" s="3823">
        <f>HLOOKUP(V$6,Daten!$D$3:$GR$64,$AB21,FALSE)</f>
        <v>340</v>
      </c>
      <c r="W21" s="3787"/>
      <c r="X21" s="3822">
        <f t="shared" si="0"/>
        <v>163.6875</v>
      </c>
      <c r="Y21" s="3008"/>
      <c r="AB21" s="1">
        <v>10</v>
      </c>
    </row>
    <row r="22" spans="1:28" ht="14.25" customHeight="1">
      <c r="A22" s="1210"/>
      <c r="B22" s="4597"/>
      <c r="C22" s="1210"/>
      <c r="D22" s="1222">
        <f t="shared" ref="D22:D30" si="2">D21+1</f>
        <v>13</v>
      </c>
      <c r="E22" s="1387"/>
      <c r="F22" s="1387" t="s">
        <v>1087</v>
      </c>
      <c r="G22" s="1387" t="s">
        <v>1143</v>
      </c>
      <c r="H22" s="1388"/>
      <c r="I22" s="1186"/>
      <c r="J22" s="3531">
        <f>HLOOKUP(J$6,Daten!$D$3:$GR$64,$AB22,FALSE)</f>
        <v>439.93279999999999</v>
      </c>
      <c r="K22" s="3539"/>
      <c r="L22" s="3540">
        <f>HLOOKUP(L$6,Daten!$D$3:$GR$64,$AB22,FALSE)</f>
        <v>378.13280000000003</v>
      </c>
      <c r="M22" s="1043"/>
      <c r="N22" s="3531">
        <f>HLOOKUP(N$6,Daten!$D$3:$GR$64,$AB22,FALSE)</f>
        <v>390.32800000000003</v>
      </c>
      <c r="O22" s="3539"/>
      <c r="P22" s="3540">
        <f>HLOOKUP(P$6,Daten!$D$3:$GR$64,$AB22,FALSE)</f>
        <v>371.29599999999999</v>
      </c>
      <c r="Q22" s="1043"/>
      <c r="R22" s="3531">
        <f>HLOOKUP(R$6,Daten!$D$3:$GR$64,$AB22,FALSE)</f>
        <v>52.562999999999995</v>
      </c>
      <c r="S22" s="3539"/>
      <c r="T22" s="3540">
        <f>HLOOKUP(T$6,Daten!$D$3:$GR$64,$AB22,FALSE)</f>
        <v>-611.80000000000007</v>
      </c>
      <c r="U22" s="1043"/>
      <c r="V22" s="3533">
        <f>HLOOKUP(V$6,Daten!$D$3:$GR$64,$AB22,FALSE)</f>
        <v>63.830160000000021</v>
      </c>
      <c r="W22" s="1046"/>
      <c r="X22" s="3531">
        <f t="shared" si="0"/>
        <v>394.92239999999998</v>
      </c>
      <c r="Y22" s="3005"/>
      <c r="AB22" s="1">
        <v>11</v>
      </c>
    </row>
    <row r="23" spans="1:28" ht="15" customHeight="1">
      <c r="A23" s="1210"/>
      <c r="B23" s="4597"/>
      <c r="C23" s="1210"/>
      <c r="D23" s="1222">
        <f t="shared" si="2"/>
        <v>14</v>
      </c>
      <c r="E23" s="1284"/>
      <c r="F23" s="1284" t="s">
        <v>1086</v>
      </c>
      <c r="G23" s="1284" t="s">
        <v>1142</v>
      </c>
      <c r="H23" s="1388"/>
      <c r="I23" s="1186"/>
      <c r="J23" s="3531">
        <f>HLOOKUP(J$6,Daten!$D$3:$GR$64,$AB23,FALSE)</f>
        <v>207.98000000000002</v>
      </c>
      <c r="K23" s="3539"/>
      <c r="L23" s="3541">
        <f>HLOOKUP(L$6,Daten!$D$3:$GR$64,$AB23,FALSE)</f>
        <v>232.32</v>
      </c>
      <c r="M23" s="1043"/>
      <c r="N23" s="3531">
        <f>HLOOKUP(N$6,Daten!$D$3:$GR$64,$AB23,FALSE)</f>
        <v>191.17</v>
      </c>
      <c r="O23" s="3539"/>
      <c r="P23" s="3541">
        <f>HLOOKUP(P$6,Daten!$D$3:$GR$64,$AB23,FALSE)</f>
        <v>83.25</v>
      </c>
      <c r="Q23" s="1043"/>
      <c r="R23" s="3531">
        <f>HLOOKUP(R$6,Daten!$D$3:$GR$64,$AB23,FALSE)</f>
        <v>91.800000000000011</v>
      </c>
      <c r="S23" s="3539"/>
      <c r="T23" s="3541">
        <f>HLOOKUP(T$6,Daten!$D$3:$GR$64,$AB23,FALSE)</f>
        <v>0</v>
      </c>
      <c r="U23" s="1043"/>
      <c r="V23" s="3533">
        <f>HLOOKUP(V$6,Daten!$D$3:$GR$64,$AB23,FALSE)</f>
        <v>92.425000000000011</v>
      </c>
      <c r="W23" s="1046">
        <f t="shared" ref="W23:W29" si="3">SUMPRODUCT($J$7:$V$7,J23:V23)/$X$7</f>
        <v>178.68</v>
      </c>
      <c r="X23" s="3531">
        <f t="shared" si="0"/>
        <v>178.68</v>
      </c>
      <c r="Y23" s="3006"/>
      <c r="AB23" s="1">
        <v>12</v>
      </c>
    </row>
    <row r="24" spans="1:28" ht="15" customHeight="1">
      <c r="A24" s="1210"/>
      <c r="B24" s="4597"/>
      <c r="C24" s="1210"/>
      <c r="D24" s="1222">
        <f t="shared" si="2"/>
        <v>15</v>
      </c>
      <c r="E24" s="1387"/>
      <c r="F24" s="1387" t="s">
        <v>1085</v>
      </c>
      <c r="G24" s="1387" t="s">
        <v>1141</v>
      </c>
      <c r="H24" s="1311"/>
      <c r="I24" s="1186"/>
      <c r="J24" s="3531">
        <f>HLOOKUP(J$6,Daten!$D$3:$GR$64,$AB24,FALSE)</f>
        <v>162.45000000000002</v>
      </c>
      <c r="K24" s="3539"/>
      <c r="L24" s="3541">
        <f>HLOOKUP(L$6,Daten!$D$3:$GR$64,$AB24,FALSE)</f>
        <v>153.42500000000001</v>
      </c>
      <c r="M24" s="1043"/>
      <c r="N24" s="3531">
        <f>HLOOKUP(N$6,Daten!$D$3:$GR$64,$AB24,FALSE)</f>
        <v>103.48800000000001</v>
      </c>
      <c r="O24" s="3539"/>
      <c r="P24" s="3541">
        <f>HLOOKUP(P$6,Daten!$D$3:$GR$64,$AB24,FALSE)</f>
        <v>550</v>
      </c>
      <c r="Q24" s="1043"/>
      <c r="R24" s="3531">
        <f>HLOOKUP(R$6,Daten!$D$3:$GR$64,$AB24,FALSE)</f>
        <v>101.178</v>
      </c>
      <c r="S24" s="3539"/>
      <c r="T24" s="3541">
        <f>HLOOKUP(T$6,Daten!$D$3:$GR$64,$AB24,FALSE)</f>
        <v>0</v>
      </c>
      <c r="U24" s="1043"/>
      <c r="V24" s="3533">
        <f>HLOOKUP(V$6,Daten!$D$3:$GR$64,$AB24,FALSE)</f>
        <v>112.62240000000001</v>
      </c>
      <c r="W24" s="1046">
        <f t="shared" si="3"/>
        <v>242.34075000000001</v>
      </c>
      <c r="X24" s="3531">
        <f t="shared" si="0"/>
        <v>242.34075000000001</v>
      </c>
      <c r="Y24" s="3006"/>
      <c r="AB24" s="1">
        <v>16</v>
      </c>
    </row>
    <row r="25" spans="1:28" ht="15" customHeight="1">
      <c r="A25" s="1210"/>
      <c r="B25" s="4597"/>
      <c r="C25" s="1210"/>
      <c r="D25" s="1222">
        <f t="shared" si="2"/>
        <v>16</v>
      </c>
      <c r="E25" s="1284"/>
      <c r="F25" s="1284" t="s">
        <v>844</v>
      </c>
      <c r="G25" s="1284" t="s">
        <v>1140</v>
      </c>
      <c r="H25" s="1311"/>
      <c r="I25" s="1186"/>
      <c r="J25" s="3531">
        <f>HLOOKUP(J$6,Daten!$D$3:$GR$64,$AB25,FALSE)</f>
        <v>33.887999999999998</v>
      </c>
      <c r="K25" s="3539"/>
      <c r="L25" s="3540">
        <f>HLOOKUP(L$6,Daten!$D$3:$GR$64,$AB25,FALSE)</f>
        <v>27.064000000000004</v>
      </c>
      <c r="M25" s="1043"/>
      <c r="N25" s="3531">
        <f>HLOOKUP(N$6,Daten!$D$3:$GR$64,$AB25,FALSE)</f>
        <v>89.726666666666645</v>
      </c>
      <c r="O25" s="3539"/>
      <c r="P25" s="3540">
        <f>HLOOKUP(P$6,Daten!$D$3:$GR$64,$AB25,FALSE)</f>
        <v>34.486666666666672</v>
      </c>
      <c r="Q25" s="1043"/>
      <c r="R25" s="3531">
        <f>HLOOKUP(R$6,Daten!$D$3:$GR$64,$AB25,FALSE)</f>
        <v>29.367333333333335</v>
      </c>
      <c r="S25" s="3539"/>
      <c r="T25" s="3540">
        <f>HLOOKUP(T$6,Daten!$D$3:$GR$64,$AB25,FALSE)</f>
        <v>0</v>
      </c>
      <c r="U25" s="1043"/>
      <c r="V25" s="3533">
        <f>HLOOKUP(V$6,Daten!$D$3:$GR$64,$AB25,FALSE)</f>
        <v>39.564000000000007</v>
      </c>
      <c r="W25" s="1046"/>
      <c r="X25" s="3531">
        <f t="shared" si="0"/>
        <v>46.291333333333334</v>
      </c>
      <c r="Y25" s="3007"/>
      <c r="AB25" s="1">
        <v>17</v>
      </c>
    </row>
    <row r="26" spans="1:28" ht="13.7" customHeight="1">
      <c r="A26" s="1210"/>
      <c r="B26" s="4597"/>
      <c r="C26" s="1210"/>
      <c r="D26" s="1222">
        <f t="shared" si="2"/>
        <v>17</v>
      </c>
      <c r="E26" s="1284"/>
      <c r="F26" s="1284" t="s">
        <v>1084</v>
      </c>
      <c r="G26" s="1284" t="s">
        <v>1139</v>
      </c>
      <c r="H26" s="1311"/>
      <c r="I26" s="1186"/>
      <c r="J26" s="3531">
        <f>HLOOKUP(J$6,Daten!$D$3:$GR$64,$AB26,FALSE)</f>
        <v>0</v>
      </c>
      <c r="K26" s="3539"/>
      <c r="L26" s="3540">
        <f>HLOOKUP(L$6,Daten!$D$3:$GR$64,$AB26,FALSE)</f>
        <v>0</v>
      </c>
      <c r="M26" s="1043"/>
      <c r="N26" s="3531">
        <f>HLOOKUP(N$6,Daten!$D$3:$GR$64,$AB26,FALSE)</f>
        <v>0</v>
      </c>
      <c r="O26" s="3539"/>
      <c r="P26" s="3540">
        <f>HLOOKUP(P$6,Daten!$D$3:$GR$64,$AB26,FALSE)</f>
        <v>0</v>
      </c>
      <c r="Q26" s="1043"/>
      <c r="R26" s="3531">
        <f>HLOOKUP(R$6,Daten!$D$3:$GR$64,$AB26,FALSE)</f>
        <v>0</v>
      </c>
      <c r="S26" s="3539"/>
      <c r="T26" s="3540">
        <f>HLOOKUP(T$6,Daten!$D$3:$GR$64,$AB26,FALSE)</f>
        <v>0</v>
      </c>
      <c r="U26" s="1043"/>
      <c r="V26" s="3533">
        <f>HLOOKUP(V$6,Daten!$D$3:$GR$64,$AB26,FALSE)</f>
        <v>30</v>
      </c>
      <c r="W26" s="1046">
        <f t="shared" si="3"/>
        <v>0</v>
      </c>
      <c r="X26" s="3531">
        <f t="shared" si="0"/>
        <v>0</v>
      </c>
      <c r="Y26" s="3007"/>
      <c r="AB26" s="1">
        <v>18</v>
      </c>
    </row>
    <row r="27" spans="1:28" ht="15" customHeight="1">
      <c r="A27" s="1210"/>
      <c r="B27" s="4597"/>
      <c r="C27" s="1210"/>
      <c r="D27" s="1222">
        <f t="shared" si="2"/>
        <v>18</v>
      </c>
      <c r="E27" s="1284"/>
      <c r="F27" s="1284" t="s">
        <v>1083</v>
      </c>
      <c r="G27" s="1284" t="s">
        <v>1138</v>
      </c>
      <c r="H27" s="1311"/>
      <c r="I27" s="1186"/>
      <c r="J27" s="3531">
        <f>HLOOKUP(J$6,Daten!$D$3:$GR$64,$AB27,FALSE)</f>
        <v>168.25078455176467</v>
      </c>
      <c r="K27" s="3539"/>
      <c r="L27" s="3541">
        <f>HLOOKUP(L$6,Daten!$D$3:$GR$64,$AB27,FALSE)</f>
        <v>163.17157946588233</v>
      </c>
      <c r="M27" s="1043"/>
      <c r="N27" s="3531">
        <f>HLOOKUP(N$6,Daten!$D$3:$GR$64,$AB27,FALSE)</f>
        <v>162.47085966705879</v>
      </c>
      <c r="O27" s="3539"/>
      <c r="P27" s="3541">
        <f>HLOOKUP(P$6,Daten!$D$3:$GR$64,$AB27,FALSE)</f>
        <v>135.70014442352939</v>
      </c>
      <c r="Q27" s="1043"/>
      <c r="R27" s="3531">
        <f>HLOOKUP(R$6,Daten!$D$3:$GR$64,$AB27,FALSE)</f>
        <v>133.74572096564705</v>
      </c>
      <c r="S27" s="3539"/>
      <c r="T27" s="3541">
        <f>HLOOKUP(T$6,Daten!$D$3:$GR$64,$AB27,FALSE)</f>
        <v>177.62672700369745</v>
      </c>
      <c r="U27" s="1043"/>
      <c r="V27" s="3533">
        <f>HLOOKUP(V$6,Daten!$D$3:$GR$64,$AB27,FALSE)</f>
        <v>132.78437734117645</v>
      </c>
      <c r="W27" s="1046"/>
      <c r="X27" s="3531">
        <f t="shared" si="0"/>
        <v>157.39834202705879</v>
      </c>
      <c r="Y27" s="3007"/>
      <c r="AB27" s="1">
        <v>13</v>
      </c>
    </row>
    <row r="28" spans="1:28" ht="15" customHeight="1">
      <c r="A28" s="1210"/>
      <c r="B28" s="4597"/>
      <c r="C28" s="1210"/>
      <c r="D28" s="1222">
        <f t="shared" si="2"/>
        <v>19</v>
      </c>
      <c r="E28" s="1284"/>
      <c r="F28" s="1284" t="s">
        <v>1082</v>
      </c>
      <c r="G28" s="1284" t="s">
        <v>1137</v>
      </c>
      <c r="H28" s="1311"/>
      <c r="I28" s="1186"/>
      <c r="J28" s="3531">
        <f>HLOOKUP(J$6,Daten!$D$3:$GR$64,$AB28,FALSE)</f>
        <v>167.1</v>
      </c>
      <c r="K28" s="3539"/>
      <c r="L28" s="3541">
        <f>HLOOKUP(L$6,Daten!$D$3:$GR$64,$AB28,FALSE)</f>
        <v>167.1</v>
      </c>
      <c r="M28" s="1043"/>
      <c r="N28" s="3531">
        <f>HLOOKUP(N$6,Daten!$D$3:$GR$64,$AB28,FALSE)</f>
        <v>184.6</v>
      </c>
      <c r="O28" s="3539"/>
      <c r="P28" s="3541">
        <f>HLOOKUP(P$6,Daten!$D$3:$GR$64,$AB28,FALSE)</f>
        <v>190.4</v>
      </c>
      <c r="Q28" s="1043"/>
      <c r="R28" s="3531">
        <f>HLOOKUP(R$6,Daten!$D$3:$GR$64,$AB28,FALSE)</f>
        <v>194.5</v>
      </c>
      <c r="S28" s="3539"/>
      <c r="T28" s="3541">
        <f>HLOOKUP(T$6,Daten!$D$3:$GR$64,$AB28,FALSE)</f>
        <v>0</v>
      </c>
      <c r="U28" s="1043"/>
      <c r="V28" s="3533">
        <f>HLOOKUP(V$6,Daten!$D$3:$GR$64,$AB28,FALSE)</f>
        <v>194.5</v>
      </c>
      <c r="W28" s="1046"/>
      <c r="X28" s="3531">
        <f t="shared" si="0"/>
        <v>177.3</v>
      </c>
      <c r="Y28" s="3007"/>
      <c r="AB28" s="1">
        <v>14</v>
      </c>
    </row>
    <row r="29" spans="1:28" ht="15" customHeight="1">
      <c r="A29" s="1210"/>
      <c r="B29" s="4597"/>
      <c r="C29" s="1210"/>
      <c r="D29" s="1222">
        <f t="shared" si="2"/>
        <v>20</v>
      </c>
      <c r="E29" s="1284"/>
      <c r="F29" s="1284" t="s">
        <v>1081</v>
      </c>
      <c r="G29" s="1284" t="s">
        <v>1136</v>
      </c>
      <c r="H29" s="1311"/>
      <c r="I29" s="1186"/>
      <c r="J29" s="3531">
        <f>HLOOKUP(J$6,Daten!$D$3:$GR$64,$AB29,FALSE)</f>
        <v>0</v>
      </c>
      <c r="K29" s="3539"/>
      <c r="L29" s="3540">
        <f>HLOOKUP(L$6,Daten!$D$3:$GR$64,$AB29,FALSE)</f>
        <v>0</v>
      </c>
      <c r="M29" s="1043"/>
      <c r="N29" s="3531">
        <f>HLOOKUP(N$6,Daten!$D$3:$GR$64,$AB29,FALSE)</f>
        <v>0</v>
      </c>
      <c r="O29" s="3539"/>
      <c r="P29" s="3540">
        <f>HLOOKUP(P$6,Daten!$D$3:$GR$64,$AB29,FALSE)</f>
        <v>0</v>
      </c>
      <c r="Q29" s="1043"/>
      <c r="R29" s="3531">
        <f>HLOOKUP(R$6,Daten!$D$3:$GR$64,$AB29,FALSE)</f>
        <v>0</v>
      </c>
      <c r="S29" s="3539"/>
      <c r="T29" s="3540">
        <f>HLOOKUP(T$6,Daten!$D$3:$GR$64,$AB29,FALSE)</f>
        <v>0</v>
      </c>
      <c r="U29" s="1043"/>
      <c r="V29" s="3533">
        <f>HLOOKUP(V$6,Daten!$D$3:$GR$64,$AB29,FALSE)</f>
        <v>0</v>
      </c>
      <c r="W29" s="1046">
        <f t="shared" si="3"/>
        <v>0</v>
      </c>
      <c r="X29" s="3531">
        <f t="shared" si="0"/>
        <v>0</v>
      </c>
      <c r="Y29" s="3007"/>
      <c r="AB29" s="1">
        <v>15</v>
      </c>
    </row>
    <row r="30" spans="1:28" ht="15" customHeight="1">
      <c r="A30" s="1210"/>
      <c r="B30" s="4598"/>
      <c r="C30" s="1210"/>
      <c r="D30" s="1217">
        <f t="shared" si="2"/>
        <v>21</v>
      </c>
      <c r="E30" s="1355" t="s">
        <v>1080</v>
      </c>
      <c r="F30" s="1244"/>
      <c r="G30" s="1244"/>
      <c r="H30" s="1192"/>
      <c r="I30" s="3824"/>
      <c r="J30" s="3825">
        <f>HLOOKUP($J$6,Daten!$D$3:$GR$64,ROW()-11,FALSE)</f>
        <v>1341.1015845517647</v>
      </c>
      <c r="K30" s="3826"/>
      <c r="L30" s="3827">
        <f>HLOOKUP($L$6,Daten!$D$3:$GR$64,ROW()-11,FALSE)</f>
        <v>1266.4633794658823</v>
      </c>
      <c r="M30" s="1216"/>
      <c r="N30" s="3825">
        <f>HLOOKUP($N$6,Daten!$D$3:$GR$64,ROW()-11,FALSE)</f>
        <v>1226.7835263337256</v>
      </c>
      <c r="O30" s="3826"/>
      <c r="P30" s="3827">
        <f>HLOOKUP($P$6,Daten!$D$3:$GR$64,ROW()-11,FALSE)</f>
        <v>1608.1328110901961</v>
      </c>
      <c r="Q30" s="1216"/>
      <c r="R30" s="3825">
        <f>HLOOKUP($R$6,Daten!$D$3:$GR$64,ROW()-11,FALSE)</f>
        <v>771.15405429898044</v>
      </c>
      <c r="S30" s="3826"/>
      <c r="T30" s="3827">
        <f>HLOOKUP($T$6,Daten!$D$3:$GR$64,ROW()-11,FALSE)</f>
        <v>-234.17327299630261</v>
      </c>
      <c r="U30" s="1216"/>
      <c r="V30" s="3828">
        <f>HLOOKUP($V$6,Daten!$D$3:$GR$64,ROW()-11,FALSE)</f>
        <v>1005.7259373411764</v>
      </c>
      <c r="W30" s="3829"/>
      <c r="X30" s="3825">
        <f t="shared" si="0"/>
        <v>1360.6203253603921</v>
      </c>
      <c r="Y30" s="3007"/>
    </row>
    <row r="31" spans="1:28" ht="5.25" customHeight="1">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c r="W31" s="3765"/>
      <c r="X31" s="3765">
        <f t="shared" si="0"/>
        <v>0</v>
      </c>
      <c r="Y31" s="2999"/>
    </row>
    <row r="32" spans="1:28" ht="16.5" customHeight="1">
      <c r="A32" s="1210"/>
      <c r="B32" s="4596" t="s">
        <v>1079</v>
      </c>
      <c r="C32" s="1210"/>
      <c r="D32" s="1258">
        <f>D30+1</f>
        <v>22</v>
      </c>
      <c r="E32" s="1385" t="s">
        <v>1078</v>
      </c>
      <c r="F32" s="1384"/>
      <c r="G32" s="1383"/>
      <c r="H32" s="1382" t="s">
        <v>171</v>
      </c>
      <c r="I32" s="4609">
        <f>I15-J30</f>
        <v>776.89841544823526</v>
      </c>
      <c r="J32" s="4610"/>
      <c r="K32" s="4789">
        <f>K15-L30</f>
        <v>425.0366205341179</v>
      </c>
      <c r="L32" s="4790"/>
      <c r="M32" s="4609">
        <f>M15-N30</f>
        <v>859.88314033294046</v>
      </c>
      <c r="N32" s="4610"/>
      <c r="O32" s="4789">
        <f>O15-P30</f>
        <v>855.20052224313736</v>
      </c>
      <c r="P32" s="4790"/>
      <c r="Q32" s="4609">
        <f>Q15-R30</f>
        <v>277.67927903435304</v>
      </c>
      <c r="R32" s="4610"/>
      <c r="S32" s="4789">
        <f>S15-T30</f>
        <v>234.17327299630261</v>
      </c>
      <c r="T32" s="4790"/>
      <c r="U32" s="4609">
        <f>U15-V30</f>
        <v>407.27406265882382</v>
      </c>
      <c r="V32" s="4610"/>
      <c r="W32" s="4609">
        <f t="shared" ref="W32:X37" si="4">SUMPRODUCT($I$7:$V$7,H32:U32)/$X$7</f>
        <v>729.25467463960774</v>
      </c>
      <c r="X32" s="4610">
        <f t="shared" si="0"/>
        <v>0</v>
      </c>
      <c r="Y32" s="2999"/>
    </row>
    <row r="33" spans="1:25" ht="15" hidden="1" customHeight="1">
      <c r="A33" s="1210"/>
      <c r="B33" s="4797"/>
      <c r="C33" s="1210"/>
      <c r="D33" s="1222">
        <v>19</v>
      </c>
      <c r="E33" s="1381"/>
      <c r="F33" s="1380"/>
      <c r="G33" s="1379"/>
      <c r="H33" s="1378" t="s">
        <v>228</v>
      </c>
      <c r="I33" s="1375"/>
      <c r="J33" s="1374">
        <f>IF(J10=0,0,I32/J10)</f>
        <v>8.6322046160915029</v>
      </c>
      <c r="K33" s="1377"/>
      <c r="L33" s="1376">
        <f>IF(L10=0,0,K32/L10)</f>
        <v>5.0004308298131521</v>
      </c>
      <c r="M33" s="1375"/>
      <c r="N33" s="1374">
        <f>IF(N10=0,0,M32/N10)</f>
        <v>21.497078508323511</v>
      </c>
      <c r="O33" s="1377"/>
      <c r="P33" s="1376">
        <f>IF(P10=0,0,O32/P10)</f>
        <v>8.5520052224313741</v>
      </c>
      <c r="Q33" s="1375"/>
      <c r="R33" s="1374">
        <f>IF(R10=0,0,Q32/R10)</f>
        <v>7.9336936866958014</v>
      </c>
      <c r="S33" s="1377"/>
      <c r="T33" s="1376">
        <f>IF(T10=0,0,S32/T10)</f>
        <v>0.58543318249075649</v>
      </c>
      <c r="U33" s="1375"/>
      <c r="V33" s="1374">
        <f>IF(V10=0,0,U32/V10)</f>
        <v>15.084224542919401</v>
      </c>
      <c r="W33" s="1375">
        <f t="shared" si="4"/>
        <v>0</v>
      </c>
      <c r="X33" s="1374">
        <f t="shared" si="0"/>
        <v>10.920429794164884</v>
      </c>
      <c r="Y33" s="3005"/>
    </row>
    <row r="34" spans="1:25" ht="15.75" customHeight="1">
      <c r="A34" s="1210"/>
      <c r="B34" s="4797"/>
      <c r="C34" s="1210"/>
      <c r="D34" s="1222">
        <f>D32+1</f>
        <v>23</v>
      </c>
      <c r="E34" s="1373"/>
      <c r="F34" s="1350" t="s">
        <v>1077</v>
      </c>
      <c r="G34" s="1194"/>
      <c r="H34" s="9"/>
      <c r="I34" s="4666">
        <f>I18</f>
        <v>321.39999999999998</v>
      </c>
      <c r="J34" s="4667"/>
      <c r="K34" s="4791">
        <f>K18</f>
        <v>455.4</v>
      </c>
      <c r="L34" s="4792"/>
      <c r="M34" s="4666">
        <f>M18</f>
        <v>455.4</v>
      </c>
      <c r="N34" s="4667"/>
      <c r="O34" s="4791">
        <f>O18</f>
        <v>355.4</v>
      </c>
      <c r="P34" s="4792"/>
      <c r="Q34" s="4666">
        <f>Q18</f>
        <v>555.4</v>
      </c>
      <c r="R34" s="4667"/>
      <c r="S34" s="4791">
        <f>S18</f>
        <v>455.4</v>
      </c>
      <c r="T34" s="4792"/>
      <c r="U34" s="4666">
        <f>U18</f>
        <v>455.4</v>
      </c>
      <c r="V34" s="4667"/>
      <c r="W34" s="4666">
        <f t="shared" si="4"/>
        <v>396.9</v>
      </c>
      <c r="X34" s="4667">
        <f t="shared" si="0"/>
        <v>0</v>
      </c>
      <c r="Y34" s="3006"/>
    </row>
    <row r="35" spans="1:25" ht="15.75" customHeight="1">
      <c r="A35" s="1210"/>
      <c r="B35" s="4797"/>
      <c r="C35" s="1210"/>
      <c r="D35" s="1222">
        <f>D34+1</f>
        <v>24</v>
      </c>
      <c r="E35" s="1373"/>
      <c r="F35" s="1372" t="s">
        <v>1076</v>
      </c>
      <c r="G35" s="1292"/>
      <c r="H35" s="1371"/>
      <c r="I35" s="4613">
        <f>IF(J9=0,0,HLOOKUP($J$6,Daten!$D$3:$GR$64,ROW()-13,FALSE))</f>
        <v>15.646185153103922</v>
      </c>
      <c r="J35" s="4620"/>
      <c r="K35" s="4791">
        <f>IF(L9=0,0,HLOOKUP($L$6,Daten!$D$3:$GR$64,ROW()-13,FALSE))</f>
        <v>14.775406093768629</v>
      </c>
      <c r="L35" s="4792"/>
      <c r="M35" s="4613">
        <f>IF(N9=0,0,HLOOKUP($N$6,Daten!$D$3:$GR$64,ROW()-13,FALSE))</f>
        <v>14.312474473893465</v>
      </c>
      <c r="N35" s="4620"/>
      <c r="O35" s="4791">
        <f>IF(P9=0,0,HLOOKUP($P$6,Daten!$D$3:$GR$64,ROW()-13,FALSE))</f>
        <v>13.401106759084968</v>
      </c>
      <c r="P35" s="4792"/>
      <c r="Q35" s="4613">
        <f>IF(R9=0,0,HLOOKUP($R$6,Daten!$D$3:$GR$64,ROW()-13,FALSE))</f>
        <v>6.4262837858248369</v>
      </c>
      <c r="R35" s="4620"/>
      <c r="S35" s="4791">
        <f>IF(T9=0,0,HLOOKUP($T$6,Daten!$D$3:$GR$64,ROW()-13,FALSE))</f>
        <v>-2.7320215182901975</v>
      </c>
      <c r="T35" s="4792"/>
      <c r="U35" s="4613">
        <f>IF(V9=0,0,HLOOKUP($V$6,Daten!$D$3:$GR$64,ROW()-13,FALSE))</f>
        <v>8.3810494778431366</v>
      </c>
      <c r="V35" s="4620"/>
      <c r="W35" s="4613">
        <f>SUMPRODUCT($I$7:$V$7,I35:V35)/$X$7</f>
        <v>0</v>
      </c>
      <c r="X35" s="4620">
        <f t="shared" si="4"/>
        <v>0</v>
      </c>
      <c r="Y35" s="3006"/>
    </row>
    <row r="36" spans="1:25" ht="15.75" customHeight="1">
      <c r="A36" s="1210"/>
      <c r="B36" s="4797"/>
      <c r="C36" s="1210"/>
      <c r="D36" s="1222">
        <f>D35+1</f>
        <v>25</v>
      </c>
      <c r="E36" s="1277" t="s">
        <v>1075</v>
      </c>
      <c r="F36" s="1276"/>
      <c r="G36" s="1276"/>
      <c r="H36" s="1370" t="s">
        <v>171</v>
      </c>
      <c r="I36" s="4609">
        <f>I32+I34-I35</f>
        <v>1082.6522302951312</v>
      </c>
      <c r="J36" s="4610"/>
      <c r="K36" s="4789">
        <f>K32+K34-K35</f>
        <v>865.66121444034923</v>
      </c>
      <c r="L36" s="4790"/>
      <c r="M36" s="4609">
        <f>M32+M34-M35</f>
        <v>1300.9706658590471</v>
      </c>
      <c r="N36" s="4610"/>
      <c r="O36" s="4789">
        <f>O32+O34-O35</f>
        <v>1197.1994154840522</v>
      </c>
      <c r="P36" s="4790"/>
      <c r="Q36" s="4609">
        <f>Q32+Q34-Q35</f>
        <v>826.65299524852821</v>
      </c>
      <c r="R36" s="4610"/>
      <c r="S36" s="4789">
        <f>S32+S34-S35</f>
        <v>692.3052945145929</v>
      </c>
      <c r="T36" s="4790"/>
      <c r="U36" s="4609">
        <f>U32+U34-U35</f>
        <v>854.29301318098067</v>
      </c>
      <c r="V36" s="4610"/>
      <c r="W36" s="4609">
        <f t="shared" si="4"/>
        <v>1111.6208815196451</v>
      </c>
      <c r="X36" s="4610">
        <f t="shared" si="4"/>
        <v>0</v>
      </c>
      <c r="Y36" s="3007"/>
    </row>
    <row r="37" spans="1:25" ht="15.75" customHeight="1">
      <c r="A37" s="1210"/>
      <c r="B37" s="4798"/>
      <c r="C37" s="1210"/>
      <c r="D37" s="1217">
        <f>D36+1</f>
        <v>26</v>
      </c>
      <c r="E37" s="1369"/>
      <c r="F37" s="1347"/>
      <c r="G37" s="1266"/>
      <c r="H37" s="1368" t="s">
        <v>228</v>
      </c>
      <c r="I37" s="4623">
        <f>IF(J10=0,0,I36/J10)</f>
        <v>12.029469225501458</v>
      </c>
      <c r="J37" s="4624"/>
      <c r="K37" s="4793">
        <f>IF(L10=0,0,K36/L10)</f>
        <v>10.184249581651168</v>
      </c>
      <c r="L37" s="4794"/>
      <c r="M37" s="4623">
        <f>IF(N10=0,0,M36/N10)</f>
        <v>32.524266646476178</v>
      </c>
      <c r="N37" s="4624"/>
      <c r="O37" s="4793">
        <f>IF(P10=0,0,O36/P10)</f>
        <v>11.971994154840523</v>
      </c>
      <c r="P37" s="4794"/>
      <c r="Q37" s="4623">
        <f>IF(R10=0,0,Q36/R10)</f>
        <v>23.618657007100808</v>
      </c>
      <c r="R37" s="4624"/>
      <c r="S37" s="4793">
        <f>IF(T10=0,0,S36/T10)</f>
        <v>1.7307632362864822</v>
      </c>
      <c r="T37" s="4794"/>
      <c r="U37" s="4623">
        <f>IF(V10=0,0,U36/V10)</f>
        <v>31.640481969665952</v>
      </c>
      <c r="V37" s="4624"/>
      <c r="W37" s="4623">
        <f t="shared" si="4"/>
        <v>16.677494902117331</v>
      </c>
      <c r="X37" s="4624">
        <f t="shared" si="4"/>
        <v>0</v>
      </c>
      <c r="Y37" s="3007"/>
    </row>
    <row r="38" spans="1:25" ht="10.5" customHeight="1">
      <c r="A38" s="1210"/>
      <c r="B38" s="1210"/>
      <c r="C38" s="1210"/>
      <c r="D38" s="1210"/>
      <c r="E38" s="1210"/>
      <c r="F38" s="1210"/>
      <c r="G38" s="1210"/>
      <c r="H38" s="1210"/>
      <c r="I38" s="1210"/>
      <c r="J38" s="1210"/>
      <c r="K38" s="1210"/>
      <c r="L38" s="1210"/>
      <c r="M38" s="1210"/>
      <c r="N38" s="1210"/>
      <c r="O38" s="1210"/>
      <c r="P38" s="1210"/>
      <c r="Q38" s="1210"/>
      <c r="R38" s="1210"/>
      <c r="S38" s="1210"/>
      <c r="T38" s="1210"/>
      <c r="U38" s="1210"/>
      <c r="V38" s="1210"/>
      <c r="W38" s="3765"/>
      <c r="X38" s="3765"/>
      <c r="Y38" s="3007"/>
    </row>
    <row r="39" spans="1:25" ht="18" customHeight="1">
      <c r="A39" s="1210"/>
      <c r="B39" s="4596" t="s">
        <v>1073</v>
      </c>
      <c r="C39" s="1210"/>
      <c r="D39" s="1258">
        <f>D37+1</f>
        <v>27</v>
      </c>
      <c r="E39" s="1367" t="s">
        <v>1074</v>
      </c>
      <c r="F39" s="1366"/>
      <c r="G39" s="1366"/>
      <c r="H39" s="1365" t="s">
        <v>463</v>
      </c>
      <c r="I39" s="1364">
        <f>HLOOKUP(J$6,Daten!$D$3:$GR$64,ROW()-14,FALSE)</f>
        <v>12.186</v>
      </c>
      <c r="J39" s="1363"/>
      <c r="K39" s="1362">
        <f>HLOOKUP(L$6,Daten!$D$3:$GR$64,ROW()-14,FALSE)</f>
        <v>11.436</v>
      </c>
      <c r="L39" s="1361"/>
      <c r="M39" s="1360">
        <f>HLOOKUP(N$6,Daten!$D$3:$GR$64,ROW()-14,FALSE)</f>
        <v>11.382000000000001</v>
      </c>
      <c r="N39" s="1359"/>
      <c r="O39" s="1362">
        <f>HLOOKUP(P$6,Daten!$D$3:$GR$64,ROW()-14,FALSE)</f>
        <v>9.1319999999999997</v>
      </c>
      <c r="P39" s="1361"/>
      <c r="Q39" s="1360">
        <f>HLOOKUP(R$6,Daten!$D$3:$GR$64,ROW()-14,FALSE)</f>
        <v>7.8768000000000011</v>
      </c>
      <c r="R39" s="1359"/>
      <c r="S39" s="1362">
        <f>HLOOKUP(T$6,Daten!$D$3:$GR$64,ROW()-14,FALSE)</f>
        <v>11.232000000000001</v>
      </c>
      <c r="T39" s="1361"/>
      <c r="U39" s="1360">
        <f>HLOOKUP(V$6,Daten!$D$3:$GR$64,ROW()-14,FALSE)</f>
        <v>7.7760000000000007</v>
      </c>
      <c r="V39" s="1359"/>
      <c r="W39" s="1360"/>
      <c r="X39" s="1359">
        <f>SUMPRODUCT($I$7:$V$7,I39:V39)/$X$7</f>
        <v>0</v>
      </c>
      <c r="Y39" s="3007"/>
    </row>
    <row r="40" spans="1:25" ht="13.7" customHeight="1">
      <c r="A40" s="1210"/>
      <c r="B40" s="4597"/>
      <c r="C40" s="1210"/>
      <c r="D40" s="1222">
        <f t="shared" ref="D40:D46" si="5">D39+1</f>
        <v>28</v>
      </c>
      <c r="E40" s="1358"/>
      <c r="F40" s="1357" t="s">
        <v>1072</v>
      </c>
      <c r="G40" s="1356">
        <f>'SDK4'!Q50</f>
        <v>18</v>
      </c>
      <c r="H40" s="1311" t="s">
        <v>171</v>
      </c>
      <c r="I40" s="4611">
        <f>$G$40*I39</f>
        <v>219.34800000000001</v>
      </c>
      <c r="J40" s="4619"/>
      <c r="K40" s="4740">
        <f>$G$40*K39</f>
        <v>205.84800000000001</v>
      </c>
      <c r="L40" s="4741"/>
      <c r="M40" s="4611">
        <f>$G$40*M39</f>
        <v>204.87600000000003</v>
      </c>
      <c r="N40" s="4619"/>
      <c r="O40" s="4740">
        <f>$G$40*O39</f>
        <v>164.376</v>
      </c>
      <c r="P40" s="4741"/>
      <c r="Q40" s="4611">
        <f>$G$40*Q39</f>
        <v>141.78240000000002</v>
      </c>
      <c r="R40" s="4619"/>
      <c r="S40" s="4740">
        <f>$G$40*S39</f>
        <v>202.17600000000002</v>
      </c>
      <c r="T40" s="4741"/>
      <c r="U40" s="4611">
        <f>$G$40*U39</f>
        <v>139.96800000000002</v>
      </c>
      <c r="V40" s="4619"/>
      <c r="W40" s="4611">
        <f t="shared" ref="W40:X46" si="6">SUMPRODUCT($I$7:$V$7,H40:U40)/$X$7</f>
        <v>198.61200000000005</v>
      </c>
      <c r="X40" s="4619">
        <f t="shared" si="6"/>
        <v>0</v>
      </c>
      <c r="Y40" s="3007"/>
    </row>
    <row r="41" spans="1:25" ht="14.25" customHeight="1">
      <c r="A41" s="1210"/>
      <c r="B41" s="4597"/>
      <c r="C41" s="1210"/>
      <c r="D41" s="1222">
        <f t="shared" si="5"/>
        <v>29</v>
      </c>
      <c r="E41" s="1284"/>
      <c r="F41" s="1284" t="s">
        <v>1071</v>
      </c>
      <c r="G41" s="1292"/>
      <c r="H41" s="1311" t="s">
        <v>171</v>
      </c>
      <c r="I41" s="4613">
        <f>IF(OR(I36=0,F2="Begrünung"),0,'SDK4'!$N$8)</f>
        <v>209</v>
      </c>
      <c r="J41" s="4620"/>
      <c r="K41" s="4737">
        <f>IF(OR(K36=0,H2="Begrünung"),0,'SDK4'!$N$8)</f>
        <v>209</v>
      </c>
      <c r="L41" s="4738"/>
      <c r="M41" s="4613">
        <f>IF(OR(M36=0,J2="Begrünung"),0,'SDK4'!$N$8)</f>
        <v>209</v>
      </c>
      <c r="N41" s="4620"/>
      <c r="O41" s="4737">
        <f>IF(OR(O36=0,L2="Begrünung"),0,'SDK4'!$N$8)</f>
        <v>209</v>
      </c>
      <c r="P41" s="4738"/>
      <c r="Q41" s="4613">
        <f>IF(OR(Q36=0,N2="Begrünung"),0,'SDK4'!$N$8)</f>
        <v>209</v>
      </c>
      <c r="R41" s="4620"/>
      <c r="S41" s="4737">
        <f>IF(OR(S36=0,P2="Begrünung"),0,'SDK4'!$N$8)</f>
        <v>209</v>
      </c>
      <c r="T41" s="4738"/>
      <c r="U41" s="4613">
        <f>IF(OR(U36=0,R2="Begrünung"),0,'SDK4'!$N$8)</f>
        <v>209</v>
      </c>
      <c r="V41" s="4620"/>
      <c r="W41" s="4613">
        <f t="shared" si="6"/>
        <v>209</v>
      </c>
      <c r="X41" s="4620">
        <f t="shared" si="6"/>
        <v>0</v>
      </c>
      <c r="Y41" s="3007"/>
    </row>
    <row r="42" spans="1:25" ht="15" customHeight="1">
      <c r="A42" s="1210"/>
      <c r="B42" s="4597"/>
      <c r="C42" s="1210"/>
      <c r="D42" s="1222">
        <f t="shared" si="5"/>
        <v>30</v>
      </c>
      <c r="E42" s="1284"/>
      <c r="F42" s="1284" t="s">
        <v>1070</v>
      </c>
      <c r="G42" s="1292"/>
      <c r="H42" s="1311" t="s">
        <v>171</v>
      </c>
      <c r="I42" s="4613">
        <f>IF(OR(I36=0,F2="Begrünung"),0,'SDK4'!$N$33)</f>
        <v>41</v>
      </c>
      <c r="J42" s="4620"/>
      <c r="K42" s="4737">
        <f>IF(OR(K36=0,H2="Begrünung"),0,'SDK4'!$N$33)</f>
        <v>41</v>
      </c>
      <c r="L42" s="4738"/>
      <c r="M42" s="4613">
        <f>IF(OR(M36=0,J2="Begrünung"),0,'SDK4'!$N$33)</f>
        <v>41</v>
      </c>
      <c r="N42" s="4620"/>
      <c r="O42" s="4737">
        <f>IF(OR(O36=0,L2="Begrünung"),0,'SDK4'!$N$33)</f>
        <v>41</v>
      </c>
      <c r="P42" s="4738"/>
      <c r="Q42" s="4613">
        <f>IF(OR(Q36=0,N2="Begrünung"),0,'SDK4'!$N$33)</f>
        <v>41</v>
      </c>
      <c r="R42" s="4620"/>
      <c r="S42" s="4737">
        <f>IF(OR(S36=0,P2="Begrünung"),0,'SDK4'!$N$33)</f>
        <v>41</v>
      </c>
      <c r="T42" s="4738"/>
      <c r="U42" s="4613">
        <f>IF(OR(U36=0,R2="Begrünung"),0,'SDK4'!$N$33)</f>
        <v>41</v>
      </c>
      <c r="V42" s="4620"/>
      <c r="W42" s="4613">
        <f t="shared" si="6"/>
        <v>41</v>
      </c>
      <c r="X42" s="4620">
        <f t="shared" si="6"/>
        <v>0</v>
      </c>
      <c r="Y42" s="2999"/>
    </row>
    <row r="43" spans="1:25" ht="15" customHeight="1">
      <c r="A43" s="1210"/>
      <c r="B43" s="4597"/>
      <c r="C43" s="1210"/>
      <c r="D43" s="1222">
        <f t="shared" si="5"/>
        <v>31</v>
      </c>
      <c r="E43" s="1284"/>
      <c r="F43" s="1284" t="s">
        <v>1069</v>
      </c>
      <c r="G43" s="1292"/>
      <c r="H43" s="1311" t="s">
        <v>171</v>
      </c>
      <c r="I43" s="4613">
        <f>IF(I36=0,0,IF(I8="niedrig",'SDK4'!$Q$45,IF(I8="mittel",'SDK4'!$Q$46,'SDK4'!$Q$47)))</f>
        <v>356.66666666666669</v>
      </c>
      <c r="J43" s="4620"/>
      <c r="K43" s="4737">
        <f>IF(K36=0,0,IF(K8="niedrig",'SDK4'!$Q$45,IF(K8="mittel",'SDK4'!$Q$46,'SDK4'!$Q$47)))</f>
        <v>356.66666666666669</v>
      </c>
      <c r="L43" s="4738"/>
      <c r="M43" s="4613">
        <f>IF(M36=0,0,IF(M8="niedrig",'SDK4'!$Q$45,IF(M8="mittel",'SDK4'!$Q$46,'SDK4'!$Q$47)))</f>
        <v>306.66666666666669</v>
      </c>
      <c r="N43" s="4620"/>
      <c r="O43" s="4737">
        <f>IF(O36=0,0,IF(O8="niedrig",'SDK4'!$Q$45,IF(O8="mittel",'SDK4'!$Q$46,'SDK4'!$Q$47)))</f>
        <v>306.66666666666669</v>
      </c>
      <c r="P43" s="4738"/>
      <c r="Q43" s="4613">
        <f>IF(Q36=0,0,IF(Q8="niedrig",'SDK4'!$Q$45,IF(Q8="mittel",'SDK4'!$Q$46,'SDK4'!$Q$47)))</f>
        <v>306.66666666666669</v>
      </c>
      <c r="R43" s="4620"/>
      <c r="S43" s="4737">
        <f>IF(S36=0,0,IF(S8="niedrig",'SDK4'!$Q$45,IF(S8="mittel",'SDK4'!$Q$46,'SDK4'!$Q$47)))</f>
        <v>306.66666666666669</v>
      </c>
      <c r="T43" s="4738"/>
      <c r="U43" s="4613">
        <f>IF(U36=0,0,IF(U8="niedrig",'SDK4'!$Q$45,IF(U8="mittel",'SDK4'!$Q$46,'SDK4'!$Q$47)))</f>
        <v>306.66666666666669</v>
      </c>
      <c r="V43" s="4620"/>
      <c r="W43" s="4613">
        <f t="shared" si="6"/>
        <v>331.66666666666674</v>
      </c>
      <c r="X43" s="4620">
        <f t="shared" si="6"/>
        <v>0</v>
      </c>
      <c r="Y43" s="2999"/>
    </row>
    <row r="44" spans="1:25" ht="15" customHeight="1">
      <c r="A44" s="1210"/>
      <c r="B44" s="4597"/>
      <c r="C44" s="1210"/>
      <c r="D44" s="1222">
        <f t="shared" si="5"/>
        <v>32</v>
      </c>
      <c r="E44" s="1284"/>
      <c r="F44" s="1284" t="s">
        <v>1068</v>
      </c>
      <c r="G44" s="1292"/>
      <c r="H44" s="1311" t="s">
        <v>171</v>
      </c>
      <c r="I44" s="4613">
        <f>IF(I6=25,J10*'SDK4'!$Q$52*'SDK1'!$L$62%,0)</f>
        <v>0</v>
      </c>
      <c r="J44" s="4620"/>
      <c r="K44" s="4737">
        <f>IF(I6=25,L10*'SDK4'!$Q$52*'SDK1'!$L$62%,0)</f>
        <v>0</v>
      </c>
      <c r="L44" s="4738"/>
      <c r="M44" s="4613">
        <f>IF(I6=25,N10*'SDK4'!$Q$52*'SDK1'!$L$62%,0)</f>
        <v>0</v>
      </c>
      <c r="N44" s="4620"/>
      <c r="O44" s="4737">
        <f>IF(K6=25,P10*'SDK4'!$Q$52*'SDK1'!$L$62%,0)</f>
        <v>0</v>
      </c>
      <c r="P44" s="4738"/>
      <c r="Q44" s="4613">
        <f>IF(M6=25,R10*'SDK4'!$Q$52*'SDK1'!$L$62%,0)</f>
        <v>0</v>
      </c>
      <c r="R44" s="4620"/>
      <c r="S44" s="4737">
        <f>IF(O6=25,T10*'SDK4'!$Q$52*'SDK1'!$L$62%,0)</f>
        <v>0</v>
      </c>
      <c r="T44" s="4738"/>
      <c r="U44" s="4613">
        <f>IF(Q6=25,V10*'SDK4'!$Q$52*'SDK1'!$L$62%,0)</f>
        <v>0</v>
      </c>
      <c r="V44" s="4620"/>
      <c r="W44" s="4613">
        <f t="shared" si="6"/>
        <v>0</v>
      </c>
      <c r="X44" s="4620">
        <f t="shared" si="6"/>
        <v>0</v>
      </c>
      <c r="Y44" s="3005"/>
    </row>
    <row r="45" spans="1:25" ht="15.75" customHeight="1">
      <c r="A45" s="1210"/>
      <c r="B45" s="4597"/>
      <c r="C45" s="1210"/>
      <c r="D45" s="1222">
        <f t="shared" si="5"/>
        <v>33</v>
      </c>
      <c r="E45" s="1284"/>
      <c r="F45" s="1284" t="s">
        <v>1067</v>
      </c>
      <c r="G45" s="1292"/>
      <c r="H45" s="1311" t="s">
        <v>171</v>
      </c>
      <c r="I45" s="4613">
        <f>IF(OR(I36=0,F2="Begrünung"),0,'SDK4'!$Q$48)</f>
        <v>140.33333333333334</v>
      </c>
      <c r="J45" s="4620"/>
      <c r="K45" s="4737">
        <f>IF(OR(K36=0,H2="Begrünung"),0,'SDK4'!$Q$48)</f>
        <v>140.33333333333334</v>
      </c>
      <c r="L45" s="4738"/>
      <c r="M45" s="4613">
        <f>IF(OR(M36=0,J2="Begrünung"),0,'SDK4'!$Q$48)</f>
        <v>140.33333333333334</v>
      </c>
      <c r="N45" s="4620"/>
      <c r="O45" s="4737">
        <f>IF(OR(O36=0,L2="Begrünung"),0,'SDK4'!$Q$48)</f>
        <v>140.33333333333334</v>
      </c>
      <c r="P45" s="4738"/>
      <c r="Q45" s="4613">
        <f>IF(OR(Q36=0,N2="Begrünung"),0,'SDK4'!$Q$48)</f>
        <v>140.33333333333334</v>
      </c>
      <c r="R45" s="4620"/>
      <c r="S45" s="4737">
        <f>IF(OR(S36=0,P2="Begrünung"),0,'SDK4'!$Q$48)</f>
        <v>140.33333333333334</v>
      </c>
      <c r="T45" s="4738"/>
      <c r="U45" s="4613">
        <f>IF(OR(U36=0,R2="Begrünung"),0,'SDK4'!$Q$48)</f>
        <v>140.33333333333334</v>
      </c>
      <c r="V45" s="4620"/>
      <c r="W45" s="4613">
        <f t="shared" si="6"/>
        <v>140.33333333333334</v>
      </c>
      <c r="X45" s="4620">
        <f t="shared" si="6"/>
        <v>0</v>
      </c>
      <c r="Y45" s="3006"/>
    </row>
    <row r="46" spans="1:25" ht="15" customHeight="1">
      <c r="A46" s="1210"/>
      <c r="B46" s="4598"/>
      <c r="C46" s="1210"/>
      <c r="D46" s="1217">
        <f t="shared" si="5"/>
        <v>34</v>
      </c>
      <c r="E46" s="1355" t="s">
        <v>1066</v>
      </c>
      <c r="F46" s="1244"/>
      <c r="G46" s="1244"/>
      <c r="H46" s="1250"/>
      <c r="I46" s="4615">
        <f>SUM(I40:I45)</f>
        <v>966.34800000000007</v>
      </c>
      <c r="J46" s="4616"/>
      <c r="K46" s="4761">
        <f>SUM(K40:K45)</f>
        <v>952.84800000000007</v>
      </c>
      <c r="L46" s="4762"/>
      <c r="M46" s="4615">
        <f>SUM(M40:M45)</f>
        <v>901.87600000000009</v>
      </c>
      <c r="N46" s="4616"/>
      <c r="O46" s="4761">
        <f>SUM(O40:O45)</f>
        <v>861.37600000000009</v>
      </c>
      <c r="P46" s="4762"/>
      <c r="Q46" s="4615">
        <f>SUM(Q40:Q45)</f>
        <v>838.78240000000017</v>
      </c>
      <c r="R46" s="4616"/>
      <c r="S46" s="4761">
        <f>SUM(S40:S45)</f>
        <v>899.17600000000004</v>
      </c>
      <c r="T46" s="4762"/>
      <c r="U46" s="4615">
        <f>SUM(U40:U45)</f>
        <v>836.96800000000007</v>
      </c>
      <c r="V46" s="4616"/>
      <c r="W46" s="4615">
        <f t="shared" si="6"/>
        <v>920.61200000000008</v>
      </c>
      <c r="X46" s="4616">
        <f t="shared" si="6"/>
        <v>0</v>
      </c>
      <c r="Y46" s="3006"/>
    </row>
    <row r="47" spans="1:25" s="4" customFormat="1" ht="5.25" customHeight="1">
      <c r="A47" s="1210"/>
      <c r="B47" s="1210"/>
      <c r="C47" s="1210"/>
      <c r="D47" s="1210"/>
      <c r="E47" s="1210"/>
      <c r="F47" s="1210"/>
      <c r="G47" s="1210"/>
      <c r="H47" s="1210"/>
      <c r="I47" s="1210"/>
      <c r="J47" s="1210"/>
      <c r="K47" s="1210"/>
      <c r="L47" s="1210"/>
      <c r="M47" s="1210"/>
      <c r="N47" s="1210"/>
      <c r="O47" s="1210"/>
      <c r="P47" s="1210"/>
      <c r="Q47" s="1210"/>
      <c r="R47" s="1210"/>
      <c r="S47" s="1210"/>
      <c r="T47" s="1210"/>
      <c r="U47" s="1210"/>
      <c r="V47" s="1210"/>
      <c r="W47" s="3765"/>
      <c r="X47" s="3765"/>
      <c r="Y47" s="3007"/>
    </row>
    <row r="48" spans="1:25" ht="15" customHeight="1">
      <c r="A48" s="1210"/>
      <c r="B48" s="4596" t="s">
        <v>1065</v>
      </c>
      <c r="C48" s="1210"/>
      <c r="D48" s="1258">
        <f>D46+1</f>
        <v>35</v>
      </c>
      <c r="E48" s="1354"/>
      <c r="F48" s="1353" t="s">
        <v>1064</v>
      </c>
      <c r="G48" s="1256"/>
      <c r="H48" s="1352"/>
      <c r="I48" s="4621">
        <f>I15</f>
        <v>2118</v>
      </c>
      <c r="J48" s="4622"/>
      <c r="K48" s="4759">
        <f>K15</f>
        <v>1691.5000000000002</v>
      </c>
      <c r="L48" s="4760"/>
      <c r="M48" s="4621">
        <f>M15</f>
        <v>2086.6666666666661</v>
      </c>
      <c r="N48" s="4622"/>
      <c r="O48" s="4759">
        <f>O15</f>
        <v>2463.3333333333335</v>
      </c>
      <c r="P48" s="4760"/>
      <c r="Q48" s="4621">
        <f>Q15</f>
        <v>1048.8333333333335</v>
      </c>
      <c r="R48" s="4622"/>
      <c r="S48" s="4759">
        <f>S15</f>
        <v>0</v>
      </c>
      <c r="T48" s="4760"/>
      <c r="U48" s="4621">
        <f>U15</f>
        <v>1413.0000000000002</v>
      </c>
      <c r="V48" s="4622"/>
      <c r="W48" s="4621">
        <f t="shared" ref="W48:X54" si="7">SUMPRODUCT($I$7:$V$7,H48:U48)/$X$7</f>
        <v>2089.875</v>
      </c>
      <c r="X48" s="4622">
        <f t="shared" si="7"/>
        <v>0</v>
      </c>
      <c r="Y48" s="3007"/>
    </row>
    <row r="49" spans="1:25" ht="15" customHeight="1">
      <c r="A49" s="1210"/>
      <c r="B49" s="4597"/>
      <c r="C49" s="1210"/>
      <c r="D49" s="1222">
        <f t="shared" ref="D49:D54" si="8">D48+1</f>
        <v>36</v>
      </c>
      <c r="E49" s="1248"/>
      <c r="F49" s="1351" t="s">
        <v>1063</v>
      </c>
      <c r="G49" s="1247"/>
      <c r="H49" s="1311"/>
      <c r="I49" s="4615">
        <f>J30+I35+I46</f>
        <v>2323.0957697048689</v>
      </c>
      <c r="J49" s="4616"/>
      <c r="K49" s="4761">
        <f>L30+K35+K46</f>
        <v>2234.0867855596512</v>
      </c>
      <c r="L49" s="4762"/>
      <c r="M49" s="4615">
        <f>N30+M35+M46</f>
        <v>2142.9720008076192</v>
      </c>
      <c r="N49" s="4616"/>
      <c r="O49" s="4761">
        <f>P30+O35+O46</f>
        <v>2482.9099178492811</v>
      </c>
      <c r="P49" s="4762"/>
      <c r="Q49" s="4615">
        <f>R30+Q35+Q46</f>
        <v>1616.3627380848054</v>
      </c>
      <c r="R49" s="4616"/>
      <c r="S49" s="4761">
        <f>T30+S35+S46</f>
        <v>662.27070548540723</v>
      </c>
      <c r="T49" s="4762"/>
      <c r="U49" s="4615">
        <f>V30+U35+U46</f>
        <v>1851.0749868190196</v>
      </c>
      <c r="V49" s="4616"/>
      <c r="W49" s="4615">
        <f t="shared" si="7"/>
        <v>2295.7661184803551</v>
      </c>
      <c r="X49" s="4616">
        <f t="shared" si="7"/>
        <v>0</v>
      </c>
      <c r="Y49" s="3007"/>
    </row>
    <row r="50" spans="1:25" ht="15" customHeight="1">
      <c r="A50" s="1210"/>
      <c r="B50" s="4597"/>
      <c r="C50" s="1210"/>
      <c r="D50" s="1249">
        <f t="shared" si="8"/>
        <v>37</v>
      </c>
      <c r="E50" s="1277" t="s">
        <v>1062</v>
      </c>
      <c r="F50" s="1276"/>
      <c r="G50" s="1276"/>
      <c r="H50" s="1349" t="s">
        <v>1058</v>
      </c>
      <c r="I50" s="4609">
        <f>I48-I49</f>
        <v>-205.09576970486887</v>
      </c>
      <c r="J50" s="4610"/>
      <c r="K50" s="4759">
        <f>K48-K49</f>
        <v>-542.58678555965093</v>
      </c>
      <c r="L50" s="4760"/>
      <c r="M50" s="4609">
        <f>M48-M49</f>
        <v>-56.305334140953164</v>
      </c>
      <c r="N50" s="4610"/>
      <c r="O50" s="4759">
        <f>O48-O49</f>
        <v>-19.576584515947616</v>
      </c>
      <c r="P50" s="4760"/>
      <c r="Q50" s="4609">
        <f>Q48-Q49</f>
        <v>-567.52940475147193</v>
      </c>
      <c r="R50" s="4610"/>
      <c r="S50" s="4759">
        <f>S48-S49</f>
        <v>-662.27070548540723</v>
      </c>
      <c r="T50" s="4760"/>
      <c r="U50" s="4609">
        <f>U48-U49</f>
        <v>-438.07498681901939</v>
      </c>
      <c r="V50" s="4610"/>
      <c r="W50" s="4609">
        <f t="shared" si="7"/>
        <v>-205.89111848035515</v>
      </c>
      <c r="X50" s="4610">
        <f t="shared" si="7"/>
        <v>0</v>
      </c>
      <c r="Y50" s="3007"/>
    </row>
    <row r="51" spans="1:25" ht="15" customHeight="1">
      <c r="A51" s="1210"/>
      <c r="B51" s="4597"/>
      <c r="C51" s="1210"/>
      <c r="D51" s="1249">
        <f t="shared" si="8"/>
        <v>38</v>
      </c>
      <c r="E51" s="1267" t="s">
        <v>1061</v>
      </c>
      <c r="F51" s="1347"/>
      <c r="G51" s="1346"/>
      <c r="H51" s="1345" t="s">
        <v>228</v>
      </c>
      <c r="I51" s="4623">
        <f>IF(J10=0,0,I50/J10)</f>
        <v>-2.2788418856096539</v>
      </c>
      <c r="J51" s="4624"/>
      <c r="K51" s="4763">
        <f>IF(L10=0,0,K50/L10)</f>
        <v>-6.3833739477605995</v>
      </c>
      <c r="L51" s="4764"/>
      <c r="M51" s="4623">
        <f>IF(N10=0,0,M50/N10)</f>
        <v>-1.407633353523829</v>
      </c>
      <c r="N51" s="4624"/>
      <c r="O51" s="4763">
        <f>IF(P10=0,0,O50/P10)</f>
        <v>-0.19576584515947615</v>
      </c>
      <c r="P51" s="4764"/>
      <c r="Q51" s="4623">
        <f>IF(R10=0,0,Q50/R10)</f>
        <v>-16.215125850042057</v>
      </c>
      <c r="R51" s="4624"/>
      <c r="S51" s="4763">
        <f>IF(T10=0,0,S50/T10)</f>
        <v>-1.6556767637135181</v>
      </c>
      <c r="T51" s="4764"/>
      <c r="U51" s="4623">
        <f>IF(V10=0,0,U50/V10)</f>
        <v>-16.224999511815533</v>
      </c>
      <c r="V51" s="4624"/>
      <c r="W51" s="4623">
        <f t="shared" si="7"/>
        <v>-2.5664037580133896</v>
      </c>
      <c r="X51" s="4624">
        <f t="shared" si="7"/>
        <v>0</v>
      </c>
      <c r="Y51" s="3007"/>
    </row>
    <row r="52" spans="1:25" ht="18" customHeight="1">
      <c r="A52" s="1210"/>
      <c r="B52" s="4597"/>
      <c r="C52" s="1210"/>
      <c r="D52" s="1222">
        <f t="shared" si="8"/>
        <v>39</v>
      </c>
      <c r="E52" s="78"/>
      <c r="F52" s="1350" t="s">
        <v>1060</v>
      </c>
      <c r="G52" s="1194"/>
      <c r="H52" s="9"/>
      <c r="I52" s="4613">
        <f>I18</f>
        <v>321.39999999999998</v>
      </c>
      <c r="J52" s="4620"/>
      <c r="K52" s="4737">
        <f>K18</f>
        <v>455.4</v>
      </c>
      <c r="L52" s="4738"/>
      <c r="M52" s="4613">
        <f>M18</f>
        <v>455.4</v>
      </c>
      <c r="N52" s="4620"/>
      <c r="O52" s="4737">
        <f>O18</f>
        <v>355.4</v>
      </c>
      <c r="P52" s="4738"/>
      <c r="Q52" s="4613">
        <f>Q18</f>
        <v>555.4</v>
      </c>
      <c r="R52" s="4620"/>
      <c r="S52" s="4737">
        <f>S18</f>
        <v>455.4</v>
      </c>
      <c r="T52" s="4738"/>
      <c r="U52" s="4613">
        <f>U18</f>
        <v>455.4</v>
      </c>
      <c r="V52" s="4620"/>
      <c r="W52" s="4613">
        <f t="shared" si="7"/>
        <v>396.9</v>
      </c>
      <c r="X52" s="4620">
        <f t="shared" si="7"/>
        <v>0</v>
      </c>
      <c r="Y52" s="3007"/>
    </row>
    <row r="53" spans="1:25" ht="15" customHeight="1">
      <c r="A53" s="1210"/>
      <c r="B53" s="4597"/>
      <c r="C53" s="1210"/>
      <c r="D53" s="1249">
        <f t="shared" si="8"/>
        <v>40</v>
      </c>
      <c r="E53" s="1277" t="s">
        <v>1059</v>
      </c>
      <c r="F53" s="1276"/>
      <c r="G53" s="1276"/>
      <c r="H53" s="1349" t="s">
        <v>1058</v>
      </c>
      <c r="I53" s="4609">
        <f>I50+I52</f>
        <v>116.30423029513111</v>
      </c>
      <c r="J53" s="4610"/>
      <c r="K53" s="4759">
        <f>K50+K52</f>
        <v>-87.186785559650957</v>
      </c>
      <c r="L53" s="4760"/>
      <c r="M53" s="4609">
        <f>M50+M52</f>
        <v>399.09466585904681</v>
      </c>
      <c r="N53" s="4610"/>
      <c r="O53" s="4759">
        <f>O50+O52</f>
        <v>335.82341548405236</v>
      </c>
      <c r="P53" s="4760"/>
      <c r="Q53" s="4609">
        <f>Q50+Q52</f>
        <v>-12.129404751471952</v>
      </c>
      <c r="R53" s="4610"/>
      <c r="S53" s="4759">
        <f>S50+S52</f>
        <v>-206.87070548540726</v>
      </c>
      <c r="T53" s="4760"/>
      <c r="U53" s="4609">
        <f>U50+U52</f>
        <v>17.325013180980591</v>
      </c>
      <c r="V53" s="4610"/>
      <c r="W53" s="4609">
        <f t="shared" si="7"/>
        <v>191.00888151964486</v>
      </c>
      <c r="X53" s="4610">
        <f t="shared" si="7"/>
        <v>0</v>
      </c>
      <c r="Y53" s="2999"/>
    </row>
    <row r="54" spans="1:25" ht="15" customHeight="1">
      <c r="A54" s="1210"/>
      <c r="B54" s="4598"/>
      <c r="C54" s="1210"/>
      <c r="D54" s="1348">
        <f t="shared" si="8"/>
        <v>41</v>
      </c>
      <c r="E54" s="1267" t="s">
        <v>1057</v>
      </c>
      <c r="F54" s="1347"/>
      <c r="G54" s="1346"/>
      <c r="H54" s="1345" t="s">
        <v>228</v>
      </c>
      <c r="I54" s="4623">
        <f>IF(J10=0,0,I53/J10)</f>
        <v>1.2922692255014567</v>
      </c>
      <c r="J54" s="4624"/>
      <c r="K54" s="4763">
        <f>IF(L10=0,0,K53/L10)</f>
        <v>-1.0257268889370701</v>
      </c>
      <c r="L54" s="4764"/>
      <c r="M54" s="4623">
        <f>IF(N10=0,0,M53/N10)</f>
        <v>9.9773666464761703</v>
      </c>
      <c r="N54" s="4624"/>
      <c r="O54" s="4763">
        <f>IF(P10=0,0,O53/P10)</f>
        <v>3.3582341548405235</v>
      </c>
      <c r="P54" s="4764"/>
      <c r="Q54" s="4623">
        <f>IF(R10=0,0,Q53/R10)</f>
        <v>-0.34655442147062721</v>
      </c>
      <c r="R54" s="4624"/>
      <c r="S54" s="4763">
        <f>IF(T10=0,0,S53/T10)</f>
        <v>-0.51717676371351817</v>
      </c>
      <c r="T54" s="4764"/>
      <c r="U54" s="4623">
        <f>IF(V10=0,0,U53/V10)</f>
        <v>0.64166715485113301</v>
      </c>
      <c r="V54" s="4624"/>
      <c r="W54" s="4623">
        <f t="shared" si="7"/>
        <v>3.4005357844702702</v>
      </c>
      <c r="X54" s="4624">
        <f t="shared" si="7"/>
        <v>0</v>
      </c>
      <c r="Y54" s="2999"/>
    </row>
    <row r="55" spans="1:25" s="1120" customFormat="1" ht="5.25" customHeight="1">
      <c r="A55" s="1210"/>
      <c r="B55" s="1210"/>
      <c r="C55" s="1210"/>
      <c r="D55" s="1210"/>
      <c r="E55" s="1210"/>
      <c r="F55" s="1210"/>
      <c r="G55" s="1210"/>
      <c r="H55" s="1210"/>
      <c r="I55" s="1210"/>
      <c r="J55" s="1210"/>
      <c r="K55" s="1210"/>
      <c r="L55" s="1210"/>
      <c r="M55" s="1210"/>
      <c r="N55" s="1210"/>
      <c r="O55" s="1210"/>
      <c r="P55" s="1210"/>
      <c r="Q55" s="1210"/>
      <c r="R55" s="1210"/>
      <c r="S55" s="1210"/>
      <c r="T55" s="1210"/>
      <c r="U55" s="1210"/>
      <c r="V55" s="1210"/>
      <c r="W55" s="3765"/>
      <c r="X55" s="3765"/>
      <c r="Y55" s="3005"/>
    </row>
    <row r="56" spans="1:25" s="1120" customFormat="1" ht="5.25" customHeight="1">
      <c r="A56" s="1210"/>
      <c r="B56" s="1210"/>
      <c r="C56" s="1210"/>
      <c r="D56" s="1210"/>
      <c r="E56" s="1210"/>
      <c r="F56" s="1210"/>
      <c r="G56" s="1210"/>
      <c r="H56" s="1210"/>
      <c r="I56" s="1210"/>
      <c r="J56" s="1210"/>
      <c r="K56" s="1210"/>
      <c r="L56" s="1210"/>
      <c r="M56" s="1210"/>
      <c r="N56" s="1210"/>
      <c r="O56" s="1210"/>
      <c r="P56" s="1210"/>
      <c r="Q56" s="1210"/>
      <c r="R56" s="1210"/>
      <c r="S56" s="1210"/>
      <c r="T56" s="1210"/>
      <c r="U56" s="1210"/>
      <c r="V56" s="1210"/>
      <c r="W56" s="3765"/>
      <c r="X56" s="3765"/>
      <c r="Y56" s="3006"/>
    </row>
    <row r="57" spans="1:25" ht="15" customHeight="1">
      <c r="A57" s="1210"/>
      <c r="B57" s="4596" t="s">
        <v>1056</v>
      </c>
      <c r="C57" s="1210"/>
      <c r="D57" s="1258">
        <f>D54+1</f>
        <v>42</v>
      </c>
      <c r="E57" s="1344" t="s">
        <v>1055</v>
      </c>
      <c r="F57" s="1343"/>
      <c r="G57" s="1343"/>
      <c r="H57" s="1342"/>
      <c r="I57" s="1338" t="s">
        <v>171</v>
      </c>
      <c r="J57" s="1341" t="s">
        <v>1054</v>
      </c>
      <c r="K57" s="1340" t="s">
        <v>171</v>
      </c>
      <c r="L57" s="1339" t="s">
        <v>1054</v>
      </c>
      <c r="M57" s="1338" t="s">
        <v>171</v>
      </c>
      <c r="N57" s="1337" t="s">
        <v>1054</v>
      </c>
      <c r="O57" s="1340" t="s">
        <v>171</v>
      </c>
      <c r="P57" s="1339" t="s">
        <v>1054</v>
      </c>
      <c r="Q57" s="1338" t="s">
        <v>171</v>
      </c>
      <c r="R57" s="1337" t="s">
        <v>1054</v>
      </c>
      <c r="S57" s="1340" t="s">
        <v>171</v>
      </c>
      <c r="T57" s="1339" t="s">
        <v>1054</v>
      </c>
      <c r="U57" s="1338" t="s">
        <v>171</v>
      </c>
      <c r="V57" s="1337" t="s">
        <v>1054</v>
      </c>
      <c r="W57" s="3772" t="s">
        <v>171</v>
      </c>
      <c r="X57" s="3773" t="s">
        <v>1054</v>
      </c>
      <c r="Y57" s="3006"/>
    </row>
    <row r="58" spans="1:25" s="1300" customFormat="1" ht="2.25" customHeight="1">
      <c r="A58" s="1210"/>
      <c r="B58" s="4597"/>
      <c r="C58" s="1210"/>
      <c r="D58" s="1308">
        <v>39</v>
      </c>
      <c r="E58" s="1336"/>
      <c r="F58" s="1335"/>
      <c r="G58" s="1334"/>
      <c r="H58" s="1314"/>
      <c r="I58" s="1330"/>
      <c r="J58" s="1333"/>
      <c r="K58" s="1332"/>
      <c r="L58" s="1331"/>
      <c r="M58" s="1330"/>
      <c r="N58" s="1329"/>
      <c r="O58" s="1332"/>
      <c r="P58" s="1331"/>
      <c r="Q58" s="1330"/>
      <c r="R58" s="1329"/>
      <c r="S58" s="1332"/>
      <c r="T58" s="1331"/>
      <c r="U58" s="1330"/>
      <c r="V58" s="1329"/>
      <c r="W58" s="1330"/>
      <c r="X58" s="1329"/>
      <c r="Y58" s="3007"/>
    </row>
    <row r="59" spans="1:25" ht="15" customHeight="1">
      <c r="A59" s="1210"/>
      <c r="B59" s="4597"/>
      <c r="C59" s="1210"/>
      <c r="D59" s="1222">
        <f>D57+1</f>
        <v>43</v>
      </c>
      <c r="E59" s="1328"/>
      <c r="F59" s="1327" t="s">
        <v>1053</v>
      </c>
      <c r="G59" s="1189"/>
      <c r="H59" s="1326" t="s">
        <v>1052</v>
      </c>
      <c r="I59" s="1322">
        <f>I53+I40</f>
        <v>335.65223029513112</v>
      </c>
      <c r="J59" s="1325">
        <f>IF(I39=0,0,I59/I39)</f>
        <v>27.544085860424349</v>
      </c>
      <c r="K59" s="1324">
        <f>K53+K40</f>
        <v>118.66121444034906</v>
      </c>
      <c r="L59" s="1323">
        <f>IF(K39=0,0,K59/K39)</f>
        <v>10.37611179086648</v>
      </c>
      <c r="M59" s="1322">
        <f>M53+M40</f>
        <v>603.9706658590469</v>
      </c>
      <c r="N59" s="1321">
        <f>IF(M39=0,0,M59/M39)</f>
        <v>53.063667708579054</v>
      </c>
      <c r="O59" s="1324">
        <f>O53+O40</f>
        <v>500.19941548405234</v>
      </c>
      <c r="P59" s="1323">
        <f>IF(O39=0,0,O59/O39)</f>
        <v>54.774355615862063</v>
      </c>
      <c r="Q59" s="1322">
        <f>Q53+Q40</f>
        <v>129.65299524852807</v>
      </c>
      <c r="R59" s="1321">
        <f>IF(Q39=0,0,Q59/Q39)</f>
        <v>16.460110101631127</v>
      </c>
      <c r="S59" s="1324">
        <f>S53+S40</f>
        <v>-4.6947054854072405</v>
      </c>
      <c r="T59" s="1323">
        <f>IF(S39=0,0,S59/S39)</f>
        <v>-0.41797591572357906</v>
      </c>
      <c r="U59" s="1322">
        <f>U53+U40</f>
        <v>157.29301318098061</v>
      </c>
      <c r="V59" s="1321">
        <f>IF(U39=0,0,U59/U39)</f>
        <v>20.228010954344214</v>
      </c>
      <c r="W59" s="1322">
        <f>W53+W40</f>
        <v>389.62088151964491</v>
      </c>
      <c r="X59" s="1321">
        <f>IF(X39=0,0,W59/X39)</f>
        <v>0</v>
      </c>
      <c r="Y59" s="3007"/>
    </row>
    <row r="60" spans="1:25" ht="16.350000000000001" hidden="1" customHeight="1">
      <c r="A60" s="1210"/>
      <c r="B60" s="4597"/>
      <c r="C60" s="1210"/>
      <c r="D60" s="1222">
        <v>41</v>
      </c>
      <c r="E60" s="1320"/>
      <c r="F60" s="1319" t="s">
        <v>1051</v>
      </c>
      <c r="G60" s="1318"/>
      <c r="H60" s="1317" t="s">
        <v>228</v>
      </c>
      <c r="I60" s="4625">
        <f>IF(I44=0,0,IF(J10=0,0,(I53+I44)/'SDK1'!$L$62*100/J10))</f>
        <v>0</v>
      </c>
      <c r="J60" s="4626"/>
      <c r="K60" s="4806">
        <f>IF(K44=0,0,IF(L10=0,0,(K53+K44)/'SDK1'!$L$62*100/L10))</f>
        <v>0</v>
      </c>
      <c r="L60" s="4807"/>
      <c r="M60" s="4625">
        <f>IF(M44=0,0,IF(N10=0,0,(M53+M44)/'SDK1'!$L$62*100/N10))</f>
        <v>0</v>
      </c>
      <c r="N60" s="4626"/>
      <c r="O60" s="4806">
        <f>IF(O44=0,0,IF(P10=0,0,(O53+O44)/'SDK1'!$L$62*100/P10))</f>
        <v>0</v>
      </c>
      <c r="P60" s="4807"/>
      <c r="Q60" s="4625">
        <f>IF(Q44=0,0,IF(R10=0,0,(Q53+Q44)/'SDK1'!$L$62*100/R10))</f>
        <v>0</v>
      </c>
      <c r="R60" s="4626"/>
      <c r="S60" s="4806">
        <f>IF(S44=0,0,IF(T10=0,0,(S53+S44)/'SDK1'!$L$62*100/T10))</f>
        <v>0</v>
      </c>
      <c r="T60" s="4807"/>
      <c r="U60" s="4625">
        <f>IF(U44=0,0,IF(V10=0,0,(U53+U44)/'SDK1'!$L$62*100/V10))</f>
        <v>0</v>
      </c>
      <c r="V60" s="4626"/>
      <c r="W60" s="4625">
        <f>IF(W44=0,0,IF(X10=0,0,(W53+W44)/'SDK1'!$L$62*100/X10))</f>
        <v>0</v>
      </c>
      <c r="X60" s="4626"/>
      <c r="Y60" s="3007"/>
    </row>
    <row r="61" spans="1:25" s="1300" customFormat="1" ht="4.7" customHeight="1">
      <c r="A61" s="1210"/>
      <c r="B61" s="4597"/>
      <c r="C61" s="1210"/>
      <c r="D61" s="1308">
        <v>41</v>
      </c>
      <c r="E61" s="1316"/>
      <c r="F61" s="1316"/>
      <c r="G61" s="1315"/>
      <c r="H61" s="1314"/>
      <c r="I61" s="4802"/>
      <c r="J61" s="4803"/>
      <c r="K61" s="4804"/>
      <c r="L61" s="4805"/>
      <c r="M61" s="4627"/>
      <c r="N61" s="4628"/>
      <c r="O61" s="4804"/>
      <c r="P61" s="4805"/>
      <c r="Q61" s="4627"/>
      <c r="R61" s="4628"/>
      <c r="S61" s="4804"/>
      <c r="T61" s="4805"/>
      <c r="U61" s="4627"/>
      <c r="V61" s="4628"/>
      <c r="W61" s="4627"/>
      <c r="X61" s="4628"/>
      <c r="Y61" s="3007"/>
    </row>
    <row r="62" spans="1:25" ht="15" customHeight="1">
      <c r="A62" s="1210"/>
      <c r="B62" s="4597"/>
      <c r="C62" s="1210"/>
      <c r="D62" s="1222">
        <f>D59+1</f>
        <v>44</v>
      </c>
      <c r="E62" s="1254"/>
      <c r="F62" s="1248" t="s">
        <v>1050</v>
      </c>
      <c r="G62" s="1247"/>
      <c r="H62" s="1313" t="s">
        <v>1049</v>
      </c>
      <c r="I62" s="4629">
        <f>I53+I43</f>
        <v>472.97089696179779</v>
      </c>
      <c r="J62" s="4630"/>
      <c r="K62" s="4765">
        <f>K53+K43</f>
        <v>269.47988110701573</v>
      </c>
      <c r="L62" s="4766"/>
      <c r="M62" s="4629">
        <f>M53+M43</f>
        <v>705.76133252571344</v>
      </c>
      <c r="N62" s="4630"/>
      <c r="O62" s="4765">
        <f>O53+O43</f>
        <v>642.49008215071899</v>
      </c>
      <c r="P62" s="4766"/>
      <c r="Q62" s="4629">
        <f>Q53+Q43</f>
        <v>294.53726191519473</v>
      </c>
      <c r="R62" s="4630"/>
      <c r="S62" s="4765">
        <f>S53+S43</f>
        <v>99.795961181259429</v>
      </c>
      <c r="T62" s="4766"/>
      <c r="U62" s="4629">
        <f>U53+U43</f>
        <v>323.99167984764728</v>
      </c>
      <c r="V62" s="4630"/>
      <c r="W62" s="4629">
        <f>W53+W43</f>
        <v>522.67554818631163</v>
      </c>
      <c r="X62" s="4630"/>
      <c r="Y62" s="3007"/>
    </row>
    <row r="63" spans="1:25" ht="2.25" customHeight="1">
      <c r="A63" s="1210"/>
      <c r="B63" s="4597"/>
      <c r="C63" s="1210"/>
      <c r="D63" s="1222"/>
      <c r="E63" s="1312"/>
      <c r="F63" s="1284"/>
      <c r="G63" s="1247"/>
      <c r="H63" s="1311"/>
      <c r="I63" s="4631"/>
      <c r="J63" s="4632"/>
      <c r="K63" s="4767"/>
      <c r="L63" s="4768"/>
      <c r="M63" s="4631"/>
      <c r="N63" s="4632"/>
      <c r="O63" s="4767"/>
      <c r="P63" s="4768"/>
      <c r="Q63" s="4631"/>
      <c r="R63" s="4632"/>
      <c r="S63" s="4767"/>
      <c r="T63" s="4768"/>
      <c r="U63" s="4631"/>
      <c r="V63" s="4632"/>
      <c r="W63" s="4631"/>
      <c r="X63" s="4632"/>
      <c r="Y63" s="3007"/>
    </row>
    <row r="64" spans="1:25" ht="3.4" customHeight="1">
      <c r="A64" s="1210"/>
      <c r="B64" s="4597"/>
      <c r="C64" s="1210"/>
      <c r="D64" s="1222"/>
      <c r="E64" s="1310"/>
      <c r="F64" s="1309"/>
      <c r="G64" s="1244"/>
      <c r="H64" s="1250"/>
      <c r="I64" s="4633"/>
      <c r="J64" s="4634"/>
      <c r="K64" s="4771"/>
      <c r="L64" s="4772"/>
      <c r="M64" s="4633"/>
      <c r="N64" s="4634"/>
      <c r="O64" s="4771"/>
      <c r="P64" s="4772"/>
      <c r="Q64" s="4633"/>
      <c r="R64" s="4634"/>
      <c r="S64" s="4771"/>
      <c r="T64" s="4772"/>
      <c r="U64" s="4633"/>
      <c r="V64" s="4634"/>
      <c r="W64" s="4633"/>
      <c r="X64" s="4634"/>
      <c r="Y64" s="2999"/>
    </row>
    <row r="65" spans="1:25" s="1300" customFormat="1" ht="15" customHeight="1">
      <c r="A65" s="1210"/>
      <c r="B65" s="4597"/>
      <c r="C65" s="1210"/>
      <c r="D65" s="1308"/>
      <c r="E65" s="1307" t="s">
        <v>1048</v>
      </c>
      <c r="F65" s="26"/>
      <c r="G65" s="1307"/>
      <c r="H65" s="1306"/>
      <c r="I65" s="1302" t="s">
        <v>171</v>
      </c>
      <c r="J65" s="1305" t="s">
        <v>228</v>
      </c>
      <c r="K65" s="1304" t="s">
        <v>171</v>
      </c>
      <c r="L65" s="1303" t="s">
        <v>228</v>
      </c>
      <c r="M65" s="1302" t="s">
        <v>171</v>
      </c>
      <c r="N65" s="1301" t="s">
        <v>228</v>
      </c>
      <c r="O65" s="1304" t="s">
        <v>171</v>
      </c>
      <c r="P65" s="1303" t="s">
        <v>228</v>
      </c>
      <c r="Q65" s="1302" t="s">
        <v>171</v>
      </c>
      <c r="R65" s="1301" t="s">
        <v>228</v>
      </c>
      <c r="S65" s="1304" t="s">
        <v>171</v>
      </c>
      <c r="T65" s="1303" t="s">
        <v>228</v>
      </c>
      <c r="U65" s="1302" t="s">
        <v>171</v>
      </c>
      <c r="V65" s="1301" t="s">
        <v>228</v>
      </c>
      <c r="W65" s="3774" t="s">
        <v>171</v>
      </c>
      <c r="X65" s="3775" t="s">
        <v>228</v>
      </c>
      <c r="Y65" s="2999"/>
    </row>
    <row r="66" spans="1:25" ht="15" customHeight="1">
      <c r="A66" s="1210"/>
      <c r="B66" s="4597"/>
      <c r="C66" s="1210"/>
      <c r="D66" s="1222">
        <f>D62+1</f>
        <v>45</v>
      </c>
      <c r="E66" s="1299"/>
      <c r="F66" s="1298" t="s">
        <v>1047</v>
      </c>
      <c r="G66" s="1298"/>
      <c r="H66" s="1297"/>
      <c r="I66" s="1294">
        <f>I49</f>
        <v>2323.0957697048689</v>
      </c>
      <c r="J66" s="1296">
        <f>IF(J10=0,0,I66/J10)</f>
        <v>25.812175218942986</v>
      </c>
      <c r="K66" s="1289">
        <f>K49</f>
        <v>2234.0867855596512</v>
      </c>
      <c r="L66" s="1295">
        <f>IF(L10=0,0,K66/L10)</f>
        <v>26.283373947760602</v>
      </c>
      <c r="M66" s="1294">
        <f>M49</f>
        <v>2142.9720008076192</v>
      </c>
      <c r="N66" s="1293">
        <f>IF(N10=0,0,M66/N10)</f>
        <v>53.574300020190478</v>
      </c>
      <c r="O66" s="1289">
        <f>O49</f>
        <v>2482.9099178492811</v>
      </c>
      <c r="P66" s="1295">
        <f>IF(P10=0,0,O66/P10)</f>
        <v>24.829099178492811</v>
      </c>
      <c r="Q66" s="1294">
        <f>Q49</f>
        <v>1616.3627380848054</v>
      </c>
      <c r="R66" s="1293">
        <f>IF(R10=0,0,Q66/R10)</f>
        <v>46.181792516708725</v>
      </c>
      <c r="S66" s="1289">
        <f>S49</f>
        <v>662.27070548540723</v>
      </c>
      <c r="T66" s="1295">
        <f>IF(T10=0,0,S66/T10)</f>
        <v>1.6556767637135181</v>
      </c>
      <c r="U66" s="1294">
        <f>U49</f>
        <v>1851.0749868190196</v>
      </c>
      <c r="V66" s="1293">
        <f>IF(V10=0,0,U66/V10)</f>
        <v>68.558332845148868</v>
      </c>
      <c r="W66" s="1294">
        <f>W49</f>
        <v>2295.7661184803551</v>
      </c>
      <c r="X66" s="3776">
        <f>IF(X10=0,0,W66/X10)</f>
        <v>29.152585631496574</v>
      </c>
      <c r="Y66" s="3005"/>
    </row>
    <row r="67" spans="1:25" ht="15" customHeight="1">
      <c r="A67" s="1210"/>
      <c r="B67" s="4597"/>
      <c r="C67" s="1210"/>
      <c r="D67" s="1222">
        <f t="shared" ref="D67:D72" si="9">D66+1</f>
        <v>46</v>
      </c>
      <c r="E67" s="1292"/>
      <c r="F67" s="1291" t="s">
        <v>1046</v>
      </c>
      <c r="G67" s="1253"/>
      <c r="H67" s="1044"/>
      <c r="I67" s="1280">
        <f>J13+J14</f>
        <v>0</v>
      </c>
      <c r="J67" s="1290">
        <f>IF(J10=0,0,I67/J10)</f>
        <v>0</v>
      </c>
      <c r="K67" s="1289">
        <f>L13+L14</f>
        <v>0</v>
      </c>
      <c r="L67" s="1288">
        <f>IF(L10=0,0,K67/L10)</f>
        <v>0</v>
      </c>
      <c r="M67" s="1280">
        <f>N13+N14</f>
        <v>0</v>
      </c>
      <c r="N67" s="1287">
        <f>IF(N10=0,0,M67/N10)</f>
        <v>0</v>
      </c>
      <c r="O67" s="1289">
        <f>P13+P14</f>
        <v>0</v>
      </c>
      <c r="P67" s="1288">
        <f>IF(P10=0,0,O67/P10)</f>
        <v>0</v>
      </c>
      <c r="Q67" s="1280">
        <f>R13+R14</f>
        <v>0</v>
      </c>
      <c r="R67" s="1287">
        <f>IF(R10=0,0,Q67/R10)</f>
        <v>0</v>
      </c>
      <c r="S67" s="1289">
        <f>T13+T14</f>
        <v>0</v>
      </c>
      <c r="T67" s="1288">
        <f>IF(T10=0,0,S67/T10)</f>
        <v>0</v>
      </c>
      <c r="U67" s="1280">
        <f>V13+V14</f>
        <v>0</v>
      </c>
      <c r="V67" s="1287">
        <f>IF(V10=0,0,U67/V10)</f>
        <v>0</v>
      </c>
      <c r="W67" s="1280">
        <f>W13+W14</f>
        <v>0</v>
      </c>
      <c r="X67" s="3777">
        <f>IF(X10=0,0,W67/X10)</f>
        <v>0</v>
      </c>
      <c r="Y67" s="3006"/>
    </row>
    <row r="68" spans="1:25" ht="13.7" customHeight="1">
      <c r="A68" s="1210"/>
      <c r="B68" s="4597"/>
      <c r="C68" s="1210"/>
      <c r="D68" s="1222">
        <f t="shared" si="9"/>
        <v>47</v>
      </c>
      <c r="E68" s="1278"/>
      <c r="F68" s="1277" t="s">
        <v>1045</v>
      </c>
      <c r="G68" s="1276"/>
      <c r="H68" s="1286"/>
      <c r="I68" s="1274">
        <f t="shared" ref="I68:X68" si="10">I66-I67</f>
        <v>2323.0957697048689</v>
      </c>
      <c r="J68" s="1273">
        <f t="shared" si="10"/>
        <v>25.812175218942986</v>
      </c>
      <c r="K68" s="1272">
        <f t="shared" si="10"/>
        <v>2234.0867855596512</v>
      </c>
      <c r="L68" s="1271">
        <f t="shared" si="10"/>
        <v>26.283373947760602</v>
      </c>
      <c r="M68" s="1270">
        <f t="shared" si="10"/>
        <v>2142.9720008076192</v>
      </c>
      <c r="N68" s="1269">
        <f t="shared" si="10"/>
        <v>53.574300020190478</v>
      </c>
      <c r="O68" s="1272">
        <f t="shared" si="10"/>
        <v>2482.9099178492811</v>
      </c>
      <c r="P68" s="1271">
        <f t="shared" si="10"/>
        <v>24.829099178492811</v>
      </c>
      <c r="Q68" s="1270">
        <f t="shared" si="10"/>
        <v>1616.3627380848054</v>
      </c>
      <c r="R68" s="1269">
        <f t="shared" si="10"/>
        <v>46.181792516708725</v>
      </c>
      <c r="S68" s="1272">
        <f t="shared" si="10"/>
        <v>662.27070548540723</v>
      </c>
      <c r="T68" s="1271">
        <f t="shared" si="10"/>
        <v>1.6556767637135181</v>
      </c>
      <c r="U68" s="1270">
        <f t="shared" si="10"/>
        <v>1851.0749868190196</v>
      </c>
      <c r="V68" s="1269">
        <f t="shared" si="10"/>
        <v>68.558332845148868</v>
      </c>
      <c r="W68" s="1270">
        <f t="shared" si="10"/>
        <v>2295.7661184803551</v>
      </c>
      <c r="X68" s="1269">
        <f t="shared" si="10"/>
        <v>29.152585631496574</v>
      </c>
      <c r="Y68" s="3006"/>
    </row>
    <row r="69" spans="1:25" ht="16.149999999999999" customHeight="1">
      <c r="A69" s="1210"/>
      <c r="B69" s="4597"/>
      <c r="C69" s="1210"/>
      <c r="D69" s="1222">
        <f t="shared" si="9"/>
        <v>48</v>
      </c>
      <c r="E69" s="1268"/>
      <c r="F69" s="1267" t="s">
        <v>1044</v>
      </c>
      <c r="G69" s="1266"/>
      <c r="H69" s="1265" t="str">
        <f>IF($E$2="Kostenrechnung mit MwSt.","ohne MwSt.","")</f>
        <v/>
      </c>
      <c r="I69" s="1264" t="str">
        <f>IF($E$2="Kostenrechnung mit MwSt.",(I66-I67)/(1+'SDK1'!L9/100),"")</f>
        <v/>
      </c>
      <c r="J69" s="1263" t="str">
        <f>IF($E$2="Kostenrechnung mit MwSt.",(J66-J67)/(1+'SDK1'!L9/100),"")</f>
        <v/>
      </c>
      <c r="K69" s="1262" t="str">
        <f>IF($E$2="Kostenrechnung mit MwSt.",(K66-K67)/(1+'SDK1'!L9/100),"")</f>
        <v/>
      </c>
      <c r="L69" s="1261" t="str">
        <f>IF($E$2="Kostenrechnung mit MwSt.",(L66-L67)/(1+'SDK1'!L9/100),"")</f>
        <v/>
      </c>
      <c r="M69" s="1260" t="str">
        <f>IF($E$2="Kostenrechnung mit MwSt.",(M66-M67)/(1+'SDK1'!L9/100),"")</f>
        <v/>
      </c>
      <c r="N69" s="1259" t="str">
        <f>IF($E$2="Kostenrechnung mit MwSt.",(N66-N67)/(1+'SDK1'!L9/100),"")</f>
        <v/>
      </c>
      <c r="O69" s="1262" t="str">
        <f>IF($E$2="Kostenrechnung mit MwSt.",(O66-O67)/(1+'SDK1'!P9/100),"")</f>
        <v/>
      </c>
      <c r="P69" s="1261" t="str">
        <f>IF($E$2="Kostenrechnung mit MwSt.",(P66-P67)/(1+'SDK1'!P9/100),"")</f>
        <v/>
      </c>
      <c r="Q69" s="1260" t="str">
        <f>IF($E$2="Kostenrechnung mit MwSt.",(Q66-Q67)/(1+'SDK1'!#REF!/100),"")</f>
        <v/>
      </c>
      <c r="R69" s="1259" t="str">
        <f>IF($E$2="Kostenrechnung mit MwSt.",(R66-R67)/(1+'SDK1'!#REF!/100),"")</f>
        <v/>
      </c>
      <c r="S69" s="1262" t="str">
        <f>IF($E$2="Kostenrechnung mit MwSt.",(S66-S67)/(1+'SDK1'!S9/100),"")</f>
        <v/>
      </c>
      <c r="T69" s="1261" t="str">
        <f>IF($E$2="Kostenrechnung mit MwSt.",(T66-T67)/(1+'SDK1'!S9/100),"")</f>
        <v/>
      </c>
      <c r="U69" s="1260" t="str">
        <f>IF($E$2="Kostenrechnung mit MwSt.",(U66-U67)/(1+'SDK1'!U9/100),"")</f>
        <v/>
      </c>
      <c r="V69" s="1259" t="str">
        <f>IF($E$2="Kostenrechnung mit MwSt.",(V66-V67)/(1+'SDK1'!U9/100),"")</f>
        <v/>
      </c>
      <c r="W69" s="1260" t="str">
        <f>IF($E$2="Kostenrechnung mit MwSt.",(W66-W67)/(1+'SDK1'!W9/100),"")</f>
        <v/>
      </c>
      <c r="X69" s="1259" t="str">
        <f>IF($E$2="Kostenrechnung mit MwSt.",(X66-X67)/(1+'SDK1'!W9/100),"")</f>
        <v/>
      </c>
      <c r="Y69" s="3007"/>
    </row>
    <row r="70" spans="1:25" ht="15" customHeight="1">
      <c r="A70" s="1210"/>
      <c r="B70" s="4597"/>
      <c r="C70" s="1210"/>
      <c r="D70" s="1222">
        <f t="shared" si="9"/>
        <v>49</v>
      </c>
      <c r="E70" s="1285"/>
      <c r="F70" s="1284" t="s">
        <v>1043</v>
      </c>
      <c r="G70" s="1253"/>
      <c r="H70" s="6"/>
      <c r="I70" s="1280">
        <f>I52</f>
        <v>321.39999999999998</v>
      </c>
      <c r="J70" s="1283">
        <f>IF(J10=0,0,I70/J10)</f>
        <v>3.5711111111111107</v>
      </c>
      <c r="K70" s="1282">
        <f>K52</f>
        <v>455.4</v>
      </c>
      <c r="L70" s="1281">
        <f>IF(L10=0,0,K70/L10)</f>
        <v>5.3576470588235292</v>
      </c>
      <c r="M70" s="1280">
        <f>M52</f>
        <v>455.4</v>
      </c>
      <c r="N70" s="1279">
        <f>IF(N10=0,0,M70/N10)</f>
        <v>11.385</v>
      </c>
      <c r="O70" s="1282">
        <f>O52</f>
        <v>355.4</v>
      </c>
      <c r="P70" s="1281">
        <f>IF(P10=0,0,O70/P10)</f>
        <v>3.5539999999999998</v>
      </c>
      <c r="Q70" s="1280">
        <f>Q52</f>
        <v>555.4</v>
      </c>
      <c r="R70" s="1279">
        <f>IF(R10=0,0,Q70/R10)</f>
        <v>15.868571428571428</v>
      </c>
      <c r="S70" s="1282">
        <f>S52</f>
        <v>455.4</v>
      </c>
      <c r="T70" s="1281">
        <f>IF(T10=0,0,S70/T10)</f>
        <v>1.1384999999999998</v>
      </c>
      <c r="U70" s="1280">
        <f>U52</f>
        <v>455.4</v>
      </c>
      <c r="V70" s="1279">
        <f>IF(V10=0,0,U70/V10)</f>
        <v>16.866666666666667</v>
      </c>
      <c r="W70" s="1280">
        <f>W52</f>
        <v>396.9</v>
      </c>
      <c r="X70" s="1279">
        <f>IF(X10=0,0,W70/X10)</f>
        <v>5.04</v>
      </c>
      <c r="Y70" s="3007"/>
    </row>
    <row r="71" spans="1:25" ht="15" customHeight="1">
      <c r="A71" s="1210"/>
      <c r="B71" s="4597"/>
      <c r="C71" s="1210"/>
      <c r="D71" s="1222">
        <f t="shared" si="9"/>
        <v>50</v>
      </c>
      <c r="E71" s="1278"/>
      <c r="F71" s="1277" t="s">
        <v>1042</v>
      </c>
      <c r="G71" s="1276"/>
      <c r="H71" s="1275"/>
      <c r="I71" s="1274">
        <f t="shared" ref="I71:X71" si="11">I68-I70</f>
        <v>2001.6957697048688</v>
      </c>
      <c r="J71" s="1273">
        <f t="shared" si="11"/>
        <v>22.241064107831875</v>
      </c>
      <c r="K71" s="1272">
        <f t="shared" si="11"/>
        <v>1778.6867855596511</v>
      </c>
      <c r="L71" s="1271">
        <f t="shared" si="11"/>
        <v>20.925726888937071</v>
      </c>
      <c r="M71" s="1270">
        <f t="shared" si="11"/>
        <v>1687.5720008076191</v>
      </c>
      <c r="N71" s="1269">
        <f t="shared" si="11"/>
        <v>42.18930002019048</v>
      </c>
      <c r="O71" s="1272">
        <f t="shared" si="11"/>
        <v>2127.509917849281</v>
      </c>
      <c r="P71" s="1271">
        <f t="shared" si="11"/>
        <v>21.275099178492813</v>
      </c>
      <c r="Q71" s="1270">
        <f t="shared" si="11"/>
        <v>1060.9627380848056</v>
      </c>
      <c r="R71" s="1269">
        <f t="shared" si="11"/>
        <v>30.313221088137297</v>
      </c>
      <c r="S71" s="1272">
        <f t="shared" si="11"/>
        <v>206.87070548540726</v>
      </c>
      <c r="T71" s="1271">
        <f t="shared" si="11"/>
        <v>0.51717676371351828</v>
      </c>
      <c r="U71" s="1270">
        <f t="shared" si="11"/>
        <v>1395.6749868190195</v>
      </c>
      <c r="V71" s="1269">
        <f t="shared" si="11"/>
        <v>51.691666178482201</v>
      </c>
      <c r="W71" s="1270">
        <f t="shared" si="11"/>
        <v>1898.866118480355</v>
      </c>
      <c r="X71" s="1269">
        <f t="shared" si="11"/>
        <v>24.112585631496575</v>
      </c>
      <c r="Y71" s="3007"/>
    </row>
    <row r="72" spans="1:25" ht="15" customHeight="1">
      <c r="A72" s="1210"/>
      <c r="B72" s="4597"/>
      <c r="C72" s="1210"/>
      <c r="D72" s="1217">
        <f t="shared" si="9"/>
        <v>51</v>
      </c>
      <c r="E72" s="1268"/>
      <c r="F72" s="1267" t="s">
        <v>1041</v>
      </c>
      <c r="G72" s="1266"/>
      <c r="H72" s="1265" t="str">
        <f>IF($E$2="Kostenrechnung mit MwSt.","ohne MwSt.","")</f>
        <v/>
      </c>
      <c r="I72" s="1264" t="str">
        <f>IF($E$2="Kostenrechnung mit MwSt.",(I$66-I$67-I$70)/(1+'SDK1'!L9/100),"")</f>
        <v/>
      </c>
      <c r="J72" s="1263" t="str">
        <f>IF($E$2="Kostenrechnung mit MwSt.",(J$66-J$67-J$70)/(1+'SDK1'!L9/100),"")</f>
        <v/>
      </c>
      <c r="K72" s="1262" t="str">
        <f>IF($E$2="Kostenrechnung mit MwSt.",(K$66-K$67-K$70)/(1+'SDK1'!L9/100),"")</f>
        <v/>
      </c>
      <c r="L72" s="1261" t="str">
        <f>IF($E$2="Kostenrechnung mit MwSt.",(L$66-L$67-L$70)/(1+'SDK1'!L9/100),"")</f>
        <v/>
      </c>
      <c r="M72" s="1260" t="str">
        <f>IF($E$2="Kostenrechnung mit MwSt.",(M$66-M$67-M$70)/(1+'SDK1'!L9/100),"")</f>
        <v/>
      </c>
      <c r="N72" s="1259" t="str">
        <f>IF($E$2="Kostenrechnung mit MwSt.",(N$66-N$67-N$70)/(1+'SDK1'!L9/100),"")</f>
        <v/>
      </c>
      <c r="O72" s="1262" t="str">
        <f>IF($E$2="Kostenrechnung mit MwSt.",(O$66-O$67-O$70)/(1+'SDK1'!P9/100),"")</f>
        <v/>
      </c>
      <c r="P72" s="1261" t="str">
        <f>IF($E$2="Kostenrechnung mit MwSt.",(P$66-P$67-P$70)/(1+'SDK1'!P9/100),"")</f>
        <v/>
      </c>
      <c r="Q72" s="1260" t="str">
        <f>IF($E$2="Kostenrechnung mit MwSt.",(Q$66-Q$67-Q$70)/(1+'SDK1'!#REF!/100),"")</f>
        <v/>
      </c>
      <c r="R72" s="1259" t="str">
        <f>IF($E$2="Kostenrechnung mit MwSt.",(R$66-R$67-R$70)/(1+'SDK1'!#REF!/100),"")</f>
        <v/>
      </c>
      <c r="S72" s="1262" t="str">
        <f>IF($E$2="Kostenrechnung mit MwSt.",(S$66-S$67-S$70)/(1+'SDK1'!S9/100),"")</f>
        <v/>
      </c>
      <c r="T72" s="1261" t="str">
        <f>IF($E$2="Kostenrechnung mit MwSt.",(T$66-T$67-T$70)/(1+'SDK1'!S9/100),"")</f>
        <v/>
      </c>
      <c r="U72" s="1260" t="str">
        <f>IF($E$2="Kostenrechnung mit MwSt.",(U$66-U$67-U$70)/(1+'SDK1'!U9/100),"")</f>
        <v/>
      </c>
      <c r="V72" s="1259" t="str">
        <f>IF($E$2="Kostenrechnung mit MwSt.",(V$66-V$67-V$70)/(1+'SDK1'!U9/100),"")</f>
        <v/>
      </c>
      <c r="W72" s="1260" t="str">
        <f>IF($E$2="Kostenrechnung mit MwSt.",(W$66-W$67-W$70)/(1+'SDK1'!W9/100),"")</f>
        <v/>
      </c>
      <c r="X72" s="1259" t="str">
        <f>IF($E$2="Kostenrechnung mit MwSt.",(X$66-X$67-X$70)/(1+'SDK1'!W9/100),"")</f>
        <v/>
      </c>
      <c r="Y72" s="3007"/>
    </row>
    <row r="73" spans="1:25" ht="15" customHeight="1">
      <c r="A73" s="1210"/>
      <c r="B73" s="4597"/>
      <c r="C73" s="1210"/>
      <c r="D73" s="1210"/>
      <c r="E73" s="1210"/>
      <c r="F73" s="1210"/>
      <c r="G73" s="1210"/>
      <c r="H73" s="1210"/>
      <c r="I73" s="1210"/>
      <c r="J73" s="1210"/>
      <c r="K73" s="1210"/>
      <c r="L73" s="1210"/>
      <c r="M73" s="1210"/>
      <c r="N73" s="1210"/>
      <c r="O73" s="1210"/>
      <c r="P73" s="1210"/>
      <c r="Q73" s="1210"/>
      <c r="R73" s="1210"/>
      <c r="S73" s="1210"/>
      <c r="T73" s="1210"/>
      <c r="U73" s="1210"/>
      <c r="V73" s="1210"/>
      <c r="W73" s="3765"/>
      <c r="X73" s="3765"/>
      <c r="Y73" s="3007"/>
    </row>
    <row r="74" spans="1:25" ht="18" customHeight="1">
      <c r="A74" s="1210"/>
      <c r="B74" s="4597"/>
      <c r="C74" s="1210"/>
      <c r="D74" s="1258">
        <f>D72+1</f>
        <v>52</v>
      </c>
      <c r="E74" s="1257" t="s">
        <v>1040</v>
      </c>
      <c r="F74" s="1256"/>
      <c r="G74" s="1256"/>
      <c r="H74" s="1255" t="s">
        <v>171</v>
      </c>
      <c r="I74" s="4679">
        <f>SUM(J21:J26)+I35</f>
        <v>1021.3969851531041</v>
      </c>
      <c r="J74" s="4680"/>
      <c r="K74" s="4808">
        <f>SUM(L21:L26)+K35</f>
        <v>950.9672060937686</v>
      </c>
      <c r="L74" s="4809"/>
      <c r="M74" s="4679">
        <f>SUM(N21:N26)+M35</f>
        <v>894.02514114056021</v>
      </c>
      <c r="N74" s="4680"/>
      <c r="O74" s="4808">
        <f>SUM(P21:P26)+O35</f>
        <v>1295.4337734257517</v>
      </c>
      <c r="P74" s="4809"/>
      <c r="Q74" s="4679">
        <f>SUM(R21:R26)+Q35</f>
        <v>449.33461711915817</v>
      </c>
      <c r="R74" s="4680"/>
      <c r="S74" s="4808">
        <f>SUM(T21:T26)+S35</f>
        <v>-414.53202151829026</v>
      </c>
      <c r="T74" s="4809"/>
      <c r="U74" s="4679">
        <f>SUM(V21:V26)+U35</f>
        <v>686.82260947784312</v>
      </c>
      <c r="V74" s="4680"/>
      <c r="W74" s="4679">
        <f>SUM(W21:W26)+W35</f>
        <v>421.02075000000002</v>
      </c>
      <c r="X74" s="4680"/>
      <c r="Y74" s="3007"/>
    </row>
    <row r="75" spans="1:25" ht="15" customHeight="1">
      <c r="A75" s="1210"/>
      <c r="B75" s="4597"/>
      <c r="C75" s="1210"/>
      <c r="D75" s="1222">
        <f>D74+1</f>
        <v>53</v>
      </c>
      <c r="E75" s="1254" t="s">
        <v>1039</v>
      </c>
      <c r="F75" s="1253"/>
      <c r="G75" s="1253"/>
      <c r="H75" s="1252" t="s">
        <v>171</v>
      </c>
      <c r="I75" s="4605">
        <f>(I15+I34)-I74</f>
        <v>1418.0030148468959</v>
      </c>
      <c r="J75" s="4606"/>
      <c r="K75" s="4780">
        <f>(K15+K34)-K74</f>
        <v>1195.9327939062314</v>
      </c>
      <c r="L75" s="4781"/>
      <c r="M75" s="4605">
        <f>(M15+M34)-M74</f>
        <v>1648.0415255261059</v>
      </c>
      <c r="N75" s="4606"/>
      <c r="O75" s="4780">
        <f>(O15+O34)-O74</f>
        <v>1523.2995599075819</v>
      </c>
      <c r="P75" s="4781"/>
      <c r="Q75" s="4605">
        <f>(Q15+Q34)-Q74</f>
        <v>1154.8987162141755</v>
      </c>
      <c r="R75" s="4606"/>
      <c r="S75" s="4780">
        <f>(S15+S34)-S74</f>
        <v>869.93202151829018</v>
      </c>
      <c r="T75" s="4781"/>
      <c r="U75" s="4605">
        <f>(U15+U34)-U74</f>
        <v>1181.577390522157</v>
      </c>
      <c r="V75" s="4606"/>
      <c r="W75" s="4605">
        <f>(W15+W34)-W74</f>
        <v>2065.75425</v>
      </c>
      <c r="X75" s="4606"/>
      <c r="Y75" s="2999"/>
    </row>
    <row r="76" spans="1:25" ht="3.75" customHeight="1">
      <c r="A76" s="1210"/>
      <c r="B76" s="4597"/>
      <c r="C76" s="1210"/>
      <c r="D76" s="1222"/>
      <c r="E76" s="1245"/>
      <c r="F76" s="8"/>
      <c r="G76" s="1251"/>
      <c r="H76" s="1250"/>
      <c r="I76" s="4688"/>
      <c r="J76" s="4689"/>
      <c r="K76" s="4777"/>
      <c r="L76" s="4778"/>
      <c r="M76" s="4688"/>
      <c r="N76" s="4689"/>
      <c r="O76" s="4777"/>
      <c r="P76" s="4778"/>
      <c r="Q76" s="4688"/>
      <c r="R76" s="4689"/>
      <c r="S76" s="4777"/>
      <c r="T76" s="4778"/>
      <c r="U76" s="4688"/>
      <c r="V76" s="4689"/>
      <c r="W76" s="4688"/>
      <c r="X76" s="4689"/>
      <c r="Y76" s="2999"/>
    </row>
    <row r="77" spans="1:25" ht="15" customHeight="1">
      <c r="A77" s="1210"/>
      <c r="B77" s="4597"/>
      <c r="C77" s="1210"/>
      <c r="D77" s="1249">
        <f>D75+1</f>
        <v>54</v>
      </c>
      <c r="E77" s="1248" t="s">
        <v>1038</v>
      </c>
      <c r="F77" s="1247"/>
      <c r="G77" s="1247"/>
      <c r="H77" s="1246" t="s">
        <v>171</v>
      </c>
      <c r="I77" s="4605">
        <f>J27+J28+J29+I41+I40</f>
        <v>763.69878455176467</v>
      </c>
      <c r="J77" s="4606"/>
      <c r="K77" s="4780">
        <f>L27+L28+L29+K41+K40</f>
        <v>745.11957946588223</v>
      </c>
      <c r="L77" s="4781"/>
      <c r="M77" s="4605">
        <f>N27+N28+N29+M41+M40</f>
        <v>760.94685966705879</v>
      </c>
      <c r="N77" s="4606"/>
      <c r="O77" s="4780">
        <f>P27+P28+P29+O41+O40</f>
        <v>699.47614442352938</v>
      </c>
      <c r="P77" s="4781"/>
      <c r="Q77" s="4605">
        <f>R27+R28+R29+Q41+Q40</f>
        <v>679.02812096564708</v>
      </c>
      <c r="R77" s="4606"/>
      <c r="S77" s="4780">
        <f>T27+T28+T29+S41+S40</f>
        <v>588.80272700369744</v>
      </c>
      <c r="T77" s="4781"/>
      <c r="U77" s="4605">
        <f>V27+V28+V29+U41+U40</f>
        <v>676.2523773411765</v>
      </c>
      <c r="V77" s="4606"/>
      <c r="W77" s="4605">
        <f>W27+W28+W29+W41+W40</f>
        <v>407.61200000000008</v>
      </c>
      <c r="X77" s="4606"/>
      <c r="Y77" s="3005"/>
    </row>
    <row r="78" spans="1:25" ht="15" customHeight="1">
      <c r="A78" s="1210"/>
      <c r="B78" s="4598"/>
      <c r="C78" s="1210"/>
      <c r="D78" s="1217">
        <f>D77+1</f>
        <v>55</v>
      </c>
      <c r="E78" s="1245" t="s">
        <v>1037</v>
      </c>
      <c r="F78" s="8"/>
      <c r="G78" s="1244"/>
      <c r="H78" s="1243" t="s">
        <v>228</v>
      </c>
      <c r="I78" s="4607">
        <f>IF(J10=0,0,I77/J10)</f>
        <v>8.4855420505751624</v>
      </c>
      <c r="J78" s="4698"/>
      <c r="K78" s="4779">
        <f>IF(L10=0,0,K77/L10)</f>
        <v>8.7661126995986152</v>
      </c>
      <c r="L78" s="4698"/>
      <c r="M78" s="4607">
        <f>IF(N10=0,0,M77/N10)</f>
        <v>19.02367149167647</v>
      </c>
      <c r="N78" s="4698"/>
      <c r="O78" s="4779">
        <f>IF(P10=0,0,O77/P10)</f>
        <v>6.9947614442352934</v>
      </c>
      <c r="P78" s="4698"/>
      <c r="Q78" s="4607">
        <f>IF(R10=0,0,Q77/R10)</f>
        <v>19.400803456161345</v>
      </c>
      <c r="R78" s="4698"/>
      <c r="S78" s="4779">
        <f>IF(T10=0,0,S77/T10)</f>
        <v>1.4720068175092436</v>
      </c>
      <c r="T78" s="4698"/>
      <c r="U78" s="4607">
        <f>IF(V10=0,0,U77/V10)</f>
        <v>25.0463843459695</v>
      </c>
      <c r="V78" s="4698"/>
      <c r="W78" s="4607">
        <f>IF(X10=0,0,W77/X10)</f>
        <v>5.1760253968253975</v>
      </c>
      <c r="X78" s="4608"/>
      <c r="Y78" s="3006"/>
    </row>
    <row r="79" spans="1:25" ht="16.149999999999999" customHeight="1">
      <c r="A79" s="1210"/>
      <c r="B79" s="1210"/>
      <c r="C79" s="1210"/>
      <c r="D79" s="1210"/>
      <c r="E79" s="1210"/>
      <c r="F79" s="1210"/>
      <c r="G79" s="1210"/>
      <c r="H79" s="1210"/>
      <c r="I79" s="1210"/>
      <c r="J79" s="1210"/>
      <c r="K79" s="1210"/>
      <c r="L79" s="1210"/>
      <c r="M79" s="1210"/>
      <c r="N79" s="1210"/>
      <c r="O79" s="1210"/>
      <c r="P79" s="1210"/>
      <c r="Q79" s="1210"/>
      <c r="R79" s="1210"/>
      <c r="S79" s="1210"/>
      <c r="T79" s="1210"/>
      <c r="U79" s="1210"/>
      <c r="V79" s="1210"/>
      <c r="W79" s="3765"/>
      <c r="X79" s="3765"/>
      <c r="Y79" s="3006"/>
    </row>
    <row r="80" spans="1:25" ht="16.149999999999999" customHeight="1">
      <c r="A80" s="1210"/>
      <c r="B80" s="1210"/>
      <c r="C80" s="1210"/>
      <c r="D80" s="1210"/>
      <c r="E80" s="1210"/>
      <c r="F80" s="1210"/>
      <c r="G80" s="1210"/>
      <c r="H80" s="1210"/>
      <c r="I80" s="1210"/>
      <c r="J80" s="1210"/>
      <c r="K80" s="1210"/>
      <c r="L80" s="1210"/>
      <c r="M80" s="1210"/>
      <c r="N80" s="1210"/>
      <c r="O80" s="1210"/>
      <c r="P80" s="1210"/>
      <c r="Q80" s="1210"/>
      <c r="R80" s="1210"/>
      <c r="S80" s="1210"/>
      <c r="T80" s="1210"/>
      <c r="U80" s="1210"/>
      <c r="V80" s="1210"/>
      <c r="W80" s="3765"/>
      <c r="X80" s="3765"/>
      <c r="Y80" s="3000"/>
    </row>
    <row r="81" spans="1:25" ht="15.75">
      <c r="A81" s="1232"/>
      <c r="B81" s="1232"/>
      <c r="C81" s="1232"/>
      <c r="D81" s="1242"/>
      <c r="E81" s="1241" t="s">
        <v>1036</v>
      </c>
      <c r="F81" s="1240"/>
      <c r="G81" s="1239"/>
      <c r="H81" s="1238"/>
      <c r="I81" s="4599" t="s">
        <v>1035</v>
      </c>
      <c r="J81" s="4600"/>
      <c r="K81" s="4600"/>
      <c r="L81" s="4600"/>
      <c r="M81" s="4600"/>
      <c r="N81" s="4600"/>
      <c r="O81" s="4600"/>
      <c r="P81" s="4600"/>
      <c r="Q81" s="4600"/>
      <c r="R81" s="4600"/>
      <c r="S81" s="4600"/>
      <c r="T81" s="4600"/>
      <c r="U81" s="4600"/>
      <c r="V81" s="4601"/>
      <c r="W81" s="3778"/>
      <c r="X81" s="3778"/>
      <c r="Y81" s="3000"/>
    </row>
    <row r="82" spans="1:25" ht="15">
      <c r="A82" s="1232"/>
      <c r="B82" s="1232"/>
      <c r="C82" s="1232"/>
      <c r="D82" s="1237"/>
      <c r="E82" s="1236" t="s">
        <v>1034</v>
      </c>
      <c r="F82" s="1235"/>
      <c r="G82" s="1234"/>
      <c r="H82" s="1233"/>
      <c r="I82" s="4602"/>
      <c r="J82" s="4603"/>
      <c r="K82" s="4603"/>
      <c r="L82" s="4603"/>
      <c r="M82" s="4603"/>
      <c r="N82" s="4603"/>
      <c r="O82" s="4603"/>
      <c r="P82" s="4603"/>
      <c r="Q82" s="4603"/>
      <c r="R82" s="4603"/>
      <c r="S82" s="4603"/>
      <c r="T82" s="4603"/>
      <c r="U82" s="4603"/>
      <c r="V82" s="4604"/>
      <c r="W82" s="3778"/>
      <c r="X82" s="3778"/>
      <c r="Y82" s="3000"/>
    </row>
    <row r="83" spans="1:25" ht="15">
      <c r="A83" s="1210"/>
      <c r="B83" s="1210"/>
      <c r="C83" s="1210"/>
      <c r="D83" s="1222">
        <f>D78+1</f>
        <v>56</v>
      </c>
      <c r="E83" s="1060"/>
      <c r="F83" s="1221" t="s">
        <v>1033</v>
      </c>
      <c r="H83" s="9" t="s">
        <v>171</v>
      </c>
      <c r="I83" s="1230">
        <f>I$86*(1+$F83)</f>
        <v>11.766666666666666</v>
      </c>
      <c r="J83" s="1229">
        <f>IF(J$9=0,0,J$86-(I$86-I83)*J$9+$Q83)</f>
        <v>-267.1182512184314</v>
      </c>
      <c r="K83" s="1230">
        <f>K$86*(1+$F83)</f>
        <v>9.9500000000000011</v>
      </c>
      <c r="L83" s="1231">
        <f>IF(L$9=0,0,L$86-(K$86-K83)*L$9+$Q83)</f>
        <v>-405.73004613254886</v>
      </c>
      <c r="M83" s="1230">
        <f>M$86*(1+$F83)</f>
        <v>26.083333333333329</v>
      </c>
      <c r="N83" s="1229">
        <f>IF(N$9=0,0,N$86-(M$86-M83)*N$9+$Q83)</f>
        <v>-168.46685966705923</v>
      </c>
      <c r="O83" s="1230">
        <f>O$86*(1+$F83)</f>
        <v>12.316666666666668</v>
      </c>
      <c r="P83" s="1231">
        <f>IF(P$9=0,0,P$86-(O$86-O83)*P$9+$Q83)</f>
        <v>-361.48281109019604</v>
      </c>
      <c r="Q83" s="1230">
        <f>Q$86*(1+$F83)</f>
        <v>14.983333333333334</v>
      </c>
      <c r="R83" s="1229">
        <f>IF(R$9=0,0,R$86-(Q$86-Q83)*R$9+$Q83)</f>
        <v>-231.75405429898035</v>
      </c>
      <c r="S83" s="1230">
        <f>S$86*(1+$F83)</f>
        <v>0</v>
      </c>
      <c r="T83" s="1231">
        <f>IF(T$9=0,0,T$86-(S$86-S83)*T$9+$Q83)</f>
        <v>249.15660632963596</v>
      </c>
      <c r="U83" s="1230">
        <f>U$86*(1+$F83)</f>
        <v>26.166666666666671</v>
      </c>
      <c r="V83" s="2994">
        <f>IF(V$9=0,0,V$86-(U$86-U83)*V$9+$Q83)</f>
        <v>-284.24260400784294</v>
      </c>
      <c r="W83" s="3779">
        <f>W$86*(1+$F83)</f>
        <v>0</v>
      </c>
      <c r="X83" s="3757">
        <f>IF(X$9=0,0,X$86-(W$86-W83)*X$9+$Q83)</f>
        <v>744.23800797294109</v>
      </c>
      <c r="Y83" s="3000"/>
    </row>
    <row r="84" spans="1:25">
      <c r="A84" s="1210"/>
      <c r="B84" s="1210"/>
      <c r="C84" s="1210"/>
      <c r="D84" s="1222">
        <f t="shared" ref="D84:D89" si="12">D83+1</f>
        <v>57</v>
      </c>
      <c r="F84" s="1221" t="s">
        <v>1032</v>
      </c>
      <c r="H84" s="9" t="s">
        <v>171</v>
      </c>
      <c r="I84" s="1219">
        <f>I$86*(1+$F84)</f>
        <v>17.649999999999999</v>
      </c>
      <c r="J84" s="1218">
        <f>IF(J$9=0,0,J$86-(I$86-I84)*J$9+$Q84)</f>
        <v>269.87341544823528</v>
      </c>
      <c r="K84" s="1219">
        <f>K$86*(1+$F84)</f>
        <v>14.925000000000001</v>
      </c>
      <c r="L84" s="1220">
        <f>IF(L$9=0,0,L$86-(K$86-K84)*L$9+$Q84)</f>
        <v>24.636620534117789</v>
      </c>
      <c r="M84" s="1219">
        <f>M$86*(1+$F84)</f>
        <v>39.124999999999993</v>
      </c>
      <c r="N84" s="1218">
        <f>IF(N$9=0,0,N$86-(M$86-M84)*N$9+$Q84)</f>
        <v>360.69147366627396</v>
      </c>
      <c r="O84" s="1219">
        <f>O$86*(1+$F84)</f>
        <v>18.475000000000001</v>
      </c>
      <c r="P84" s="1220">
        <f>IF(P$9=0,0,P$86-(O$86-O84)*P$9+$Q84)</f>
        <v>261.84218890980389</v>
      </c>
      <c r="Q84" s="1219">
        <f>Q$86*(1+$F84)</f>
        <v>22.475000000000001</v>
      </c>
      <c r="R84" s="1218">
        <f>IF(R$9=0,0,R$86-(Q$86-Q84)*R$9+$Q84)</f>
        <v>37.945945701019674</v>
      </c>
      <c r="S84" s="1219">
        <f>S$86*(1+$F84)</f>
        <v>0</v>
      </c>
      <c r="T84" s="1220">
        <f>IF(T$9=0,0,T$86-(S$86-S84)*T$9+$Q84)</f>
        <v>256.64827299630264</v>
      </c>
      <c r="U84" s="1219">
        <f>U$86*(1+$F84)</f>
        <v>39.250000000000007</v>
      </c>
      <c r="V84" s="2993">
        <f>IF(V$9=0,0,V$86-(U$86-U84)*V$9+$Q84)</f>
        <v>76.49906265882376</v>
      </c>
      <c r="W84" s="3780">
        <f>W$86*(1+$F84)</f>
        <v>0</v>
      </c>
      <c r="X84" s="3755">
        <f>IF(X$9=0,0,X$86-(W$86-W84)*X$9+$Q84)</f>
        <v>751.72967463960777</v>
      </c>
      <c r="Y84" s="3000"/>
    </row>
    <row r="85" spans="1:25">
      <c r="A85" s="1210"/>
      <c r="B85" s="1210"/>
      <c r="C85" s="1210"/>
      <c r="D85" s="1222">
        <f t="shared" si="12"/>
        <v>58</v>
      </c>
      <c r="F85" s="1221" t="s">
        <v>1031</v>
      </c>
      <c r="H85" s="9" t="s">
        <v>171</v>
      </c>
      <c r="I85" s="1219">
        <f>I$86*(1+$F85)</f>
        <v>21.18</v>
      </c>
      <c r="J85" s="1218">
        <f>IF(J$9=0,0,J$86-(I$86-I85)*J$9+$Q85)</f>
        <v>592.06841544823544</v>
      </c>
      <c r="K85" s="1219">
        <f>K$86*(1+$F85)</f>
        <v>17.910000000000004</v>
      </c>
      <c r="L85" s="1220">
        <f>IF(L$9=0,0,L$86-(K$86-K85)*L$9+$Q85)</f>
        <v>282.85662053411806</v>
      </c>
      <c r="M85" s="1219">
        <f>M$86*(1+$F85)</f>
        <v>46.949999999999996</v>
      </c>
      <c r="N85" s="1218">
        <f>IF(N$9=0,0,N$86-(M$86-M85)*N$9+$Q85)</f>
        <v>678.18647366627397</v>
      </c>
      <c r="O85" s="1219">
        <f>O$86*(1+$F85)</f>
        <v>22.17</v>
      </c>
      <c r="P85" s="1220">
        <f>IF(P$9=0,0,P$86-(O$86-O85)*P$9+$Q85)</f>
        <v>635.8371889098039</v>
      </c>
      <c r="Q85" s="1219">
        <f>Q$86*(1+$F85)</f>
        <v>26.970000000000002</v>
      </c>
      <c r="R85" s="1218">
        <f>IF(R$9=0,0,R$86-(Q$86-Q85)*R$9+$Q85)</f>
        <v>199.76594570101972</v>
      </c>
      <c r="S85" s="1219">
        <f>S$86*(1+$F85)</f>
        <v>0</v>
      </c>
      <c r="T85" s="1220">
        <f>IF(T$9=0,0,T$86-(S$86-S85)*T$9+$Q85)</f>
        <v>261.14327299630264</v>
      </c>
      <c r="U85" s="1219">
        <f>U$86*(1+$F85)</f>
        <v>47.100000000000009</v>
      </c>
      <c r="V85" s="2993">
        <f>IF(V$9=0,0,V$86-(U$86-U85)*V$9+$Q85)</f>
        <v>292.94406265882384</v>
      </c>
      <c r="W85" s="3780">
        <f>W$86*(1+$F85)</f>
        <v>0</v>
      </c>
      <c r="X85" s="3755">
        <f>IF(X$9=0,0,X$86-(W$86-W85)*X$9+$Q85)</f>
        <v>756.22467463960777</v>
      </c>
      <c r="Y85" s="3000"/>
    </row>
    <row r="86" spans="1:25" ht="15">
      <c r="A86" s="1210"/>
      <c r="B86" s="1210"/>
      <c r="C86" s="1210"/>
      <c r="D86" s="1222">
        <f t="shared" si="12"/>
        <v>59</v>
      </c>
      <c r="E86" s="1228"/>
      <c r="F86" s="1227"/>
      <c r="G86" s="1227"/>
      <c r="H86" s="1226" t="s">
        <v>171</v>
      </c>
      <c r="I86" s="1224">
        <f>J11</f>
        <v>23.533333333333331</v>
      </c>
      <c r="J86" s="1223">
        <f>I32</f>
        <v>776.89841544823526</v>
      </c>
      <c r="K86" s="1224">
        <f>L11</f>
        <v>19.900000000000002</v>
      </c>
      <c r="L86" s="1225">
        <f>K32</f>
        <v>425.0366205341179</v>
      </c>
      <c r="M86" s="1224">
        <f>N11</f>
        <v>52.166666666666657</v>
      </c>
      <c r="N86" s="1223">
        <f>M32</f>
        <v>859.88314033294046</v>
      </c>
      <c r="O86" s="1224">
        <f>P11</f>
        <v>24.633333333333336</v>
      </c>
      <c r="P86" s="1225">
        <f>O32</f>
        <v>855.20052224313736</v>
      </c>
      <c r="Q86" s="1224">
        <f>R11</f>
        <v>29.966666666666669</v>
      </c>
      <c r="R86" s="1223">
        <f>Q32</f>
        <v>277.67927903435304</v>
      </c>
      <c r="S86" s="1224">
        <f>T11</f>
        <v>0</v>
      </c>
      <c r="T86" s="1225">
        <f>S32</f>
        <v>234.17327299630261</v>
      </c>
      <c r="U86" s="1224">
        <f>V11</f>
        <v>52.333333333333343</v>
      </c>
      <c r="V86" s="2995">
        <f>U32</f>
        <v>407.27406265882382</v>
      </c>
      <c r="W86" s="3781">
        <f>W11</f>
        <v>0</v>
      </c>
      <c r="X86" s="3756">
        <f>W32</f>
        <v>729.25467463960774</v>
      </c>
      <c r="Y86" s="3000"/>
    </row>
    <row r="87" spans="1:25">
      <c r="A87" s="1210"/>
      <c r="B87" s="1210"/>
      <c r="C87" s="1210"/>
      <c r="D87" s="1222">
        <f t="shared" si="12"/>
        <v>60</v>
      </c>
      <c r="F87" s="1221" t="s">
        <v>1030</v>
      </c>
      <c r="H87" s="9" t="s">
        <v>171</v>
      </c>
      <c r="I87" s="1219">
        <f>I$86*(1+$F87)</f>
        <v>25.886666666666667</v>
      </c>
      <c r="J87" s="1218">
        <f>IF(J$9=0,0,J$86-(I$86-I87)*J$9+$Q87)</f>
        <v>1021.6617487815688</v>
      </c>
      <c r="K87" s="1219">
        <f>K$86*(1+$F87)</f>
        <v>21.890000000000004</v>
      </c>
      <c r="L87" s="1220">
        <f>IF(L$9=0,0,L$86-(K$86-K87)*L$9+$Q87)</f>
        <v>627.14995386745147</v>
      </c>
      <c r="M87" s="1219">
        <f>M$86*(1+$F87)</f>
        <v>57.383333333333326</v>
      </c>
      <c r="N87" s="1218">
        <f>IF(N$9=0,0,N$86-(M$86-M87)*N$9+$Q87)</f>
        <v>1101.5131403329406</v>
      </c>
      <c r="O87" s="1219">
        <f>O$86*(1+$F87)</f>
        <v>27.096666666666671</v>
      </c>
      <c r="P87" s="1220">
        <f>IF(P$9=0,0,P$86-(O$86-O87)*P$9+$Q87)</f>
        <v>1134.4971889098042</v>
      </c>
      <c r="Q87" s="1219">
        <f>Q$86*(1+$F87)</f>
        <v>32.963333333333338</v>
      </c>
      <c r="R87" s="1218">
        <f>IF(R$9=0,0,R$86-(Q$86-Q87)*R$9+$Q87)</f>
        <v>415.52594570101985</v>
      </c>
      <c r="S87" s="1219">
        <f>S$86*(1+$F87)</f>
        <v>0</v>
      </c>
      <c r="T87" s="1220">
        <f>IF(T$9=0,0,T$86-(S$86-S87)*T$9+$Q87)</f>
        <v>267.13660632963592</v>
      </c>
      <c r="U87" s="1219">
        <f>U$86*(1+$F87)</f>
        <v>57.566666666666684</v>
      </c>
      <c r="V87" s="2993">
        <f>IF(V$9=0,0,V$86-(U$86-U87)*V$9+$Q87)</f>
        <v>581.53739599215737</v>
      </c>
      <c r="W87" s="3780">
        <f>W$86*(1+$F87)</f>
        <v>0</v>
      </c>
      <c r="X87" s="3755">
        <f>IF(X$9=0,0,X$86-(W$86-W87)*X$9+$Q87)</f>
        <v>762.21800797294111</v>
      </c>
      <c r="Y87" s="3000"/>
    </row>
    <row r="88" spans="1:25">
      <c r="A88" s="1210"/>
      <c r="B88" s="1210"/>
      <c r="C88" s="1210"/>
      <c r="D88" s="1222">
        <f t="shared" si="12"/>
        <v>61</v>
      </c>
      <c r="F88" s="1221" t="s">
        <v>1029</v>
      </c>
      <c r="H88" s="9" t="s">
        <v>171</v>
      </c>
      <c r="I88" s="1219">
        <f>I$86*(1+$F88)</f>
        <v>28.24</v>
      </c>
      <c r="J88" s="1218">
        <f>IF(J$9=0,0,J$86-(I$86-I88)*J$9+$Q88)</f>
        <v>1236.4584154482354</v>
      </c>
      <c r="K88" s="1219">
        <f>K$86*(1+$F88)</f>
        <v>23.880000000000003</v>
      </c>
      <c r="L88" s="1220">
        <f>IF(L$9=0,0,L$86-(K$86-K88)*L$9+$Q88)</f>
        <v>799.29662053411789</v>
      </c>
      <c r="M88" s="1219">
        <f>M$86*(1+$F88)</f>
        <v>62.599999999999987</v>
      </c>
      <c r="N88" s="1218">
        <f>IF(N$9=0,0,N$86-(M$86-M88)*N$9+$Q88)</f>
        <v>1313.1764736662738</v>
      </c>
      <c r="O88" s="1219">
        <f>O$86*(1+$F88)</f>
        <v>29.560000000000002</v>
      </c>
      <c r="P88" s="1220">
        <f>IF(P$9=0,0,P$86-(O$86-O88)*P$9+$Q88)</f>
        <v>1383.8271889098039</v>
      </c>
      <c r="Q88" s="1219">
        <f>Q$86*(1+$F88)</f>
        <v>35.96</v>
      </c>
      <c r="R88" s="1218">
        <f>IF(R$9=0,0,R$86-(Q$86-Q88)*R$9+$Q88)</f>
        <v>523.40594570101973</v>
      </c>
      <c r="S88" s="1219">
        <f>S$86*(1+$F88)</f>
        <v>0</v>
      </c>
      <c r="T88" s="1220">
        <f>IF(T$9=0,0,T$86-(S$86-S88)*T$9+$Q88)</f>
        <v>270.13327299630259</v>
      </c>
      <c r="U88" s="1219">
        <f>U$86*(1+$F88)</f>
        <v>62.800000000000011</v>
      </c>
      <c r="V88" s="2993">
        <f>IF(V$9=0,0,V$86-(U$86-U88)*V$9+$Q88)</f>
        <v>725.83406265882388</v>
      </c>
      <c r="W88" s="3780">
        <f>W$86*(1+$F88)</f>
        <v>0</v>
      </c>
      <c r="X88" s="3755">
        <f>IF(X$9=0,0,X$86-(W$86-W88)*X$9+$Q88)</f>
        <v>765.21467463960778</v>
      </c>
      <c r="Y88" s="3000"/>
    </row>
    <row r="89" spans="1:25">
      <c r="A89" s="1210"/>
      <c r="B89" s="1210"/>
      <c r="C89" s="1210"/>
      <c r="D89" s="1217">
        <f t="shared" si="12"/>
        <v>62</v>
      </c>
      <c r="E89" s="1216"/>
      <c r="F89" s="1215" t="s">
        <v>1028</v>
      </c>
      <c r="G89" s="8"/>
      <c r="H89" s="1214" t="s">
        <v>171</v>
      </c>
      <c r="I89" s="1212">
        <f>I$86*(1+$F89)</f>
        <v>35.299999999999997</v>
      </c>
      <c r="J89" s="1211">
        <f>IF(J$9=0,0,J$86-(I$86-I89)*J$9+$Q89)</f>
        <v>1880.8484154482353</v>
      </c>
      <c r="K89" s="1212">
        <f>K$86*(1+$F89)</f>
        <v>29.85</v>
      </c>
      <c r="L89" s="1213">
        <f>IF(L$9=0,0,L$86-(K$86-K89)*L$9+$Q89)</f>
        <v>1315.7366205341179</v>
      </c>
      <c r="M89" s="1212">
        <f>M$86*(1+$F89)</f>
        <v>78.249999999999986</v>
      </c>
      <c r="N89" s="1211">
        <f>IF(N$9=0,0,N$86-(M$86-M89)*N$9+$Q89)</f>
        <v>1948.1664736662735</v>
      </c>
      <c r="O89" s="1212">
        <f>O$86*(1+$F89)</f>
        <v>36.950000000000003</v>
      </c>
      <c r="P89" s="1213">
        <f>IF(P$9=0,0,P$86-(O$86-O89)*P$9+$Q89)</f>
        <v>2131.8171889098039</v>
      </c>
      <c r="Q89" s="1212">
        <f>Q$86*(1+$F89)</f>
        <v>44.95</v>
      </c>
      <c r="R89" s="1211">
        <f>IF(R$9=0,0,R$86-(Q$86-Q89)*R$9+$Q89)</f>
        <v>847.04594570101983</v>
      </c>
      <c r="S89" s="1212">
        <f>S$86*(1+$F89)</f>
        <v>0</v>
      </c>
      <c r="T89" s="1213">
        <f>IF(T$9=0,0,T$86-(S$86-S89)*T$9+$Q89)</f>
        <v>279.1232729963026</v>
      </c>
      <c r="U89" s="1212">
        <f>U$86*(1+$F89)</f>
        <v>78.500000000000014</v>
      </c>
      <c r="V89" s="1211">
        <f>IF(V$9=0,0,V$86-(U$86-U89)*V$9+$Q89)</f>
        <v>1158.7240626588239</v>
      </c>
      <c r="W89" s="3782">
        <f>W$86*(1+$F89)</f>
        <v>0</v>
      </c>
      <c r="X89" s="1211">
        <f>IF(X$9=0,0,X$86-(W$86-W89)*X$9+$Q89)</f>
        <v>774.20467463960779</v>
      </c>
      <c r="Y89" s="3000"/>
    </row>
    <row r="90" spans="1:25">
      <c r="A90" s="1210"/>
      <c r="B90" s="1210"/>
      <c r="C90" s="1210"/>
      <c r="D90" s="1210"/>
      <c r="E90" s="1210"/>
      <c r="F90" s="1210"/>
      <c r="G90" s="1210"/>
      <c r="H90" s="1210"/>
      <c r="I90" s="1210"/>
      <c r="J90" s="1210"/>
      <c r="K90" s="1210"/>
      <c r="L90" s="1210"/>
      <c r="M90" s="1210"/>
      <c r="N90" s="1210"/>
      <c r="O90" s="1210"/>
      <c r="P90" s="1210"/>
      <c r="Q90" s="1210"/>
      <c r="R90" s="1210"/>
      <c r="S90" s="1210"/>
      <c r="T90" s="1210"/>
      <c r="U90" s="1210"/>
      <c r="V90" s="1210"/>
      <c r="W90" s="3765"/>
      <c r="X90" s="3765"/>
      <c r="Y90" s="3000"/>
    </row>
    <row r="91" spans="1:25" ht="13.15" hidden="1" customHeight="1">
      <c r="B91" s="1173"/>
      <c r="D91" s="1172"/>
      <c r="E91" s="1168"/>
      <c r="F91" s="1168"/>
      <c r="G91" s="1168"/>
      <c r="H91" s="1170"/>
      <c r="I91" s="1169"/>
      <c r="J91" s="1168"/>
      <c r="K91" s="1168"/>
      <c r="L91" s="1168"/>
      <c r="M91" s="1168"/>
      <c r="N91" s="1168"/>
      <c r="O91" s="1168"/>
      <c r="P91" s="1168"/>
      <c r="Q91" s="1168"/>
      <c r="R91" s="1168"/>
      <c r="S91" s="1168"/>
      <c r="T91" s="1168"/>
      <c r="U91" s="1168"/>
      <c r="V91" s="1168"/>
      <c r="W91" s="3783"/>
      <c r="X91" s="3783"/>
      <c r="Y91" s="3000"/>
    </row>
    <row r="92" spans="1:25" ht="6" hidden="1" customHeight="1">
      <c r="B92" s="1173"/>
      <c r="D92" s="1209"/>
      <c r="E92" s="1208"/>
      <c r="F92" s="1208"/>
      <c r="G92" s="1208"/>
      <c r="H92" s="1207"/>
      <c r="I92" s="1206"/>
      <c r="J92" s="1205"/>
      <c r="K92" s="1204"/>
      <c r="L92" s="1204"/>
      <c r="M92" s="1203"/>
      <c r="N92" s="1202"/>
      <c r="O92" s="1204"/>
      <c r="P92" s="1204"/>
      <c r="Q92" s="1203"/>
      <c r="R92" s="1202"/>
      <c r="S92" s="1204"/>
      <c r="T92" s="1204"/>
      <c r="U92" s="1203"/>
      <c r="V92" s="1208"/>
      <c r="W92" s="3784"/>
      <c r="X92" s="3785"/>
      <c r="Y92" s="3000"/>
    </row>
    <row r="93" spans="1:25" ht="19.899999999999999" hidden="1" customHeight="1">
      <c r="B93" s="1173"/>
      <c r="D93" s="1182">
        <v>61</v>
      </c>
      <c r="E93" s="1194" t="s">
        <v>1027</v>
      </c>
      <c r="H93" s="22" t="s">
        <v>171</v>
      </c>
      <c r="I93" s="4681" t="e">
        <f>IF(J9=0,0,HLOOKUP($Q$229,Daten!$D$2:AI35,34))</f>
        <v>#N/A</v>
      </c>
      <c r="J93" s="4708"/>
      <c r="K93" s="4709" t="e">
        <f>IF(L9=0,0,HLOOKUP($Q$229,Daten!$AJ$2:BO35,34))</f>
        <v>#N/A</v>
      </c>
      <c r="L93" s="4710"/>
      <c r="M93" s="4681" t="e">
        <f>IF(N9=0,0,HLOOKUP($Q$229,Daten!$BP$2:CT35,34))</f>
        <v>#N/A</v>
      </c>
      <c r="N93" s="4699"/>
      <c r="O93" s="4709" t="e">
        <f>IF(P9=0,0,HLOOKUP($Q$229,Daten!$BP$2:CU35,34))</f>
        <v>#N/A</v>
      </c>
      <c r="P93" s="4710"/>
      <c r="Q93" s="4681" t="e">
        <f>IF(R9=0,0,HLOOKUP($Q$229,Daten!$BP$2:CU35,34))</f>
        <v>#N/A</v>
      </c>
      <c r="R93" s="4699"/>
      <c r="S93" s="4709" t="e">
        <f>IF(T9=0,0,HLOOKUP($Q$229,Daten!$BP$2:CU35,34))</f>
        <v>#N/A</v>
      </c>
      <c r="T93" s="4710"/>
      <c r="U93" s="4681" t="e">
        <f>IF(V9=0,0,HLOOKUP($Q$229,Daten!$BP$2:CU35,34))</f>
        <v>#N/A</v>
      </c>
      <c r="V93" s="4682"/>
      <c r="W93" s="4605" t="e">
        <f>IF(X9=0,0,HLOOKUP($Q$229,Daten!$BP$2:CU35,34))</f>
        <v>#N/A</v>
      </c>
      <c r="X93" s="4668"/>
      <c r="Y93" s="3000"/>
    </row>
    <row r="94" spans="1:25" ht="19.899999999999999" hidden="1" customHeight="1">
      <c r="B94" s="1173"/>
      <c r="D94" s="1182"/>
      <c r="F94" s="1201" t="s">
        <v>204</v>
      </c>
      <c r="G94" s="4" t="s">
        <v>1025</v>
      </c>
      <c r="I94" s="1186"/>
      <c r="J94" s="1185"/>
      <c r="K94" s="1184"/>
      <c r="L94" s="1184"/>
      <c r="M94" s="1043"/>
      <c r="N94" s="1183"/>
      <c r="O94" s="1184"/>
      <c r="P94" s="1184"/>
      <c r="Q94" s="1043"/>
      <c r="R94" s="1183"/>
      <c r="S94" s="1184"/>
      <c r="T94" s="1184"/>
      <c r="U94" s="1043"/>
      <c r="W94" s="1046"/>
      <c r="X94" s="3786"/>
      <c r="Y94" s="3000"/>
    </row>
    <row r="95" spans="1:25" ht="3.4" hidden="1" customHeight="1">
      <c r="B95" s="1173"/>
      <c r="D95" s="1182"/>
      <c r="I95" s="1186"/>
      <c r="J95" s="1185"/>
      <c r="K95" s="1184"/>
      <c r="L95" s="1184"/>
      <c r="M95" s="1043"/>
      <c r="N95" s="1183"/>
      <c r="O95" s="1184"/>
      <c r="P95" s="1184"/>
      <c r="Q95" s="1043"/>
      <c r="R95" s="1183"/>
      <c r="S95" s="1184"/>
      <c r="T95" s="1184"/>
      <c r="U95" s="1043"/>
      <c r="W95" s="1046"/>
      <c r="X95" s="3786"/>
      <c r="Y95" s="3000"/>
    </row>
    <row r="96" spans="1:25" ht="3.4" hidden="1" customHeight="1">
      <c r="B96" s="1173"/>
      <c r="D96" s="1182"/>
      <c r="E96" s="1200"/>
      <c r="F96" s="1200"/>
      <c r="G96" s="1200"/>
      <c r="H96" s="1167"/>
      <c r="I96" s="1199"/>
      <c r="J96" s="1198"/>
      <c r="K96" s="1197"/>
      <c r="L96" s="1197"/>
      <c r="M96" s="1196"/>
      <c r="N96" s="1195"/>
      <c r="O96" s="1197"/>
      <c r="P96" s="1197"/>
      <c r="Q96" s="1196"/>
      <c r="R96" s="1195"/>
      <c r="S96" s="1197"/>
      <c r="T96" s="1197"/>
      <c r="U96" s="1196"/>
      <c r="V96" s="1200"/>
      <c r="W96" s="3787"/>
      <c r="X96" s="3788"/>
      <c r="Y96" s="3000"/>
    </row>
    <row r="97" spans="1:25" ht="19.899999999999999" hidden="1" customHeight="1">
      <c r="B97" s="1173"/>
      <c r="D97" s="1182">
        <v>62</v>
      </c>
      <c r="E97" s="1194" t="s">
        <v>1026</v>
      </c>
      <c r="H97" s="22" t="s">
        <v>171</v>
      </c>
      <c r="I97" s="4681">
        <f>I50</f>
        <v>-205.09576970486887</v>
      </c>
      <c r="J97" s="4708"/>
      <c r="K97" s="4709">
        <f>K50</f>
        <v>-542.58678555965093</v>
      </c>
      <c r="L97" s="4710"/>
      <c r="M97" s="4681">
        <f>M50</f>
        <v>-56.305334140953164</v>
      </c>
      <c r="N97" s="4699"/>
      <c r="O97" s="4709">
        <f>O50</f>
        <v>-19.576584515947616</v>
      </c>
      <c r="P97" s="4710"/>
      <c r="Q97" s="4681">
        <f>Q50</f>
        <v>-567.52940475147193</v>
      </c>
      <c r="R97" s="4699"/>
      <c r="S97" s="4709">
        <f>S50</f>
        <v>-662.27070548540723</v>
      </c>
      <c r="T97" s="4710"/>
      <c r="U97" s="4681">
        <f>U50</f>
        <v>-438.07498681901939</v>
      </c>
      <c r="V97" s="4682"/>
      <c r="W97" s="4605">
        <f>W50</f>
        <v>-205.89111848035515</v>
      </c>
      <c r="X97" s="4668"/>
      <c r="Y97" s="3000"/>
    </row>
    <row r="98" spans="1:25" ht="19.899999999999999" hidden="1" customHeight="1">
      <c r="B98" s="1173"/>
      <c r="D98" s="1182"/>
      <c r="E98" s="1193"/>
      <c r="F98" s="8">
        <f>H2</f>
        <v>0</v>
      </c>
      <c r="G98" s="8" t="s">
        <v>1025</v>
      </c>
      <c r="H98" s="1192"/>
      <c r="I98" s="4683"/>
      <c r="J98" s="4815"/>
      <c r="K98" s="4816"/>
      <c r="L98" s="4817"/>
      <c r="M98" s="4683"/>
      <c r="N98" s="4700"/>
      <c r="O98" s="4816"/>
      <c r="P98" s="4817"/>
      <c r="Q98" s="4683"/>
      <c r="R98" s="4700"/>
      <c r="S98" s="4816"/>
      <c r="T98" s="4817"/>
      <c r="U98" s="4683"/>
      <c r="V98" s="4684"/>
      <c r="W98" s="4669"/>
      <c r="X98" s="4670"/>
      <c r="Y98" s="3000"/>
    </row>
    <row r="99" spans="1:25" ht="19.899999999999999" hidden="1" customHeight="1">
      <c r="B99" s="1173"/>
      <c r="D99" s="1182">
        <v>63</v>
      </c>
      <c r="E99" s="23" t="s">
        <v>1024</v>
      </c>
      <c r="G99" s="1191" t="s">
        <v>1023</v>
      </c>
      <c r="H99" s="1118" t="s">
        <v>171</v>
      </c>
      <c r="I99" s="4706" t="e">
        <f>I97-I93</f>
        <v>#N/A</v>
      </c>
      <c r="J99" s="4707"/>
      <c r="K99" s="4694" t="e">
        <f>K97-K93</f>
        <v>#N/A</v>
      </c>
      <c r="L99" s="4695"/>
      <c r="M99" s="4685" t="e">
        <f>M97-M93</f>
        <v>#N/A</v>
      </c>
      <c r="N99" s="4693"/>
      <c r="O99" s="4694" t="e">
        <f>O97-O93</f>
        <v>#N/A</v>
      </c>
      <c r="P99" s="4695"/>
      <c r="Q99" s="4685" t="e">
        <f>Q97-Q93</f>
        <v>#N/A</v>
      </c>
      <c r="R99" s="4693"/>
      <c r="S99" s="4694" t="e">
        <f>S97-S93</f>
        <v>#N/A</v>
      </c>
      <c r="T99" s="4695"/>
      <c r="U99" s="4685" t="e">
        <f>U97-U93</f>
        <v>#N/A</v>
      </c>
      <c r="V99" s="4686"/>
      <c r="W99" s="4671" t="e">
        <f>W97-W93</f>
        <v>#N/A</v>
      </c>
      <c r="X99" s="4672"/>
      <c r="Y99" s="3000"/>
    </row>
    <row r="100" spans="1:25" ht="1.1499999999999999" hidden="1" customHeight="1">
      <c r="B100" s="1173"/>
      <c r="D100" s="1182"/>
      <c r="E100" s="1190"/>
      <c r="F100" s="1189"/>
      <c r="G100" s="1189"/>
      <c r="H100" s="1188"/>
      <c r="I100" s="4673"/>
      <c r="J100" s="4748"/>
      <c r="K100" s="4711"/>
      <c r="L100" s="4712"/>
      <c r="M100" s="4673"/>
      <c r="N100" s="4674"/>
      <c r="O100" s="4711"/>
      <c r="P100" s="4712"/>
      <c r="Q100" s="4673"/>
      <c r="R100" s="4674"/>
      <c r="S100" s="4711"/>
      <c r="T100" s="4712"/>
      <c r="U100" s="4673"/>
      <c r="V100" s="4687"/>
      <c r="W100" s="4673"/>
      <c r="X100" s="4674"/>
      <c r="Y100" s="3000"/>
    </row>
    <row r="101" spans="1:25" ht="19.899999999999999" hidden="1" customHeight="1">
      <c r="B101" s="1173"/>
      <c r="D101" s="1182"/>
      <c r="E101" s="23" t="s">
        <v>1022</v>
      </c>
      <c r="I101" s="1186"/>
      <c r="J101" s="1187"/>
      <c r="K101" s="1184"/>
      <c r="L101" s="1184"/>
      <c r="M101" s="1043"/>
      <c r="N101" s="1183"/>
      <c r="O101" s="1184"/>
      <c r="P101" s="1184"/>
      <c r="Q101" s="1043"/>
      <c r="R101" s="1183"/>
      <c r="S101" s="1184"/>
      <c r="T101" s="1184"/>
      <c r="U101" s="1043"/>
      <c r="W101" s="1046"/>
      <c r="X101" s="3786"/>
      <c r="Y101" s="3000"/>
    </row>
    <row r="102" spans="1:25" ht="18" hidden="1" customHeight="1">
      <c r="B102" s="1173"/>
      <c r="D102" s="1182">
        <v>64</v>
      </c>
      <c r="E102" s="1043"/>
      <c r="F102" s="78">
        <f>H2</f>
        <v>0</v>
      </c>
      <c r="H102" s="22" t="s">
        <v>228</v>
      </c>
      <c r="I102" s="4731" t="e">
        <f>IF(J9=0,0,(J12/J10)+(I99/J10*-1))</f>
        <v>#N/A</v>
      </c>
      <c r="J102" s="4751"/>
      <c r="K102" s="4696" t="e">
        <f>IF(L9=0,0,(L12/L10)+(K99/L10*-1))</f>
        <v>#N/A</v>
      </c>
      <c r="L102" s="4697"/>
      <c r="M102" s="4731" t="e">
        <f>IF(N9=0,0,(N12/N10)+(M99/N10*-1))</f>
        <v>#N/A</v>
      </c>
      <c r="N102" s="4732"/>
      <c r="O102" s="4696" t="e">
        <f>IF(P9=0,0,(P12/P10)+(O99/P10*-1))</f>
        <v>#N/A</v>
      </c>
      <c r="P102" s="4697"/>
      <c r="Q102" s="4731" t="e">
        <f>IF(R9=0,0,(R12/R10)+(Q99/R10*-1))</f>
        <v>#N/A</v>
      </c>
      <c r="R102" s="4732"/>
      <c r="S102" s="4696" t="e">
        <f>IF(T9=0,0,(T12/T10)+(S99/T10*-1))</f>
        <v>#N/A</v>
      </c>
      <c r="T102" s="4697"/>
      <c r="U102" s="4731" t="e">
        <f>IF(V9=0,0,(V12/V10)+(U99/V10*-1))</f>
        <v>#N/A</v>
      </c>
      <c r="V102" s="4850"/>
      <c r="W102" s="4675" t="e">
        <f>IF(X9=0,0,(W12/X10)+(W99/X10*-1))</f>
        <v>#N/A</v>
      </c>
      <c r="X102" s="4676"/>
      <c r="Y102" s="3000"/>
    </row>
    <row r="103" spans="1:25" ht="10.15" hidden="1" customHeight="1">
      <c r="B103" s="1173"/>
      <c r="D103" s="1182"/>
      <c r="E103" s="1043"/>
      <c r="I103" s="1186"/>
      <c r="J103" s="1185"/>
      <c r="K103" s="1184"/>
      <c r="L103" s="1184"/>
      <c r="M103" s="1043"/>
      <c r="N103" s="1183"/>
      <c r="O103" s="1184"/>
      <c r="P103" s="1184"/>
      <c r="Q103" s="1043"/>
      <c r="R103" s="1183"/>
      <c r="S103" s="1184"/>
      <c r="T103" s="1184"/>
      <c r="U103" s="1043"/>
      <c r="W103" s="1046"/>
      <c r="X103" s="3786"/>
      <c r="Y103" s="3000"/>
    </row>
    <row r="104" spans="1:25" ht="10.15" hidden="1" customHeight="1">
      <c r="B104" s="1173"/>
      <c r="D104" s="1182"/>
      <c r="I104" s="1186"/>
      <c r="J104" s="1185"/>
      <c r="K104" s="1184"/>
      <c r="L104" s="1184"/>
      <c r="M104" s="1043"/>
      <c r="N104" s="1183"/>
      <c r="O104" s="1184"/>
      <c r="P104" s="1184"/>
      <c r="Q104" s="1043"/>
      <c r="R104" s="1183"/>
      <c r="S104" s="1184"/>
      <c r="T104" s="1184"/>
      <c r="U104" s="1043"/>
      <c r="W104" s="1046"/>
      <c r="X104" s="3786"/>
      <c r="Y104" s="3000"/>
    </row>
    <row r="105" spans="1:25" ht="10.15" hidden="1" customHeight="1">
      <c r="B105" s="1173"/>
      <c r="D105" s="1182"/>
      <c r="E105" s="23"/>
      <c r="I105" s="1186"/>
      <c r="J105" s="1185"/>
      <c r="K105" s="1184"/>
      <c r="L105" s="1184"/>
      <c r="M105" s="1043"/>
      <c r="N105" s="1183"/>
      <c r="O105" s="1184"/>
      <c r="P105" s="1184"/>
      <c r="Q105" s="1043"/>
      <c r="R105" s="1183"/>
      <c r="S105" s="1184"/>
      <c r="T105" s="1184"/>
      <c r="U105" s="1043"/>
      <c r="W105" s="1046"/>
      <c r="X105" s="3786"/>
      <c r="Y105" s="3000"/>
    </row>
    <row r="106" spans="1:25" ht="10.15" hidden="1" customHeight="1">
      <c r="B106" s="1173"/>
      <c r="D106" s="1182"/>
      <c r="F106" s="78"/>
      <c r="G106" s="126"/>
      <c r="H106" s="22"/>
      <c r="I106" s="4721"/>
      <c r="J106" s="4752"/>
      <c r="K106" s="4723"/>
      <c r="L106" s="4724"/>
      <c r="M106" s="4721"/>
      <c r="N106" s="4722"/>
      <c r="O106" s="4723"/>
      <c r="P106" s="4724"/>
      <c r="Q106" s="4721"/>
      <c r="R106" s="4722"/>
      <c r="S106" s="4723"/>
      <c r="T106" s="4724"/>
      <c r="U106" s="4721"/>
      <c r="V106" s="4851"/>
      <c r="W106" s="4677"/>
      <c r="X106" s="4678"/>
      <c r="Y106" s="3000"/>
    </row>
    <row r="107" spans="1:25" ht="5.0999999999999996" hidden="1" customHeight="1" thickBot="1">
      <c r="B107" s="1173"/>
      <c r="D107" s="1181"/>
      <c r="E107" s="1180"/>
      <c r="F107" s="1180"/>
      <c r="G107" s="1180"/>
      <c r="H107" s="1179"/>
      <c r="I107" s="1178"/>
      <c r="J107" s="1177"/>
      <c r="K107" s="1176"/>
      <c r="L107" s="1176"/>
      <c r="M107" s="1175"/>
      <c r="N107" s="1174"/>
      <c r="O107" s="1176"/>
      <c r="P107" s="1176"/>
      <c r="Q107" s="1175"/>
      <c r="R107" s="1174"/>
      <c r="S107" s="1176"/>
      <c r="T107" s="1176"/>
      <c r="U107" s="1175"/>
      <c r="V107" s="1180"/>
      <c r="W107" s="3789"/>
      <c r="X107" s="3790"/>
      <c r="Y107" s="3000"/>
    </row>
    <row r="108" spans="1:25" ht="10.15" hidden="1" customHeight="1">
      <c r="B108" s="1173"/>
      <c r="D108" s="1172"/>
      <c r="E108" s="1168"/>
      <c r="F108" s="1168"/>
      <c r="G108" s="1168"/>
      <c r="H108" s="1170"/>
      <c r="I108" s="1169"/>
      <c r="J108" s="1168"/>
      <c r="K108" s="1168"/>
      <c r="L108" s="1168"/>
      <c r="M108" s="1168"/>
      <c r="N108" s="1168"/>
      <c r="O108" s="1168"/>
      <c r="P108" s="1168"/>
      <c r="Q108" s="1168"/>
      <c r="R108" s="1168"/>
      <c r="S108" s="1168"/>
      <c r="T108" s="1168"/>
      <c r="U108" s="1168"/>
      <c r="V108" s="1168"/>
      <c r="W108" s="3783"/>
      <c r="X108" s="3783"/>
      <c r="Y108" s="3000"/>
    </row>
    <row r="109" spans="1:25" ht="13.15" hidden="1" customHeight="1">
      <c r="B109" s="1173"/>
      <c r="D109" s="1172"/>
      <c r="E109" s="1171" t="s">
        <v>1021</v>
      </c>
      <c r="F109" s="1168"/>
      <c r="G109" s="1168"/>
      <c r="H109" s="1170"/>
      <c r="I109" s="1169"/>
      <c r="J109" s="1168"/>
      <c r="K109" s="1168"/>
      <c r="L109" s="1168"/>
      <c r="M109" s="1168"/>
      <c r="N109" s="1168"/>
      <c r="O109" s="1168"/>
      <c r="P109" s="1168"/>
      <c r="Q109" s="1168"/>
      <c r="R109" s="1168"/>
      <c r="S109" s="1168"/>
      <c r="T109" s="1168"/>
      <c r="U109" s="1168"/>
      <c r="V109" s="1168"/>
      <c r="W109" s="3783"/>
      <c r="X109" s="3783"/>
      <c r="Y109" s="3000"/>
    </row>
    <row r="110" spans="1:25" ht="13.15" hidden="1" customHeight="1">
      <c r="E110" s="126"/>
      <c r="Y110" s="3000"/>
    </row>
    <row r="111" spans="1:25">
      <c r="A111" s="3003"/>
      <c r="B111" s="3003"/>
      <c r="C111" s="3003"/>
      <c r="D111" s="3009"/>
      <c r="E111" s="3010"/>
      <c r="F111" s="3000"/>
      <c r="G111" s="3000"/>
      <c r="H111" s="3011"/>
      <c r="I111" s="3012"/>
      <c r="J111" s="3000"/>
      <c r="K111" s="3000"/>
      <c r="L111" s="3000"/>
      <c r="M111" s="3000"/>
      <c r="N111" s="3000"/>
      <c r="O111" s="3000"/>
      <c r="P111" s="3000"/>
      <c r="Q111" s="3000"/>
      <c r="R111" s="3000"/>
      <c r="S111" s="3000"/>
      <c r="T111" s="3000"/>
      <c r="U111" s="3000"/>
      <c r="V111" s="3000"/>
      <c r="W111" s="3791"/>
      <c r="X111" s="3791"/>
      <c r="Y111" s="3000"/>
    </row>
    <row r="112" spans="1:25">
      <c r="A112" s="3003"/>
      <c r="B112" s="3003"/>
      <c r="C112" s="3003"/>
      <c r="D112" s="3009"/>
      <c r="E112" s="3010"/>
      <c r="F112" s="3000"/>
      <c r="G112" s="3000"/>
      <c r="H112" s="3011"/>
      <c r="I112" s="3012"/>
      <c r="J112" s="3000"/>
      <c r="K112" s="3000"/>
      <c r="L112" s="3000"/>
      <c r="M112" s="3000"/>
      <c r="N112" s="3000"/>
      <c r="O112" s="3000"/>
      <c r="P112" s="3000"/>
      <c r="Q112" s="3000"/>
      <c r="R112" s="3000"/>
      <c r="S112" s="3000"/>
      <c r="T112" s="3000"/>
      <c r="U112" s="3000"/>
      <c r="V112" s="3000"/>
      <c r="W112" s="3791"/>
      <c r="X112" s="3791"/>
      <c r="Y112" s="3000"/>
    </row>
    <row r="113" spans="1:25">
      <c r="A113" s="3003"/>
      <c r="B113" s="3003"/>
      <c r="C113" s="3003"/>
      <c r="D113" s="4749" t="s">
        <v>934</v>
      </c>
      <c r="E113" s="4750"/>
      <c r="F113" s="4750"/>
      <c r="G113" s="3022"/>
      <c r="H113" s="1167"/>
      <c r="I113" s="4774"/>
      <c r="J113" s="4774"/>
      <c r="K113" s="4774"/>
      <c r="L113" s="4774"/>
      <c r="M113" s="4774"/>
      <c r="N113" s="4774"/>
      <c r="O113" s="3017"/>
      <c r="P113" s="3018"/>
      <c r="Q113" s="3017"/>
      <c r="R113" s="3018"/>
      <c r="S113" s="3017"/>
      <c r="T113" s="3018"/>
      <c r="U113" s="3017"/>
      <c r="V113" s="3019"/>
      <c r="W113" s="3792"/>
      <c r="X113" s="3793"/>
      <c r="Y113" s="3000"/>
    </row>
    <row r="114" spans="1:25">
      <c r="A114" s="3003"/>
      <c r="B114" s="3003"/>
      <c r="C114" s="3003"/>
      <c r="D114" s="1166"/>
      <c r="E114" s="1165"/>
      <c r="F114" s="1165"/>
      <c r="G114" s="2990"/>
      <c r="H114" s="1164"/>
      <c r="I114" s="4690" t="str">
        <f>I2</f>
        <v>Winterweizen (Brot-)</v>
      </c>
      <c r="J114" s="4691"/>
      <c r="K114" s="4690" t="str">
        <f>K2</f>
        <v>Wintergerste</v>
      </c>
      <c r="L114" s="4691"/>
      <c r="M114" s="4690" t="str">
        <f>M2</f>
        <v>Winterraps</v>
      </c>
      <c r="N114" s="4690"/>
      <c r="O114" s="4690" t="str">
        <f>O2</f>
        <v xml:space="preserve">Körnermais </v>
      </c>
      <c r="P114" s="4691"/>
      <c r="Q114" s="4690" t="str">
        <f>Q2</f>
        <v xml:space="preserve">Futtererbsen </v>
      </c>
      <c r="R114" s="4690"/>
      <c r="S114" s="4690" t="str">
        <f>S2</f>
        <v xml:space="preserve">Kleegras einjährig (70:30) </v>
      </c>
      <c r="T114" s="4691"/>
      <c r="U114" s="4690" t="str">
        <f>U2</f>
        <v xml:space="preserve">Sojabohne </v>
      </c>
      <c r="V114" s="4852"/>
      <c r="W114" s="4637"/>
      <c r="X114" s="4637"/>
      <c r="Y114" s="3000"/>
    </row>
    <row r="115" spans="1:25" ht="15">
      <c r="A115" s="3003"/>
      <c r="B115" s="3003"/>
      <c r="C115" s="3003"/>
      <c r="D115" s="4742" t="s">
        <v>1020</v>
      </c>
      <c r="E115" s="4743"/>
      <c r="F115" s="4743"/>
      <c r="G115" s="4743"/>
      <c r="H115" s="1163"/>
      <c r="I115" s="4701" t="s">
        <v>179</v>
      </c>
      <c r="J115" s="4702"/>
      <c r="K115" s="4729" t="s">
        <v>152</v>
      </c>
      <c r="L115" s="4730"/>
      <c r="M115" s="4719" t="s">
        <v>178</v>
      </c>
      <c r="N115" s="4720"/>
      <c r="O115" s="4729" t="s">
        <v>178</v>
      </c>
      <c r="P115" s="4730"/>
      <c r="Q115" s="4719" t="s">
        <v>178</v>
      </c>
      <c r="R115" s="4720"/>
      <c r="S115" s="4729" t="s">
        <v>178</v>
      </c>
      <c r="T115" s="4730"/>
      <c r="U115" s="4719" t="s">
        <v>178</v>
      </c>
      <c r="V115" s="4720"/>
      <c r="W115" s="4638"/>
      <c r="X115" s="4639"/>
      <c r="Y115" s="3000"/>
    </row>
    <row r="116" spans="1:25" ht="15">
      <c r="A116" s="3003"/>
      <c r="B116" s="3003"/>
      <c r="C116" s="3003"/>
      <c r="D116" s="1162"/>
      <c r="E116" s="17"/>
      <c r="F116" s="1161"/>
      <c r="G116" s="1159"/>
      <c r="H116" s="1160"/>
      <c r="J116" s="1159"/>
      <c r="K116" s="1158"/>
      <c r="L116" s="1157"/>
      <c r="M116" s="17"/>
      <c r="N116" s="1156"/>
      <c r="O116" s="1158"/>
      <c r="P116" s="1157"/>
      <c r="Q116" s="17"/>
      <c r="R116" s="1156"/>
      <c r="S116" s="1158"/>
      <c r="T116" s="1157"/>
      <c r="U116" s="3020"/>
      <c r="V116" s="1156"/>
      <c r="X116" s="3794"/>
      <c r="Y116" s="3000"/>
    </row>
    <row r="117" spans="1:25" ht="15" customHeight="1">
      <c r="A117" s="3003"/>
      <c r="B117" s="3003"/>
      <c r="C117" s="3015" t="s">
        <v>176</v>
      </c>
      <c r="D117" s="4753" t="s">
        <v>176</v>
      </c>
      <c r="E117" s="4754"/>
      <c r="F117" s="4754"/>
      <c r="G117" s="4754"/>
      <c r="H117" s="1155" t="s">
        <v>172</v>
      </c>
      <c r="I117" s="4692">
        <f>J9</f>
        <v>90</v>
      </c>
      <c r="J117" s="4692"/>
      <c r="K117" s="4703">
        <f>L9</f>
        <v>85</v>
      </c>
      <c r="L117" s="4704"/>
      <c r="M117" s="4727">
        <f>N9</f>
        <v>40</v>
      </c>
      <c r="N117" s="4728"/>
      <c r="O117" s="4703">
        <f>P9</f>
        <v>100</v>
      </c>
      <c r="P117" s="4704"/>
      <c r="Q117" s="4727">
        <f>R9</f>
        <v>35</v>
      </c>
      <c r="R117" s="4728"/>
      <c r="S117" s="4703">
        <f>T9</f>
        <v>400</v>
      </c>
      <c r="T117" s="4704"/>
      <c r="U117" s="4727">
        <f>V9</f>
        <v>27</v>
      </c>
      <c r="V117" s="4728"/>
      <c r="W117" s="4640">
        <f>X9</f>
        <v>78.75</v>
      </c>
      <c r="X117" s="4641"/>
      <c r="Y117" s="3000"/>
    </row>
    <row r="118" spans="1:25">
      <c r="A118" s="3003"/>
      <c r="B118" s="3003"/>
      <c r="C118" s="3016"/>
      <c r="D118" s="4755" t="s">
        <v>1019</v>
      </c>
      <c r="E118" s="4756"/>
      <c r="F118" s="4756"/>
      <c r="G118" s="4756"/>
      <c r="H118" s="1154" t="s">
        <v>228</v>
      </c>
      <c r="I118" s="4773">
        <f>J11</f>
        <v>23.533333333333331</v>
      </c>
      <c r="J118" s="4773"/>
      <c r="K118" s="4769">
        <f>L11</f>
        <v>19.900000000000002</v>
      </c>
      <c r="L118" s="4770"/>
      <c r="M118" s="4735">
        <f>N11</f>
        <v>52.166666666666657</v>
      </c>
      <c r="N118" s="4736"/>
      <c r="O118" s="4769">
        <f>P11</f>
        <v>24.633333333333336</v>
      </c>
      <c r="P118" s="4770"/>
      <c r="Q118" s="4735">
        <f>R11</f>
        <v>29.966666666666669</v>
      </c>
      <c r="R118" s="4736"/>
      <c r="S118" s="4769">
        <f>T11</f>
        <v>0</v>
      </c>
      <c r="T118" s="4770"/>
      <c r="U118" s="4735">
        <f>V11</f>
        <v>52.333333333333343</v>
      </c>
      <c r="V118" s="4736"/>
      <c r="W118" s="4642">
        <f>W11</f>
        <v>0</v>
      </c>
      <c r="X118" s="4643"/>
      <c r="Y118" s="3000"/>
    </row>
    <row r="119" spans="1:25">
      <c r="A119" s="3003"/>
      <c r="B119" s="3003"/>
      <c r="C119" s="3016"/>
      <c r="D119" s="4744" t="s">
        <v>227</v>
      </c>
      <c r="E119" s="4745"/>
      <c r="F119" s="4745"/>
      <c r="G119" s="4745"/>
      <c r="H119" s="1142" t="s">
        <v>171</v>
      </c>
      <c r="I119" s="4705">
        <f>J12</f>
        <v>2118</v>
      </c>
      <c r="J119" s="4705"/>
      <c r="K119" s="4725">
        <f>L12</f>
        <v>1691.5000000000002</v>
      </c>
      <c r="L119" s="4726"/>
      <c r="M119" s="4717">
        <f>N12</f>
        <v>2086.6666666666661</v>
      </c>
      <c r="N119" s="4718"/>
      <c r="O119" s="4725">
        <f>P12</f>
        <v>2463.3333333333335</v>
      </c>
      <c r="P119" s="4726"/>
      <c r="Q119" s="4717">
        <f>R12</f>
        <v>1048.8333333333335</v>
      </c>
      <c r="R119" s="4718"/>
      <c r="S119" s="4725">
        <f>T12</f>
        <v>0</v>
      </c>
      <c r="T119" s="4726"/>
      <c r="U119" s="4717">
        <f>V12</f>
        <v>1413.0000000000002</v>
      </c>
      <c r="V119" s="4718"/>
      <c r="W119" s="4644">
        <f>W12</f>
        <v>0</v>
      </c>
      <c r="X119" s="4645"/>
      <c r="Y119" s="3000"/>
    </row>
    <row r="120" spans="1:25">
      <c r="A120" s="3003"/>
      <c r="B120" s="3003"/>
      <c r="C120" s="3016"/>
      <c r="D120" s="4744" t="s">
        <v>1018</v>
      </c>
      <c r="E120" s="4745"/>
      <c r="F120" s="4745"/>
      <c r="G120" s="4745"/>
      <c r="H120" s="1142" t="s">
        <v>171</v>
      </c>
      <c r="I120" s="4705">
        <f>J13</f>
        <v>0</v>
      </c>
      <c r="J120" s="4705"/>
      <c r="K120" s="4725">
        <f>L13</f>
        <v>0</v>
      </c>
      <c r="L120" s="4726"/>
      <c r="M120" s="4775">
        <f>N13</f>
        <v>0</v>
      </c>
      <c r="N120" s="4776"/>
      <c r="O120" s="4725">
        <f>P13</f>
        <v>0</v>
      </c>
      <c r="P120" s="4726"/>
      <c r="Q120" s="4775">
        <f>R13</f>
        <v>0</v>
      </c>
      <c r="R120" s="4776"/>
      <c r="S120" s="4725">
        <f>T13</f>
        <v>0</v>
      </c>
      <c r="T120" s="4726"/>
      <c r="U120" s="4775">
        <f>V13</f>
        <v>0</v>
      </c>
      <c r="V120" s="4776"/>
      <c r="W120" s="4646">
        <f>W13</f>
        <v>0</v>
      </c>
      <c r="X120" s="4647"/>
      <c r="Y120" s="3000"/>
    </row>
    <row r="121" spans="1:25">
      <c r="A121" s="3003"/>
      <c r="B121" s="3003"/>
      <c r="C121" s="3016"/>
      <c r="D121" s="4744" t="s">
        <v>163</v>
      </c>
      <c r="E121" s="4745"/>
      <c r="F121" s="4745"/>
      <c r="G121" s="4745"/>
      <c r="H121" s="1142" t="s">
        <v>171</v>
      </c>
      <c r="I121" s="4705">
        <f>I18</f>
        <v>321.39999999999998</v>
      </c>
      <c r="J121" s="4705"/>
      <c r="K121" s="4725">
        <f>K18</f>
        <v>455.4</v>
      </c>
      <c r="L121" s="4726"/>
      <c r="M121" s="4715">
        <f>M18</f>
        <v>455.4</v>
      </c>
      <c r="N121" s="4716"/>
      <c r="O121" s="4725">
        <f>O18</f>
        <v>355.4</v>
      </c>
      <c r="P121" s="4726"/>
      <c r="Q121" s="4715">
        <f>Q18</f>
        <v>555.4</v>
      </c>
      <c r="R121" s="4716"/>
      <c r="S121" s="4725">
        <f>S18</f>
        <v>455.4</v>
      </c>
      <c r="T121" s="4726"/>
      <c r="U121" s="4715">
        <f>U18</f>
        <v>455.4</v>
      </c>
      <c r="V121" s="4716"/>
      <c r="W121" s="4648">
        <f>W18</f>
        <v>396.9</v>
      </c>
      <c r="X121" s="4649"/>
      <c r="Y121" s="3000"/>
    </row>
    <row r="122" spans="1:25" ht="15">
      <c r="A122" s="3003"/>
      <c r="B122" s="3003"/>
      <c r="C122" s="3016"/>
      <c r="D122" s="4742" t="s">
        <v>1017</v>
      </c>
      <c r="E122" s="4743"/>
      <c r="F122" s="4743"/>
      <c r="G122" s="4743"/>
      <c r="H122" s="1149" t="s">
        <v>171</v>
      </c>
      <c r="I122" s="4820">
        <f>I19</f>
        <v>2439.4</v>
      </c>
      <c r="J122" s="4820"/>
      <c r="K122" s="4656">
        <f>K19</f>
        <v>2146.9</v>
      </c>
      <c r="L122" s="4810"/>
      <c r="M122" s="4713">
        <f>M19</f>
        <v>2542.0666666666662</v>
      </c>
      <c r="N122" s="4714"/>
      <c r="O122" s="4656">
        <f>O19</f>
        <v>2818.7333333333336</v>
      </c>
      <c r="P122" s="4810"/>
      <c r="Q122" s="4713">
        <f>Q19</f>
        <v>1604.2333333333336</v>
      </c>
      <c r="R122" s="4714"/>
      <c r="S122" s="4656">
        <f>S19</f>
        <v>455.4</v>
      </c>
      <c r="T122" s="4810"/>
      <c r="U122" s="4713">
        <f>U19</f>
        <v>1868.4</v>
      </c>
      <c r="V122" s="4714"/>
      <c r="W122" s="4650">
        <f>W19</f>
        <v>2486.7750000000001</v>
      </c>
      <c r="X122" s="4651"/>
      <c r="Y122" s="3000"/>
    </row>
    <row r="123" spans="1:25">
      <c r="A123" s="3003"/>
      <c r="B123" s="3003"/>
      <c r="C123" s="3016"/>
      <c r="D123" s="4744" t="s">
        <v>1016</v>
      </c>
      <c r="E123" s="4745"/>
      <c r="F123" s="4745"/>
      <c r="G123" s="4745"/>
      <c r="H123" s="1142" t="s">
        <v>171</v>
      </c>
      <c r="I123" s="4705">
        <f>J30</f>
        <v>1341.1015845517647</v>
      </c>
      <c r="J123" s="4705"/>
      <c r="K123" s="4725">
        <f>L30</f>
        <v>1266.4633794658823</v>
      </c>
      <c r="L123" s="4726"/>
      <c r="M123" s="4733">
        <f>N30</f>
        <v>1226.7835263337256</v>
      </c>
      <c r="N123" s="4734"/>
      <c r="O123" s="4725">
        <f>P30</f>
        <v>1608.1328110901961</v>
      </c>
      <c r="P123" s="4726"/>
      <c r="Q123" s="4733">
        <f>R30</f>
        <v>771.15405429898044</v>
      </c>
      <c r="R123" s="4734"/>
      <c r="S123" s="4725">
        <f>T30</f>
        <v>-234.17327299630261</v>
      </c>
      <c r="T123" s="4726"/>
      <c r="U123" s="4733">
        <f>V30</f>
        <v>1005.7259373411764</v>
      </c>
      <c r="V123" s="4734"/>
      <c r="W123" s="4652">
        <f>W30</f>
        <v>0</v>
      </c>
      <c r="X123" s="4653"/>
      <c r="Y123" s="3000"/>
    </row>
    <row r="124" spans="1:25">
      <c r="A124" s="3003"/>
      <c r="B124" s="3003"/>
      <c r="C124" s="3016"/>
      <c r="D124" s="4744" t="s">
        <v>1015</v>
      </c>
      <c r="E124" s="4745"/>
      <c r="F124" s="4745"/>
      <c r="G124" s="4745"/>
      <c r="H124" s="1142" t="s">
        <v>171</v>
      </c>
      <c r="I124" s="4705">
        <f>I32</f>
        <v>776.89841544823526</v>
      </c>
      <c r="J124" s="4705"/>
      <c r="K124" s="4725">
        <f>K32</f>
        <v>425.0366205341179</v>
      </c>
      <c r="L124" s="4726"/>
      <c r="M124" s="4715">
        <f>M32</f>
        <v>859.88314033294046</v>
      </c>
      <c r="N124" s="4716"/>
      <c r="O124" s="4725">
        <f>O32</f>
        <v>855.20052224313736</v>
      </c>
      <c r="P124" s="4726"/>
      <c r="Q124" s="4715">
        <f>Q32</f>
        <v>277.67927903435304</v>
      </c>
      <c r="R124" s="4716"/>
      <c r="S124" s="4725">
        <f>S32</f>
        <v>234.17327299630261</v>
      </c>
      <c r="T124" s="4726"/>
      <c r="U124" s="4715">
        <f>U32</f>
        <v>407.27406265882382</v>
      </c>
      <c r="V124" s="4716"/>
      <c r="W124" s="4648">
        <f>W32</f>
        <v>729.25467463960774</v>
      </c>
      <c r="X124" s="4649"/>
      <c r="Y124" s="3000"/>
    </row>
    <row r="125" spans="1:25" ht="15">
      <c r="A125" s="3003"/>
      <c r="B125" s="3003"/>
      <c r="C125" s="3016"/>
      <c r="D125" s="4746" t="s">
        <v>1014</v>
      </c>
      <c r="E125" s="4747"/>
      <c r="F125" s="4747"/>
      <c r="G125" s="4747"/>
      <c r="H125" s="1139" t="s">
        <v>171</v>
      </c>
      <c r="I125" s="4758">
        <f>I36</f>
        <v>1082.6522302951312</v>
      </c>
      <c r="J125" s="4758"/>
      <c r="K125" s="4656">
        <f>K36</f>
        <v>865.66121444034923</v>
      </c>
      <c r="L125" s="4810"/>
      <c r="M125" s="4656">
        <f>M36</f>
        <v>1300.9706658590471</v>
      </c>
      <c r="N125" s="4657"/>
      <c r="O125" s="4656">
        <f>O36</f>
        <v>1197.1994154840522</v>
      </c>
      <c r="P125" s="4810"/>
      <c r="Q125" s="4656">
        <f>Q36</f>
        <v>826.65299524852821</v>
      </c>
      <c r="R125" s="4657"/>
      <c r="S125" s="4656">
        <f>S36</f>
        <v>692.3052945145929</v>
      </c>
      <c r="T125" s="4810"/>
      <c r="U125" s="4656">
        <f>U36</f>
        <v>854.29301318098067</v>
      </c>
      <c r="V125" s="4657"/>
      <c r="W125" s="4654">
        <f>W36</f>
        <v>1111.6208815196451</v>
      </c>
      <c r="X125" s="4655"/>
      <c r="Y125" s="3000"/>
    </row>
    <row r="126" spans="1:25">
      <c r="A126" s="3003"/>
      <c r="B126" s="3003"/>
      <c r="C126" s="3016"/>
      <c r="D126" s="4757"/>
      <c r="E126" s="4757"/>
      <c r="F126" s="4757"/>
      <c r="G126" s="4757"/>
      <c r="H126" s="3013"/>
      <c r="I126" s="3014"/>
      <c r="J126" s="3014"/>
      <c r="K126" s="3004"/>
      <c r="L126" s="3004"/>
      <c r="M126" s="3004"/>
      <c r="N126" s="3004"/>
      <c r="O126" s="3004"/>
      <c r="P126" s="3004"/>
      <c r="Q126" s="3004"/>
      <c r="R126" s="3004"/>
      <c r="S126" s="3004"/>
      <c r="T126" s="3004"/>
      <c r="U126" s="3004"/>
      <c r="V126" s="3004"/>
      <c r="W126" s="3795"/>
      <c r="X126" s="3795"/>
      <c r="Y126" s="3000"/>
    </row>
    <row r="127" spans="1:25" ht="15">
      <c r="A127" s="3003"/>
      <c r="B127" s="3003"/>
      <c r="C127" s="3016"/>
      <c r="D127" s="4742" t="s">
        <v>176</v>
      </c>
      <c r="E127" s="4743"/>
      <c r="F127" s="4743"/>
      <c r="G127" s="4743"/>
      <c r="H127" s="1149" t="s">
        <v>1013</v>
      </c>
      <c r="I127" s="4821">
        <f>J9</f>
        <v>90</v>
      </c>
      <c r="J127" s="4821">
        <f t="shared" ref="J127:J137" si="13">J117</f>
        <v>0</v>
      </c>
      <c r="K127" s="4822">
        <f>L9</f>
        <v>85</v>
      </c>
      <c r="L127" s="4823">
        <f t="shared" ref="L127:L137" si="14">L117</f>
        <v>0</v>
      </c>
      <c r="M127" s="1148">
        <f>N9</f>
        <v>40</v>
      </c>
      <c r="N127" s="1147">
        <f t="shared" ref="N127:N137" si="15">N117</f>
        <v>0</v>
      </c>
      <c r="O127" s="4822">
        <f>P9</f>
        <v>100</v>
      </c>
      <c r="P127" s="4823">
        <f t="shared" ref="P127:P137" si="16">P117</f>
        <v>0</v>
      </c>
      <c r="Q127" s="1148">
        <f>R9</f>
        <v>35</v>
      </c>
      <c r="R127" s="1147">
        <f t="shared" ref="R127:R137" si="17">R117</f>
        <v>0</v>
      </c>
      <c r="S127" s="4822">
        <f>T9</f>
        <v>400</v>
      </c>
      <c r="T127" s="4823">
        <f t="shared" ref="T127:T137" si="18">T117</f>
        <v>0</v>
      </c>
      <c r="U127" s="3021">
        <f>V9</f>
        <v>27</v>
      </c>
      <c r="V127" s="1147">
        <f t="shared" ref="V127:V137" si="19">V117</f>
        <v>0</v>
      </c>
      <c r="W127" s="3796">
        <f>X9</f>
        <v>78.75</v>
      </c>
      <c r="X127" s="3797">
        <f t="shared" ref="X127:X137" si="20">X117</f>
        <v>0</v>
      </c>
      <c r="Y127" s="3000"/>
    </row>
    <row r="128" spans="1:25">
      <c r="A128" s="3003"/>
      <c r="B128" s="3003"/>
      <c r="C128" s="3016"/>
      <c r="D128" s="4744" t="s">
        <v>1012</v>
      </c>
      <c r="E128" s="4745"/>
      <c r="F128" s="4745"/>
      <c r="G128" s="4745"/>
      <c r="H128" s="1142" t="s">
        <v>171</v>
      </c>
      <c r="I128" s="4705">
        <f>I41+I42+I44+I45</f>
        <v>390.33333333333337</v>
      </c>
      <c r="J128" s="4705">
        <f t="shared" si="13"/>
        <v>0</v>
      </c>
      <c r="K128" s="4725">
        <f>K41+K42+K44+K45</f>
        <v>390.33333333333337</v>
      </c>
      <c r="L128" s="4726">
        <f t="shared" si="14"/>
        <v>0</v>
      </c>
      <c r="M128" s="1153">
        <f>M41+M42+M44+M45</f>
        <v>390.33333333333337</v>
      </c>
      <c r="N128" s="1152">
        <f t="shared" si="15"/>
        <v>0</v>
      </c>
      <c r="O128" s="4725">
        <f>O41+O42+O44+O45</f>
        <v>390.33333333333337</v>
      </c>
      <c r="P128" s="4726">
        <f t="shared" si="16"/>
        <v>0</v>
      </c>
      <c r="Q128" s="1153">
        <f>Q41+Q42+Q44+Q45</f>
        <v>390.33333333333337</v>
      </c>
      <c r="R128" s="1152">
        <f t="shared" si="17"/>
        <v>0</v>
      </c>
      <c r="S128" s="4725">
        <f>S41+S42+S44+S45</f>
        <v>390.33333333333337</v>
      </c>
      <c r="T128" s="4726">
        <f t="shared" si="18"/>
        <v>0</v>
      </c>
      <c r="U128" s="2991">
        <f>U41+U42+U44+U45</f>
        <v>390.33333333333337</v>
      </c>
      <c r="V128" s="2992">
        <f t="shared" si="19"/>
        <v>0</v>
      </c>
      <c r="W128" s="3798">
        <f>W41+W42+W44+W45</f>
        <v>390.33333333333337</v>
      </c>
      <c r="X128" s="3799">
        <f t="shared" si="20"/>
        <v>0</v>
      </c>
      <c r="Y128" s="3000"/>
    </row>
    <row r="129" spans="1:25">
      <c r="A129" s="3003"/>
      <c r="B129" s="3003"/>
      <c r="C129" s="3016"/>
      <c r="D129" s="4744" t="s">
        <v>708</v>
      </c>
      <c r="E129" s="4745"/>
      <c r="F129" s="4745"/>
      <c r="G129" s="4745"/>
      <c r="H129" s="1142" t="s">
        <v>171</v>
      </c>
      <c r="I129" s="4705">
        <f>I40</f>
        <v>219.34800000000001</v>
      </c>
      <c r="J129" s="4705">
        <f t="shared" si="13"/>
        <v>0</v>
      </c>
      <c r="K129" s="4725">
        <f>K40</f>
        <v>205.84800000000001</v>
      </c>
      <c r="L129" s="4726">
        <f t="shared" si="14"/>
        <v>0</v>
      </c>
      <c r="M129" s="1153">
        <f>M40</f>
        <v>204.87600000000003</v>
      </c>
      <c r="N129" s="1152">
        <f t="shared" si="15"/>
        <v>0</v>
      </c>
      <c r="O129" s="4725">
        <f>O40</f>
        <v>164.376</v>
      </c>
      <c r="P129" s="4726">
        <f t="shared" si="16"/>
        <v>0</v>
      </c>
      <c r="Q129" s="1153">
        <f>Q40</f>
        <v>141.78240000000002</v>
      </c>
      <c r="R129" s="1152">
        <f t="shared" si="17"/>
        <v>0</v>
      </c>
      <c r="S129" s="4725">
        <f>S40</f>
        <v>202.17600000000002</v>
      </c>
      <c r="T129" s="4726">
        <f t="shared" si="18"/>
        <v>0</v>
      </c>
      <c r="U129" s="2991">
        <f>U40</f>
        <v>139.96800000000002</v>
      </c>
      <c r="V129" s="2992">
        <f t="shared" si="19"/>
        <v>0</v>
      </c>
      <c r="W129" s="3798">
        <f>W40</f>
        <v>198.61200000000005</v>
      </c>
      <c r="X129" s="3799">
        <f t="shared" si="20"/>
        <v>0</v>
      </c>
      <c r="Y129" s="3000"/>
    </row>
    <row r="130" spans="1:25">
      <c r="A130" s="3003"/>
      <c r="B130" s="3003"/>
      <c r="C130" s="3016"/>
      <c r="D130" s="4744" t="s">
        <v>1011</v>
      </c>
      <c r="E130" s="4745"/>
      <c r="F130" s="4745"/>
      <c r="G130" s="4745"/>
      <c r="H130" s="1142" t="s">
        <v>171</v>
      </c>
      <c r="I130" s="4705">
        <f>I43</f>
        <v>356.66666666666669</v>
      </c>
      <c r="J130" s="4705">
        <f t="shared" si="13"/>
        <v>0</v>
      </c>
      <c r="K130" s="4725">
        <f>K43</f>
        <v>356.66666666666669</v>
      </c>
      <c r="L130" s="4726">
        <f t="shared" si="14"/>
        <v>0</v>
      </c>
      <c r="M130" s="1151">
        <f>M43</f>
        <v>306.66666666666669</v>
      </c>
      <c r="N130" s="1150">
        <f t="shared" si="15"/>
        <v>0</v>
      </c>
      <c r="O130" s="4725">
        <f>O43</f>
        <v>306.66666666666669</v>
      </c>
      <c r="P130" s="4726">
        <f t="shared" si="16"/>
        <v>0</v>
      </c>
      <c r="Q130" s="1151">
        <f>Q43</f>
        <v>306.66666666666669</v>
      </c>
      <c r="R130" s="1150">
        <f t="shared" si="17"/>
        <v>0</v>
      </c>
      <c r="S130" s="4725">
        <f>S43</f>
        <v>306.66666666666669</v>
      </c>
      <c r="T130" s="4726">
        <f t="shared" si="18"/>
        <v>0</v>
      </c>
      <c r="U130" s="2986">
        <f>U43</f>
        <v>306.66666666666669</v>
      </c>
      <c r="V130" s="2987">
        <f t="shared" si="19"/>
        <v>0</v>
      </c>
      <c r="W130" s="3800">
        <f>W43</f>
        <v>331.66666666666674</v>
      </c>
      <c r="X130" s="3801">
        <f t="shared" si="20"/>
        <v>0</v>
      </c>
      <c r="Y130" s="3000"/>
    </row>
    <row r="131" spans="1:25" ht="15">
      <c r="A131" s="3003"/>
      <c r="B131" s="3003"/>
      <c r="C131" s="3016"/>
      <c r="D131" s="4742" t="s">
        <v>1010</v>
      </c>
      <c r="E131" s="4743"/>
      <c r="F131" s="4743"/>
      <c r="G131" s="4743"/>
      <c r="H131" s="1149" t="s">
        <v>171</v>
      </c>
      <c r="I131" s="4820">
        <f>I46</f>
        <v>966.34800000000007</v>
      </c>
      <c r="J131" s="4820">
        <f t="shared" si="13"/>
        <v>0</v>
      </c>
      <c r="K131" s="4656">
        <f>K46</f>
        <v>952.84800000000007</v>
      </c>
      <c r="L131" s="4810">
        <f t="shared" si="14"/>
        <v>0</v>
      </c>
      <c r="M131" s="1148">
        <f>M46</f>
        <v>901.87600000000009</v>
      </c>
      <c r="N131" s="1147">
        <f t="shared" si="15"/>
        <v>0</v>
      </c>
      <c r="O131" s="4656">
        <f>O46</f>
        <v>861.37600000000009</v>
      </c>
      <c r="P131" s="4810">
        <f t="shared" si="16"/>
        <v>0</v>
      </c>
      <c r="Q131" s="1148">
        <f>Q46</f>
        <v>838.78240000000017</v>
      </c>
      <c r="R131" s="1147">
        <f t="shared" si="17"/>
        <v>0</v>
      </c>
      <c r="S131" s="4656">
        <f>S46</f>
        <v>899.17600000000004</v>
      </c>
      <c r="T131" s="4810">
        <f t="shared" si="18"/>
        <v>0</v>
      </c>
      <c r="U131" s="3021">
        <f>U46</f>
        <v>836.96800000000007</v>
      </c>
      <c r="V131" s="1147">
        <f t="shared" si="19"/>
        <v>0</v>
      </c>
      <c r="W131" s="3796">
        <f>W46</f>
        <v>920.61200000000008</v>
      </c>
      <c r="X131" s="3797">
        <f t="shared" si="20"/>
        <v>0</v>
      </c>
      <c r="Y131" s="3000"/>
    </row>
    <row r="132" spans="1:25">
      <c r="A132" s="3003"/>
      <c r="B132" s="3003"/>
      <c r="C132" s="3016"/>
      <c r="D132" s="4744" t="s">
        <v>1009</v>
      </c>
      <c r="E132" s="4745"/>
      <c r="F132" s="4745"/>
      <c r="G132" s="4745"/>
      <c r="H132" s="1142" t="s">
        <v>171</v>
      </c>
      <c r="I132" s="4829">
        <f>I50</f>
        <v>-205.09576970486887</v>
      </c>
      <c r="J132" s="4829">
        <f t="shared" si="13"/>
        <v>0</v>
      </c>
      <c r="K132" s="4845">
        <f>K50</f>
        <v>-542.58678555965093</v>
      </c>
      <c r="L132" s="4846">
        <f t="shared" si="14"/>
        <v>0</v>
      </c>
      <c r="M132" s="1146">
        <f>M50</f>
        <v>-56.305334140953164</v>
      </c>
      <c r="N132" s="1145">
        <f t="shared" si="15"/>
        <v>0</v>
      </c>
      <c r="O132" s="4845">
        <f>O50</f>
        <v>-19.576584515947616</v>
      </c>
      <c r="P132" s="4846">
        <f t="shared" si="16"/>
        <v>0</v>
      </c>
      <c r="Q132" s="1146">
        <f>Q50</f>
        <v>-567.52940475147193</v>
      </c>
      <c r="R132" s="1145">
        <f t="shared" si="17"/>
        <v>0</v>
      </c>
      <c r="S132" s="4845">
        <f>S50</f>
        <v>-662.27070548540723</v>
      </c>
      <c r="T132" s="4846">
        <f t="shared" si="18"/>
        <v>0</v>
      </c>
      <c r="U132" s="1146">
        <f>U50</f>
        <v>-438.07498681901939</v>
      </c>
      <c r="V132" s="1145">
        <f t="shared" si="19"/>
        <v>0</v>
      </c>
      <c r="W132" s="3802">
        <f>W50</f>
        <v>-205.89111848035515</v>
      </c>
      <c r="X132" s="3803">
        <f t="shared" si="20"/>
        <v>0</v>
      </c>
      <c r="Y132" s="3000"/>
    </row>
    <row r="133" spans="1:25" ht="15">
      <c r="A133" s="3003"/>
      <c r="B133" s="3003"/>
      <c r="C133" s="3016"/>
      <c r="D133" s="4746" t="s">
        <v>1008</v>
      </c>
      <c r="E133" s="4747"/>
      <c r="F133" s="4747"/>
      <c r="G133" s="4747"/>
      <c r="H133" s="1139" t="s">
        <v>171</v>
      </c>
      <c r="I133" s="4758">
        <f>I53</f>
        <v>116.30423029513111</v>
      </c>
      <c r="J133" s="4758">
        <f t="shared" si="13"/>
        <v>0</v>
      </c>
      <c r="K133" s="4656">
        <f>K53</f>
        <v>-87.186785559650957</v>
      </c>
      <c r="L133" s="4810">
        <f t="shared" si="14"/>
        <v>0</v>
      </c>
      <c r="M133" s="1144">
        <f>M53</f>
        <v>399.09466585904681</v>
      </c>
      <c r="N133" s="1143">
        <f t="shared" si="15"/>
        <v>0</v>
      </c>
      <c r="O133" s="4656">
        <f>O53</f>
        <v>335.82341548405236</v>
      </c>
      <c r="P133" s="4810">
        <f t="shared" si="16"/>
        <v>0</v>
      </c>
      <c r="Q133" s="1144">
        <f>Q53</f>
        <v>-12.129404751471952</v>
      </c>
      <c r="R133" s="1143">
        <f t="shared" si="17"/>
        <v>0</v>
      </c>
      <c r="S133" s="4656">
        <f>S53</f>
        <v>-206.87070548540726</v>
      </c>
      <c r="T133" s="4810">
        <f t="shared" si="18"/>
        <v>0</v>
      </c>
      <c r="U133" s="2988">
        <f>U53</f>
        <v>17.325013180980591</v>
      </c>
      <c r="V133" s="2989">
        <f t="shared" si="19"/>
        <v>0</v>
      </c>
      <c r="W133" s="3804">
        <f>W53</f>
        <v>191.00888151964486</v>
      </c>
      <c r="X133" s="3805">
        <f t="shared" si="20"/>
        <v>0</v>
      </c>
      <c r="Y133" s="3000"/>
    </row>
    <row r="134" spans="1:25">
      <c r="A134" s="3003"/>
      <c r="B134" s="3003"/>
      <c r="C134" s="3016"/>
      <c r="D134" s="4744" t="s">
        <v>1007</v>
      </c>
      <c r="E134" s="4745"/>
      <c r="F134" s="4745"/>
      <c r="G134" s="4745"/>
      <c r="H134" s="1142" t="s">
        <v>228</v>
      </c>
      <c r="I134" s="4828">
        <f>J68</f>
        <v>25.812175218942986</v>
      </c>
      <c r="J134" s="4828">
        <f t="shared" si="13"/>
        <v>0</v>
      </c>
      <c r="K134" s="4835">
        <f>L68</f>
        <v>26.283373947760602</v>
      </c>
      <c r="L134" s="4836">
        <f t="shared" si="14"/>
        <v>0</v>
      </c>
      <c r="M134" s="1141">
        <f>N68</f>
        <v>53.574300020190478</v>
      </c>
      <c r="N134" s="1140">
        <f t="shared" si="15"/>
        <v>0</v>
      </c>
      <c r="O134" s="4835">
        <f>P68</f>
        <v>24.829099178492811</v>
      </c>
      <c r="P134" s="4836">
        <f t="shared" si="16"/>
        <v>0</v>
      </c>
      <c r="Q134" s="1141">
        <f>R68</f>
        <v>46.181792516708725</v>
      </c>
      <c r="R134" s="1140">
        <f t="shared" si="17"/>
        <v>0</v>
      </c>
      <c r="S134" s="4835">
        <f>T68</f>
        <v>1.6556767637135181</v>
      </c>
      <c r="T134" s="4836">
        <f t="shared" si="18"/>
        <v>0</v>
      </c>
      <c r="U134" s="1141">
        <f>V68</f>
        <v>68.558332845148868</v>
      </c>
      <c r="V134" s="1140">
        <f t="shared" si="19"/>
        <v>0</v>
      </c>
      <c r="W134" s="3806">
        <f>X68</f>
        <v>29.152585631496574</v>
      </c>
      <c r="X134" s="3807">
        <f t="shared" si="20"/>
        <v>0</v>
      </c>
      <c r="Y134" s="3000"/>
    </row>
    <row r="135" spans="1:25" ht="15">
      <c r="A135" s="3003"/>
      <c r="B135" s="3003"/>
      <c r="C135" s="3016"/>
      <c r="D135" s="4746" t="s">
        <v>1006</v>
      </c>
      <c r="E135" s="4747"/>
      <c r="F135" s="4747"/>
      <c r="G135" s="4747"/>
      <c r="H135" s="1139" t="s">
        <v>228</v>
      </c>
      <c r="I135" s="4824">
        <f>J71</f>
        <v>22.241064107831875</v>
      </c>
      <c r="J135" s="4824">
        <f t="shared" si="13"/>
        <v>0</v>
      </c>
      <c r="K135" s="4825">
        <f>L71</f>
        <v>20.925726888937071</v>
      </c>
      <c r="L135" s="4826">
        <f t="shared" si="14"/>
        <v>0</v>
      </c>
      <c r="M135" s="1138">
        <f>N71</f>
        <v>42.18930002019048</v>
      </c>
      <c r="N135" s="1137">
        <f t="shared" si="15"/>
        <v>0</v>
      </c>
      <c r="O135" s="4825">
        <f>P71</f>
        <v>21.275099178492813</v>
      </c>
      <c r="P135" s="4826">
        <f t="shared" si="16"/>
        <v>0</v>
      </c>
      <c r="Q135" s="1138">
        <f>R71</f>
        <v>30.313221088137297</v>
      </c>
      <c r="R135" s="1137">
        <f t="shared" si="17"/>
        <v>0</v>
      </c>
      <c r="S135" s="4825">
        <f>T71</f>
        <v>0.51717676371351828</v>
      </c>
      <c r="T135" s="4826">
        <f t="shared" si="18"/>
        <v>0</v>
      </c>
      <c r="U135" s="2996">
        <f>V71</f>
        <v>51.691666178482201</v>
      </c>
      <c r="V135" s="1137">
        <f t="shared" si="19"/>
        <v>0</v>
      </c>
      <c r="W135" s="3808">
        <f>X71</f>
        <v>24.112585631496575</v>
      </c>
      <c r="X135" s="3809">
        <f t="shared" si="20"/>
        <v>0</v>
      </c>
      <c r="Y135" s="3000"/>
    </row>
    <row r="136" spans="1:25">
      <c r="A136" s="3003"/>
      <c r="B136" s="3003"/>
      <c r="C136" s="3016"/>
      <c r="D136" s="4837" t="s">
        <v>1005</v>
      </c>
      <c r="E136" s="4838"/>
      <c r="F136" s="4838"/>
      <c r="G136" s="4838"/>
      <c r="H136" s="1136" t="s">
        <v>1004</v>
      </c>
      <c r="I136" s="4830">
        <f>J59</f>
        <v>27.544085860424349</v>
      </c>
      <c r="J136" s="4830">
        <f t="shared" si="13"/>
        <v>0</v>
      </c>
      <c r="K136" s="4833">
        <f>L59</f>
        <v>10.37611179086648</v>
      </c>
      <c r="L136" s="4834">
        <f t="shared" si="14"/>
        <v>0</v>
      </c>
      <c r="M136" s="1135">
        <f>N59</f>
        <v>53.063667708579054</v>
      </c>
      <c r="N136" s="1134">
        <f t="shared" si="15"/>
        <v>0</v>
      </c>
      <c r="O136" s="4833">
        <f>P59</f>
        <v>54.774355615862063</v>
      </c>
      <c r="P136" s="4834">
        <f t="shared" si="16"/>
        <v>0</v>
      </c>
      <c r="Q136" s="1135">
        <f>R59</f>
        <v>16.460110101631127</v>
      </c>
      <c r="R136" s="1134">
        <f t="shared" si="17"/>
        <v>0</v>
      </c>
      <c r="S136" s="4833">
        <f>T59</f>
        <v>-0.41797591572357906</v>
      </c>
      <c r="T136" s="4834">
        <f t="shared" si="18"/>
        <v>0</v>
      </c>
      <c r="U136" s="1135">
        <f>V59</f>
        <v>20.228010954344214</v>
      </c>
      <c r="V136" s="1134">
        <f t="shared" si="19"/>
        <v>0</v>
      </c>
      <c r="W136" s="3810">
        <f>X59</f>
        <v>0</v>
      </c>
      <c r="X136" s="3811">
        <f t="shared" si="20"/>
        <v>0</v>
      </c>
      <c r="Y136" s="3000"/>
    </row>
    <row r="137" spans="1:25">
      <c r="A137" s="3003"/>
      <c r="B137" s="3003"/>
      <c r="C137" s="3016"/>
      <c r="D137" s="4839" t="s">
        <v>1003</v>
      </c>
      <c r="E137" s="4840"/>
      <c r="F137" s="4840"/>
      <c r="G137" s="4840"/>
      <c r="H137" s="1133" t="s">
        <v>171</v>
      </c>
      <c r="I137" s="4832">
        <f>I62</f>
        <v>472.97089696179779</v>
      </c>
      <c r="J137" s="4832">
        <f t="shared" si="13"/>
        <v>0</v>
      </c>
      <c r="K137" s="4841">
        <f>K62</f>
        <v>269.47988110701573</v>
      </c>
      <c r="L137" s="4842">
        <f t="shared" si="14"/>
        <v>0</v>
      </c>
      <c r="M137" s="4843">
        <f>M62</f>
        <v>705.76133252571344</v>
      </c>
      <c r="N137" s="4844">
        <f t="shared" si="15"/>
        <v>0</v>
      </c>
      <c r="O137" s="4841">
        <f>O62</f>
        <v>642.49008215071899</v>
      </c>
      <c r="P137" s="4842">
        <f t="shared" si="16"/>
        <v>0</v>
      </c>
      <c r="Q137" s="4843">
        <f>Q62</f>
        <v>294.53726191519473</v>
      </c>
      <c r="R137" s="4844">
        <f t="shared" si="17"/>
        <v>0</v>
      </c>
      <c r="S137" s="4841">
        <f>S62</f>
        <v>99.795961181259429</v>
      </c>
      <c r="T137" s="4842">
        <f t="shared" si="18"/>
        <v>0</v>
      </c>
      <c r="U137" s="4843">
        <f>U62</f>
        <v>323.99167984764728</v>
      </c>
      <c r="V137" s="4844">
        <f t="shared" si="19"/>
        <v>0</v>
      </c>
      <c r="W137" s="4635">
        <f>W62</f>
        <v>522.67554818631163</v>
      </c>
      <c r="X137" s="4636">
        <f t="shared" si="20"/>
        <v>0</v>
      </c>
      <c r="Y137" s="3000"/>
    </row>
    <row r="138" spans="1:25">
      <c r="A138" s="3003"/>
      <c r="B138" s="3003"/>
      <c r="C138" s="3016"/>
      <c r="D138" s="3016"/>
      <c r="E138" s="3016"/>
      <c r="F138" s="3016"/>
      <c r="G138" s="3016"/>
      <c r="H138" s="3011"/>
      <c r="I138" s="3012"/>
      <c r="J138" s="3000"/>
      <c r="K138" s="3000"/>
      <c r="L138" s="3000"/>
      <c r="M138" s="3000"/>
      <c r="N138" s="3000"/>
      <c r="O138" s="3000"/>
      <c r="P138" s="3000"/>
      <c r="Q138" s="3000"/>
      <c r="R138" s="3000"/>
      <c r="S138" s="3000"/>
      <c r="T138" s="3000"/>
      <c r="U138" s="3000"/>
      <c r="V138" s="3000"/>
      <c r="W138" s="3791"/>
      <c r="X138" s="3791"/>
      <c r="Y138" s="3003"/>
    </row>
    <row r="139" spans="1:25" ht="23.25">
      <c r="A139" s="3003"/>
      <c r="B139" s="4831"/>
      <c r="C139" s="4831"/>
      <c r="D139" s="4831"/>
      <c r="E139" s="4831"/>
      <c r="F139" s="4831"/>
      <c r="G139" s="4831"/>
      <c r="H139" s="4831"/>
      <c r="I139" s="4831"/>
      <c r="J139" s="4831"/>
      <c r="K139" s="4831"/>
      <c r="L139" s="4831"/>
      <c r="M139" s="4831"/>
      <c r="N139" s="4831"/>
      <c r="O139" s="3002"/>
      <c r="P139" s="3003"/>
      <c r="Q139" s="3002"/>
      <c r="R139" s="3003"/>
      <c r="S139" s="3002"/>
      <c r="T139" s="3003"/>
      <c r="U139" s="3002"/>
      <c r="V139" s="3003"/>
      <c r="W139" s="3812"/>
      <c r="X139" s="3813"/>
      <c r="Y139" s="3003"/>
    </row>
    <row r="140" spans="1:25">
      <c r="A140" s="3003"/>
      <c r="B140" s="3003"/>
      <c r="C140" s="3016"/>
      <c r="D140" s="3016"/>
      <c r="E140" s="3016"/>
      <c r="F140" s="3016"/>
      <c r="G140" s="3016"/>
      <c r="H140" s="3011"/>
      <c r="I140" s="3012"/>
      <c r="J140" s="3000"/>
      <c r="K140" s="3000"/>
      <c r="L140" s="3000"/>
      <c r="M140" s="3000"/>
      <c r="N140" s="3000"/>
      <c r="O140" s="3000"/>
      <c r="P140" s="3000"/>
      <c r="Q140" s="3000"/>
      <c r="R140" s="3000"/>
      <c r="S140" s="3000"/>
      <c r="T140" s="3000"/>
      <c r="U140" s="3000"/>
      <c r="V140" s="3000"/>
      <c r="W140" s="3791"/>
      <c r="X140" s="3791"/>
      <c r="Y140" s="3003"/>
    </row>
    <row r="141" spans="1:25">
      <c r="A141" s="3003"/>
      <c r="B141" s="3003"/>
      <c r="C141" s="3016"/>
      <c r="D141" s="3016"/>
      <c r="E141" s="3016"/>
      <c r="F141" s="3016"/>
      <c r="G141" s="3016"/>
      <c r="H141" s="3011"/>
      <c r="I141" s="3012"/>
      <c r="J141" s="3000"/>
      <c r="K141" s="3000"/>
      <c r="L141" s="3000"/>
      <c r="M141" s="3000"/>
      <c r="N141" s="3000"/>
      <c r="O141" s="3000"/>
      <c r="P141" s="3000"/>
      <c r="Q141" s="3000"/>
      <c r="R141" s="3000"/>
      <c r="S141" s="3000"/>
      <c r="T141" s="3000"/>
      <c r="U141" s="3000"/>
      <c r="V141" s="3000"/>
      <c r="W141" s="3791"/>
      <c r="X141" s="3791"/>
      <c r="Y141" s="3000"/>
    </row>
    <row r="142" spans="1:25">
      <c r="A142" s="3003"/>
      <c r="B142" s="3003"/>
      <c r="C142" s="3016"/>
      <c r="D142" s="3016"/>
      <c r="E142" s="3016"/>
      <c r="F142" s="3016"/>
      <c r="G142" s="3016"/>
      <c r="H142" s="3011"/>
      <c r="I142" s="3012"/>
      <c r="J142" s="3000"/>
      <c r="K142" s="3000"/>
      <c r="L142" s="3000"/>
      <c r="M142" s="3000"/>
      <c r="N142" s="3000"/>
      <c r="O142" s="3000"/>
      <c r="P142" s="3000"/>
      <c r="Q142" s="3025"/>
      <c r="R142" s="3025" t="str">
        <f>$J$9&amp;"dt/ha"</f>
        <v>90dt/ha</v>
      </c>
      <c r="S142" s="3025" t="str">
        <f>$L$9&amp;"dt/ha"</f>
        <v>85dt/ha</v>
      </c>
      <c r="T142" s="3025" t="str">
        <f>$N$9&amp;"dt/ha"</f>
        <v>40dt/ha</v>
      </c>
      <c r="U142" s="3025" t="str">
        <f>$P$9&amp;"dt/ha"</f>
        <v>100dt/ha</v>
      </c>
      <c r="V142" s="3025" t="str">
        <f>$R$9&amp;"dt/ha"</f>
        <v>35dt/ha</v>
      </c>
      <c r="W142" s="3814" t="str">
        <f>$T$9&amp;"dt/ha"</f>
        <v>400dt/ha</v>
      </c>
      <c r="X142" s="3814" t="str">
        <f>$V$9&amp;"dt/ha"</f>
        <v>27dt/ha</v>
      </c>
      <c r="Y142" s="3003"/>
    </row>
    <row r="143" spans="1:25">
      <c r="A143" s="3003"/>
      <c r="B143" s="3003"/>
      <c r="C143" s="3016"/>
      <c r="D143" s="3016"/>
      <c r="E143" s="3016"/>
      <c r="F143" s="3016"/>
      <c r="G143" s="3016"/>
      <c r="H143" s="3011"/>
      <c r="I143" s="3012"/>
      <c r="J143" s="3000"/>
      <c r="K143" s="3000"/>
      <c r="L143" s="3000"/>
      <c r="M143" s="3000"/>
      <c r="N143" s="3000"/>
      <c r="O143" s="3000"/>
      <c r="P143" s="3000"/>
      <c r="Q143" s="3025"/>
      <c r="R143" s="3028" t="str">
        <f>$I$8</f>
        <v>hoch</v>
      </c>
      <c r="S143" s="3028" t="str">
        <f>$K$8</f>
        <v>hoch</v>
      </c>
      <c r="T143" s="3028" t="str">
        <f>$M$8</f>
        <v>mittel</v>
      </c>
      <c r="U143" s="3028" t="str">
        <f>$O$8</f>
        <v>mittel</v>
      </c>
      <c r="V143" s="3028" t="str">
        <f>$Q$8</f>
        <v>mittel</v>
      </c>
      <c r="W143" s="3814" t="str">
        <f>$S$8</f>
        <v>mittel</v>
      </c>
      <c r="X143" s="3815" t="str">
        <f>$U$8</f>
        <v>mittel</v>
      </c>
      <c r="Y143" s="3000"/>
    </row>
    <row r="144" spans="1:25">
      <c r="A144" s="3003"/>
      <c r="B144" s="3003"/>
      <c r="C144" s="3016"/>
      <c r="D144" s="3016"/>
      <c r="E144" s="3016"/>
      <c r="F144" s="3016"/>
      <c r="G144" s="3016"/>
      <c r="H144" s="3011"/>
      <c r="I144" s="3012"/>
      <c r="J144" s="3000"/>
      <c r="K144" s="3000"/>
      <c r="L144" s="3000"/>
      <c r="M144" s="3000"/>
      <c r="N144" s="3000"/>
      <c r="O144" s="3000"/>
      <c r="P144" s="3000"/>
      <c r="Q144" s="3025"/>
      <c r="R144" s="3025" t="str">
        <f>$I$2</f>
        <v>Winterweizen (Brot-)</v>
      </c>
      <c r="S144" s="3025" t="str">
        <f>$K$2</f>
        <v>Wintergerste</v>
      </c>
      <c r="T144" s="3025" t="str">
        <f>$M$2</f>
        <v>Winterraps</v>
      </c>
      <c r="U144" s="3025" t="str">
        <f>$O$2</f>
        <v xml:space="preserve">Körnermais </v>
      </c>
      <c r="V144" s="3025" t="str">
        <f>$Q$2</f>
        <v xml:space="preserve">Futtererbsen </v>
      </c>
      <c r="W144" s="3814" t="str">
        <f>$S$2</f>
        <v xml:space="preserve">Kleegras einjährig (70:30) </v>
      </c>
      <c r="X144" s="3814" t="str">
        <f>$U$2</f>
        <v xml:space="preserve">Sojabohne </v>
      </c>
      <c r="Y144" s="3003"/>
    </row>
    <row r="145" spans="1:25">
      <c r="A145" s="3003"/>
      <c r="B145" s="3003"/>
      <c r="C145" s="3016"/>
      <c r="D145" s="3016"/>
      <c r="E145" s="3016"/>
      <c r="F145" s="3016"/>
      <c r="G145" s="3016"/>
      <c r="H145" s="3011"/>
      <c r="I145" s="3012"/>
      <c r="J145" s="3000"/>
      <c r="K145" s="3000"/>
      <c r="L145" s="3000"/>
      <c r="M145" s="3000"/>
      <c r="N145" s="3000"/>
      <c r="O145" s="3000"/>
      <c r="P145" s="3000"/>
      <c r="Q145" s="3026" t="s">
        <v>1617</v>
      </c>
      <c r="R145" s="3027">
        <f>I124</f>
        <v>776.89841544823526</v>
      </c>
      <c r="S145" s="3027">
        <f>K124</f>
        <v>425.0366205341179</v>
      </c>
      <c r="T145" s="3027">
        <f>M124</f>
        <v>859.88314033294046</v>
      </c>
      <c r="U145" s="3027">
        <f>O124</f>
        <v>855.20052224313736</v>
      </c>
      <c r="V145" s="3027">
        <f>Q124</f>
        <v>277.67927903435304</v>
      </c>
      <c r="W145" s="3816">
        <f>S124</f>
        <v>234.17327299630261</v>
      </c>
      <c r="X145" s="3817">
        <f>U124</f>
        <v>407.27406265882382</v>
      </c>
      <c r="Y145" s="3003"/>
    </row>
    <row r="146" spans="1:25">
      <c r="A146" s="3003"/>
      <c r="B146" s="3003"/>
      <c r="C146" s="3016"/>
      <c r="D146" s="3016"/>
      <c r="E146" s="3016"/>
      <c r="F146" s="3016"/>
      <c r="G146" s="3016"/>
      <c r="H146" s="3011"/>
      <c r="I146" s="3012"/>
      <c r="J146" s="3000"/>
      <c r="K146" s="3000"/>
      <c r="L146" s="3000"/>
      <c r="M146" s="3000"/>
      <c r="N146" s="3000"/>
      <c r="O146" s="3000"/>
      <c r="P146" s="3000"/>
      <c r="Q146" s="3026" t="s">
        <v>1616</v>
      </c>
      <c r="R146" s="3027">
        <f>I125</f>
        <v>1082.6522302951312</v>
      </c>
      <c r="S146" s="3027">
        <f>K125</f>
        <v>865.66121444034923</v>
      </c>
      <c r="T146" s="3027">
        <f>M125</f>
        <v>1300.9706658590471</v>
      </c>
      <c r="U146" s="3027">
        <f>O125</f>
        <v>1197.1994154840522</v>
      </c>
      <c r="V146" s="3027">
        <f>Q125</f>
        <v>826.65299524852821</v>
      </c>
      <c r="W146" s="3816">
        <f>S125</f>
        <v>692.3052945145929</v>
      </c>
      <c r="X146" s="3817">
        <f>U125</f>
        <v>854.29301318098067</v>
      </c>
      <c r="Y146" s="3000"/>
    </row>
    <row r="147" spans="1:25">
      <c r="A147" s="3003"/>
      <c r="B147" s="3003"/>
      <c r="C147" s="3016"/>
      <c r="D147" s="3016"/>
      <c r="E147" s="3016"/>
      <c r="F147" s="3016"/>
      <c r="G147" s="3016"/>
      <c r="H147" s="3011"/>
      <c r="I147" s="3012"/>
      <c r="J147" s="3000"/>
      <c r="K147" s="3000"/>
      <c r="L147" s="3000"/>
      <c r="M147" s="3000"/>
      <c r="N147" s="3000"/>
      <c r="O147" s="3000"/>
      <c r="P147" s="3000"/>
      <c r="Q147" s="3000"/>
      <c r="R147" s="3000"/>
      <c r="S147" s="3000"/>
      <c r="T147" s="3000"/>
      <c r="U147" s="3000"/>
      <c r="V147" s="3000"/>
      <c r="W147" s="3791"/>
      <c r="X147" s="3791"/>
      <c r="Y147" s="3003"/>
    </row>
    <row r="148" spans="1:25">
      <c r="A148" s="3003"/>
      <c r="B148" s="3003"/>
      <c r="C148" s="3016"/>
      <c r="D148" s="3016"/>
      <c r="E148" s="3016"/>
      <c r="F148" s="3016"/>
      <c r="G148" s="3016"/>
      <c r="H148" s="3011"/>
      <c r="I148" s="3012"/>
      <c r="J148" s="3000"/>
      <c r="K148" s="3000"/>
      <c r="L148" s="3000"/>
      <c r="M148" s="3000"/>
      <c r="N148" s="3000"/>
      <c r="O148" s="3000"/>
      <c r="P148" s="3000"/>
      <c r="Q148" s="3000"/>
      <c r="R148" s="3000"/>
      <c r="S148" s="3000"/>
      <c r="T148" s="3000"/>
      <c r="U148" s="3000"/>
      <c r="V148" s="3000"/>
      <c r="W148" s="3791"/>
      <c r="X148" s="3791"/>
      <c r="Y148" s="3003"/>
    </row>
    <row r="149" spans="1:25">
      <c r="A149" s="3003"/>
      <c r="C149" s="1132"/>
      <c r="D149" s="33"/>
      <c r="E149" s="33"/>
      <c r="F149" s="33"/>
      <c r="G149" s="33"/>
      <c r="O149" s="3000"/>
      <c r="P149" s="3000"/>
      <c r="Q149" s="3000"/>
      <c r="R149" s="3000"/>
      <c r="S149" s="3000"/>
      <c r="T149" s="3000"/>
      <c r="U149" s="3000"/>
      <c r="V149" s="3000"/>
      <c r="W149" s="3791"/>
      <c r="X149" s="3791"/>
      <c r="Y149" s="3003"/>
    </row>
    <row r="150" spans="1:25">
      <c r="A150" s="3003"/>
      <c r="C150" s="1132"/>
      <c r="D150" s="33"/>
      <c r="E150" s="33"/>
      <c r="F150" s="33"/>
      <c r="G150" s="33"/>
      <c r="O150" s="3000"/>
      <c r="P150" s="3000"/>
      <c r="Q150" s="3000"/>
      <c r="R150" s="3000"/>
      <c r="S150" s="3000"/>
      <c r="T150" s="3000"/>
      <c r="U150" s="3000"/>
      <c r="V150" s="3000"/>
      <c r="W150" s="3791"/>
      <c r="X150" s="3791"/>
      <c r="Y150" s="3003"/>
    </row>
    <row r="151" spans="1:25">
      <c r="A151" s="3003"/>
      <c r="C151" s="1132"/>
      <c r="D151" s="33"/>
      <c r="E151" s="33"/>
      <c r="F151" s="33"/>
      <c r="G151" s="33"/>
      <c r="O151" s="3000"/>
      <c r="P151" s="3000"/>
      <c r="Q151" s="3000"/>
      <c r="R151" s="3000"/>
      <c r="S151" s="3000"/>
      <c r="T151" s="3000"/>
      <c r="U151" s="3000"/>
      <c r="V151" s="3000"/>
      <c r="W151" s="3791"/>
      <c r="X151" s="3791"/>
      <c r="Y151" s="3003"/>
    </row>
    <row r="152" spans="1:25" ht="162.6" customHeight="1">
      <c r="A152" s="3003"/>
      <c r="C152" s="1132"/>
      <c r="D152" s="33"/>
      <c r="E152" s="33"/>
      <c r="F152" s="33"/>
      <c r="G152" s="33"/>
      <c r="O152" s="3000"/>
      <c r="P152" s="3000"/>
      <c r="Q152" s="3000"/>
      <c r="R152" s="3000"/>
      <c r="S152" s="3000"/>
      <c r="T152" s="3000"/>
      <c r="U152" s="3000"/>
      <c r="V152" s="3000"/>
      <c r="W152" s="3791"/>
      <c r="X152" s="3791"/>
      <c r="Y152" s="3003"/>
    </row>
    <row r="153" spans="1:25">
      <c r="A153" s="3003"/>
      <c r="C153" s="1132"/>
      <c r="D153" s="33"/>
      <c r="E153" s="33"/>
      <c r="F153" s="33"/>
      <c r="G153" s="33"/>
      <c r="O153" s="3000"/>
      <c r="P153" s="3000"/>
      <c r="Q153" s="3000"/>
      <c r="R153" s="3000"/>
      <c r="S153" s="3000"/>
      <c r="T153" s="3000"/>
      <c r="U153" s="3000"/>
      <c r="V153" s="3000"/>
      <c r="W153" s="3791"/>
      <c r="X153" s="3791"/>
      <c r="Y153" s="3003"/>
    </row>
    <row r="154" spans="1:25">
      <c r="A154" s="3003"/>
      <c r="C154" s="1132"/>
      <c r="D154" s="33"/>
      <c r="E154" s="33"/>
      <c r="F154" s="33"/>
      <c r="G154" s="33"/>
      <c r="O154" s="3000"/>
      <c r="P154" s="3000"/>
      <c r="Q154" s="3000"/>
      <c r="R154" s="3000"/>
      <c r="S154" s="3000"/>
      <c r="T154" s="3000"/>
      <c r="U154" s="3000"/>
      <c r="V154" s="3000"/>
      <c r="W154" s="3791"/>
      <c r="X154" s="3791"/>
      <c r="Y154" s="3003"/>
    </row>
    <row r="155" spans="1:25">
      <c r="A155" s="3003"/>
      <c r="C155" s="1132"/>
      <c r="D155" s="33"/>
      <c r="E155" s="33"/>
      <c r="F155" s="33"/>
      <c r="G155" s="33"/>
      <c r="O155" s="3000"/>
      <c r="P155" s="3000"/>
      <c r="Q155" s="3000"/>
      <c r="R155" s="3000"/>
      <c r="S155" s="3000"/>
      <c r="T155" s="3000"/>
      <c r="U155" s="3000"/>
      <c r="V155" s="3000"/>
      <c r="W155" s="3791"/>
      <c r="X155" s="3791"/>
      <c r="Y155" s="3003"/>
    </row>
    <row r="156" spans="1:25">
      <c r="A156" s="3003"/>
      <c r="C156" s="1132"/>
      <c r="D156" s="33"/>
      <c r="E156" s="33"/>
      <c r="F156" s="33"/>
      <c r="G156" s="33"/>
      <c r="O156" s="3000"/>
      <c r="P156" s="3000"/>
      <c r="Q156" s="3000"/>
      <c r="R156" s="3000"/>
      <c r="S156" s="3000"/>
      <c r="T156" s="3000"/>
      <c r="U156" s="3000"/>
      <c r="V156" s="3000"/>
      <c r="W156" s="3791"/>
      <c r="X156" s="3791"/>
      <c r="Y156" s="3003"/>
    </row>
    <row r="157" spans="1:25">
      <c r="A157" s="3003"/>
      <c r="C157" s="1132"/>
      <c r="D157" s="33"/>
      <c r="E157" s="33"/>
      <c r="F157" s="33"/>
      <c r="G157" s="33"/>
      <c r="O157" s="3000"/>
      <c r="P157" s="3000"/>
      <c r="Q157" s="3000"/>
      <c r="R157" s="3000"/>
      <c r="S157" s="3000"/>
      <c r="T157" s="3000"/>
      <c r="U157" s="3000"/>
      <c r="V157" s="3000"/>
      <c r="W157" s="3791"/>
      <c r="X157" s="3791"/>
      <c r="Y157" s="3003"/>
    </row>
    <row r="158" spans="1:25">
      <c r="A158" s="3003"/>
      <c r="C158" s="1132"/>
      <c r="D158" s="33"/>
      <c r="E158" s="33"/>
      <c r="F158" s="33"/>
      <c r="G158" s="33"/>
      <c r="O158" s="3000"/>
      <c r="P158" s="3000"/>
      <c r="Q158" s="3000"/>
      <c r="R158" s="3000"/>
      <c r="S158" s="3000"/>
      <c r="T158" s="3000"/>
      <c r="U158" s="3000"/>
      <c r="V158" s="3000"/>
      <c r="W158" s="3791"/>
      <c r="X158" s="3791"/>
      <c r="Y158" s="3003"/>
    </row>
    <row r="159" spans="1:25">
      <c r="A159" s="3003"/>
      <c r="C159" s="1132"/>
      <c r="D159" s="33"/>
      <c r="E159" s="33"/>
      <c r="F159" s="33"/>
      <c r="G159" s="33"/>
      <c r="O159" s="3000"/>
      <c r="P159" s="3000"/>
      <c r="Q159" s="3000"/>
      <c r="R159" s="3000"/>
      <c r="S159" s="3000"/>
      <c r="T159" s="3000"/>
      <c r="U159" s="3000"/>
      <c r="V159" s="3000"/>
      <c r="W159" s="3791"/>
      <c r="X159" s="3791"/>
      <c r="Y159" s="3003"/>
    </row>
    <row r="160" spans="1:25">
      <c r="A160" s="3003"/>
      <c r="C160" s="1132"/>
      <c r="D160" s="33"/>
      <c r="E160" s="33"/>
      <c r="F160" s="33"/>
      <c r="G160" s="33"/>
      <c r="O160" s="3000"/>
      <c r="P160" s="3000"/>
      <c r="Q160" s="3000"/>
      <c r="R160" s="3000"/>
      <c r="S160" s="3000"/>
      <c r="T160" s="3000"/>
      <c r="U160" s="3000"/>
      <c r="V160" s="3000"/>
      <c r="W160" s="3791"/>
      <c r="X160" s="3791"/>
      <c r="Y160" s="3003"/>
    </row>
    <row r="161" spans="1:25">
      <c r="A161" s="3003"/>
      <c r="C161" s="1132"/>
      <c r="D161" s="33"/>
      <c r="E161" s="33"/>
      <c r="F161" s="33"/>
      <c r="G161" s="33"/>
      <c r="O161" s="3000"/>
      <c r="P161" s="3000"/>
      <c r="Q161" s="3000"/>
      <c r="R161" s="3000"/>
      <c r="S161" s="3000"/>
      <c r="T161" s="3000"/>
      <c r="U161" s="3000"/>
      <c r="V161" s="3000"/>
      <c r="W161" s="3791"/>
      <c r="X161" s="3791"/>
      <c r="Y161" s="3003"/>
    </row>
    <row r="162" spans="1:25">
      <c r="A162" s="3003"/>
      <c r="C162" s="1132"/>
      <c r="D162" s="33"/>
      <c r="E162" s="33"/>
      <c r="F162" s="33"/>
      <c r="G162" s="33"/>
      <c r="O162" s="3000"/>
      <c r="P162" s="3000"/>
      <c r="Q162" s="3000"/>
      <c r="R162" s="3000"/>
      <c r="S162" s="3000"/>
      <c r="T162" s="3000"/>
      <c r="U162" s="3000"/>
      <c r="V162" s="3000"/>
      <c r="W162" s="3791"/>
      <c r="X162" s="3791"/>
      <c r="Y162" s="3003"/>
    </row>
    <row r="163" spans="1:25">
      <c r="A163" s="3003"/>
      <c r="C163" s="1132"/>
      <c r="D163" s="33"/>
      <c r="E163" s="33"/>
      <c r="F163" s="33"/>
      <c r="G163" s="33"/>
      <c r="O163" s="3000"/>
      <c r="P163" s="3000"/>
      <c r="Q163" s="3000"/>
      <c r="R163" s="3000"/>
      <c r="S163" s="3000"/>
      <c r="T163" s="3000"/>
      <c r="U163" s="3000"/>
      <c r="V163" s="3000"/>
      <c r="W163" s="3791"/>
      <c r="X163" s="3791"/>
      <c r="Y163" s="3003"/>
    </row>
    <row r="164" spans="1:25" ht="17.45" customHeight="1">
      <c r="A164" s="3003"/>
      <c r="C164" s="1132"/>
      <c r="D164" s="33"/>
      <c r="E164" s="33"/>
      <c r="F164" s="33"/>
      <c r="G164" s="33"/>
      <c r="O164" s="3000"/>
      <c r="P164" s="3000"/>
      <c r="Q164" s="3000"/>
      <c r="R164" s="3000"/>
      <c r="S164" s="3000"/>
      <c r="T164" s="3000"/>
      <c r="U164" s="3000"/>
      <c r="V164" s="3000"/>
      <c r="W164" s="3791"/>
      <c r="X164" s="3791"/>
      <c r="Y164" s="3003"/>
    </row>
    <row r="165" spans="1:25" ht="29.25" customHeight="1">
      <c r="B165" s="4827"/>
      <c r="C165" s="4827"/>
      <c r="D165" s="4827"/>
      <c r="E165" s="4827"/>
      <c r="F165" s="4827"/>
      <c r="G165" s="4827"/>
      <c r="H165" s="4827"/>
      <c r="I165" s="4827"/>
      <c r="J165" s="4827"/>
      <c r="K165" s="4827"/>
      <c r="L165" s="4827"/>
      <c r="M165" s="4827"/>
      <c r="N165" s="4827"/>
      <c r="O165" s="3002"/>
      <c r="P165" s="3000"/>
      <c r="Q165" s="3000"/>
      <c r="R165" s="3000"/>
      <c r="S165" s="3000"/>
      <c r="T165" s="3000"/>
      <c r="U165" s="3000"/>
      <c r="V165" s="3000"/>
      <c r="W165" s="3791"/>
      <c r="X165" s="3791"/>
      <c r="Y165" s="3003"/>
    </row>
    <row r="166" spans="1:25">
      <c r="C166" s="1132"/>
      <c r="D166" s="33"/>
      <c r="E166" s="33"/>
      <c r="F166" s="33"/>
      <c r="G166" s="33"/>
      <c r="O166" s="3000"/>
      <c r="P166" s="3003"/>
      <c r="Q166" s="3002"/>
      <c r="R166" s="3003"/>
      <c r="S166" s="3002"/>
      <c r="T166" s="3003"/>
      <c r="U166" s="3002"/>
      <c r="V166" s="3003"/>
      <c r="W166" s="3812"/>
      <c r="X166" s="3813"/>
      <c r="Y166" s="3003"/>
    </row>
    <row r="167" spans="1:25">
      <c r="C167" s="1132"/>
      <c r="D167" s="33"/>
      <c r="E167" s="33"/>
      <c r="F167" s="33"/>
      <c r="G167" s="33"/>
      <c r="O167" s="3000"/>
      <c r="P167" s="3000"/>
      <c r="Q167" s="3000"/>
      <c r="R167" s="3000"/>
      <c r="S167" s="3000"/>
      <c r="T167" s="3000"/>
      <c r="U167" s="3000"/>
      <c r="V167" s="3000"/>
      <c r="W167" s="3791"/>
      <c r="X167" s="3791"/>
      <c r="Y167" s="3003"/>
    </row>
    <row r="168" spans="1:25">
      <c r="C168" s="1132"/>
      <c r="D168" s="33"/>
      <c r="E168" s="33"/>
      <c r="F168" s="33"/>
      <c r="G168" s="33"/>
      <c r="O168" s="3000"/>
      <c r="P168" s="3000"/>
      <c r="Q168" s="3000"/>
      <c r="R168" s="3000"/>
      <c r="S168" s="3000"/>
      <c r="T168" s="3000"/>
      <c r="U168" s="3000"/>
      <c r="V168" s="3000"/>
      <c r="W168" s="3791"/>
      <c r="X168" s="3791"/>
      <c r="Y168" s="3003"/>
    </row>
    <row r="169" spans="1:25">
      <c r="C169" s="1132"/>
      <c r="D169" s="33"/>
      <c r="E169" s="33"/>
      <c r="F169" s="33"/>
      <c r="G169" s="33"/>
      <c r="O169" s="3000"/>
      <c r="P169" s="3000"/>
      <c r="Q169" s="3000"/>
      <c r="R169" s="3000"/>
      <c r="S169" s="3000"/>
      <c r="T169" s="3000"/>
      <c r="U169" s="3000"/>
      <c r="V169" s="3000"/>
      <c r="W169" s="3791"/>
      <c r="X169" s="3791"/>
      <c r="Y169" s="3003"/>
    </row>
    <row r="170" spans="1:25">
      <c r="A170" s="3003"/>
      <c r="B170" s="3003"/>
      <c r="C170" s="3016"/>
      <c r="D170" s="3016"/>
      <c r="E170" s="3016"/>
      <c r="F170" s="3016"/>
      <c r="G170" s="3016"/>
      <c r="H170" s="3011"/>
      <c r="I170" s="3012"/>
      <c r="J170" s="3000"/>
      <c r="K170" s="3000"/>
      <c r="L170" s="3000"/>
      <c r="M170" s="3000"/>
      <c r="N170" s="3000"/>
      <c r="O170" s="3000"/>
      <c r="P170" s="3000"/>
      <c r="Q170" s="3000"/>
      <c r="R170" s="3000"/>
      <c r="S170" s="3000"/>
      <c r="T170" s="3000"/>
      <c r="U170" s="3000"/>
      <c r="V170" s="3000"/>
      <c r="W170" s="3791"/>
      <c r="X170" s="3791"/>
      <c r="Y170" s="3003"/>
    </row>
    <row r="171" spans="1:25">
      <c r="A171" s="3003"/>
      <c r="B171" s="3003"/>
      <c r="C171" s="3016"/>
      <c r="D171" s="3016"/>
      <c r="E171" s="3016"/>
      <c r="F171" s="3016"/>
      <c r="G171" s="3016"/>
      <c r="H171" s="3011"/>
      <c r="I171" s="3012"/>
      <c r="J171" s="3000"/>
      <c r="K171" s="3000"/>
      <c r="L171" s="3000"/>
      <c r="M171" s="3000"/>
      <c r="N171" s="3000"/>
      <c r="O171" s="3000"/>
      <c r="P171" s="3000"/>
      <c r="Q171" s="3000"/>
      <c r="R171" s="3000"/>
      <c r="S171" s="3000"/>
      <c r="T171" s="3000"/>
      <c r="U171" s="3000"/>
      <c r="V171" s="3000"/>
      <c r="W171" s="3791"/>
      <c r="X171" s="3791"/>
      <c r="Y171" s="3003"/>
    </row>
    <row r="172" spans="1:25" ht="18.600000000000001" customHeight="1">
      <c r="A172" s="3003"/>
      <c r="B172" s="3003"/>
      <c r="C172" s="3016"/>
      <c r="D172" s="3016"/>
      <c r="E172" s="3016"/>
      <c r="F172" s="3016"/>
      <c r="G172" s="3016"/>
      <c r="H172" s="3011"/>
      <c r="I172" s="3012"/>
      <c r="J172" s="3000"/>
      <c r="K172" s="3000"/>
      <c r="L172" s="3000"/>
      <c r="M172" s="3000"/>
      <c r="N172" s="3000"/>
      <c r="O172" s="3000"/>
      <c r="P172" s="3000"/>
      <c r="Q172" s="3000"/>
      <c r="R172" s="3000"/>
      <c r="S172" s="3000"/>
      <c r="T172" s="3000"/>
      <c r="U172" s="3000"/>
      <c r="V172" s="3000"/>
      <c r="W172" s="3791"/>
      <c r="X172" s="3791"/>
      <c r="Y172" s="3003"/>
    </row>
    <row r="173" spans="1:25">
      <c r="A173" s="3003"/>
      <c r="B173" s="3003"/>
      <c r="C173" s="3016"/>
      <c r="D173" s="3016"/>
      <c r="E173" s="3016"/>
      <c r="F173" s="3016"/>
      <c r="G173" s="3016"/>
      <c r="H173" s="3011"/>
      <c r="I173" s="3012"/>
      <c r="J173" s="3000"/>
      <c r="K173" s="3000"/>
      <c r="L173" s="3000"/>
      <c r="M173" s="3000"/>
      <c r="N173" s="3000"/>
      <c r="O173" s="3000"/>
      <c r="P173" s="3000"/>
      <c r="Q173" s="3000"/>
      <c r="R173" s="3025" t="str">
        <f>$J$9&amp;"dt/ha"</f>
        <v>90dt/ha</v>
      </c>
      <c r="S173" s="3025" t="str">
        <f>$L$9&amp;"dt/ha"</f>
        <v>85dt/ha</v>
      </c>
      <c r="T173" s="3025" t="str">
        <f>$N$9&amp;"dt/ha"</f>
        <v>40dt/ha</v>
      </c>
      <c r="U173" s="3025" t="str">
        <f>$P$9&amp;"dt/ha"</f>
        <v>100dt/ha</v>
      </c>
      <c r="V173" s="3025" t="str">
        <f>$R$9&amp;"dt/ha"</f>
        <v>35dt/ha</v>
      </c>
      <c r="W173" s="3791" t="str">
        <f>$T$9&amp;"dt/ha"</f>
        <v>400dt/ha</v>
      </c>
      <c r="X173" s="3814" t="str">
        <f>$V$9&amp;"dt/ha"</f>
        <v>27dt/ha</v>
      </c>
      <c r="Y173" s="3003"/>
    </row>
    <row r="174" spans="1:25">
      <c r="A174" s="3003"/>
      <c r="B174" s="3003"/>
      <c r="C174" s="3003"/>
      <c r="D174" s="3009"/>
      <c r="E174" s="3010"/>
      <c r="F174" s="3000"/>
      <c r="G174" s="3000"/>
      <c r="H174" s="3011"/>
      <c r="I174" s="3012"/>
      <c r="J174" s="3000"/>
      <c r="K174" s="3000"/>
      <c r="L174" s="3000"/>
      <c r="M174" s="3000"/>
      <c r="N174" s="3000"/>
      <c r="O174" s="3000"/>
      <c r="P174" s="3000"/>
      <c r="Q174" s="3025"/>
      <c r="R174" s="3028" t="str">
        <f>$I$8</f>
        <v>hoch</v>
      </c>
      <c r="S174" s="3028" t="str">
        <f>$K$8</f>
        <v>hoch</v>
      </c>
      <c r="T174" s="3028" t="str">
        <f>$M$8</f>
        <v>mittel</v>
      </c>
      <c r="U174" s="3028" t="str">
        <f>$O$8</f>
        <v>mittel</v>
      </c>
      <c r="V174" s="3028" t="str">
        <f>$Q$8</f>
        <v>mittel</v>
      </c>
      <c r="W174" s="3814" t="str">
        <f>$S$8</f>
        <v>mittel</v>
      </c>
      <c r="X174" s="3815" t="str">
        <f>$U$8</f>
        <v>mittel</v>
      </c>
      <c r="Y174" s="3003"/>
    </row>
    <row r="175" spans="1:25">
      <c r="A175" s="3003"/>
      <c r="B175" s="3003"/>
      <c r="C175" s="3003"/>
      <c r="D175" s="3009"/>
      <c r="E175" s="3010"/>
      <c r="F175" s="3000"/>
      <c r="G175" s="3000"/>
      <c r="H175" s="3011"/>
      <c r="I175" s="3012"/>
      <c r="J175" s="3000"/>
      <c r="K175" s="3000"/>
      <c r="L175" s="3000"/>
      <c r="M175" s="3000"/>
      <c r="N175" s="3000"/>
      <c r="O175" s="3000"/>
      <c r="P175" s="3000"/>
      <c r="Q175" s="3025"/>
      <c r="R175" s="3025" t="str">
        <f>$I$2</f>
        <v>Winterweizen (Brot-)</v>
      </c>
      <c r="S175" s="3025" t="str">
        <f>$K$2</f>
        <v>Wintergerste</v>
      </c>
      <c r="T175" s="3025" t="str">
        <f>$M$2</f>
        <v>Winterraps</v>
      </c>
      <c r="U175" s="3025" t="str">
        <f>$O$2</f>
        <v xml:space="preserve">Körnermais </v>
      </c>
      <c r="V175" s="3025" t="str">
        <f>$Q$2</f>
        <v xml:space="preserve">Futtererbsen </v>
      </c>
      <c r="W175" s="3814" t="str">
        <f>$S$2</f>
        <v xml:space="preserve">Kleegras einjährig (70:30) </v>
      </c>
      <c r="X175" s="3814" t="str">
        <f>$U$2</f>
        <v xml:space="preserve">Sojabohne </v>
      </c>
      <c r="Y175" s="3003"/>
    </row>
    <row r="176" spans="1:25">
      <c r="A176" s="3003"/>
      <c r="B176" s="3003"/>
      <c r="C176" s="3003"/>
      <c r="D176" s="3009"/>
      <c r="E176" s="3010"/>
      <c r="F176" s="3000"/>
      <c r="G176" s="3000"/>
      <c r="H176" s="3011"/>
      <c r="I176" s="3012"/>
      <c r="J176" s="3000"/>
      <c r="K176" s="3000"/>
      <c r="L176" s="3000"/>
      <c r="M176" s="3000"/>
      <c r="N176" s="3000"/>
      <c r="O176" s="3000"/>
      <c r="P176" s="3000"/>
      <c r="Q176" s="3026" t="s">
        <v>1617</v>
      </c>
      <c r="R176" s="3029">
        <f>J68</f>
        <v>25.812175218942986</v>
      </c>
      <c r="S176" s="3030">
        <f>L68</f>
        <v>26.283373947760602</v>
      </c>
      <c r="T176" s="3029">
        <f>N68</f>
        <v>53.574300020190478</v>
      </c>
      <c r="U176" s="3030">
        <f>P68</f>
        <v>24.829099178492811</v>
      </c>
      <c r="V176" s="3029">
        <f>R68</f>
        <v>46.181792516708725</v>
      </c>
      <c r="W176" s="3816">
        <f>T68</f>
        <v>1.6556767637135181</v>
      </c>
      <c r="X176" s="3818">
        <f>V68</f>
        <v>68.558332845148868</v>
      </c>
      <c r="Y176" s="3003"/>
    </row>
    <row r="177" spans="1:25">
      <c r="A177" s="3003"/>
      <c r="B177" s="3003"/>
      <c r="C177" s="3003"/>
      <c r="D177" s="3009"/>
      <c r="E177" s="3010"/>
      <c r="F177" s="3000"/>
      <c r="G177" s="3000"/>
      <c r="H177" s="3011"/>
      <c r="I177" s="3012"/>
      <c r="J177" s="3000"/>
      <c r="K177" s="3000"/>
      <c r="L177" s="3000"/>
      <c r="M177" s="3000"/>
      <c r="N177" s="3000"/>
      <c r="O177" s="3000"/>
      <c r="P177" s="3000"/>
      <c r="Q177" s="3026" t="s">
        <v>1616</v>
      </c>
      <c r="R177" s="3029">
        <f>J71</f>
        <v>22.241064107831875</v>
      </c>
      <c r="S177" s="3030">
        <f>L71</f>
        <v>20.925726888937071</v>
      </c>
      <c r="T177" s="3029">
        <f>N71</f>
        <v>42.18930002019048</v>
      </c>
      <c r="U177" s="3030">
        <f>P71</f>
        <v>21.275099178492813</v>
      </c>
      <c r="V177" s="3029">
        <f>R71</f>
        <v>30.313221088137297</v>
      </c>
      <c r="W177" s="3816">
        <f>T71</f>
        <v>0.51717676371351828</v>
      </c>
      <c r="X177" s="3818">
        <f>V71</f>
        <v>51.691666178482201</v>
      </c>
      <c r="Y177" s="3003"/>
    </row>
    <row r="178" spans="1:25">
      <c r="A178" s="3003"/>
      <c r="B178" s="3003"/>
      <c r="C178" s="3003"/>
      <c r="D178" s="3009"/>
      <c r="E178" s="3010"/>
      <c r="F178" s="3000"/>
      <c r="G178" s="3000"/>
      <c r="H178" s="3011"/>
      <c r="I178" s="3012"/>
      <c r="J178" s="3000"/>
      <c r="K178" s="3000"/>
      <c r="L178" s="3000"/>
      <c r="M178" s="3000"/>
      <c r="N178" s="3000"/>
      <c r="O178" s="3000"/>
      <c r="P178" s="3000"/>
      <c r="Q178" s="3000"/>
      <c r="R178" s="3000"/>
      <c r="S178" s="3000"/>
      <c r="T178" s="3000"/>
      <c r="U178" s="3000"/>
      <c r="V178" s="3000"/>
      <c r="W178" s="3791"/>
      <c r="X178" s="3791"/>
      <c r="Y178" s="3003"/>
    </row>
    <row r="179" spans="1:25">
      <c r="A179" s="3003"/>
      <c r="B179" s="3003"/>
      <c r="C179" s="3003"/>
      <c r="D179" s="3009"/>
      <c r="E179" s="3010"/>
      <c r="F179" s="3000"/>
      <c r="G179" s="3000"/>
      <c r="H179" s="3011"/>
      <c r="I179" s="3012"/>
      <c r="J179" s="3000"/>
      <c r="K179" s="3000"/>
      <c r="L179" s="3000"/>
      <c r="M179" s="3000"/>
      <c r="N179" s="3000"/>
      <c r="O179" s="3000"/>
      <c r="P179" s="3000"/>
      <c r="Q179" s="3000"/>
      <c r="R179" s="3000"/>
      <c r="S179" s="3000"/>
      <c r="T179" s="3000"/>
      <c r="U179" s="3000"/>
      <c r="V179" s="3000"/>
      <c r="W179" s="3791"/>
      <c r="X179" s="3791"/>
      <c r="Y179" s="3003"/>
    </row>
    <row r="180" spans="1:25">
      <c r="A180" s="3003"/>
      <c r="B180" s="3003"/>
      <c r="C180" s="3003"/>
      <c r="D180" s="3009"/>
      <c r="E180" s="3010"/>
      <c r="F180" s="3000"/>
      <c r="G180" s="3000"/>
      <c r="H180" s="3011"/>
      <c r="I180" s="3012"/>
      <c r="J180" s="3000"/>
      <c r="K180" s="3000"/>
      <c r="L180" s="3000"/>
      <c r="M180" s="3000"/>
      <c r="N180" s="3000"/>
      <c r="O180" s="3000"/>
      <c r="P180" s="3000"/>
      <c r="Q180" s="3000"/>
      <c r="R180" s="3000"/>
      <c r="S180" s="3000"/>
      <c r="T180" s="3000"/>
      <c r="U180" s="3000"/>
      <c r="V180" s="3000"/>
      <c r="W180" s="3791"/>
      <c r="X180" s="3791"/>
      <c r="Y180" s="3003"/>
    </row>
    <row r="181" spans="1:25">
      <c r="A181" s="3003"/>
      <c r="B181" s="3003"/>
      <c r="C181" s="3003"/>
      <c r="D181" s="3009"/>
      <c r="E181" s="3010"/>
      <c r="F181" s="3000"/>
      <c r="G181" s="3000"/>
      <c r="H181" s="3011"/>
      <c r="I181" s="3012"/>
      <c r="J181" s="3000"/>
      <c r="K181" s="3000"/>
      <c r="L181" s="3000"/>
      <c r="M181" s="3000"/>
      <c r="N181" s="3000"/>
      <c r="O181" s="3000"/>
      <c r="P181" s="3000"/>
      <c r="Q181" s="3000"/>
      <c r="R181" s="3000"/>
      <c r="S181" s="3000"/>
      <c r="T181" s="3000"/>
      <c r="U181" s="3000"/>
      <c r="V181" s="3000"/>
      <c r="W181" s="3791"/>
      <c r="X181" s="3791"/>
      <c r="Y181" s="3003"/>
    </row>
    <row r="182" spans="1:25">
      <c r="E182" s="126"/>
      <c r="O182" s="3000"/>
      <c r="P182" s="3000"/>
      <c r="Q182" s="3000"/>
      <c r="R182" s="3000"/>
      <c r="S182" s="3000"/>
      <c r="T182" s="3000"/>
      <c r="U182" s="3000"/>
      <c r="V182" s="3000"/>
      <c r="W182" s="3791"/>
      <c r="X182" s="3791"/>
      <c r="Y182" s="3003"/>
    </row>
    <row r="183" spans="1:25">
      <c r="E183" s="126"/>
      <c r="O183" s="3000"/>
      <c r="P183" s="3000"/>
      <c r="Q183" s="3000"/>
      <c r="R183" s="3000"/>
      <c r="S183" s="3000"/>
      <c r="T183" s="3000"/>
      <c r="U183" s="3000"/>
      <c r="V183" s="3000"/>
      <c r="W183" s="3791"/>
      <c r="X183" s="3791"/>
      <c r="Y183" s="3003"/>
    </row>
    <row r="184" spans="1:25">
      <c r="E184" s="126"/>
      <c r="O184" s="3000"/>
      <c r="P184" s="3000"/>
      <c r="Q184" s="3000"/>
      <c r="R184" s="3000"/>
      <c r="S184" s="3000"/>
      <c r="T184" s="3000"/>
      <c r="U184" s="3000"/>
      <c r="V184" s="3000"/>
      <c r="W184" s="3791"/>
      <c r="X184" s="3791"/>
      <c r="Y184" s="3003"/>
    </row>
    <row r="185" spans="1:25">
      <c r="E185" s="126"/>
      <c r="P185" s="3000"/>
      <c r="Q185" s="3000"/>
      <c r="R185" s="3000"/>
      <c r="S185" s="3000"/>
      <c r="T185" s="3000"/>
      <c r="U185" s="3000"/>
      <c r="V185" s="3000"/>
      <c r="W185" s="3791"/>
      <c r="X185" s="3791"/>
      <c r="Y185" s="3003"/>
    </row>
    <row r="186" spans="1:25">
      <c r="E186" s="126"/>
      <c r="R186" s="3000"/>
      <c r="S186" s="3000"/>
      <c r="T186" s="3000"/>
      <c r="U186" s="3000"/>
      <c r="V186" s="3000"/>
      <c r="X186" s="3791"/>
      <c r="Y186" s="3003"/>
    </row>
    <row r="187" spans="1:25">
      <c r="E187" s="126"/>
      <c r="R187" s="3000"/>
      <c r="S187" s="3000"/>
      <c r="T187" s="3000"/>
      <c r="U187" s="3000"/>
      <c r="V187" s="3000"/>
      <c r="X187" s="3791"/>
      <c r="Y187" s="3003"/>
    </row>
    <row r="188" spans="1:25">
      <c r="E188" s="126"/>
      <c r="R188" s="3000"/>
      <c r="S188" s="3000"/>
      <c r="T188" s="3000"/>
      <c r="U188" s="3000"/>
      <c r="V188" s="3000"/>
      <c r="X188" s="3791"/>
      <c r="Y188" s="3003"/>
    </row>
    <row r="189" spans="1:25">
      <c r="E189" s="126"/>
      <c r="R189" s="3000"/>
      <c r="S189" s="3000"/>
      <c r="T189" s="3000"/>
      <c r="U189" s="3000"/>
      <c r="V189" s="3000"/>
      <c r="X189" s="3791"/>
      <c r="Y189" s="3003"/>
    </row>
    <row r="190" spans="1:25">
      <c r="E190" s="126"/>
      <c r="R190" s="3000"/>
      <c r="S190" s="3000"/>
      <c r="T190" s="3000"/>
      <c r="U190" s="3000"/>
      <c r="V190" s="3000"/>
      <c r="X190" s="3791"/>
      <c r="Y190" s="3003"/>
    </row>
    <row r="191" spans="1:25">
      <c r="E191" s="126"/>
      <c r="R191" s="3000"/>
      <c r="S191" s="3000"/>
      <c r="T191" s="3000"/>
      <c r="U191" s="3000"/>
      <c r="V191" s="3000"/>
      <c r="X191" s="3791"/>
      <c r="Y191" s="3003"/>
    </row>
    <row r="192" spans="1:25">
      <c r="E192" s="126"/>
      <c r="R192" s="3000"/>
      <c r="S192" s="3000"/>
      <c r="T192" s="3000"/>
      <c r="U192" s="3000"/>
      <c r="V192" s="3000"/>
      <c r="X192" s="3791"/>
      <c r="Y192" s="3003"/>
    </row>
    <row r="193" spans="5:25">
      <c r="E193" s="126"/>
      <c r="R193" s="3000"/>
      <c r="S193" s="3000"/>
      <c r="T193" s="3000"/>
      <c r="U193" s="3000"/>
      <c r="V193" s="3000"/>
      <c r="X193" s="3791"/>
      <c r="Y193" s="3003"/>
    </row>
    <row r="194" spans="5:25">
      <c r="E194" s="126"/>
      <c r="R194" s="3000"/>
      <c r="S194" s="3000"/>
      <c r="T194" s="3000"/>
      <c r="U194" s="3000"/>
      <c r="V194" s="3000"/>
      <c r="X194" s="3791"/>
      <c r="Y194" s="3003"/>
    </row>
    <row r="195" spans="5:25">
      <c r="E195" s="126"/>
      <c r="R195" s="3000"/>
      <c r="S195" s="3000"/>
      <c r="T195" s="3000"/>
      <c r="U195" s="3000"/>
      <c r="V195" s="3000"/>
      <c r="X195" s="3791"/>
      <c r="Y195" s="3003"/>
    </row>
    <row r="196" spans="5:25">
      <c r="E196" s="126"/>
      <c r="R196" s="3000"/>
      <c r="S196" s="3000"/>
      <c r="T196" s="3000"/>
      <c r="U196" s="3000"/>
      <c r="V196" s="3000"/>
      <c r="X196" s="3791"/>
      <c r="Y196" s="3003"/>
    </row>
    <row r="197" spans="5:25">
      <c r="E197" s="126"/>
      <c r="R197" s="3000"/>
      <c r="S197" s="3000"/>
      <c r="T197" s="3000"/>
      <c r="U197" s="3000"/>
      <c r="V197" s="3000"/>
      <c r="X197" s="3791"/>
      <c r="Y197" s="3003"/>
    </row>
    <row r="198" spans="5:25">
      <c r="E198" s="126"/>
      <c r="R198" s="3000"/>
      <c r="S198" s="3000"/>
      <c r="T198" s="3000"/>
      <c r="U198" s="3000"/>
      <c r="V198" s="3000"/>
      <c r="X198" s="3791"/>
      <c r="Y198" s="3003"/>
    </row>
    <row r="199" spans="5:25">
      <c r="E199" s="126"/>
      <c r="R199" s="3000"/>
      <c r="S199" s="3000"/>
      <c r="T199" s="3000"/>
      <c r="U199" s="3000"/>
      <c r="V199" s="3000"/>
      <c r="X199" s="3791"/>
      <c r="Y199" s="3003"/>
    </row>
    <row r="200" spans="5:25">
      <c r="E200" s="126"/>
      <c r="R200" s="3000"/>
      <c r="S200" s="3000"/>
      <c r="T200" s="3000"/>
      <c r="U200" s="3000"/>
      <c r="V200" s="3000"/>
      <c r="X200" s="3791"/>
      <c r="Y200" s="3003"/>
    </row>
    <row r="201" spans="5:25">
      <c r="E201" s="126"/>
      <c r="R201" s="3000"/>
      <c r="S201" s="3000"/>
      <c r="T201" s="3000"/>
      <c r="U201" s="3000"/>
      <c r="V201" s="3000"/>
      <c r="X201" s="3791"/>
      <c r="Y201" s="3003"/>
    </row>
    <row r="202" spans="5:25">
      <c r="E202" s="126"/>
      <c r="R202" s="3000"/>
      <c r="S202" s="3000"/>
      <c r="T202" s="3000"/>
      <c r="U202" s="3000"/>
      <c r="V202" s="3000"/>
      <c r="X202" s="3791"/>
      <c r="Y202" s="3003"/>
    </row>
    <row r="203" spans="5:25">
      <c r="E203" s="126"/>
      <c r="R203" s="3000"/>
      <c r="S203" s="3000"/>
      <c r="T203" s="3000"/>
      <c r="U203" s="3000"/>
      <c r="V203" s="3000"/>
      <c r="X203" s="3791"/>
      <c r="Y203" s="3003"/>
    </row>
    <row r="204" spans="5:25">
      <c r="E204" s="126"/>
      <c r="R204" s="3000"/>
      <c r="S204" s="3000"/>
      <c r="T204" s="3000"/>
      <c r="U204" s="3000"/>
      <c r="V204" s="3000"/>
      <c r="X204" s="3791"/>
      <c r="Y204" s="3003"/>
    </row>
    <row r="205" spans="5:25">
      <c r="E205" s="126"/>
      <c r="R205" s="3000"/>
      <c r="S205" s="3000"/>
      <c r="T205" s="3000"/>
      <c r="U205" s="3000"/>
      <c r="V205" s="3000"/>
      <c r="X205" s="3791"/>
      <c r="Y205" s="3003"/>
    </row>
    <row r="206" spans="5:25">
      <c r="E206" s="126"/>
      <c r="R206" s="3000"/>
      <c r="S206" s="3000"/>
      <c r="T206" s="3000"/>
      <c r="U206" s="3000"/>
      <c r="V206" s="3000"/>
      <c r="X206" s="3791"/>
      <c r="Y206" s="3003"/>
    </row>
    <row r="207" spans="5:25">
      <c r="E207" s="126"/>
      <c r="R207" s="3000"/>
      <c r="S207" s="3000"/>
      <c r="T207" s="3000"/>
      <c r="U207" s="3000"/>
      <c r="V207" s="3000"/>
      <c r="X207" s="3791"/>
      <c r="Y207" s="3003"/>
    </row>
    <row r="208" spans="5:25">
      <c r="E208" s="126"/>
      <c r="R208" s="3000"/>
      <c r="S208" s="3000"/>
      <c r="T208" s="3000"/>
      <c r="U208" s="3000"/>
      <c r="V208" s="3000"/>
      <c r="X208" s="3791"/>
      <c r="Y208" s="3003"/>
    </row>
    <row r="209" spans="1:25">
      <c r="E209" s="126"/>
      <c r="R209" s="3000"/>
      <c r="S209" s="3000"/>
      <c r="T209" s="3000"/>
      <c r="U209" s="3000"/>
      <c r="V209" s="3000"/>
      <c r="X209" s="3791"/>
      <c r="Y209" s="3003"/>
    </row>
    <row r="210" spans="1:25">
      <c r="E210" s="126"/>
      <c r="R210" s="3000"/>
      <c r="S210" s="3000"/>
      <c r="T210" s="3000"/>
      <c r="U210" s="3000"/>
      <c r="V210" s="3000"/>
      <c r="X210" s="3791"/>
      <c r="Y210" s="3003"/>
    </row>
    <row r="211" spans="1:25">
      <c r="E211" s="126"/>
      <c r="R211" s="3000"/>
      <c r="S211" s="3000"/>
      <c r="T211" s="3000"/>
      <c r="U211" s="3000"/>
      <c r="V211" s="3000"/>
      <c r="X211" s="3791"/>
      <c r="Y211" s="3003"/>
    </row>
    <row r="212" spans="1:25">
      <c r="E212" s="126"/>
      <c r="R212" s="3000"/>
      <c r="S212" s="3000"/>
      <c r="T212" s="3000"/>
      <c r="U212" s="3000"/>
      <c r="V212" s="3000"/>
      <c r="X212" s="3791"/>
      <c r="Y212" s="3003"/>
    </row>
    <row r="213" spans="1:25">
      <c r="E213" s="126"/>
      <c r="R213" s="3000"/>
      <c r="S213" s="3000"/>
      <c r="T213" s="3000"/>
      <c r="U213" s="3000"/>
      <c r="V213" s="3000"/>
      <c r="X213" s="3791"/>
      <c r="Y213" s="3003"/>
    </row>
    <row r="214" spans="1:25">
      <c r="E214" s="126"/>
      <c r="R214" s="3000"/>
      <c r="S214" s="3000"/>
      <c r="T214" s="3000"/>
      <c r="U214" s="3000"/>
      <c r="V214" s="3000"/>
      <c r="X214" s="3791"/>
      <c r="Y214" s="3003"/>
    </row>
    <row r="215" spans="1:25">
      <c r="E215" s="126"/>
      <c r="R215" s="3000"/>
      <c r="S215" s="3000"/>
      <c r="T215" s="3000"/>
      <c r="U215" s="3000"/>
      <c r="V215" s="3000"/>
      <c r="X215" s="3791"/>
      <c r="Y215" s="3003"/>
    </row>
    <row r="216" spans="1:25">
      <c r="E216" s="126"/>
      <c r="R216" s="3000"/>
      <c r="S216" s="3000"/>
      <c r="T216" s="3000"/>
      <c r="U216" s="3000"/>
      <c r="V216" s="3000"/>
      <c r="X216" s="3791"/>
      <c r="Y216" s="3003"/>
    </row>
    <row r="217" spans="1:25">
      <c r="A217" s="3003"/>
      <c r="B217" s="3003"/>
      <c r="C217" s="3003"/>
      <c r="D217" s="3009"/>
      <c r="E217" s="3010"/>
      <c r="F217" s="3000"/>
      <c r="G217" s="3000"/>
      <c r="H217" s="3011"/>
      <c r="I217" s="3012"/>
      <c r="J217" s="3000"/>
      <c r="K217" s="3000"/>
      <c r="L217" s="3000"/>
      <c r="M217" s="3000"/>
      <c r="N217" s="3000"/>
      <c r="O217" s="3000"/>
      <c r="P217" s="3000"/>
      <c r="Q217" s="3000"/>
      <c r="R217" s="3000"/>
      <c r="S217" s="3000"/>
      <c r="T217" s="3000"/>
      <c r="U217" s="3000"/>
      <c r="V217" s="3000"/>
      <c r="W217" s="3791"/>
      <c r="X217" s="3791"/>
      <c r="Y217" s="3003"/>
    </row>
    <row r="218" spans="1:25">
      <c r="A218" s="3003"/>
      <c r="B218" s="3003"/>
      <c r="C218" s="3003"/>
      <c r="D218" s="3009"/>
      <c r="E218" s="3010"/>
      <c r="F218" s="3000"/>
      <c r="G218" s="3000"/>
      <c r="H218" s="3011"/>
      <c r="I218" s="3012"/>
      <c r="J218" s="3000"/>
      <c r="K218" s="3000"/>
      <c r="L218" s="3000"/>
      <c r="M218" s="3000"/>
      <c r="N218" s="3000"/>
      <c r="O218" s="3000"/>
      <c r="P218" s="3000"/>
      <c r="Q218" s="3000"/>
      <c r="R218" s="3000"/>
      <c r="S218" s="3000"/>
      <c r="T218" s="3000"/>
      <c r="U218" s="3000"/>
      <c r="V218" s="3000"/>
      <c r="W218" s="3791"/>
      <c r="X218" s="3791"/>
      <c r="Y218" s="3003"/>
    </row>
    <row r="219" spans="1:25">
      <c r="A219" s="3000"/>
      <c r="B219" s="3000"/>
      <c r="C219" s="3000"/>
      <c r="D219" s="3000"/>
      <c r="E219" s="3000"/>
      <c r="F219" s="3000"/>
      <c r="G219" s="3000"/>
      <c r="H219" s="3000"/>
      <c r="I219" s="3000"/>
      <c r="J219" s="3000"/>
      <c r="K219" s="3000"/>
      <c r="L219" s="3000"/>
      <c r="M219" s="3000"/>
      <c r="N219" s="3000"/>
      <c r="O219" s="3000"/>
      <c r="P219" s="3000"/>
      <c r="Q219" s="3000"/>
      <c r="R219" s="3000"/>
      <c r="S219" s="3000"/>
      <c r="T219" s="3000"/>
      <c r="U219" s="3000"/>
      <c r="V219" s="3000"/>
      <c r="W219" s="3791"/>
      <c r="X219" s="3791"/>
      <c r="Y219" s="3000"/>
    </row>
    <row r="220" spans="1:25">
      <c r="A220" s="3000"/>
      <c r="B220" s="3000"/>
      <c r="C220" s="3000"/>
      <c r="D220" s="3000"/>
      <c r="E220" s="3000"/>
      <c r="F220" s="3000"/>
      <c r="G220" s="3000"/>
      <c r="H220" s="3000"/>
      <c r="I220" s="3000"/>
      <c r="J220" s="3000"/>
      <c r="K220" s="3000"/>
      <c r="L220" s="3000"/>
      <c r="M220" s="3000"/>
      <c r="N220" s="3000"/>
      <c r="O220" s="3000"/>
      <c r="P220" s="3000"/>
      <c r="Q220" s="3000"/>
      <c r="R220" s="3000"/>
      <c r="S220" s="3000"/>
      <c r="T220" s="3000"/>
      <c r="U220" s="3000"/>
      <c r="V220" s="3000"/>
      <c r="W220" s="3791"/>
      <c r="X220" s="3791"/>
      <c r="Y220" s="3000"/>
    </row>
    <row r="221" spans="1:25">
      <c r="A221" s="3000"/>
      <c r="B221" s="3000"/>
      <c r="C221" s="3000"/>
      <c r="D221" s="3000"/>
      <c r="E221" s="3000"/>
      <c r="F221" s="3000"/>
      <c r="G221" s="3000"/>
      <c r="H221" s="3000"/>
      <c r="I221" s="3000"/>
      <c r="J221" s="3000"/>
      <c r="K221" s="3000"/>
      <c r="L221" s="3000"/>
      <c r="M221" s="3000"/>
      <c r="N221" s="3000"/>
      <c r="O221" s="3000"/>
      <c r="P221" s="3000"/>
      <c r="Q221" s="3000"/>
      <c r="R221" s="3000"/>
      <c r="S221" s="3000"/>
      <c r="T221" s="3000"/>
      <c r="U221" s="3000"/>
      <c r="V221" s="3000"/>
      <c r="W221" s="3791"/>
      <c r="X221" s="3791"/>
      <c r="Y221" s="3000"/>
    </row>
    <row r="222" spans="1:25">
      <c r="A222" s="3000"/>
      <c r="B222" s="3000"/>
      <c r="C222" s="3000"/>
      <c r="D222" s="3000"/>
      <c r="E222" s="3000"/>
      <c r="F222" s="3000"/>
      <c r="G222" s="3000"/>
      <c r="H222" s="3000"/>
      <c r="I222" s="3000"/>
      <c r="J222" s="3000"/>
      <c r="K222" s="3000"/>
      <c r="L222" s="3000"/>
      <c r="M222" s="3000"/>
      <c r="N222" s="3000"/>
      <c r="O222" s="3000"/>
      <c r="P222" s="3000"/>
      <c r="Q222" s="3000"/>
      <c r="R222" s="3000"/>
      <c r="S222" s="3000"/>
      <c r="T222" s="3000"/>
      <c r="U222" s="3000"/>
      <c r="V222" s="3000"/>
      <c r="W222" s="3791"/>
      <c r="X222" s="3791"/>
      <c r="Y222" s="3000"/>
    </row>
    <row r="223" spans="1:25">
      <c r="A223" s="3000"/>
      <c r="B223" s="3000"/>
      <c r="C223" s="3000"/>
      <c r="D223" s="3000"/>
      <c r="E223" s="3000"/>
      <c r="F223" s="3000"/>
      <c r="G223" s="3000"/>
      <c r="H223" s="3000"/>
      <c r="I223" s="3000"/>
      <c r="J223" s="3000"/>
      <c r="K223" s="3000"/>
      <c r="L223" s="3000"/>
      <c r="M223" s="3000"/>
      <c r="N223" s="3000"/>
      <c r="O223" s="3000"/>
      <c r="P223" s="3000"/>
      <c r="Q223" s="3000"/>
      <c r="R223" s="3000"/>
      <c r="S223" s="3000"/>
      <c r="T223" s="3000"/>
      <c r="U223" s="3000"/>
      <c r="V223" s="3000"/>
      <c r="W223" s="3791"/>
      <c r="X223" s="3791"/>
      <c r="Y223" s="3000"/>
    </row>
    <row r="224" spans="1:25">
      <c r="A224" s="3000"/>
      <c r="B224" s="3000"/>
      <c r="C224" s="3000"/>
      <c r="D224" s="3000"/>
      <c r="E224" s="3000"/>
      <c r="F224" s="3000"/>
      <c r="G224" s="3000"/>
      <c r="H224" s="3000"/>
      <c r="I224" s="3000"/>
      <c r="J224" s="3000"/>
      <c r="K224" s="3000"/>
      <c r="L224" s="3000"/>
      <c r="M224" s="3000"/>
      <c r="N224" s="3000"/>
      <c r="O224" s="3000"/>
      <c r="P224" s="3000"/>
      <c r="Q224" s="3000"/>
      <c r="R224" s="3000"/>
      <c r="S224" s="3000"/>
      <c r="T224" s="3000"/>
      <c r="U224" s="3000"/>
      <c r="V224" s="3000"/>
      <c r="W224" s="3791"/>
      <c r="X224" s="3791"/>
      <c r="Y224" s="3000"/>
    </row>
    <row r="226" spans="4:24">
      <c r="J226" s="1131"/>
    </row>
    <row r="227" spans="4:24" ht="19.899999999999999" customHeight="1">
      <c r="D227" s="1130"/>
      <c r="E227" s="30"/>
      <c r="F227" s="30"/>
      <c r="G227" s="30"/>
      <c r="H227" s="1127"/>
      <c r="I227" s="1126"/>
      <c r="J227" s="30"/>
      <c r="K227" s="30"/>
      <c r="L227" s="30"/>
      <c r="M227" s="30"/>
      <c r="N227" s="30"/>
      <c r="O227" s="30"/>
    </row>
    <row r="228" spans="4:24" ht="19.899999999999999" customHeight="1">
      <c r="E228" s="30"/>
      <c r="F228" s="30"/>
      <c r="G228" s="1126"/>
      <c r="H228" s="1125"/>
      <c r="I228" s="1124"/>
      <c r="J228" s="1129"/>
      <c r="K228" s="1124"/>
      <c r="L228" s="1129"/>
      <c r="M228" s="1124"/>
      <c r="N228" s="30"/>
      <c r="O228" s="1124"/>
      <c r="P228" s="30"/>
      <c r="Q228" s="30"/>
      <c r="R228" s="30"/>
      <c r="S228" s="30"/>
      <c r="T228" s="30"/>
      <c r="U228" s="30"/>
      <c r="V228" s="30"/>
      <c r="W228" s="3819"/>
      <c r="X228" s="3819"/>
    </row>
    <row r="229" spans="4:24" ht="19.899999999999999" customHeight="1">
      <c r="E229" s="30"/>
      <c r="F229" s="30"/>
      <c r="G229" s="1126"/>
      <c r="H229" s="1125"/>
      <c r="I229" s="1128"/>
      <c r="J229" s="30"/>
      <c r="K229" s="1128"/>
      <c r="L229" s="30"/>
      <c r="M229" s="1128"/>
      <c r="N229" s="30"/>
      <c r="O229" s="1128"/>
      <c r="P229" s="1129"/>
      <c r="Q229" s="1124"/>
      <c r="R229" s="30"/>
      <c r="S229" s="1124"/>
      <c r="T229" s="1129"/>
      <c r="U229" s="1124"/>
      <c r="V229" s="30"/>
      <c r="W229" s="1124"/>
      <c r="X229" s="3819"/>
    </row>
    <row r="230" spans="4:24" ht="19.899999999999999" customHeight="1">
      <c r="E230" s="30"/>
      <c r="F230" s="30"/>
      <c r="G230" s="1126"/>
      <c r="H230" s="1127"/>
      <c r="I230" s="1124"/>
      <c r="J230" s="30"/>
      <c r="K230" s="1124"/>
      <c r="L230" s="1124"/>
      <c r="M230" s="1124"/>
      <c r="N230" s="30"/>
      <c r="O230" s="1124"/>
      <c r="P230" s="30"/>
      <c r="Q230" s="1128"/>
      <c r="R230" s="30"/>
      <c r="S230" s="1128"/>
      <c r="T230" s="30"/>
      <c r="U230" s="1128"/>
      <c r="V230" s="30"/>
      <c r="W230" s="1128"/>
      <c r="X230" s="3819"/>
    </row>
    <row r="231" spans="4:24" ht="19.899999999999999" customHeight="1">
      <c r="E231" s="30"/>
      <c r="F231" s="30"/>
      <c r="G231" s="1126"/>
      <c r="H231" s="1125"/>
      <c r="I231" s="1124"/>
      <c r="J231" s="30"/>
      <c r="K231" s="1124"/>
      <c r="L231" s="30"/>
      <c r="M231" s="1124"/>
      <c r="N231" s="30"/>
      <c r="O231" s="1124"/>
      <c r="P231" s="1124"/>
      <c r="Q231" s="1124"/>
      <c r="R231" s="30"/>
      <c r="S231" s="1124"/>
      <c r="T231" s="1124"/>
      <c r="U231" s="1124"/>
      <c r="V231" s="30"/>
      <c r="W231" s="1124"/>
      <c r="X231" s="3819"/>
    </row>
    <row r="232" spans="4:24">
      <c r="P232" s="30"/>
      <c r="Q232" s="1124"/>
      <c r="R232" s="30"/>
      <c r="S232" s="1124"/>
      <c r="T232" s="30"/>
      <c r="U232" s="1124"/>
      <c r="V232" s="30"/>
      <c r="W232" s="1124"/>
      <c r="X232" s="3819"/>
    </row>
    <row r="233" spans="4:24" ht="16.149999999999999" customHeight="1">
      <c r="F233" s="1123"/>
      <c r="G233" s="1123">
        <v>1</v>
      </c>
    </row>
    <row r="234" spans="4:24" ht="16.149999999999999" customHeight="1">
      <c r="F234" s="1122" t="str">
        <f>'WW1'!$K$2</f>
        <v>Winterweizen (Futter-)</v>
      </c>
      <c r="G234" s="1121">
        <f>G233+1</f>
        <v>2</v>
      </c>
    </row>
    <row r="235" spans="4:24" ht="16.149999999999999" customHeight="1">
      <c r="F235" s="1122" t="str">
        <f>'WW2'!$K$2</f>
        <v>Winterweizen (Brot-)</v>
      </c>
      <c r="G235" s="1121">
        <f t="shared" ref="G235:G264" si="21">G234+1</f>
        <v>3</v>
      </c>
    </row>
    <row r="236" spans="4:24" ht="16.149999999999999" customHeight="1">
      <c r="F236" s="1122" t="str">
        <f>'WW3'!$K$2</f>
        <v>Winterweizen (Aufmisch-; A-Sort.)</v>
      </c>
      <c r="G236" s="1121">
        <f t="shared" si="21"/>
        <v>4</v>
      </c>
    </row>
    <row r="237" spans="4:24" ht="16.149999999999999" customHeight="1">
      <c r="F237" s="1122" t="str">
        <f>'WW4'!$K$2</f>
        <v>Winterweizen (Qualität-; E-Sorte)</v>
      </c>
      <c r="G237" s="1121">
        <f t="shared" si="21"/>
        <v>5</v>
      </c>
    </row>
    <row r="238" spans="4:24" ht="16.149999999999999" customHeight="1">
      <c r="F238" s="1122" t="str">
        <f>WRo!$K$2</f>
        <v>Winterroggen</v>
      </c>
      <c r="G238" s="1121">
        <f t="shared" si="21"/>
        <v>6</v>
      </c>
    </row>
    <row r="239" spans="4:24" ht="16.149999999999999" customHeight="1">
      <c r="F239" s="1122" t="str">
        <f>Tr!$K$2</f>
        <v>Triticale</v>
      </c>
      <c r="G239" s="1121">
        <f t="shared" si="21"/>
        <v>7</v>
      </c>
    </row>
    <row r="240" spans="4:24" ht="16.149999999999999" customHeight="1">
      <c r="F240" s="1122" t="str">
        <f>WG!$K$2</f>
        <v>Wintergerste</v>
      </c>
      <c r="G240" s="1121">
        <f t="shared" si="21"/>
        <v>8</v>
      </c>
    </row>
    <row r="241" spans="6:7" ht="16.149999999999999" customHeight="1">
      <c r="F241" s="1122" t="str">
        <f>Di!K2</f>
        <v>Dinkel</v>
      </c>
      <c r="G241" s="1121">
        <f t="shared" si="21"/>
        <v>9</v>
      </c>
    </row>
    <row r="242" spans="6:7" ht="16.149999999999999" customHeight="1">
      <c r="F242" s="1122" t="str">
        <f>SW!K2</f>
        <v xml:space="preserve">Sommerweizen </v>
      </c>
      <c r="G242" s="1121">
        <f t="shared" si="21"/>
        <v>10</v>
      </c>
    </row>
    <row r="243" spans="6:7" ht="16.149999999999999" customHeight="1">
      <c r="F243" s="1122" t="str">
        <f>'SG-Fu'!$K$2</f>
        <v xml:space="preserve">Sommerfuttergerste </v>
      </c>
      <c r="G243" s="1121">
        <f t="shared" si="21"/>
        <v>11</v>
      </c>
    </row>
    <row r="244" spans="6:7" ht="16.149999999999999" customHeight="1">
      <c r="F244" s="1122" t="str">
        <f>BG!$K$2</f>
        <v>Braugerste</v>
      </c>
      <c r="G244" s="1121">
        <f t="shared" si="21"/>
        <v>12</v>
      </c>
    </row>
    <row r="245" spans="6:7" ht="16.149999999999999" customHeight="1">
      <c r="F245" s="1122" t="str">
        <f>Ha!$K$2</f>
        <v xml:space="preserve">Hafer </v>
      </c>
      <c r="G245" s="1121">
        <f t="shared" si="21"/>
        <v>13</v>
      </c>
    </row>
    <row r="246" spans="6:7" ht="16.149999999999999" customHeight="1">
      <c r="F246" s="1122" t="str">
        <f>Du!$K$2</f>
        <v>Durum</v>
      </c>
      <c r="G246" s="1121">
        <f t="shared" si="21"/>
        <v>14</v>
      </c>
    </row>
    <row r="247" spans="6:7" ht="16.149999999999999" customHeight="1">
      <c r="F247" s="1122" t="str">
        <f>KöM!$K$2</f>
        <v xml:space="preserve">Körnermais </v>
      </c>
      <c r="G247" s="1121">
        <f t="shared" si="21"/>
        <v>15</v>
      </c>
    </row>
    <row r="248" spans="6:7" ht="16.149999999999999" customHeight="1">
      <c r="F248" s="1122" t="str">
        <f>KH!$K$2</f>
        <v>Körnerhirse (Lebens-/Futtermittel)</v>
      </c>
      <c r="G248" s="1121">
        <f t="shared" si="21"/>
        <v>16</v>
      </c>
    </row>
    <row r="249" spans="6:7" ht="16.149999999999999" customHeight="1">
      <c r="F249" s="1122" t="str">
        <f>WR!$K$2</f>
        <v>Winterraps</v>
      </c>
      <c r="G249" s="1121">
        <f t="shared" si="21"/>
        <v>17</v>
      </c>
    </row>
    <row r="250" spans="6:7" ht="16.149999999999999" customHeight="1">
      <c r="F250" s="1122" t="str">
        <f>SR!$K$2</f>
        <v xml:space="preserve">Sommerraps </v>
      </c>
      <c r="G250" s="1121">
        <f t="shared" si="21"/>
        <v>18</v>
      </c>
    </row>
    <row r="251" spans="6:7" ht="16.149999999999999" customHeight="1">
      <c r="F251" s="1122" t="str">
        <f>SoBl!$K$2</f>
        <v xml:space="preserve">Sonnenblumen </v>
      </c>
      <c r="G251" s="1121">
        <f t="shared" si="21"/>
        <v>19</v>
      </c>
    </row>
    <row r="252" spans="6:7" ht="16.149999999999999" customHeight="1">
      <c r="F252" s="1122" t="str">
        <f>Soja!K2</f>
        <v xml:space="preserve">Sojabohne </v>
      </c>
      <c r="G252" s="1121">
        <f t="shared" si="21"/>
        <v>20</v>
      </c>
    </row>
    <row r="253" spans="6:7" ht="16.149999999999999" customHeight="1">
      <c r="F253" s="1122" t="str">
        <f>Öl!K2</f>
        <v xml:space="preserve">Öllein (Industrie) </v>
      </c>
      <c r="G253" s="1121">
        <f t="shared" si="21"/>
        <v>21</v>
      </c>
    </row>
    <row r="254" spans="6:7" ht="16.149999999999999" customHeight="1">
      <c r="F254" s="1122" t="str">
        <f>FE!$K$2</f>
        <v xml:space="preserve">Futtererbsen </v>
      </c>
      <c r="G254" s="1121">
        <f t="shared" si="21"/>
        <v>22</v>
      </c>
    </row>
    <row r="255" spans="6:7" ht="16.149999999999999" customHeight="1">
      <c r="F255" s="1122" t="str">
        <f>AB!$K$2</f>
        <v xml:space="preserve">Ackerbohnen </v>
      </c>
      <c r="G255" s="1121">
        <f t="shared" si="21"/>
        <v>23</v>
      </c>
    </row>
    <row r="256" spans="6:7" ht="16.149999999999999" customHeight="1">
      <c r="F256" s="1122" t="str">
        <f>Lu!K2</f>
        <v xml:space="preserve">Blaue Lupine </v>
      </c>
      <c r="G256" s="1121">
        <f t="shared" si="21"/>
        <v>24</v>
      </c>
    </row>
    <row r="257" spans="6:9" ht="16.149999999999999" customHeight="1">
      <c r="F257" s="1122" t="str">
        <f>ZR!$K$2</f>
        <v xml:space="preserve">Zuckerrüben </v>
      </c>
      <c r="G257" s="1121">
        <f t="shared" si="21"/>
        <v>25</v>
      </c>
    </row>
    <row r="258" spans="6:9" ht="16.149999999999999" customHeight="1">
      <c r="F258" s="1122" t="str">
        <f>FrühKa!$K$2</f>
        <v>Frühkartoffeln</v>
      </c>
      <c r="G258" s="1121">
        <f t="shared" si="21"/>
        <v>26</v>
      </c>
    </row>
    <row r="259" spans="6:9" ht="16.149999999999999" customHeight="1">
      <c r="F259" s="1122" t="str">
        <f>FrühKaFolieBer!$K$2</f>
        <v>Frühkartoffeln, Folie, beregnet</v>
      </c>
      <c r="G259" s="1121">
        <f t="shared" si="21"/>
        <v>27</v>
      </c>
    </row>
    <row r="260" spans="6:9" ht="16.149999999999999" customHeight="1">
      <c r="F260" s="1122" t="str">
        <f>SpKa!$K$2</f>
        <v>Speisekartoffeln spät</v>
      </c>
      <c r="G260" s="1121">
        <f t="shared" si="21"/>
        <v>28</v>
      </c>
    </row>
    <row r="261" spans="6:9" ht="16.149999999999999" customHeight="1">
      <c r="F261" s="1122" t="str">
        <f>SpKaBer!$K$2</f>
        <v>Speisekartoffeln spät, beregnet</v>
      </c>
      <c r="G261" s="1121">
        <f t="shared" si="21"/>
        <v>29</v>
      </c>
    </row>
    <row r="262" spans="6:9" ht="16.149999999999999" customHeight="1">
      <c r="F262" s="1122" t="s">
        <v>23</v>
      </c>
      <c r="G262" s="1121">
        <f t="shared" si="21"/>
        <v>30</v>
      </c>
    </row>
    <row r="263" spans="6:9" ht="16.149999999999999" customHeight="1">
      <c r="F263" s="1122" t="str">
        <f>'FAKT-Brachebegrünung'!$K$2</f>
        <v>FAKT - Brachebegrünung</v>
      </c>
      <c r="G263" s="1121">
        <f t="shared" si="21"/>
        <v>31</v>
      </c>
    </row>
    <row r="264" spans="6:9" ht="16.149999999999999" customHeight="1">
      <c r="F264" s="1122" t="str">
        <f>Begr!$K$2</f>
        <v>Begrünung</v>
      </c>
      <c r="G264" s="1121">
        <f t="shared" si="21"/>
        <v>32</v>
      </c>
    </row>
    <row r="265" spans="6:9">
      <c r="F265" s="1122"/>
      <c r="G265" s="1121"/>
    </row>
    <row r="266" spans="6:9">
      <c r="F266" s="1122" t="str">
        <f>'Öko-KG1'!$K$2</f>
        <v xml:space="preserve">Kleegras einjährig (70:30) </v>
      </c>
      <c r="G266" s="1121">
        <v>33</v>
      </c>
    </row>
    <row r="267" spans="6:9">
      <c r="F267" s="1122" t="str">
        <f>'Öko-KG2'!$K$2</f>
        <v>Kleegras zweijährig (50:50)</v>
      </c>
      <c r="G267" s="1121">
        <f>G266+1</f>
        <v>34</v>
      </c>
    </row>
    <row r="268" spans="6:9">
      <c r="F268" s="1122" t="str">
        <f>'Öko-LU1'!$K$2</f>
        <v>Luzernegras einjährig (70:30)</v>
      </c>
      <c r="G268" s="1121">
        <f>G267+1</f>
        <v>35</v>
      </c>
    </row>
    <row r="269" spans="6:9">
      <c r="F269" s="1122" t="str">
        <f>'Öko-LU2'!$K$2</f>
        <v>Luzernegras zweijährig (50:50)</v>
      </c>
      <c r="G269" s="1121">
        <f>G268+1</f>
        <v>36</v>
      </c>
    </row>
    <row r="270" spans="6:9">
      <c r="F270" s="1122" t="str">
        <f>'Öko-WW-Futter'!$K$2</f>
        <v>Öko-Winterweizen (Futter)</v>
      </c>
      <c r="G270" s="1121">
        <f>G269+1</f>
        <v>37</v>
      </c>
    </row>
    <row r="271" spans="6:9">
      <c r="F271" s="1122" t="str">
        <f>'Öko-WW-Brot'!$K$2</f>
        <v>Öko-Winterweizen (Brot)</v>
      </c>
      <c r="G271" s="1121">
        <f>G270+1</f>
        <v>38</v>
      </c>
    </row>
    <row r="272" spans="6:9">
      <c r="F272" s="1122" t="str">
        <f>'Öko-Dinkel'!$K$2</f>
        <v>Öko-Dinkel</v>
      </c>
      <c r="G272" s="1121">
        <f t="shared" ref="G272:G287" si="22">G271+1</f>
        <v>39</v>
      </c>
      <c r="I272" s="2984"/>
    </row>
    <row r="273" spans="6:9">
      <c r="F273" s="1122" t="str">
        <f>'Öko-Dinkel,gegerbt'!$K$2</f>
        <v>Öko-Dinkel, entspelzt</v>
      </c>
      <c r="G273" s="1121">
        <f t="shared" si="22"/>
        <v>40</v>
      </c>
      <c r="I273" s="2984"/>
    </row>
    <row r="274" spans="6:9">
      <c r="F274" s="1122" t="str">
        <f>'Öko-Roggen'!$K$2</f>
        <v>Öko-Winterroggen (Brot)</v>
      </c>
      <c r="G274" s="1121">
        <f t="shared" si="22"/>
        <v>41</v>
      </c>
    </row>
    <row r="275" spans="6:9">
      <c r="F275" s="1122" t="str">
        <f>'Öko-Hafer'!$K$2</f>
        <v>Öko-Hafer</v>
      </c>
      <c r="G275" s="1121">
        <f t="shared" si="22"/>
        <v>42</v>
      </c>
    </row>
    <row r="276" spans="6:9">
      <c r="F276" s="1122" t="s">
        <v>1985</v>
      </c>
      <c r="G276" s="1121">
        <f t="shared" si="22"/>
        <v>43</v>
      </c>
      <c r="I276" s="3598"/>
    </row>
    <row r="277" spans="6:9">
      <c r="F277" s="1122" t="str">
        <f>'Öko-Braugerste'!$K$2</f>
        <v>Öko-Braugerste</v>
      </c>
      <c r="G277" s="1121">
        <f t="shared" si="22"/>
        <v>44</v>
      </c>
    </row>
    <row r="278" spans="6:9">
      <c r="F278" s="1122" t="str">
        <f>'Öko-Körnermais'!$K$2</f>
        <v xml:space="preserve">Öko-Körnermais </v>
      </c>
      <c r="G278" s="1121">
        <f t="shared" si="22"/>
        <v>45</v>
      </c>
    </row>
    <row r="279" spans="6:9">
      <c r="F279" s="1122" t="str">
        <f>'Öko-Ackerbohnen'!$K$2</f>
        <v xml:space="preserve">Öko-Ackerbohnen </v>
      </c>
      <c r="G279" s="1121">
        <f t="shared" si="22"/>
        <v>46</v>
      </c>
    </row>
    <row r="280" spans="6:9">
      <c r="F280" s="1122" t="str">
        <f>'Öko-Erbsen'!$K$2</f>
        <v>Öko-Futtererbsen</v>
      </c>
      <c r="G280" s="1121">
        <f t="shared" si="22"/>
        <v>47</v>
      </c>
    </row>
    <row r="281" spans="6:9">
      <c r="F281" s="1122" t="str">
        <f>'Öko-Sojabohnen'!$K$2</f>
        <v>Öko-Sojabohnen</v>
      </c>
      <c r="G281" s="1121">
        <f t="shared" si="22"/>
        <v>48</v>
      </c>
    </row>
    <row r="282" spans="6:9">
      <c r="F282" s="1122" t="str">
        <f>'Öko-Soblu'!$K$2</f>
        <v>Öko-Sonnenblumen</v>
      </c>
      <c r="G282" s="1121">
        <f t="shared" si="22"/>
        <v>49</v>
      </c>
    </row>
    <row r="283" spans="6:9">
      <c r="F283" s="1122" t="str">
        <f>'Öko-Raps'!$K$2</f>
        <v>Öko-Winterraps (Ölproduktion)</v>
      </c>
      <c r="G283" s="1121">
        <f t="shared" si="22"/>
        <v>50</v>
      </c>
    </row>
    <row r="284" spans="6:9">
      <c r="F284" s="1122" t="str">
        <f>'Öko-Kartoffel'!$K$2</f>
        <v>Öko-Speisekartoffeln spät</v>
      </c>
      <c r="G284" s="1121">
        <f t="shared" si="22"/>
        <v>51</v>
      </c>
    </row>
    <row r="285" spans="6:9">
      <c r="F285" s="1122"/>
      <c r="G285" s="1121">
        <f t="shared" si="22"/>
        <v>52</v>
      </c>
    </row>
    <row r="286" spans="6:9">
      <c r="F286" s="1122" t="str">
        <f>Begrün.!$K$2</f>
        <v>FAKT-Begrünung</v>
      </c>
      <c r="G286" s="1121">
        <f t="shared" si="22"/>
        <v>53</v>
      </c>
      <c r="H286" s="19"/>
      <c r="I286" s="4"/>
    </row>
    <row r="287" spans="6:9">
      <c r="F287" s="1122" t="str">
        <f>Blühm.!$K$2</f>
        <v xml:space="preserve">FAKT-Blühmischung </v>
      </c>
      <c r="G287" s="1121">
        <f t="shared" si="22"/>
        <v>54</v>
      </c>
      <c r="H287" s="19"/>
      <c r="I287" s="4"/>
    </row>
    <row r="288" spans="6:9">
      <c r="F288" s="1122"/>
      <c r="G288" s="1121"/>
      <c r="H288" s="19"/>
      <c r="I288" s="4"/>
    </row>
    <row r="289" spans="6:9">
      <c r="F289" s="1122"/>
      <c r="H289" s="19"/>
      <c r="I289" s="4"/>
    </row>
    <row r="290" spans="6:9">
      <c r="G290" s="1118"/>
      <c r="H290" s="19"/>
      <c r="I290" s="4"/>
    </row>
    <row r="291" spans="6:9">
      <c r="G291" s="1118"/>
      <c r="H291" s="19"/>
      <c r="I291" s="4"/>
    </row>
    <row r="292" spans="6:9">
      <c r="G292" s="1118"/>
      <c r="H292" s="19"/>
      <c r="I292" s="4"/>
    </row>
    <row r="293" spans="6:9">
      <c r="G293" s="1118"/>
      <c r="H293" s="19"/>
      <c r="I293" s="4"/>
    </row>
    <row r="294" spans="6:9">
      <c r="G294" s="1118"/>
      <c r="H294" s="19"/>
      <c r="I294" s="4"/>
    </row>
    <row r="295" spans="6:9">
      <c r="G295" s="1118"/>
      <c r="H295" s="19"/>
      <c r="I295" s="4"/>
    </row>
    <row r="296" spans="6:9">
      <c r="G296" s="1118"/>
      <c r="H296" s="19"/>
      <c r="I296" s="4"/>
    </row>
    <row r="297" spans="6:9">
      <c r="G297" s="1118"/>
      <c r="H297" s="19"/>
      <c r="I297" s="4"/>
    </row>
    <row r="298" spans="6:9">
      <c r="G298" s="1118"/>
    </row>
    <row r="299" spans="6:9">
      <c r="G299" s="1118"/>
    </row>
    <row r="300" spans="6:9">
      <c r="G300" s="1118"/>
    </row>
    <row r="301" spans="6:9">
      <c r="G301" s="1118"/>
    </row>
  </sheetData>
  <mergeCells count="523">
    <mergeCell ref="S124:T124"/>
    <mergeCell ref="S125:T125"/>
    <mergeCell ref="S134:T134"/>
    <mergeCell ref="S135:T135"/>
    <mergeCell ref="S127:T127"/>
    <mergeCell ref="S128:T128"/>
    <mergeCell ref="S129:T129"/>
    <mergeCell ref="S130:T130"/>
    <mergeCell ref="S131:T131"/>
    <mergeCell ref="S132:T132"/>
    <mergeCell ref="U125:V125"/>
    <mergeCell ref="U137:V137"/>
    <mergeCell ref="O127:P127"/>
    <mergeCell ref="O128:P128"/>
    <mergeCell ref="O129:P129"/>
    <mergeCell ref="O130:P130"/>
    <mergeCell ref="O131:P131"/>
    <mergeCell ref="O132:P132"/>
    <mergeCell ref="O133:P133"/>
    <mergeCell ref="O134:P134"/>
    <mergeCell ref="S133:T133"/>
    <mergeCell ref="S136:T136"/>
    <mergeCell ref="S137:T137"/>
    <mergeCell ref="O137:P137"/>
    <mergeCell ref="O135:P135"/>
    <mergeCell ref="O136:P136"/>
    <mergeCell ref="Q137:R137"/>
    <mergeCell ref="U119:V119"/>
    <mergeCell ref="U120:V120"/>
    <mergeCell ref="U121:V121"/>
    <mergeCell ref="U122:V122"/>
    <mergeCell ref="U123:V123"/>
    <mergeCell ref="U124:V124"/>
    <mergeCell ref="U102:V102"/>
    <mergeCell ref="U106:V106"/>
    <mergeCell ref="U114:V114"/>
    <mergeCell ref="U115:V115"/>
    <mergeCell ref="U117:V117"/>
    <mergeCell ref="U118:V118"/>
    <mergeCell ref="U62:V62"/>
    <mergeCell ref="U45:V45"/>
    <mergeCell ref="U46:V46"/>
    <mergeCell ref="U48:V48"/>
    <mergeCell ref="U49:V49"/>
    <mergeCell ref="U50:V50"/>
    <mergeCell ref="U51:V51"/>
    <mergeCell ref="U78:V78"/>
    <mergeCell ref="U93:V93"/>
    <mergeCell ref="U63:V63"/>
    <mergeCell ref="U64:V64"/>
    <mergeCell ref="U74:V74"/>
    <mergeCell ref="U75:V75"/>
    <mergeCell ref="U76:V76"/>
    <mergeCell ref="U77:V77"/>
    <mergeCell ref="S62:T62"/>
    <mergeCell ref="U2:V2"/>
    <mergeCell ref="U5:V5"/>
    <mergeCell ref="U8:V8"/>
    <mergeCell ref="U17:V17"/>
    <mergeCell ref="U18:V18"/>
    <mergeCell ref="U37:V37"/>
    <mergeCell ref="U40:V40"/>
    <mergeCell ref="U41:V41"/>
    <mergeCell ref="U42:V42"/>
    <mergeCell ref="U43:V43"/>
    <mergeCell ref="U44:V44"/>
    <mergeCell ref="U15:V15"/>
    <mergeCell ref="U16:V16"/>
    <mergeCell ref="U32:V32"/>
    <mergeCell ref="U34:V34"/>
    <mergeCell ref="U35:V35"/>
    <mergeCell ref="U36:V36"/>
    <mergeCell ref="U19:V19"/>
    <mergeCell ref="U52:V52"/>
    <mergeCell ref="U53:V53"/>
    <mergeCell ref="U54:V54"/>
    <mergeCell ref="U60:V60"/>
    <mergeCell ref="U61:V61"/>
    <mergeCell ref="S123:T123"/>
    <mergeCell ref="S75:T75"/>
    <mergeCell ref="S76:T76"/>
    <mergeCell ref="S77:T77"/>
    <mergeCell ref="S78:T78"/>
    <mergeCell ref="S93:T93"/>
    <mergeCell ref="S106:T106"/>
    <mergeCell ref="S114:T114"/>
    <mergeCell ref="S115:T115"/>
    <mergeCell ref="S117:T117"/>
    <mergeCell ref="S118:T118"/>
    <mergeCell ref="S119:T119"/>
    <mergeCell ref="S120:T120"/>
    <mergeCell ref="S121:T121"/>
    <mergeCell ref="S122:T122"/>
    <mergeCell ref="S97:T97"/>
    <mergeCell ref="S99:T99"/>
    <mergeCell ref="S100:T100"/>
    <mergeCell ref="S102:T102"/>
    <mergeCell ref="S49:T49"/>
    <mergeCell ref="S50:T50"/>
    <mergeCell ref="S51:T51"/>
    <mergeCell ref="S32:T32"/>
    <mergeCell ref="S34:T34"/>
    <mergeCell ref="S35:T35"/>
    <mergeCell ref="S63:T63"/>
    <mergeCell ref="S64:T64"/>
    <mergeCell ref="S74:T74"/>
    <mergeCell ref="S42:T42"/>
    <mergeCell ref="S43:T43"/>
    <mergeCell ref="S44:T44"/>
    <mergeCell ref="S45:T45"/>
    <mergeCell ref="S46:T46"/>
    <mergeCell ref="S48:T48"/>
    <mergeCell ref="S52:T52"/>
    <mergeCell ref="S36:T36"/>
    <mergeCell ref="S37:T37"/>
    <mergeCell ref="S40:T40"/>
    <mergeCell ref="S41:T41"/>
    <mergeCell ref="S53:T53"/>
    <mergeCell ref="S54:T54"/>
    <mergeCell ref="S60:T60"/>
    <mergeCell ref="S61:T61"/>
    <mergeCell ref="S2:T2"/>
    <mergeCell ref="S5:T5"/>
    <mergeCell ref="S8:T8"/>
    <mergeCell ref="Q117:R117"/>
    <mergeCell ref="Q118:R118"/>
    <mergeCell ref="Q119:R119"/>
    <mergeCell ref="Q120:R120"/>
    <mergeCell ref="Q121:R121"/>
    <mergeCell ref="Q122:R122"/>
    <mergeCell ref="Q99:R99"/>
    <mergeCell ref="Q100:R100"/>
    <mergeCell ref="Q102:R102"/>
    <mergeCell ref="Q106:R106"/>
    <mergeCell ref="Q114:R114"/>
    <mergeCell ref="Q115:R115"/>
    <mergeCell ref="Q76:R76"/>
    <mergeCell ref="Q77:R77"/>
    <mergeCell ref="S15:T15"/>
    <mergeCell ref="S16:T16"/>
    <mergeCell ref="S17:T17"/>
    <mergeCell ref="S18:T18"/>
    <mergeCell ref="S19:T19"/>
    <mergeCell ref="S98:T98"/>
    <mergeCell ref="Q61:R61"/>
    <mergeCell ref="Q62:R62"/>
    <mergeCell ref="Q63:R63"/>
    <mergeCell ref="Q64:R64"/>
    <mergeCell ref="Q74:R74"/>
    <mergeCell ref="Q75:R75"/>
    <mergeCell ref="Q123:R123"/>
    <mergeCell ref="Q124:R124"/>
    <mergeCell ref="Q125:R125"/>
    <mergeCell ref="Q50:R50"/>
    <mergeCell ref="Q51:R51"/>
    <mergeCell ref="Q52:R52"/>
    <mergeCell ref="Q53:R53"/>
    <mergeCell ref="Q54:R54"/>
    <mergeCell ref="Q60:R60"/>
    <mergeCell ref="Q16:R16"/>
    <mergeCell ref="Q17:R17"/>
    <mergeCell ref="Q43:R43"/>
    <mergeCell ref="Q44:R44"/>
    <mergeCell ref="Q45:R45"/>
    <mergeCell ref="Q46:R46"/>
    <mergeCell ref="Q48:R48"/>
    <mergeCell ref="Q49:R49"/>
    <mergeCell ref="Q18:R18"/>
    <mergeCell ref="Q19:R19"/>
    <mergeCell ref="Q35:R35"/>
    <mergeCell ref="Q36:R36"/>
    <mergeCell ref="Q37:R37"/>
    <mergeCell ref="Q40:R40"/>
    <mergeCell ref="Q41:R41"/>
    <mergeCell ref="Q42:R42"/>
    <mergeCell ref="Q32:R32"/>
    <mergeCell ref="Q34:R34"/>
    <mergeCell ref="O124:P124"/>
    <mergeCell ref="O125:P125"/>
    <mergeCell ref="Q2:R2"/>
    <mergeCell ref="Q5:R5"/>
    <mergeCell ref="Q8:R8"/>
    <mergeCell ref="O121:P121"/>
    <mergeCell ref="O122:P122"/>
    <mergeCell ref="O123:P123"/>
    <mergeCell ref="O97:P97"/>
    <mergeCell ref="O98:P98"/>
    <mergeCell ref="O99:P99"/>
    <mergeCell ref="O100:P100"/>
    <mergeCell ref="O102:P102"/>
    <mergeCell ref="O106:P106"/>
    <mergeCell ref="O74:P74"/>
    <mergeCell ref="O75:P75"/>
    <mergeCell ref="O76:P76"/>
    <mergeCell ref="O77:P77"/>
    <mergeCell ref="O78:P78"/>
    <mergeCell ref="O93:P93"/>
    <mergeCell ref="O54:P54"/>
    <mergeCell ref="O60:P60"/>
    <mergeCell ref="O61:P61"/>
    <mergeCell ref="Q15:R15"/>
    <mergeCell ref="D131:G131"/>
    <mergeCell ref="D129:G129"/>
    <mergeCell ref="I129:J129"/>
    <mergeCell ref="D130:G130"/>
    <mergeCell ref="O2:P2"/>
    <mergeCell ref="O5:P5"/>
    <mergeCell ref="O8:P8"/>
    <mergeCell ref="K137:L137"/>
    <mergeCell ref="M137:N137"/>
    <mergeCell ref="K132:L132"/>
    <mergeCell ref="M32:N32"/>
    <mergeCell ref="K32:L32"/>
    <mergeCell ref="K36:L36"/>
    <mergeCell ref="M37:N37"/>
    <mergeCell ref="M36:N36"/>
    <mergeCell ref="K8:L8"/>
    <mergeCell ref="K5:L5"/>
    <mergeCell ref="M5:N5"/>
    <mergeCell ref="K15:L15"/>
    <mergeCell ref="M8:N8"/>
    <mergeCell ref="M15:N15"/>
    <mergeCell ref="O15:P15"/>
    <mergeCell ref="O16:P16"/>
    <mergeCell ref="O41:P41"/>
    <mergeCell ref="I135:J135"/>
    <mergeCell ref="K133:L133"/>
    <mergeCell ref="K135:L135"/>
    <mergeCell ref="B165:N165"/>
    <mergeCell ref="I134:J134"/>
    <mergeCell ref="I132:J132"/>
    <mergeCell ref="I133:J133"/>
    <mergeCell ref="I136:J136"/>
    <mergeCell ref="B139:N139"/>
    <mergeCell ref="D134:G134"/>
    <mergeCell ref="I137:J137"/>
    <mergeCell ref="K136:L136"/>
    <mergeCell ref="K134:L134"/>
    <mergeCell ref="D136:G136"/>
    <mergeCell ref="D137:G137"/>
    <mergeCell ref="D135:G135"/>
    <mergeCell ref="D132:G132"/>
    <mergeCell ref="D133:G133"/>
    <mergeCell ref="I48:J48"/>
    <mergeCell ref="K131:L131"/>
    <mergeCell ref="I2:J2"/>
    <mergeCell ref="K2:L2"/>
    <mergeCell ref="M2:N2"/>
    <mergeCell ref="M97:N97"/>
    <mergeCell ref="I98:J98"/>
    <mergeCell ref="K98:L98"/>
    <mergeCell ref="M98:N98"/>
    <mergeCell ref="M93:N93"/>
    <mergeCell ref="I5:J5"/>
    <mergeCell ref="I122:J122"/>
    <mergeCell ref="K122:L122"/>
    <mergeCell ref="K123:L123"/>
    <mergeCell ref="K124:L124"/>
    <mergeCell ref="I127:J127"/>
    <mergeCell ref="K127:L127"/>
    <mergeCell ref="I130:J130"/>
    <mergeCell ref="I131:J131"/>
    <mergeCell ref="K129:L129"/>
    <mergeCell ref="K130:L130"/>
    <mergeCell ref="K125:L125"/>
    <mergeCell ref="I123:J123"/>
    <mergeCell ref="I124:J124"/>
    <mergeCell ref="I49:J49"/>
    <mergeCell ref="K49:L49"/>
    <mergeCell ref="I54:J54"/>
    <mergeCell ref="I50:J50"/>
    <mergeCell ref="I62:J62"/>
    <mergeCell ref="I63:J63"/>
    <mergeCell ref="I77:J77"/>
    <mergeCell ref="I61:J61"/>
    <mergeCell ref="K61:L61"/>
    <mergeCell ref="I60:J60"/>
    <mergeCell ref="I64:J64"/>
    <mergeCell ref="K60:L60"/>
    <mergeCell ref="K64:L64"/>
    <mergeCell ref="K62:L62"/>
    <mergeCell ref="I75:J75"/>
    <mergeCell ref="K75:L75"/>
    <mergeCell ref="K63:L63"/>
    <mergeCell ref="K74:L74"/>
    <mergeCell ref="B21:B30"/>
    <mergeCell ref="M60:N60"/>
    <mergeCell ref="I53:J53"/>
    <mergeCell ref="M54:N54"/>
    <mergeCell ref="M53:N53"/>
    <mergeCell ref="K50:L50"/>
    <mergeCell ref="K52:L52"/>
    <mergeCell ref="K51:L51"/>
    <mergeCell ref="I51:J51"/>
    <mergeCell ref="M52:N52"/>
    <mergeCell ref="I52:J52"/>
    <mergeCell ref="K53:L53"/>
    <mergeCell ref="K54:L54"/>
    <mergeCell ref="K42:L42"/>
    <mergeCell ref="M41:N41"/>
    <mergeCell ref="M40:N40"/>
    <mergeCell ref="K41:L41"/>
    <mergeCell ref="I41:J41"/>
    <mergeCell ref="K45:L45"/>
    <mergeCell ref="M43:N43"/>
    <mergeCell ref="M35:N35"/>
    <mergeCell ref="M50:N50"/>
    <mergeCell ref="K48:L48"/>
    <mergeCell ref="B48:B54"/>
    <mergeCell ref="I8:J8"/>
    <mergeCell ref="K34:L34"/>
    <mergeCell ref="I17:J17"/>
    <mergeCell ref="I18:J18"/>
    <mergeCell ref="K18:L18"/>
    <mergeCell ref="I19:J19"/>
    <mergeCell ref="I34:J34"/>
    <mergeCell ref="G13:H13"/>
    <mergeCell ref="I43:J43"/>
    <mergeCell ref="I36:J36"/>
    <mergeCell ref="I15:J15"/>
    <mergeCell ref="B32:B37"/>
    <mergeCell ref="B39:B46"/>
    <mergeCell ref="M34:N34"/>
    <mergeCell ref="I32:J32"/>
    <mergeCell ref="M42:N42"/>
    <mergeCell ref="I42:J42"/>
    <mergeCell ref="K35:L35"/>
    <mergeCell ref="K37:L37"/>
    <mergeCell ref="I37:J37"/>
    <mergeCell ref="K43:L43"/>
    <mergeCell ref="I45:J45"/>
    <mergeCell ref="M44:N44"/>
    <mergeCell ref="I35:J35"/>
    <mergeCell ref="I46:J46"/>
    <mergeCell ref="M16:N16"/>
    <mergeCell ref="I16:J16"/>
    <mergeCell ref="K16:L16"/>
    <mergeCell ref="K17:L17"/>
    <mergeCell ref="K19:L19"/>
    <mergeCell ref="I40:J40"/>
    <mergeCell ref="I44:J44"/>
    <mergeCell ref="K40:L40"/>
    <mergeCell ref="O46:P46"/>
    <mergeCell ref="O32:P32"/>
    <mergeCell ref="O34:P34"/>
    <mergeCell ref="O35:P35"/>
    <mergeCell ref="O36:P36"/>
    <mergeCell ref="O37:P37"/>
    <mergeCell ref="K46:L46"/>
    <mergeCell ref="K44:L44"/>
    <mergeCell ref="M45:N45"/>
    <mergeCell ref="O42:P42"/>
    <mergeCell ref="O43:P43"/>
    <mergeCell ref="O17:P17"/>
    <mergeCell ref="O18:P18"/>
    <mergeCell ref="O19:P19"/>
    <mergeCell ref="M19:N19"/>
    <mergeCell ref="M18:N18"/>
    <mergeCell ref="K118:L118"/>
    <mergeCell ref="K120:L120"/>
    <mergeCell ref="I118:J118"/>
    <mergeCell ref="I113:N113"/>
    <mergeCell ref="M120:N120"/>
    <mergeCell ref="K97:L97"/>
    <mergeCell ref="K76:L76"/>
    <mergeCell ref="K78:L78"/>
    <mergeCell ref="I78:J78"/>
    <mergeCell ref="M77:N77"/>
    <mergeCell ref="K77:L77"/>
    <mergeCell ref="I93:J93"/>
    <mergeCell ref="M76:N76"/>
    <mergeCell ref="I120:J120"/>
    <mergeCell ref="M64:N64"/>
    <mergeCell ref="O63:P63"/>
    <mergeCell ref="O114:P114"/>
    <mergeCell ref="O115:P115"/>
    <mergeCell ref="O117:P117"/>
    <mergeCell ref="O118:P118"/>
    <mergeCell ref="O119:P119"/>
    <mergeCell ref="O120:P120"/>
    <mergeCell ref="O64:P64"/>
    <mergeCell ref="M74:N74"/>
    <mergeCell ref="M75:N75"/>
    <mergeCell ref="M63:N63"/>
    <mergeCell ref="O48:P48"/>
    <mergeCell ref="O49:P49"/>
    <mergeCell ref="O50:P50"/>
    <mergeCell ref="O51:P51"/>
    <mergeCell ref="O52:P52"/>
    <mergeCell ref="O53:P53"/>
    <mergeCell ref="M61:N61"/>
    <mergeCell ref="M46:N46"/>
    <mergeCell ref="O62:P62"/>
    <mergeCell ref="M51:N51"/>
    <mergeCell ref="M49:N49"/>
    <mergeCell ref="M62:N62"/>
    <mergeCell ref="O44:P44"/>
    <mergeCell ref="O45:P45"/>
    <mergeCell ref="M17:N17"/>
    <mergeCell ref="O40:P40"/>
    <mergeCell ref="D127:G127"/>
    <mergeCell ref="D128:G128"/>
    <mergeCell ref="I74:J74"/>
    <mergeCell ref="D124:G124"/>
    <mergeCell ref="D125:G125"/>
    <mergeCell ref="D115:G115"/>
    <mergeCell ref="I100:J100"/>
    <mergeCell ref="D113:F113"/>
    <mergeCell ref="D122:G122"/>
    <mergeCell ref="D120:G120"/>
    <mergeCell ref="D121:G121"/>
    <mergeCell ref="I102:J102"/>
    <mergeCell ref="I106:J106"/>
    <mergeCell ref="D117:G117"/>
    <mergeCell ref="D118:G118"/>
    <mergeCell ref="D119:G119"/>
    <mergeCell ref="D126:G126"/>
    <mergeCell ref="D123:G123"/>
    <mergeCell ref="I125:J125"/>
    <mergeCell ref="I121:J121"/>
    <mergeCell ref="I128:J128"/>
    <mergeCell ref="I99:J99"/>
    <mergeCell ref="I97:J97"/>
    <mergeCell ref="I76:J76"/>
    <mergeCell ref="M78:N78"/>
    <mergeCell ref="K93:L93"/>
    <mergeCell ref="K100:L100"/>
    <mergeCell ref="M122:N122"/>
    <mergeCell ref="M121:N121"/>
    <mergeCell ref="M119:N119"/>
    <mergeCell ref="M115:N115"/>
    <mergeCell ref="M106:N106"/>
    <mergeCell ref="K106:L106"/>
    <mergeCell ref="K119:L119"/>
    <mergeCell ref="M117:N117"/>
    <mergeCell ref="K115:L115"/>
    <mergeCell ref="K121:L121"/>
    <mergeCell ref="M114:N114"/>
    <mergeCell ref="M102:N102"/>
    <mergeCell ref="M124:N124"/>
    <mergeCell ref="M123:N123"/>
    <mergeCell ref="M118:N118"/>
    <mergeCell ref="K128:L128"/>
    <mergeCell ref="I119:J119"/>
    <mergeCell ref="U97:V97"/>
    <mergeCell ref="U98:V98"/>
    <mergeCell ref="U99:V99"/>
    <mergeCell ref="U100:V100"/>
    <mergeCell ref="W75:X75"/>
    <mergeCell ref="W76:X76"/>
    <mergeCell ref="I114:J114"/>
    <mergeCell ref="K114:L114"/>
    <mergeCell ref="I117:J117"/>
    <mergeCell ref="M100:N100"/>
    <mergeCell ref="M99:N99"/>
    <mergeCell ref="K99:L99"/>
    <mergeCell ref="K102:L102"/>
    <mergeCell ref="Q78:R78"/>
    <mergeCell ref="Q93:R93"/>
    <mergeCell ref="Q97:R97"/>
    <mergeCell ref="Q98:R98"/>
    <mergeCell ref="I115:J115"/>
    <mergeCell ref="K117:L117"/>
    <mergeCell ref="M125:N125"/>
    <mergeCell ref="Y1:Y6"/>
    <mergeCell ref="W2:X2"/>
    <mergeCell ref="W5:X5"/>
    <mergeCell ref="W8:X8"/>
    <mergeCell ref="W15:X15"/>
    <mergeCell ref="W32:X32"/>
    <mergeCell ref="W34:X34"/>
    <mergeCell ref="W35:X35"/>
    <mergeCell ref="W37:X37"/>
    <mergeCell ref="W50:X50"/>
    <mergeCell ref="W53:X53"/>
    <mergeCell ref="W51:X51"/>
    <mergeCell ref="W52:X52"/>
    <mergeCell ref="W48:X48"/>
    <mergeCell ref="W49:X49"/>
    <mergeCell ref="W93:X93"/>
    <mergeCell ref="W97:X97"/>
    <mergeCell ref="W98:X98"/>
    <mergeCell ref="W99:X99"/>
    <mergeCell ref="W100:X100"/>
    <mergeCell ref="W102:X102"/>
    <mergeCell ref="W106:X106"/>
    <mergeCell ref="W74:X74"/>
    <mergeCell ref="W137:X137"/>
    <mergeCell ref="W114:X114"/>
    <mergeCell ref="W115:X115"/>
    <mergeCell ref="W117:X117"/>
    <mergeCell ref="W118:X118"/>
    <mergeCell ref="W119:X119"/>
    <mergeCell ref="W120:X120"/>
    <mergeCell ref="W121:X121"/>
    <mergeCell ref="W122:X122"/>
    <mergeCell ref="W123:X123"/>
    <mergeCell ref="W124:X124"/>
    <mergeCell ref="W125:X125"/>
    <mergeCell ref="B57:B78"/>
    <mergeCell ref="I81:V82"/>
    <mergeCell ref="B12:B19"/>
    <mergeCell ref="W77:X77"/>
    <mergeCell ref="W78:X78"/>
    <mergeCell ref="W36:X36"/>
    <mergeCell ref="W16:X16"/>
    <mergeCell ref="W17:X17"/>
    <mergeCell ref="W18:X18"/>
    <mergeCell ref="W19:X19"/>
    <mergeCell ref="W40:X40"/>
    <mergeCell ref="W41:X41"/>
    <mergeCell ref="W44:X44"/>
    <mergeCell ref="W45:X45"/>
    <mergeCell ref="W46:X46"/>
    <mergeCell ref="W43:X43"/>
    <mergeCell ref="W42:X42"/>
    <mergeCell ref="M48:N48"/>
    <mergeCell ref="W54:X54"/>
    <mergeCell ref="W60:X60"/>
    <mergeCell ref="W61:X61"/>
    <mergeCell ref="W62:X62"/>
    <mergeCell ref="W63:X63"/>
    <mergeCell ref="W64:X64"/>
  </mergeCells>
  <dataValidations count="5">
    <dataValidation type="list" allowBlank="1" showInputMessage="1" showErrorMessage="1" sqref="I8:V8">
      <formula1>"niedrig,mittel,hoch"</formula1>
    </dataValidation>
    <dataValidation type="list" allowBlank="1" showInputMessage="1" showErrorMessage="1" errorTitle="Produktionsverfahren" error="Bitte Produktionsverfahren aus Dropdownliste auswählen." sqref="F94">
      <formula1>$F$233:$F$264</formula1>
    </dataValidation>
    <dataValidation type="list" allowBlank="1" showInputMessage="1" showErrorMessage="1" errorTitle="Produktionsverfahren" error="Bitte Produktionsverfahren aus Dropdownliste auswählen." sqref="U2 I2:K2 S2 Q2 O2 M2">
      <formula1>$F$234:$F$288</formula1>
    </dataValidation>
    <dataValidation allowBlank="1" showDropDown="1" showInputMessage="1" showErrorMessage="1" errorTitle="Produktionsverfahren" error="Bitte Produktionsverfahren aus Dropdownliste auswählen." sqref="W2:X2"/>
    <dataValidation allowBlank="1" showDropDown="1" showInputMessage="1" showErrorMessage="1" sqref="W8:X8"/>
  </dataValidations>
  <printOptions horizontalCentered="1"/>
  <pageMargins left="0.59055118110236227" right="0.59055118110236227" top="0.59055118110236227" bottom="0.59055118110236227" header="0.39370078740157483" footer="0.39370078740157483"/>
  <pageSetup paperSize="9" scale="58" firstPageNumber="19" fitToHeight="0" orientation="portrait" r:id="rId1"/>
  <headerFooter alignWithMargins="0">
    <oddFooter>&amp;L&amp;11LEL Schwäbisch Gmünd&amp;C46&amp;R&amp;11&amp;F</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filterMode="1">
    <tabColor rgb="FFFF0000"/>
    <pageSetUpPr fitToPage="1"/>
  </sheetPr>
  <dimension ref="A1:W130"/>
  <sheetViews>
    <sheetView showZeros="0" zoomScaleNormal="100" workbookViewId="0"/>
  </sheetViews>
  <sheetFormatPr baseColWidth="10" defaultColWidth="10.5" defaultRowHeight="12.75"/>
  <cols>
    <col min="1" max="1" width="1.5" style="77" customWidth="1"/>
    <col min="2" max="2" width="10.75" style="77" bestFit="1" customWidth="1"/>
    <col min="3" max="3" width="29.625" style="17" customWidth="1"/>
    <col min="4" max="4" width="11.375" style="17" customWidth="1"/>
    <col min="5" max="5" width="10.5" style="17" customWidth="1"/>
    <col min="6" max="6" width="10.5" style="17" hidden="1" customWidth="1"/>
    <col min="7" max="8" width="10.5" style="17" customWidth="1"/>
    <col min="9" max="9" width="10.5" style="17" hidden="1" customWidth="1"/>
    <col min="10" max="11" width="10.5" style="17" customWidth="1"/>
    <col min="12" max="12" width="10.25" style="33" customWidth="1"/>
    <col min="13" max="13" width="10.5" style="77"/>
    <col min="14" max="14" width="13.625" style="77" customWidth="1"/>
    <col min="15" max="16384" width="10.5" style="77"/>
  </cols>
  <sheetData>
    <row r="1" spans="1:23" ht="7.15" customHeight="1">
      <c r="A1" s="79"/>
    </row>
    <row r="2" spans="1:23" ht="30.4" customHeight="1">
      <c r="A2" s="112"/>
      <c r="C2" s="118" t="str">
        <f>"Übersicht Produktionsverfahren " &amp;'SDK1'!O8</f>
        <v>Übersicht Produktionsverfahren ohne MwSt.</v>
      </c>
      <c r="D2" s="1"/>
      <c r="E2" s="117"/>
      <c r="F2" s="77"/>
      <c r="H2" s="77"/>
      <c r="I2" s="77"/>
      <c r="J2" s="77"/>
      <c r="K2" s="113" t="s">
        <v>184</v>
      </c>
      <c r="M2" s="110"/>
      <c r="P2" s="109"/>
      <c r="Q2" s="109"/>
      <c r="R2" s="27"/>
      <c r="S2" s="17"/>
      <c r="T2" s="17"/>
      <c r="U2" s="108"/>
      <c r="V2" s="108"/>
      <c r="W2" s="108"/>
    </row>
    <row r="3" spans="1:23" ht="24" customHeight="1">
      <c r="A3" s="112"/>
      <c r="B3" s="109"/>
      <c r="C3" s="77"/>
      <c r="D3" s="77"/>
      <c r="E3" s="77"/>
      <c r="F3" s="77"/>
      <c r="G3" s="115"/>
      <c r="H3" s="114"/>
      <c r="I3" s="114"/>
      <c r="J3" s="77"/>
      <c r="K3" s="113">
        <f>'SDK1'!O3</f>
        <v>0</v>
      </c>
      <c r="M3" s="110"/>
      <c r="P3" s="109"/>
      <c r="Q3" s="109"/>
      <c r="R3" s="27"/>
      <c r="S3" s="17"/>
      <c r="T3" s="17"/>
      <c r="U3" s="108"/>
      <c r="V3" s="108"/>
      <c r="W3" s="108"/>
    </row>
    <row r="4" spans="1:23" ht="24" customHeight="1" thickBot="1">
      <c r="A4" s="112"/>
      <c r="B4" s="109"/>
      <c r="C4" s="77"/>
      <c r="D4" s="116"/>
      <c r="E4" s="77"/>
      <c r="F4" s="77"/>
      <c r="G4" s="115"/>
      <c r="H4" s="114"/>
      <c r="I4" s="114"/>
      <c r="J4" s="77"/>
      <c r="K4" s="113"/>
      <c r="M4" s="110"/>
      <c r="P4" s="109"/>
      <c r="Q4" s="109"/>
      <c r="R4" s="27"/>
      <c r="S4" s="17"/>
      <c r="T4" s="17"/>
      <c r="U4" s="108"/>
      <c r="V4" s="108"/>
      <c r="W4" s="108"/>
    </row>
    <row r="5" spans="1:23" ht="24" customHeight="1">
      <c r="A5" s="112"/>
      <c r="B5" s="3324" t="s">
        <v>183</v>
      </c>
      <c r="C5" s="3325" t="s">
        <v>182</v>
      </c>
      <c r="D5" s="3342" t="s">
        <v>181</v>
      </c>
      <c r="E5" s="3326"/>
      <c r="F5" s="111"/>
      <c r="G5" s="3326"/>
      <c r="H5" s="3326"/>
      <c r="I5" s="111"/>
      <c r="J5" s="3326"/>
      <c r="K5" s="3337"/>
      <c r="M5" s="110"/>
      <c r="P5" s="109"/>
      <c r="Q5" s="109"/>
      <c r="R5" s="27"/>
      <c r="S5" s="17"/>
      <c r="T5" s="17"/>
      <c r="U5" s="108"/>
      <c r="V5" s="108"/>
      <c r="W5" s="108"/>
    </row>
    <row r="6" spans="1:23" s="82" customFormat="1" ht="22.15" customHeight="1">
      <c r="B6" s="3324" t="s">
        <v>180</v>
      </c>
      <c r="C6" s="91"/>
      <c r="D6" s="105" t="s">
        <v>179</v>
      </c>
      <c r="E6" s="107"/>
      <c r="F6" s="107"/>
      <c r="G6" s="106" t="s">
        <v>152</v>
      </c>
      <c r="H6" s="106"/>
      <c r="I6" s="106"/>
      <c r="J6" s="107" t="s">
        <v>178</v>
      </c>
      <c r="K6" s="107"/>
      <c r="M6" s="96"/>
      <c r="O6" s="77"/>
    </row>
    <row r="7" spans="1:23" s="82" customFormat="1" ht="15" customHeight="1">
      <c r="B7" s="3324" t="s">
        <v>177</v>
      </c>
      <c r="C7" s="91"/>
      <c r="D7" s="102" t="s">
        <v>176</v>
      </c>
      <c r="E7" s="3327" t="s">
        <v>136</v>
      </c>
      <c r="F7" s="101"/>
      <c r="G7" s="103" t="s">
        <v>176</v>
      </c>
      <c r="H7" s="104" t="s">
        <v>136</v>
      </c>
      <c r="I7" s="103"/>
      <c r="J7" s="3338" t="s">
        <v>176</v>
      </c>
      <c r="K7" s="102" t="s">
        <v>136</v>
      </c>
      <c r="M7" s="96"/>
      <c r="O7" s="77"/>
    </row>
    <row r="8" spans="1:23" s="82" customFormat="1" ht="22.9" customHeight="1">
      <c r="B8" s="3328">
        <f>COUNTIF(B13:B64,"x")</f>
        <v>11</v>
      </c>
      <c r="C8" s="91"/>
      <c r="D8" s="99" t="s">
        <v>175</v>
      </c>
      <c r="E8" s="3327" t="s">
        <v>134</v>
      </c>
      <c r="F8" s="101"/>
      <c r="G8" s="3332" t="s">
        <v>175</v>
      </c>
      <c r="H8" s="3333" t="s">
        <v>134</v>
      </c>
      <c r="I8" s="100"/>
      <c r="J8" s="3339" t="s">
        <v>175</v>
      </c>
      <c r="K8" s="3327" t="s">
        <v>134</v>
      </c>
      <c r="M8" s="96"/>
      <c r="O8" s="77"/>
    </row>
    <row r="9" spans="1:23" s="82" customFormat="1" ht="25.15" customHeight="1">
      <c r="B9" s="3328"/>
      <c r="C9" s="91"/>
      <c r="D9" s="99"/>
      <c r="E9" s="3329" t="s">
        <v>174</v>
      </c>
      <c r="F9" s="98"/>
      <c r="G9" s="3332"/>
      <c r="H9" s="3334" t="s">
        <v>174</v>
      </c>
      <c r="I9" s="97"/>
      <c r="J9" s="3340"/>
      <c r="K9" s="3329" t="s">
        <v>174</v>
      </c>
      <c r="M9" s="96"/>
      <c r="O9" s="77"/>
    </row>
    <row r="10" spans="1:23" s="82" customFormat="1" ht="13.7" customHeight="1" thickBot="1">
      <c r="B10" s="3330" t="s">
        <v>173</v>
      </c>
      <c r="C10" s="89"/>
      <c r="D10" s="88" t="s">
        <v>172</v>
      </c>
      <c r="E10" s="3331" t="s">
        <v>171</v>
      </c>
      <c r="F10" s="95"/>
      <c r="G10" s="3335" t="s">
        <v>172</v>
      </c>
      <c r="H10" s="3336" t="s">
        <v>171</v>
      </c>
      <c r="I10" s="94"/>
      <c r="J10" s="3341" t="s">
        <v>172</v>
      </c>
      <c r="K10" s="3331" t="s">
        <v>171</v>
      </c>
      <c r="M10" s="93">
        <f>'E2'!O1</f>
        <v>2</v>
      </c>
      <c r="O10" s="77"/>
    </row>
    <row r="11" spans="1:23" s="82" customFormat="1" ht="0.6" customHeight="1">
      <c r="B11" s="92"/>
      <c r="C11" s="91"/>
      <c r="D11" s="3203"/>
      <c r="E11" s="3203"/>
      <c r="F11" s="3203"/>
      <c r="G11" s="3203"/>
      <c r="H11" s="3203"/>
      <c r="I11" s="3203"/>
      <c r="J11" s="3203"/>
      <c r="K11" s="3203"/>
      <c r="M11" s="90"/>
      <c r="O11" s="77"/>
    </row>
    <row r="12" spans="1:23" s="82" customFormat="1" ht="22.15" customHeight="1">
      <c r="B12" s="3356" t="s">
        <v>170</v>
      </c>
      <c r="C12" s="91"/>
      <c r="D12" s="3322"/>
      <c r="E12" s="80"/>
      <c r="F12" s="3203"/>
      <c r="G12" s="3203"/>
      <c r="H12" s="3203"/>
      <c r="I12" s="3203"/>
      <c r="J12" s="80"/>
      <c r="K12" s="3323"/>
      <c r="M12" s="3226"/>
      <c r="O12" s="77"/>
    </row>
    <row r="13" spans="1:23" s="82" customFormat="1" ht="19.899999999999999" hidden="1" customHeight="1">
      <c r="A13" s="83"/>
      <c r="B13" s="84"/>
      <c r="C13" s="78"/>
      <c r="D13" s="3322"/>
      <c r="E13" s="80"/>
      <c r="F13" s="80"/>
      <c r="G13" s="3204"/>
      <c r="H13" s="3204"/>
      <c r="I13" s="87"/>
      <c r="J13" s="80"/>
      <c r="K13" s="3323"/>
      <c r="M13" s="3204"/>
      <c r="O13" s="77"/>
    </row>
    <row r="14" spans="1:23" s="82" customFormat="1" ht="19.899999999999999" customHeight="1">
      <c r="B14" s="86" t="s">
        <v>168</v>
      </c>
      <c r="C14" s="85" t="str">
        <f>Kostenrechnung!F234</f>
        <v>Winterweizen (Futter-)</v>
      </c>
      <c r="D14" s="3322">
        <f>Daten!D$6</f>
        <v>65</v>
      </c>
      <c r="E14" s="80">
        <f>IF(Daten!D$12=0,0,Daten!D$22)</f>
        <v>694.99591604525494</v>
      </c>
      <c r="F14" s="80"/>
      <c r="G14" s="87">
        <f>Daten!AJ$6</f>
        <v>80</v>
      </c>
      <c r="H14" s="87">
        <f>IF(Daten!AJ$12=0,0,Daten!AJ$22)</f>
        <v>834.36849601443168</v>
      </c>
      <c r="I14" s="87"/>
      <c r="J14" s="80">
        <f>Daten!BP$6</f>
        <v>95</v>
      </c>
      <c r="K14" s="3323">
        <f>IF(Daten!BP$12=0,0,Daten!BP$22)</f>
        <v>1098.6317185989024</v>
      </c>
      <c r="M14" s="3321">
        <f>IF($M$10=1,E14,IF($M$10=2,H14,K14))</f>
        <v>834.36849601443168</v>
      </c>
      <c r="O14" s="77"/>
    </row>
    <row r="15" spans="1:23" s="82" customFormat="1" ht="19.899999999999999" hidden="1" customHeight="1">
      <c r="B15" s="86"/>
      <c r="C15" s="85" t="str">
        <f>Kostenrechnung!F235</f>
        <v>Winterweizen (Brot-)</v>
      </c>
      <c r="D15" s="3322">
        <f>Daten!E$6</f>
        <v>60</v>
      </c>
      <c r="E15" s="80">
        <f>IF(Daten!E$12=0,0,Daten!$E$22)</f>
        <v>315.86490436823533</v>
      </c>
      <c r="F15" s="81"/>
      <c r="G15" s="87">
        <f>Daten!AK$6</f>
        <v>75</v>
      </c>
      <c r="H15" s="87">
        <f>IF(Daten!AK$12=0,0,Daten!AK$22)</f>
        <v>536.6116599082352</v>
      </c>
      <c r="I15" s="80"/>
      <c r="J15" s="80">
        <f>Daten!BQ$6</f>
        <v>90</v>
      </c>
      <c r="K15" s="3323">
        <f>IF(Daten!BQ$12=0,0,Daten!BQ$22)</f>
        <v>776.89841544823526</v>
      </c>
      <c r="M15" s="3321">
        <f t="shared" ref="M15:M43" si="0">IF($M$10=1,E15,IF($M$10=2,H15,K15))</f>
        <v>536.6116599082352</v>
      </c>
      <c r="O15" s="77"/>
    </row>
    <row r="16" spans="1:23" s="82" customFormat="1" ht="19.899999999999999" hidden="1" customHeight="1">
      <c r="B16" s="86"/>
      <c r="C16" s="85" t="str">
        <f>Kostenrechnung!F236</f>
        <v>Winterweizen (Aufmisch-; A-Sort.)</v>
      </c>
      <c r="D16" s="3322">
        <f>Daten!F$6</f>
        <v>55</v>
      </c>
      <c r="E16" s="80">
        <f>IF(Daten!F$12=0,0,Daten!$F$22)</f>
        <v>247.30862405529388</v>
      </c>
      <c r="F16" s="81"/>
      <c r="G16" s="87">
        <f>Daten!AL$6</f>
        <v>70</v>
      </c>
      <c r="H16" s="87">
        <f>IF(Daten!AL$12=0,0,Daten!AL$22)</f>
        <v>505.61137959529424</v>
      </c>
      <c r="I16" s="80"/>
      <c r="J16" s="80">
        <f>Daten!BR$6</f>
        <v>85</v>
      </c>
      <c r="K16" s="3323">
        <f>IF(Daten!BR$12=0,0,Daten!BR$22)</f>
        <v>769.3541351352942</v>
      </c>
      <c r="M16" s="3321">
        <f t="shared" si="0"/>
        <v>505.61137959529424</v>
      </c>
      <c r="O16" s="77"/>
    </row>
    <row r="17" spans="1:15" s="82" customFormat="1" ht="19.899999999999999" hidden="1" customHeight="1">
      <c r="B17" s="86"/>
      <c r="C17" s="85" t="str">
        <f>Kostenrechnung!F237</f>
        <v>Winterweizen (Qualität-; E-Sorte)</v>
      </c>
      <c r="D17" s="3322">
        <f>Daten!G$6</f>
        <v>55</v>
      </c>
      <c r="E17" s="80">
        <f>IF(Daten!G$12=0,0,Daten!$G$22)</f>
        <v>314.68878405529404</v>
      </c>
      <c r="F17" s="80"/>
      <c r="G17" s="87">
        <f>Daten!AM$6</f>
        <v>65</v>
      </c>
      <c r="H17" s="87">
        <f>IF(Daten!AM$12=0,0,Daten!AM$22)</f>
        <v>505.80037928235311</v>
      </c>
      <c r="I17" s="87"/>
      <c r="J17" s="80">
        <f>Daten!BS$6</f>
        <v>75</v>
      </c>
      <c r="K17" s="3323">
        <f>IF(Daten!BS$12=0,0,Daten!BS$22)</f>
        <v>696.91197450941195</v>
      </c>
      <c r="M17" s="3321">
        <f t="shared" si="0"/>
        <v>505.80037928235311</v>
      </c>
      <c r="O17" s="77"/>
    </row>
    <row r="18" spans="1:15" s="82" customFormat="1" ht="19.899999999999999" customHeight="1">
      <c r="B18" s="86" t="s">
        <v>168</v>
      </c>
      <c r="C18" s="85" t="str">
        <f>Kostenrechnung!F238</f>
        <v>Winterroggen</v>
      </c>
      <c r="D18" s="3322">
        <f>Daten!H$6</f>
        <v>55</v>
      </c>
      <c r="E18" s="80">
        <f>IF(Daten!H$12=0,0,Daten!$H$22)</f>
        <v>285.27398144000017</v>
      </c>
      <c r="F18" s="80"/>
      <c r="G18" s="87">
        <f>Daten!AN$6</f>
        <v>65</v>
      </c>
      <c r="H18" s="87">
        <f>IF(Daten!AN$12=0,0,Daten!AN$22)</f>
        <v>439.74654206588241</v>
      </c>
      <c r="I18" s="87"/>
      <c r="J18" s="80">
        <f>Daten!BT$6</f>
        <v>75</v>
      </c>
      <c r="K18" s="3323">
        <f>IF(Daten!BT$12=0,0,Daten!BT$22)</f>
        <v>583.29165990823549</v>
      </c>
      <c r="M18" s="3321">
        <f t="shared" si="0"/>
        <v>439.74654206588241</v>
      </c>
      <c r="O18" s="77"/>
    </row>
    <row r="19" spans="1:15" s="82" customFormat="1" ht="19.899999999999999" hidden="1" customHeight="1">
      <c r="B19" s="86"/>
      <c r="C19" s="85" t="str">
        <f>Kostenrechnung!F239</f>
        <v>Triticale</v>
      </c>
      <c r="D19" s="3322">
        <f>Daten!I$6</f>
        <v>60</v>
      </c>
      <c r="E19" s="80">
        <f>IF(Daten!I$12=0,0,Daten!$I$22)</f>
        <v>232.48978144000012</v>
      </c>
      <c r="F19" s="80"/>
      <c r="G19" s="87">
        <f>Daten!AO$6</f>
        <v>75</v>
      </c>
      <c r="H19" s="87">
        <f>IF(Daten!AO$12=0,0,Daten!AO$22)</f>
        <v>444.40822237882321</v>
      </c>
      <c r="I19" s="87"/>
      <c r="J19" s="80">
        <f>Daten!BU$6</f>
        <v>90</v>
      </c>
      <c r="K19" s="3323">
        <f>IF(Daten!BU$12=0,0,Daten!BU$22)</f>
        <v>651.24745823176454</v>
      </c>
      <c r="M19" s="3321">
        <f t="shared" si="0"/>
        <v>444.40822237882321</v>
      </c>
      <c r="O19" s="77"/>
    </row>
    <row r="20" spans="1:15" s="82" customFormat="1" ht="19.899999999999999" hidden="1" customHeight="1">
      <c r="B20" s="86"/>
      <c r="C20" s="85" t="str">
        <f>Kostenrechnung!F240</f>
        <v>Wintergerste</v>
      </c>
      <c r="D20" s="3322">
        <f>Daten!J$6</f>
        <v>55</v>
      </c>
      <c r="E20" s="80">
        <f>IF(Daten!J$12=0,0,Daten!$J$22)</f>
        <v>44.293824055294181</v>
      </c>
      <c r="F20" s="81"/>
      <c r="G20" s="87">
        <f>Daten!AP$6</f>
        <v>70</v>
      </c>
      <c r="H20" s="87">
        <f>IF(Daten!AP$12=0,0,Daten!AP$22)</f>
        <v>246.86426499411778</v>
      </c>
      <c r="I20" s="80"/>
      <c r="J20" s="80">
        <f>Daten!BV$6</f>
        <v>85</v>
      </c>
      <c r="K20" s="3323">
        <f>IF(Daten!BV$12=0,0,Daten!BV$22)</f>
        <v>425.0366205341179</v>
      </c>
      <c r="M20" s="3321">
        <f t="shared" si="0"/>
        <v>246.86426499411778</v>
      </c>
      <c r="O20" s="77"/>
    </row>
    <row r="21" spans="1:15" s="82" customFormat="1" ht="19.899999999999999" customHeight="1">
      <c r="B21" s="86" t="s">
        <v>168</v>
      </c>
      <c r="C21" s="85" t="str">
        <f>Kostenrechnung!F241</f>
        <v>Dinkel</v>
      </c>
      <c r="D21" s="3322">
        <f>Daten!K$6</f>
        <v>50</v>
      </c>
      <c r="E21" s="80">
        <f>IF(Daten!K$12=0,0,Daten!$K$22)</f>
        <v>-2.5056562576469332</v>
      </c>
      <c r="F21" s="81"/>
      <c r="G21" s="87">
        <f>Daten!AQ$6</f>
        <v>60</v>
      </c>
      <c r="H21" s="87">
        <f>IF(Daten!AQ$12=0,0,Daten!AQ$22)</f>
        <v>119.23801896941154</v>
      </c>
      <c r="I21" s="80"/>
      <c r="J21" s="80">
        <f>Daten!BW$6</f>
        <v>70</v>
      </c>
      <c r="K21" s="3323">
        <f>IF(Daten!BW$12=0,0,Daten!BW$22)</f>
        <v>265.86977959529418</v>
      </c>
      <c r="M21" s="3321">
        <f t="shared" si="0"/>
        <v>119.23801896941154</v>
      </c>
      <c r="O21" s="77"/>
    </row>
    <row r="22" spans="1:15" s="82" customFormat="1" ht="19.899999999999999" hidden="1" customHeight="1">
      <c r="B22" s="86"/>
      <c r="C22" s="85" t="str">
        <f>Kostenrechnung!F242</f>
        <v xml:space="preserve">Sommerweizen </v>
      </c>
      <c r="D22" s="3322">
        <f>Daten!L$6</f>
        <v>55</v>
      </c>
      <c r="E22" s="80">
        <f>IF(Daten!L$12=0,0,Daten!$L$22)</f>
        <v>411.47086175294112</v>
      </c>
      <c r="F22" s="80"/>
      <c r="G22" s="87">
        <f>Daten!AR$6</f>
        <v>65</v>
      </c>
      <c r="H22" s="87">
        <f>IF(Daten!AR$12=0,0,Daten!AR$22)</f>
        <v>479.68666175294106</v>
      </c>
      <c r="I22" s="87"/>
      <c r="J22" s="80">
        <f>Daten!BX$6</f>
        <v>75</v>
      </c>
      <c r="K22" s="3323">
        <f>IF(Daten!BX$12=0,0,Daten!BX$22)</f>
        <v>782.5524617529411</v>
      </c>
      <c r="M22" s="3321">
        <f t="shared" si="0"/>
        <v>479.68666175294106</v>
      </c>
      <c r="O22" s="77"/>
    </row>
    <row r="23" spans="1:15" s="82" customFormat="1" ht="19.899999999999999" hidden="1" customHeight="1">
      <c r="B23" s="86"/>
      <c r="C23" s="85" t="str">
        <f>Kostenrechnung!F243</f>
        <v xml:space="preserve">Sommerfuttergerste </v>
      </c>
      <c r="D23" s="3322">
        <f>Daten!M$6</f>
        <v>50</v>
      </c>
      <c r="E23" s="80">
        <f>IF(Daten!M$12=0,0,Daten!$M$22)</f>
        <v>37.969701127059011</v>
      </c>
      <c r="F23" s="80"/>
      <c r="G23" s="87">
        <f>Daten!AS$6</f>
        <v>60</v>
      </c>
      <c r="H23" s="87">
        <f>IF(Daten!AS$12=0,0,Daten!AS$22)</f>
        <v>173.01666175294145</v>
      </c>
      <c r="I23" s="87"/>
      <c r="J23" s="80">
        <f>Daten!BY$6</f>
        <v>70</v>
      </c>
      <c r="K23" s="3323">
        <f>IF(Daten!BY$12=0,0,Daten!BY$22)</f>
        <v>308.06362237882377</v>
      </c>
      <c r="M23" s="3321">
        <f t="shared" si="0"/>
        <v>173.01666175294145</v>
      </c>
      <c r="O23" s="77"/>
    </row>
    <row r="24" spans="1:15" s="82" customFormat="1" ht="19.899999999999999" customHeight="1">
      <c r="A24" s="83"/>
      <c r="B24" s="86" t="s">
        <v>168</v>
      </c>
      <c r="C24" s="85" t="str">
        <f>Kostenrechnung!F244</f>
        <v>Braugerste</v>
      </c>
      <c r="D24" s="3322">
        <f>Daten!N$6</f>
        <v>40</v>
      </c>
      <c r="E24" s="80">
        <f>IF(Daten!N$12=0,0,Daten!$N$22)</f>
        <v>390.63462081411762</v>
      </c>
      <c r="F24" s="80"/>
      <c r="G24" s="87">
        <f>Daten!AT$6</f>
        <v>49</v>
      </c>
      <c r="H24" s="87">
        <f>IF(Daten!AT$12=0,0,Daten!AT$22)</f>
        <v>622.76958144000002</v>
      </c>
      <c r="I24" s="87"/>
      <c r="J24" s="80">
        <f>Daten!BZ$6</f>
        <v>58</v>
      </c>
      <c r="K24" s="3323">
        <f>IF(Daten!BZ$12=0,0,Daten!BZ$22)</f>
        <v>854.9045420658822</v>
      </c>
      <c r="M24" s="3321">
        <f t="shared" si="0"/>
        <v>622.76958144000002</v>
      </c>
      <c r="O24" s="77"/>
    </row>
    <row r="25" spans="1:15" s="82" customFormat="1" ht="19.899999999999999" hidden="1" customHeight="1">
      <c r="B25" s="86"/>
      <c r="C25" s="85" t="str">
        <f>Kostenrechnung!F245</f>
        <v xml:space="preserve">Hafer </v>
      </c>
      <c r="D25" s="3322">
        <f>Daten!O$6</f>
        <v>45</v>
      </c>
      <c r="E25" s="80">
        <f>IF(Daten!O$12=0,0,Daten!$O$22)</f>
        <v>211.74177819882334</v>
      </c>
      <c r="F25" s="81"/>
      <c r="G25" s="87">
        <f>Daten!AU$6</f>
        <v>55</v>
      </c>
      <c r="H25" s="87">
        <f>IF(Daten!AU$12=0,0,Daten!AU$22)</f>
        <v>348.1929814399997</v>
      </c>
      <c r="I25" s="80"/>
      <c r="J25" s="80">
        <f>Daten!CA$6</f>
        <v>65</v>
      </c>
      <c r="K25" s="3323">
        <f>IF(Daten!CA$12=0,0,Daten!CA$22)</f>
        <v>501.35354206588192</v>
      </c>
      <c r="M25" s="3321">
        <f t="shared" si="0"/>
        <v>348.1929814399997</v>
      </c>
      <c r="O25" s="77"/>
    </row>
    <row r="26" spans="1:15" s="82" customFormat="1" ht="19.899999999999999" hidden="1" customHeight="1">
      <c r="B26" s="86"/>
      <c r="C26" s="85" t="str">
        <f>Kostenrechnung!F246</f>
        <v>Durum</v>
      </c>
      <c r="D26" s="3322">
        <f>Daten!P$6</f>
        <v>40</v>
      </c>
      <c r="E26" s="80">
        <f>IF(Daten!P$12=0,0,Daten!$P$22)</f>
        <v>272.84409872352967</v>
      </c>
      <c r="F26" s="81"/>
      <c r="G26" s="87">
        <f>Daten!AV$6</f>
        <v>55</v>
      </c>
      <c r="H26" s="87">
        <f>IF(Daten!AV$12=0,0,Daten!AV$22)</f>
        <v>658.67493966235293</v>
      </c>
      <c r="I26" s="80"/>
      <c r="J26" s="80">
        <f>Daten!CB$6</f>
        <v>60</v>
      </c>
      <c r="K26" s="3323">
        <f>IF(Daten!CB$12=0,0,Daten!CB$22)</f>
        <v>787.28521997529424</v>
      </c>
      <c r="M26" s="3321">
        <f t="shared" si="0"/>
        <v>658.67493966235293</v>
      </c>
      <c r="O26" s="77"/>
    </row>
    <row r="27" spans="1:15" s="82" customFormat="1" ht="19.899999999999999" customHeight="1">
      <c r="B27" s="86" t="s">
        <v>168</v>
      </c>
      <c r="C27" s="85" t="str">
        <f>Kostenrechnung!F247</f>
        <v xml:space="preserve">Körnermais </v>
      </c>
      <c r="D27" s="3322">
        <f>Daten!Q$6</f>
        <v>80</v>
      </c>
      <c r="E27" s="80">
        <f>IF(Daten!Q$12=0,0,Daten!$Q$22)</f>
        <v>551.16686765803979</v>
      </c>
      <c r="F27" s="80"/>
      <c r="G27" s="87">
        <f>Daten!AW$6</f>
        <v>100</v>
      </c>
      <c r="H27" s="87">
        <f>IF(Daten!AW$12=0,0,Daten!AW$22)</f>
        <v>855.20052224313736</v>
      </c>
      <c r="I27" s="87"/>
      <c r="J27" s="80">
        <f>Daten!CC$6</f>
        <v>120</v>
      </c>
      <c r="K27" s="3323">
        <f>IF(Daten!CC$12=0,0,Daten!CC$22)</f>
        <v>1159.2341768282358</v>
      </c>
      <c r="M27" s="3321">
        <f t="shared" si="0"/>
        <v>855.20052224313736</v>
      </c>
      <c r="O27" s="77"/>
    </row>
    <row r="28" spans="1:15" s="82" customFormat="1" ht="19.7" hidden="1" customHeight="1">
      <c r="B28" s="86"/>
      <c r="C28" s="85" t="str">
        <f>Kostenrechnung!F248</f>
        <v>Körnerhirse (Lebens-/Futtermittel)</v>
      </c>
      <c r="D28" s="3322">
        <f>Daten!R$6</f>
        <v>0</v>
      </c>
      <c r="E28" s="80">
        <f>IF(Daten!R$12=0,0,Daten!$R$22)</f>
        <v>0</v>
      </c>
      <c r="F28" s="80"/>
      <c r="G28" s="87">
        <f>Daten!AX$6</f>
        <v>0</v>
      </c>
      <c r="H28" s="87">
        <f>IF(Daten!AX$12=0,0,Daten!AX$22)</f>
        <v>0</v>
      </c>
      <c r="I28" s="87"/>
      <c r="J28" s="80">
        <f>Daten!CE$6</f>
        <v>50</v>
      </c>
      <c r="K28" s="3323">
        <f>IF(Daten!CE$12=0,0,Daten!CE$22)</f>
        <v>1251.9619009588232</v>
      </c>
      <c r="M28" s="3321">
        <f t="shared" si="0"/>
        <v>0</v>
      </c>
      <c r="O28" s="77"/>
    </row>
    <row r="29" spans="1:15" s="82" customFormat="1" ht="18.399999999999999" hidden="1" customHeight="1">
      <c r="B29" s="86"/>
      <c r="C29" s="85" t="str">
        <f>Kostenrechnung!F249</f>
        <v>Winterraps</v>
      </c>
      <c r="D29" s="3322">
        <f>Daten!S$6</f>
        <v>30</v>
      </c>
      <c r="E29" s="80">
        <f>IF(Daten!S$12=0,0,Daten!$S$22)</f>
        <v>495.09373709176452</v>
      </c>
      <c r="F29" s="81"/>
      <c r="G29" s="87">
        <f>Daten!AY$6</f>
        <v>40</v>
      </c>
      <c r="H29" s="87">
        <f>IF(Daten!AY$12=0,0,Daten!AY$22)</f>
        <v>859.88314033294046</v>
      </c>
      <c r="I29" s="80"/>
      <c r="J29" s="80">
        <f>Daten!CD$6</f>
        <v>0</v>
      </c>
      <c r="K29" s="3323">
        <f>IF(Daten!CD$12=0,0,Daten!CD$22)</f>
        <v>0</v>
      </c>
      <c r="M29" s="3321">
        <f t="shared" si="0"/>
        <v>859.88314033294046</v>
      </c>
      <c r="O29" s="77"/>
    </row>
    <row r="30" spans="1:15" s="82" customFormat="1" ht="19.899999999999999" customHeight="1">
      <c r="B30" s="86" t="s">
        <v>168</v>
      </c>
      <c r="C30" s="85" t="str">
        <f>Kostenrechnung!F250</f>
        <v xml:space="preserve">Sommerraps </v>
      </c>
      <c r="D30" s="3322">
        <f>Daten!T$6</f>
        <v>20</v>
      </c>
      <c r="E30" s="80">
        <f>IF(Daten!T$12=0,0,Daten!$T$22)</f>
        <v>-17.61249026047085</v>
      </c>
      <c r="F30" s="80"/>
      <c r="G30" s="87">
        <f>Daten!AZ$6</f>
        <v>25</v>
      </c>
      <c r="H30" s="87">
        <f>IF(Daten!AZ$12=0,0,Daten!AZ$22)</f>
        <v>144.31330873035267</v>
      </c>
      <c r="I30" s="87"/>
      <c r="J30" s="80">
        <f>Daten!CF$6</f>
        <v>30</v>
      </c>
      <c r="K30" s="3323">
        <f>IF(Daten!CF$12=0,0,Daten!CF$22)</f>
        <v>333.52846510588233</v>
      </c>
      <c r="M30" s="3321">
        <f t="shared" si="0"/>
        <v>144.31330873035267</v>
      </c>
      <c r="O30" s="77"/>
    </row>
    <row r="31" spans="1:15" s="82" customFormat="1" ht="19.899999999999999" customHeight="1">
      <c r="B31" s="86" t="s">
        <v>168</v>
      </c>
      <c r="C31" s="85" t="str">
        <f>Kostenrechnung!F251</f>
        <v xml:space="preserve">Sonnenblumen </v>
      </c>
      <c r="D31" s="3322">
        <f>Daten!U$6</f>
        <v>25</v>
      </c>
      <c r="E31" s="80">
        <f>IF(Daten!U$12=0,0,Daten!$U$22)</f>
        <v>107.61992449137244</v>
      </c>
      <c r="F31" s="81"/>
      <c r="G31" s="87">
        <f>Daten!BA$6</f>
        <v>30</v>
      </c>
      <c r="H31" s="87">
        <f>IF(Daten!BA$12=0,0,Daten!BA$22)</f>
        <v>245.56453813764665</v>
      </c>
      <c r="I31" s="80"/>
      <c r="J31" s="80">
        <f>Daten!CG$6</f>
        <v>35</v>
      </c>
      <c r="K31" s="3323">
        <f>IF(Daten!CG$12=0,0,Daten!CG$22)</f>
        <v>383.5091517839212</v>
      </c>
      <c r="M31" s="3321">
        <f t="shared" si="0"/>
        <v>245.56453813764665</v>
      </c>
      <c r="O31" s="77"/>
    </row>
    <row r="32" spans="1:15" s="82" customFormat="1" ht="19.899999999999999" hidden="1" customHeight="1">
      <c r="B32" s="86"/>
      <c r="C32" s="85" t="str">
        <f>Kostenrechnung!F252</f>
        <v xml:space="preserve">Sojabohne </v>
      </c>
      <c r="D32" s="3322">
        <f>Daten!V$6</f>
        <v>20</v>
      </c>
      <c r="E32" s="80">
        <f>IF(Daten!V$12=0,0,Daten!$V$22)</f>
        <v>98.867709907764947</v>
      </c>
      <c r="F32" s="81"/>
      <c r="G32" s="87">
        <f>Daten!BB$6</f>
        <v>27</v>
      </c>
      <c r="H32" s="87">
        <f>IF(Daten!BB$12=0,0,Daten!BB$22)</f>
        <v>407.27406265882382</v>
      </c>
      <c r="I32" s="80"/>
      <c r="J32" s="80">
        <f>Daten!CH$6</f>
        <v>34</v>
      </c>
      <c r="K32" s="3323">
        <f>IF(Daten!CH$12=0,0,Daten!CH$22)</f>
        <v>715.6804154098827</v>
      </c>
      <c r="M32" s="3321">
        <f t="shared" si="0"/>
        <v>407.27406265882382</v>
      </c>
      <c r="O32" s="77"/>
    </row>
    <row r="33" spans="1:21" s="82" customFormat="1" ht="19.5" hidden="1" customHeight="1">
      <c r="B33" s="86"/>
      <c r="C33" s="85" t="str">
        <f>Kostenrechnung!F253</f>
        <v xml:space="preserve">Öllein (Industrie) </v>
      </c>
      <c r="D33" s="3322">
        <f>Daten!W$6</f>
        <v>0</v>
      </c>
      <c r="E33" s="80">
        <f>IF(Daten!W$12=0,0,Daten!$W$22)</f>
        <v>0</v>
      </c>
      <c r="F33" s="80"/>
      <c r="G33" s="87">
        <f>Daten!BC$6</f>
        <v>0</v>
      </c>
      <c r="H33" s="87">
        <f>IF(Daten!BC$12=0,0,Daten!BC$22)</f>
        <v>0</v>
      </c>
      <c r="I33" s="87"/>
      <c r="J33" s="80">
        <f>Daten!CI$6</f>
        <v>0</v>
      </c>
      <c r="K33" s="3323">
        <f>IF(Daten!CI$12=0,0,Daten!CI$22)</f>
        <v>0</v>
      </c>
      <c r="M33" s="3321">
        <f t="shared" si="0"/>
        <v>0</v>
      </c>
      <c r="O33" s="77"/>
    </row>
    <row r="34" spans="1:21" s="82" customFormat="1" ht="19.899999999999999" hidden="1" customHeight="1">
      <c r="B34" s="86"/>
      <c r="C34" s="85" t="str">
        <f>Kostenrechnung!F254</f>
        <v xml:space="preserve">Futtererbsen </v>
      </c>
      <c r="D34" s="3322">
        <f>Daten!X$6</f>
        <v>20</v>
      </c>
      <c r="E34" s="80">
        <f>IF(Daten!X$12=0,0,Daten!$X$22)</f>
        <v>-78.94572096564707</v>
      </c>
      <c r="F34" s="80"/>
      <c r="G34" s="87">
        <f>Daten!BD$6</f>
        <v>35</v>
      </c>
      <c r="H34" s="87">
        <f>IF(Daten!BD$12=0,0,Daten!BD$22)</f>
        <v>277.67927903435304</v>
      </c>
      <c r="I34" s="87"/>
      <c r="J34" s="80">
        <f>Daten!CJ$6</f>
        <v>50</v>
      </c>
      <c r="K34" s="3323">
        <f>IF(Daten!CJ$12=0,0,Daten!CJ$22)</f>
        <v>632.38159178541196</v>
      </c>
      <c r="M34" s="3321">
        <f t="shared" si="0"/>
        <v>277.67927903435304</v>
      </c>
      <c r="O34" s="77"/>
    </row>
    <row r="35" spans="1:21" s="82" customFormat="1" ht="19.5" hidden="1" customHeight="1">
      <c r="B35" s="86"/>
      <c r="C35" s="85" t="str">
        <f>Kostenrechnung!F255</f>
        <v xml:space="preserve">Ackerbohnen </v>
      </c>
      <c r="D35" s="3322">
        <f>Daten!Y$6</f>
        <v>20</v>
      </c>
      <c r="E35" s="80">
        <f>IF(Daten!Y$12=0,0,Daten!$Y$22)</f>
        <v>-68.340377341176463</v>
      </c>
      <c r="F35" s="81"/>
      <c r="G35" s="87">
        <f>Daten!BE$6</f>
        <v>35</v>
      </c>
      <c r="H35" s="87">
        <f>IF(Daten!BE$12=0,0,Daten!BE$22)</f>
        <v>281.95627903435297</v>
      </c>
      <c r="I35" s="80"/>
      <c r="J35" s="80">
        <f>Daten!CK$6</f>
        <v>50</v>
      </c>
      <c r="K35" s="3323">
        <f>IF(Daten!CK$12=0,0,Daten!CK$22)</f>
        <v>631.29159178541192</v>
      </c>
      <c r="M35" s="3321">
        <f t="shared" si="0"/>
        <v>281.95627903435297</v>
      </c>
      <c r="O35" s="77"/>
    </row>
    <row r="36" spans="1:21" s="82" customFormat="1" ht="19.899999999999999" hidden="1" customHeight="1">
      <c r="A36" s="83"/>
      <c r="B36" s="86"/>
      <c r="C36" s="85" t="str">
        <f>Kostenrechnung!F256</f>
        <v xml:space="preserve">Blaue Lupine </v>
      </c>
      <c r="D36" s="3322">
        <f>Daten!Z$6</f>
        <v>10</v>
      </c>
      <c r="E36" s="80">
        <f>IF(Daten!Z$12=0,0,Daten!$Z$22)</f>
        <v>-412.20349859294106</v>
      </c>
      <c r="F36" s="80"/>
      <c r="G36" s="87">
        <f>Daten!BF$6</f>
        <v>25</v>
      </c>
      <c r="H36" s="87">
        <f>IF(Daten!BF$12=0,0,Daten!BF$22)</f>
        <v>-75.79225765411752</v>
      </c>
      <c r="I36" s="87"/>
      <c r="J36" s="80">
        <f>Daten!CL$6</f>
        <v>40</v>
      </c>
      <c r="K36" s="3323">
        <f>IF(Daten!CL$12=0,0,Daten!CL$22)</f>
        <v>260.61898328470602</v>
      </c>
      <c r="M36" s="3321">
        <f t="shared" si="0"/>
        <v>-75.79225765411752</v>
      </c>
      <c r="O36" s="77"/>
    </row>
    <row r="37" spans="1:21" s="82" customFormat="1" ht="19.899999999999999" hidden="1" customHeight="1">
      <c r="B37" s="86"/>
      <c r="C37" s="85" t="str">
        <f>Kostenrechnung!F257</f>
        <v xml:space="preserve">Zuckerrüben </v>
      </c>
      <c r="D37" s="3322">
        <f>Daten!AA$6</f>
        <v>350</v>
      </c>
      <c r="E37" s="80">
        <f>IF(Daten!AA$12=0,0,Daten!$AA$22)</f>
        <v>-56.371096028851298</v>
      </c>
      <c r="F37" s="81"/>
      <c r="G37" s="87">
        <f>Daten!BG$6</f>
        <v>730</v>
      </c>
      <c r="H37" s="87">
        <f>IF(Daten!BG$12=0,0,Daten!BG$22)</f>
        <v>364.59177063781476</v>
      </c>
      <c r="I37" s="80"/>
      <c r="J37" s="80">
        <f>Daten!CM$6</f>
        <v>850</v>
      </c>
      <c r="K37" s="3323">
        <f>IF(Daten!CM$12=0,0,Daten!CM$22)</f>
        <v>537.21887991977587</v>
      </c>
      <c r="M37" s="3321">
        <f t="shared" si="0"/>
        <v>364.59177063781476</v>
      </c>
      <c r="O37" s="77"/>
      <c r="U37" s="82" t="s">
        <v>169</v>
      </c>
    </row>
    <row r="38" spans="1:21" s="82" customFormat="1" ht="19.899999999999999" hidden="1" customHeight="1">
      <c r="B38" s="86"/>
      <c r="C38" s="85" t="str">
        <f>Kostenrechnung!F258</f>
        <v>Frühkartoffeln</v>
      </c>
      <c r="D38" s="3322">
        <f>Daten!AB$6</f>
        <v>250</v>
      </c>
      <c r="E38" s="80">
        <f>IF(Daten!AB$12=0,0,Daten!$AB$22)</f>
        <v>7150.0577350494686</v>
      </c>
      <c r="F38" s="81"/>
      <c r="G38" s="87">
        <f>Daten!BH$6</f>
        <v>300</v>
      </c>
      <c r="H38" s="87">
        <f>IF(Daten!BH$12=0,0,Daten!BH$22)</f>
        <v>9872.9403146304212</v>
      </c>
      <c r="I38" s="80"/>
      <c r="J38" s="80">
        <f>Daten!CN$6</f>
        <v>350</v>
      </c>
      <c r="K38" s="3323">
        <f>IF(Daten!CN$12=0,0,Daten!CN$22)</f>
        <v>12595.822894211375</v>
      </c>
      <c r="M38" s="3321">
        <f t="shared" si="0"/>
        <v>9872.9403146304212</v>
      </c>
      <c r="O38" s="77"/>
    </row>
    <row r="39" spans="1:21" s="82" customFormat="1" ht="19.899999999999999" hidden="1" customHeight="1">
      <c r="B39" s="86"/>
      <c r="C39" s="85" t="str">
        <f>Kostenrechnung!F259</f>
        <v>Frühkartoffeln, Folie, beregnet</v>
      </c>
      <c r="D39" s="3322">
        <f>Daten!AC$6</f>
        <v>300</v>
      </c>
      <c r="E39" s="80">
        <f>IF(Daten!AC$12=0,0,Daten!$AC$22)</f>
        <v>8160.5181319715957</v>
      </c>
      <c r="F39" s="80"/>
      <c r="G39" s="87">
        <f>Daten!BI$6</f>
        <v>350</v>
      </c>
      <c r="H39" s="87">
        <f>IF(Daten!BI$12=0,0,Daten!BI$22)</f>
        <v>10889.910068937255</v>
      </c>
      <c r="I39" s="87"/>
      <c r="J39" s="80">
        <f>Daten!CO$6</f>
        <v>400</v>
      </c>
      <c r="K39" s="3323">
        <f>IF(Daten!CO$12=0,0,Daten!CO$22)</f>
        <v>13606.283291133503</v>
      </c>
      <c r="M39" s="3321">
        <f t="shared" si="0"/>
        <v>10889.910068937255</v>
      </c>
      <c r="O39" s="77"/>
    </row>
    <row r="40" spans="1:21" s="82" customFormat="1" ht="19.899999999999999" hidden="1" customHeight="1">
      <c r="B40" s="86"/>
      <c r="C40" s="85" t="str">
        <f>Kostenrechnung!F260</f>
        <v>Speisekartoffeln spät</v>
      </c>
      <c r="D40" s="3322">
        <f>Daten!AD$6</f>
        <v>365</v>
      </c>
      <c r="E40" s="80">
        <f>IF(Daten!AD$12=0,0,Daten!$AD$22)</f>
        <v>3438.0438692044809</v>
      </c>
      <c r="F40" s="81"/>
      <c r="G40" s="87">
        <f>Daten!BJ$6</f>
        <v>366</v>
      </c>
      <c r="H40" s="87">
        <f>IF(Daten!BJ$12=0,0,Daten!BJ$22)</f>
        <v>3432.8376154521002</v>
      </c>
      <c r="I40" s="80"/>
      <c r="J40" s="80">
        <f>Daten!CP$6</f>
        <v>400</v>
      </c>
      <c r="K40" s="3323">
        <f>IF(Daten!CP$12=0,0,Daten!CP$22)</f>
        <v>4306.3498616997185</v>
      </c>
      <c r="M40" s="3321">
        <f t="shared" si="0"/>
        <v>3432.8376154521002</v>
      </c>
      <c r="O40" s="77"/>
    </row>
    <row r="41" spans="1:21" s="82" customFormat="1" ht="19.899999999999999" hidden="1" customHeight="1">
      <c r="B41" s="86"/>
      <c r="C41" s="85" t="str">
        <f>Kostenrechnung!F261</f>
        <v>Speisekartoffeln spät, beregnet</v>
      </c>
      <c r="D41" s="3322">
        <f>Daten!AE$6</f>
        <v>383</v>
      </c>
      <c r="E41" s="80">
        <f>IF(Daten!AE$12=0,0,Daten!$AE$22)</f>
        <v>3411.7400570606842</v>
      </c>
      <c r="F41" s="81"/>
      <c r="G41" s="87">
        <f>Daten!BK$6</f>
        <v>425</v>
      </c>
      <c r="H41" s="87">
        <f>IF(Daten!BK$12=0,0,Daten!BK$22)</f>
        <v>4501.1661839086828</v>
      </c>
      <c r="I41" s="80"/>
      <c r="J41" s="80">
        <f>Daten!CQ$6</f>
        <v>466</v>
      </c>
      <c r="K41" s="3323">
        <f>IF(Daten!CQ$12=0,0,Daten!CQ$22)</f>
        <v>5564.3258791650651</v>
      </c>
      <c r="L41" s="77"/>
      <c r="M41" s="3321">
        <f t="shared" si="0"/>
        <v>4501.1661839086828</v>
      </c>
      <c r="O41" s="77"/>
    </row>
    <row r="42" spans="1:21" ht="19.899999999999999" hidden="1" customHeight="1">
      <c r="B42" s="86"/>
      <c r="C42" s="85" t="str">
        <f>Kostenrechnung!F262</f>
        <v>Kultur A</v>
      </c>
      <c r="D42" s="3322">
        <f>Daten!AF$6</f>
        <v>0</v>
      </c>
      <c r="E42" s="80">
        <f>IF(Daten!AF$12=0,0,Daten!$AF$22)</f>
        <v>0</v>
      </c>
      <c r="F42" s="81"/>
      <c r="G42" s="87">
        <f>Daten!BL$6</f>
        <v>0</v>
      </c>
      <c r="H42" s="87">
        <f>IF(Daten!BL$12=0,0,Daten!BL$22)</f>
        <v>0</v>
      </c>
      <c r="I42" s="80"/>
      <c r="J42" s="80">
        <f>Daten!CR$6</f>
        <v>0</v>
      </c>
      <c r="K42" s="3323">
        <f>IF(Daten!CR$12=0,0,Daten!CR$22)</f>
        <v>0</v>
      </c>
      <c r="L42" s="77"/>
      <c r="M42" s="3321">
        <f t="shared" si="0"/>
        <v>0</v>
      </c>
    </row>
    <row r="43" spans="1:21" ht="19.899999999999999" hidden="1" customHeight="1">
      <c r="A43" s="79"/>
      <c r="B43" s="86"/>
      <c r="C43" s="85" t="str">
        <f>Kostenrechnung!F263</f>
        <v>FAKT - Brachebegrünung</v>
      </c>
      <c r="D43" s="3322">
        <f>Daten!AH$6</f>
        <v>1</v>
      </c>
      <c r="E43" s="80">
        <f>IF(Daten!AH$12=0,0,Daten!$AH$22)</f>
        <v>-156.06699105243695</v>
      </c>
      <c r="F43" s="81"/>
      <c r="G43" s="87">
        <f>Daten!BN$6</f>
        <v>1</v>
      </c>
      <c r="H43" s="87">
        <f>IF(Daten!BN$12=0,0,Daten!BN$22)</f>
        <v>-156.06699105243695</v>
      </c>
      <c r="I43" s="80"/>
      <c r="J43" s="80">
        <f>Daten!CT$6</f>
        <v>1</v>
      </c>
      <c r="K43" s="3323">
        <f>IF(Daten!CT$12=0,0,Daten!CT$22)</f>
        <v>-156.06699105243695</v>
      </c>
      <c r="L43" s="77"/>
      <c r="M43" s="3321">
        <f t="shared" si="0"/>
        <v>-156.06699105243695</v>
      </c>
    </row>
    <row r="44" spans="1:21" ht="9" hidden="1" customHeight="1">
      <c r="A44" s="79"/>
      <c r="B44" s="17"/>
      <c r="L44" s="17"/>
      <c r="M44" s="17"/>
    </row>
    <row r="45" spans="1:21" ht="21.4" hidden="1" customHeight="1">
      <c r="B45" s="86"/>
      <c r="C45" s="78" t="str">
        <f>Kostenrechnung!F266</f>
        <v xml:space="preserve">Kleegras einjährig (70:30) </v>
      </c>
      <c r="D45" s="3322">
        <f ca="1">HLOOKUP(C45,Daten!$CX$4:$DS$5,2)</f>
        <v>300</v>
      </c>
      <c r="E45" s="80">
        <f ca="1">IF(Daten!CX12=0,0,HLOOKUP(C45,Daten!$CX$4:$DS$22,19))</f>
        <v>59.373272996302546</v>
      </c>
      <c r="F45" s="80"/>
      <c r="G45" s="87">
        <f ca="1">HLOOKUP(C45,Daten!$DU$4:$EP$5,2)</f>
        <v>400</v>
      </c>
      <c r="H45" s="87">
        <f ca="1">IF(Daten!DU$12=0,0,HLOOKUP(C45,Daten!$DU$4:$EP$22,19))</f>
        <v>234.17327299630261</v>
      </c>
      <c r="I45" s="87"/>
      <c r="J45" s="80">
        <f ca="1">HLOOKUP(C45,Daten!$ER$4:$FM$5,2)</f>
        <v>500</v>
      </c>
      <c r="K45" s="3323">
        <f ca="1">IF(Daten!ER$12=0,0,HLOOKUP(C45,Daten!$ER$4:$FL$22,19))</f>
        <v>408.97327299630257</v>
      </c>
      <c r="L45" s="77"/>
      <c r="M45" s="3321">
        <f ca="1">IF($M$10=1,E45,IF($M$10=2,H45,K45))</f>
        <v>234.17327299630261</v>
      </c>
    </row>
    <row r="46" spans="1:21" ht="21.4" hidden="1" customHeight="1">
      <c r="B46" s="86"/>
      <c r="C46" s="78" t="str">
        <f>Kostenrechnung!F267</f>
        <v>Kleegras zweijährig (50:50)</v>
      </c>
      <c r="D46" s="3322">
        <f ca="1">HLOOKUP(C46,Daten!$CX$4:$DS$5,2,FALSE)</f>
        <v>400</v>
      </c>
      <c r="E46" s="80">
        <f ca="1">IF(Daten!CY12=0,0,HLOOKUP(C46,Daten!$CX$4:$DS$22,19,FALSE))</f>
        <v>184.26838121394962</v>
      </c>
      <c r="F46" s="81"/>
      <c r="G46" s="87">
        <f ca="1">HLOOKUP(C46,Daten!$DU$4:$EP$5,2,FALSE)</f>
        <v>500</v>
      </c>
      <c r="H46" s="87">
        <f ca="1">IF(Daten!DV$12=0,0,HLOOKUP(C46,Daten!$DU$4:$EP$22,19,FALSE))</f>
        <v>304.44338121394964</v>
      </c>
      <c r="I46" s="80"/>
      <c r="J46" s="80">
        <f ca="1">HLOOKUP(C46,Daten!$ER$4:$FM$5,2,FALSE)</f>
        <v>600</v>
      </c>
      <c r="K46" s="3323">
        <f ca="1">IF(Daten!ES$12=0,0,HLOOKUP(C46,Daten!$ER$4:$FL$22,19,FALSE))</f>
        <v>424.61838121394959</v>
      </c>
      <c r="L46" s="77"/>
      <c r="M46" s="3321">
        <f t="shared" ref="M46:M64" ca="1" si="1">IF($M$10=1,E46,IF($M$10=2,H46,K46))</f>
        <v>304.44338121394964</v>
      </c>
    </row>
    <row r="47" spans="1:21" ht="21.4" hidden="1" customHeight="1">
      <c r="B47" s="86"/>
      <c r="C47" s="78" t="str">
        <f>Kostenrechnung!F268</f>
        <v>Luzernegras einjährig (70:30)</v>
      </c>
      <c r="D47" s="3322">
        <f ca="1">HLOOKUP(C47,Daten!$CX$4:$DS$5,2,FALSE)</f>
        <v>300</v>
      </c>
      <c r="E47" s="80">
        <f ca="1">IF(Daten!CZ$12=0,0,HLOOKUP(C47,Daten!$CX$4:$DS$22,19,FALSE))</f>
        <v>94.373272996302546</v>
      </c>
      <c r="F47" s="81"/>
      <c r="G47" s="87">
        <f ca="1">HLOOKUP(C47,Daten!$DU$4:$EP$5,2,FALSE)</f>
        <v>400</v>
      </c>
      <c r="H47" s="87">
        <f ca="1">IF(Daten!DW$12=0,0,HLOOKUP(C47,Daten!$DU$4:$EP$22,19,FALSE))</f>
        <v>269.17327299630261</v>
      </c>
      <c r="I47" s="80"/>
      <c r="J47" s="80">
        <f ca="1">HLOOKUP(C47,Daten!$ER$4:$FM$5,2,FALSE)</f>
        <v>500</v>
      </c>
      <c r="K47" s="3323">
        <f ca="1">IF(Daten!ET13=0,0,HLOOKUP(C47,Daten!$ER$4:$FL$22,19,FALSE))</f>
        <v>443.97327299630257</v>
      </c>
      <c r="L47" s="77"/>
      <c r="M47" s="3321">
        <f t="shared" ca="1" si="1"/>
        <v>269.17327299630261</v>
      </c>
    </row>
    <row r="48" spans="1:21" ht="21.4" hidden="1" customHeight="1">
      <c r="B48" s="86"/>
      <c r="C48" s="78" t="str">
        <f>Kostenrechnung!F269</f>
        <v>Luzernegras zweijährig (50:50)</v>
      </c>
      <c r="D48" s="3322">
        <f ca="1">HLOOKUP(C48,Daten!$CX$4:$DS$5,2,FALSE)</f>
        <v>350</v>
      </c>
      <c r="E48" s="80">
        <f ca="1">IF(Daten!DA$12=0,0,HLOOKUP(C48,Daten!$CX$4:$DS$22,19,FALSE))</f>
        <v>131.68088121394965</v>
      </c>
      <c r="F48" s="80"/>
      <c r="G48" s="87">
        <f ca="1">HLOOKUP(C48,Daten!$DU$4:$EP$5,2,FALSE)</f>
        <v>450</v>
      </c>
      <c r="H48" s="87">
        <f ca="1">IF(Daten!DX$12=0,0,HLOOKUP(C48,Daten!$DU$4:$EP$22,19,FALSE))</f>
        <v>251.8558812139496</v>
      </c>
      <c r="I48" s="87"/>
      <c r="J48" s="80">
        <f ca="1">HLOOKUP(C48,Daten!$ER$4:$FM$5,2,FALSE)</f>
        <v>550</v>
      </c>
      <c r="K48" s="3323">
        <f ca="1">IF(Daten!EU$12=0,0,HLOOKUP(C48,Daten!$ER$4:$FL$22,19,FALSE))</f>
        <v>372.03088121394961</v>
      </c>
      <c r="L48" s="77"/>
      <c r="M48" s="3321">
        <f t="shared" ca="1" si="1"/>
        <v>251.8558812139496</v>
      </c>
    </row>
    <row r="49" spans="2:13" ht="21.4" customHeight="1">
      <c r="B49" s="86" t="s">
        <v>168</v>
      </c>
      <c r="C49" s="78" t="str">
        <f>Kostenrechnung!F270</f>
        <v>Öko-Winterweizen (Futter)</v>
      </c>
      <c r="D49" s="3322">
        <f ca="1">HLOOKUP(C49,Daten!$CX$4:$DS$5,2,FALSE)</f>
        <v>30</v>
      </c>
      <c r="E49" s="80">
        <f ca="1">IF(Daten!DB$12=0,0,HLOOKUP(C49,Daten!$CX$4:$DS$22,19,FALSE))</f>
        <v>466.02538854151294</v>
      </c>
      <c r="F49" s="80"/>
      <c r="G49" s="87">
        <f ca="1">HLOOKUP(C49,Daten!$DU$4:$EP$5,2,FALSE)</f>
        <v>40</v>
      </c>
      <c r="H49" s="87">
        <f ca="1">IF(Daten!DY$12=0,0,HLOOKUP(C49,Daten!$DU$4:$EP$22,19,FALSE))</f>
        <v>793.62958595119335</v>
      </c>
      <c r="I49" s="87"/>
      <c r="J49" s="80">
        <f ca="1">HLOOKUP(C49,Daten!$ER$4:$FM$5,2,FALSE)</f>
        <v>69</v>
      </c>
      <c r="K49" s="3323">
        <f ca="1">IF(Daten!EV$12=0,0,HLOOKUP(C49,Daten!$ER$4:$FL$22,19,FALSE))</f>
        <v>1743.6817584392675</v>
      </c>
      <c r="L49" s="77"/>
      <c r="M49" s="3321">
        <f t="shared" ca="1" si="1"/>
        <v>793.62958595119335</v>
      </c>
    </row>
    <row r="50" spans="2:13" ht="21.4" hidden="1" customHeight="1">
      <c r="B50" s="86"/>
      <c r="C50" s="78" t="str">
        <f>Kostenrechnung!F271</f>
        <v>Öko-Winterweizen (Brot)</v>
      </c>
      <c r="D50" s="3322">
        <f ca="1">HLOOKUP(C50,Daten!$CX$4:$DS$5,2,FALSE)</f>
        <v>30</v>
      </c>
      <c r="E50" s="80">
        <f ca="1">IF(Daten!DC$12=0,0,HLOOKUP(C50,Daten!$CX$4:$DS$22,19,FALSE))</f>
        <v>776.05538854151268</v>
      </c>
      <c r="F50" s="80"/>
      <c r="G50" s="87">
        <f ca="1">HLOOKUP(C50,Daten!$DU$4:$EP$5,2,FALSE)</f>
        <v>40</v>
      </c>
      <c r="H50" s="87">
        <f ca="1">IF(Daten!DZ$12=0,0,HLOOKUP(C50,Daten!$DU$4:$EP$22,19,FALSE))</f>
        <v>1218.4729450123696</v>
      </c>
      <c r="I50" s="87"/>
      <c r="J50" s="80">
        <f ca="1">HLOOKUP(C50,Daten!$ER$4:$FM$5,2,FALSE)</f>
        <v>60</v>
      </c>
      <c r="K50" s="3323">
        <f ca="1">IF(Daten!EW$12=0,0,HLOOKUP(C50,Daten!$ER$4:$FL$22,19,FALSE))</f>
        <v>2103.3080579540842</v>
      </c>
      <c r="L50" s="77"/>
      <c r="M50" s="3321">
        <f t="shared" ca="1" si="1"/>
        <v>1218.4729450123696</v>
      </c>
    </row>
    <row r="51" spans="2:13" ht="21.4" customHeight="1">
      <c r="B51" s="86" t="s">
        <v>168</v>
      </c>
      <c r="C51" s="78" t="str">
        <f>Kostenrechnung!F272</f>
        <v>Öko-Dinkel</v>
      </c>
      <c r="D51" s="3322">
        <f ca="1">HLOOKUP(C51,Daten!$CX$4:$DS$5,2,FALSE)</f>
        <v>26.25</v>
      </c>
      <c r="E51" s="80">
        <f ca="1">IF(Daten!DD$12=0,0,HLOOKUP(C51,Daten!$CX$4:$DS$22,19,FALSE))</f>
        <v>403.54343951288251</v>
      </c>
      <c r="F51" s="81"/>
      <c r="G51" s="87">
        <f ca="1">HLOOKUP(C51,Daten!$DU$4:$EP$5,2,FALSE)</f>
        <v>35</v>
      </c>
      <c r="H51" s="87">
        <f ca="1">IF(Daten!EA$12=0,0,HLOOKUP(C51,Daten!$DU$4:$EP$22,19,FALSE))</f>
        <v>747.78698724635296</v>
      </c>
      <c r="I51" s="80"/>
      <c r="J51" s="80">
        <f ca="1">HLOOKUP(C51,Daten!$ER$4:$FM$5,2,FALSE)</f>
        <v>45</v>
      </c>
      <c r="K51" s="3323">
        <f ca="1">IF(Daten!EX$12=0,0,HLOOKUP(C51,Daten!$ER$4:$FL$22,19,FALSE))</f>
        <v>1141.2081846560338</v>
      </c>
      <c r="L51" s="77"/>
      <c r="M51" s="3321">
        <f t="shared" ca="1" si="1"/>
        <v>747.78698724635296</v>
      </c>
    </row>
    <row r="52" spans="2:13" ht="21.4" hidden="1" customHeight="1">
      <c r="B52" s="86"/>
      <c r="C52" s="78" t="str">
        <f>Kostenrechnung!F273</f>
        <v>Öko-Dinkel, entspelzt</v>
      </c>
      <c r="D52" s="3322">
        <f ca="1">HLOOKUP(C52,Daten!$CX$4:$DS$5,2,FALSE)</f>
        <v>26.25</v>
      </c>
      <c r="E52" s="80">
        <f ca="1">IF(Daten!DE$12=0,0,HLOOKUP(C52,Daten!$CX$4:$DS$22,19,FALSE))</f>
        <v>654.13580951288259</v>
      </c>
      <c r="F52" s="81"/>
      <c r="G52" s="87">
        <f ca="1">HLOOKUP(C52,Daten!$DU$4:$EP$5,2,FALSE)</f>
        <v>35</v>
      </c>
      <c r="H52" s="87">
        <f ca="1">IF(Daten!EB$12=0,0,HLOOKUP(C52,Daten!$DU$4:$EP$22,19,FALSE))</f>
        <v>1081.9101472463531</v>
      </c>
      <c r="I52" s="80"/>
      <c r="J52" s="80">
        <f ca="1">HLOOKUP(C52,Daten!$ER$4:$FM$5,2,FALSE)</f>
        <v>43.75</v>
      </c>
      <c r="K52" s="3323">
        <f ca="1">IF(Daten!EY$12=0,0,HLOOKUP(C52,Daten!$ER$4:$FL$22,19,FALSE))</f>
        <v>1509.6844849798235</v>
      </c>
      <c r="L52" s="77"/>
      <c r="M52" s="3321">
        <f t="shared" ca="1" si="1"/>
        <v>1081.9101472463531</v>
      </c>
    </row>
    <row r="53" spans="2:13" ht="21.4" hidden="1" customHeight="1">
      <c r="B53" s="86"/>
      <c r="C53" s="78" t="str">
        <f>Kostenrechnung!F274</f>
        <v>Öko-Winterroggen (Brot)</v>
      </c>
      <c r="D53" s="3322">
        <f ca="1">HLOOKUP(C53,Daten!$CX$4:$DS$5,2,FALSE)</f>
        <v>30</v>
      </c>
      <c r="E53" s="80">
        <f ca="1">IF(Daten!DF$12=0,0,HLOOKUP(C53,Daten!$CX$4:$DS$22,19,FALSE))</f>
        <v>499.16884721808435</v>
      </c>
      <c r="F53" s="80"/>
      <c r="G53" s="87">
        <f ca="1">HLOOKUP(C53,Daten!$DU$4:$EP$5,2,FALSE)</f>
        <v>40</v>
      </c>
      <c r="H53" s="87">
        <f ca="1">IF(Daten!EC$12=0,0,HLOOKUP(C53,Daten!$DU$4:$EP$22,19,FALSE))</f>
        <v>829.62086418662216</v>
      </c>
      <c r="I53" s="87"/>
      <c r="J53" s="80">
        <f ca="1">HLOOKUP(C53,Daten!$ER$4:$FM$5,2,FALSE)</f>
        <v>50</v>
      </c>
      <c r="K53" s="3323">
        <f ca="1">IF(Daten!EZ$12=0,0,HLOOKUP(C53,Daten!$ER$4:$FL$22,19,FALSE))</f>
        <v>1174.9737073344538</v>
      </c>
      <c r="L53" s="77"/>
      <c r="M53" s="3321">
        <f t="shared" ca="1" si="1"/>
        <v>829.62086418662216</v>
      </c>
    </row>
    <row r="54" spans="2:13" ht="21.4" customHeight="1">
      <c r="B54" s="86" t="s">
        <v>168</v>
      </c>
      <c r="C54" s="78" t="str">
        <f>Kostenrechnung!F275</f>
        <v>Öko-Hafer</v>
      </c>
      <c r="D54" s="3322">
        <f ca="1">HLOOKUP(C54,Daten!$CX$4:$DS$5,2,FALSE)</f>
        <v>30</v>
      </c>
      <c r="E54" s="80">
        <f ca="1">IF(Daten!DG$12=0,0,HLOOKUP(C54,Daten!$CX$4:$DS$22,19,FALSE))</f>
        <v>599.96135107726047</v>
      </c>
      <c r="F54" s="80"/>
      <c r="G54" s="87">
        <f ca="1">HLOOKUP(C54,Daten!$DU$4:$EP$5,2,FALSE)</f>
        <v>40</v>
      </c>
      <c r="H54" s="87">
        <f ca="1">IF(Daten!ED$12=0,0,HLOOKUP(C54,Daten!$DU$4:$EP$22,19,FALSE))</f>
        <v>962.67753599885714</v>
      </c>
      <c r="I54" s="87"/>
      <c r="J54" s="80">
        <f ca="1">HLOOKUP(C54,Daten!$ER$4:$FM$5,2,FALSE)</f>
        <v>50</v>
      </c>
      <c r="K54" s="3323">
        <f ca="1">IF(Daten!FA$12=0,0,HLOOKUP(C54,Daten!$ER$4:$FL$22,19,FALSE))</f>
        <v>1325.3937209204539</v>
      </c>
      <c r="L54" s="77"/>
      <c r="M54" s="3321">
        <f t="shared" ca="1" si="1"/>
        <v>962.67753599885714</v>
      </c>
    </row>
    <row r="55" spans="2:13" ht="21.4" hidden="1" customHeight="1">
      <c r="B55" s="86"/>
      <c r="C55" s="78" t="str">
        <f>Kostenrechnung!F277</f>
        <v>Öko-Braugerste</v>
      </c>
      <c r="D55" s="3322">
        <f ca="1">HLOOKUP(C55,Daten!$CX$4:$DS$5,2,FALSE)</f>
        <v>26.25</v>
      </c>
      <c r="E55" s="80">
        <f ca="1">IF(Daten!DI$12=0,0,HLOOKUP(C55,Daten!$CX$4:$DS$22,19,FALSE))</f>
        <v>703.77547550282338</v>
      </c>
      <c r="F55" s="80"/>
      <c r="G55" s="87">
        <f ca="1">HLOOKUP(C55,Daten!$DU$4:$EP$5,2,FALSE)</f>
        <v>35</v>
      </c>
      <c r="H55" s="87">
        <f ca="1">IF(Daten!EF$12=0,0,HLOOKUP(C55,Daten!$DU$4:$EP$22,19,FALSE))</f>
        <v>1106.4630352329414</v>
      </c>
      <c r="I55" s="87"/>
      <c r="J55" s="80">
        <f ca="1">HLOOKUP(C55,Daten!$ER$4:$FM$5,2,FALSE)</f>
        <v>43.75</v>
      </c>
      <c r="K55" s="3323">
        <f ca="1">IF(Daten!FC$12=0,0,HLOOKUP(C55,Daten!$ER$4:$FL$22,19,FALSE))</f>
        <v>1469.7755949630587</v>
      </c>
      <c r="L55" s="77"/>
      <c r="M55" s="3321">
        <f t="shared" ca="1" si="1"/>
        <v>1106.4630352329414</v>
      </c>
    </row>
    <row r="56" spans="2:13" ht="21.4" customHeight="1">
      <c r="B56" s="86" t="s">
        <v>168</v>
      </c>
      <c r="C56" s="78" t="str">
        <f>Kostenrechnung!F278</f>
        <v xml:space="preserve">Öko-Körnermais </v>
      </c>
      <c r="D56" s="3322">
        <f ca="1">HLOOKUP(C56,Daten!$CX$4:$DS$5,2,FALSE)</f>
        <v>60</v>
      </c>
      <c r="E56" s="80">
        <f ca="1">IF(Daten!DJ$12=0,0,HLOOKUP(C56,Daten!$CX$4:$DS$22,19,FALSE))</f>
        <v>861.23073407602578</v>
      </c>
      <c r="F56" s="81"/>
      <c r="G56" s="87">
        <f ca="1">HLOOKUP(C56,Daten!$DU$4:$EP$5,2,FALSE)</f>
        <v>80</v>
      </c>
      <c r="H56" s="87">
        <f ca="1">IF(Daten!EG$12=0,0,HLOOKUP(C56,Daten!$DU$4:$EP$22,19,FALSE))</f>
        <v>1362.4779474138493</v>
      </c>
      <c r="I56" s="80"/>
      <c r="J56" s="80">
        <f ca="1">HLOOKUP(C56,Daten!$ER$4:$FM$5,2,FALSE)</f>
        <v>100</v>
      </c>
      <c r="K56" s="3323">
        <f ca="1">IF(Daten!FD$12=0,0,HLOOKUP(C56,Daten!$ER$4:$FL$22,19,FALSE))</f>
        <v>1803.7251607516728</v>
      </c>
      <c r="L56" s="77"/>
      <c r="M56" s="3321">
        <f t="shared" ca="1" si="1"/>
        <v>1362.4779474138493</v>
      </c>
    </row>
    <row r="57" spans="2:13" ht="21.4" hidden="1" customHeight="1">
      <c r="B57" s="86"/>
      <c r="C57" s="78" t="str">
        <f>Kostenrechnung!F279</f>
        <v xml:space="preserve">Öko-Ackerbohnen </v>
      </c>
      <c r="D57" s="3322">
        <f ca="1">HLOOKUP(C57,Daten!$CX$4:$DS$5,2,FALSE)</f>
        <v>26.25</v>
      </c>
      <c r="E57" s="80">
        <f ca="1">IF(Daten!DK$12=0,0,HLOOKUP(C57,Daten!$CX$4:$DS$22,19,FALSE))</f>
        <v>783.2553507782352</v>
      </c>
      <c r="F57" s="81"/>
      <c r="G57" s="87">
        <f ca="1">HLOOKUP(C57,Daten!$DU$4:$EP$5,2,FALSE)</f>
        <v>35</v>
      </c>
      <c r="H57" s="87">
        <f ca="1">IF(Daten!EH$12=0,0,HLOOKUP(C57,Daten!$DU$4:$EP$22,19,FALSE))</f>
        <v>1167.8382455762353</v>
      </c>
      <c r="I57" s="80"/>
      <c r="J57" s="80">
        <f ca="1">HLOOKUP(C57,Daten!$ER$4:$FM$5,2,FALSE)</f>
        <v>43.75</v>
      </c>
      <c r="K57" s="3323">
        <f ca="1">IF(Daten!FE$12=0,0,HLOOKUP(C57,Daten!$ER$4:$FL$22,19,FALSE))</f>
        <v>1705.7211403742351</v>
      </c>
      <c r="L57" s="77"/>
      <c r="M57" s="3321">
        <f t="shared" ca="1" si="1"/>
        <v>1167.8382455762353</v>
      </c>
    </row>
    <row r="58" spans="2:13" ht="21.4" hidden="1" customHeight="1">
      <c r="B58" s="86"/>
      <c r="C58" s="78" t="str">
        <f>Kostenrechnung!F280</f>
        <v>Öko-Futtererbsen</v>
      </c>
      <c r="D58" s="3322">
        <f ca="1">HLOOKUP(C58,Daten!$CX$4:$DS$5,2,FALSE)</f>
        <v>22.5</v>
      </c>
      <c r="E58" s="80">
        <f ca="1">IF(Daten!DL$12=0,0,HLOOKUP(C58,Daten!$CX$4:$DS$22,19,FALSE))</f>
        <v>570.78068822482373</v>
      </c>
      <c r="F58" s="80"/>
      <c r="G58" s="87">
        <f ca="1">HLOOKUP(C58,Daten!$DU$4:$EP$5,2,FALSE)</f>
        <v>30</v>
      </c>
      <c r="H58" s="87">
        <f ca="1">IF(Daten!EI$12=0,0,HLOOKUP(C58,Daten!$DU$4:$EP$22,19,FALSE))</f>
        <v>953.98466892894123</v>
      </c>
      <c r="I58" s="87"/>
      <c r="J58" s="80">
        <f ca="1">HLOOKUP(C58,Daten!$ER$4:$FM$5,2,FALSE)</f>
        <v>37.5</v>
      </c>
      <c r="K58" s="3323">
        <f ca="1">IF(Daten!FF$12=0,0,HLOOKUP(C58,Daten!$ER$4:$FL$22,19,FALSE))</f>
        <v>1319.5200917154118</v>
      </c>
      <c r="L58" s="77"/>
      <c r="M58" s="3321">
        <f t="shared" ca="1" si="1"/>
        <v>953.98466892894123</v>
      </c>
    </row>
    <row r="59" spans="2:13" ht="21.4" hidden="1" customHeight="1">
      <c r="B59" s="86"/>
      <c r="C59" s="78" t="str">
        <f>Kostenrechnung!F281</f>
        <v>Öko-Sojabohnen</v>
      </c>
      <c r="D59" s="3322">
        <f ca="1">HLOOKUP(C59,Daten!$CX$4:$DS$5,2,FALSE)</f>
        <v>25.5</v>
      </c>
      <c r="E59" s="80">
        <f ca="1">IF(Daten!DM$12=0,0,HLOOKUP(C59,Daten!$CX$4:$DS$22,19,FALSE))</f>
        <v>1329.1640656596351</v>
      </c>
      <c r="F59" s="80"/>
      <c r="G59" s="87">
        <f ca="1">HLOOKUP(C59,Daten!$DU$4:$EP$5,2,FALSE)</f>
        <v>30</v>
      </c>
      <c r="H59" s="87">
        <f ca="1">IF(Daten!EJ$12=0,0,HLOOKUP(C59,Daten!$DU$4:$EP$22,19,FALSE))</f>
        <v>1678.7895067835293</v>
      </c>
      <c r="I59" s="87"/>
      <c r="J59" s="80">
        <f ca="1">HLOOKUP(C59,Daten!$ER$4:$FM$5,2,FALSE)</f>
        <v>34.5</v>
      </c>
      <c r="K59" s="3323">
        <f ca="1">IF(Daten!FG$12=0,0,HLOOKUP(C59,Daten!$ER$4:$FL$22,19,FALSE))</f>
        <v>1967.1584697180115</v>
      </c>
      <c r="L59" s="77"/>
      <c r="M59" s="3321">
        <f t="shared" ca="1" si="1"/>
        <v>1678.7895067835293</v>
      </c>
    </row>
    <row r="60" spans="2:13" ht="21.4" hidden="1" customHeight="1">
      <c r="B60" s="86"/>
      <c r="C60" s="78" t="str">
        <f>Kostenrechnung!F282</f>
        <v>Öko-Sonnenblumen</v>
      </c>
      <c r="D60" s="3322">
        <f ca="1">HLOOKUP(C60,Daten!$CX$4:$DS$5,2,FALSE)</f>
        <v>20</v>
      </c>
      <c r="E60" s="80">
        <f ca="1">IF(Daten!DN$12=0,0,HLOOKUP(C60,Daten!$CX$4:$DS$22,19,FALSE))</f>
        <v>389.56392687852122</v>
      </c>
      <c r="F60" s="81"/>
      <c r="G60" s="87">
        <f ca="1">HLOOKUP(C60,Daten!$DU$4:$EP$5,2,FALSE)</f>
        <v>30</v>
      </c>
      <c r="H60" s="87">
        <f ca="1">IF(Daten!EK$12=0,0,HLOOKUP(C60,Daten!$DU$4:$EP$22,19,FALSE))</f>
        <v>808.67336781734502</v>
      </c>
      <c r="I60" s="80"/>
      <c r="J60" s="80">
        <f ca="1">HLOOKUP(C60,Daten!$ER$4:$FM$5,2,FALSE)</f>
        <v>40</v>
      </c>
      <c r="K60" s="3323">
        <f ca="1">IF(Daten!FH$12=0,0,HLOOKUP(C60,Daten!$ER$4:$FL$22,19,FALSE))</f>
        <v>1193.1475114418151</v>
      </c>
      <c r="L60" s="77"/>
      <c r="M60" s="3321">
        <f t="shared" ca="1" si="1"/>
        <v>808.67336781734502</v>
      </c>
    </row>
    <row r="61" spans="2:13" ht="21.4" hidden="1" customHeight="1">
      <c r="B61" s="86"/>
      <c r="C61" s="78" t="str">
        <f>Kostenrechnung!F283</f>
        <v>Öko-Winterraps (Ölproduktion)</v>
      </c>
      <c r="D61" s="3322">
        <f ca="1">HLOOKUP(C61,Daten!$CX$4:$DS$5,2,FALSE)</f>
        <v>10</v>
      </c>
      <c r="E61" s="80">
        <f ca="1">IF(Daten!DO$12=0,0,HLOOKUP(C61,Daten!$CX$4:$DS$22,19,FALSE))</f>
        <v>142.34195263011759</v>
      </c>
      <c r="F61" s="80"/>
      <c r="G61" s="87">
        <f ca="1">HLOOKUP(C61,Daten!$DU$4:$EP$5,2,FALSE)</f>
        <v>19</v>
      </c>
      <c r="H61" s="87">
        <f ca="1">IF(Daten!EL$12=0,0,HLOOKUP(C61,Daten!$DU$4:$EP$22,19,FALSE))</f>
        <v>721.4402294750588</v>
      </c>
      <c r="I61" s="87"/>
      <c r="J61" s="80">
        <f ca="1">HLOOKUP(C61,Daten!$ER$4:$FM$5,2,FALSE)</f>
        <v>26</v>
      </c>
      <c r="K61" s="3323">
        <f ca="1">IF(Daten!FI$12=0,0,HLOOKUP(C61,Daten!$ER$4:$FL$22,19,FALSE))</f>
        <v>1153.6277781322356</v>
      </c>
      <c r="L61" s="77"/>
      <c r="M61" s="3321">
        <f t="shared" ca="1" si="1"/>
        <v>721.4402294750588</v>
      </c>
    </row>
    <row r="62" spans="2:13" ht="21.4" hidden="1" customHeight="1">
      <c r="B62" s="86"/>
      <c r="C62" s="78" t="str">
        <f>Kostenrechnung!F284</f>
        <v>Öko-Speisekartoffeln spät</v>
      </c>
      <c r="D62" s="3322">
        <f ca="1">HLOOKUP(C62,Daten!$CX$4:$DS$5,2,FALSE)</f>
        <v>200</v>
      </c>
      <c r="E62" s="80">
        <f ca="1">IF(Daten!DP$12=0,0,HLOOKUP(C62,Daten!$CX$4:$DS$22,19,FALSE))</f>
        <v>5678.1279265806706</v>
      </c>
      <c r="F62" s="81"/>
      <c r="G62" s="87">
        <f ca="1">HLOOKUP(C62,Daten!$DU$4:$EP$5,2,FALSE)</f>
        <v>250</v>
      </c>
      <c r="H62" s="87">
        <f ca="1">IF(Daten!EM$12=0,0,HLOOKUP(C62,Daten!$DU$4:$EP$22,19,FALSE))</f>
        <v>7885.7463269453765</v>
      </c>
      <c r="I62" s="80"/>
      <c r="J62" s="80">
        <f ca="1">HLOOKUP(C62,Daten!$ER$4:$FM$5,2,FALSE)</f>
        <v>300</v>
      </c>
      <c r="K62" s="3323">
        <f ca="1">IF(Daten!FJ$12=0,0,HLOOKUP(C62,Daten!$ER$4:$FL$22,19,FALSE))</f>
        <v>10093.364727310083</v>
      </c>
      <c r="L62" s="77"/>
      <c r="M62" s="3321">
        <f t="shared" ca="1" si="1"/>
        <v>7885.7463269453765</v>
      </c>
    </row>
    <row r="63" spans="2:13" ht="21.4" hidden="1" customHeight="1">
      <c r="B63" s="86"/>
      <c r="C63" s="78" t="str">
        <f>Kostenrechnung!F286</f>
        <v>FAKT-Begrünung</v>
      </c>
      <c r="D63" s="3322">
        <f ca="1">HLOOKUP(C63,Daten!$CX$4:$DS$5,2,FALSE)</f>
        <v>0</v>
      </c>
      <c r="E63" s="80">
        <f ca="1">IF(Daten!DR$12=0,0,HLOOKUP(C63,Daten!$CX$4:$DS$22,19,FALSE))</f>
        <v>-322.45552021008405</v>
      </c>
      <c r="F63" s="80"/>
      <c r="G63" s="87">
        <f ca="1">HLOOKUP(C63,Daten!$DU$4:$EP$5,2,FALSE)</f>
        <v>0</v>
      </c>
      <c r="H63" s="87">
        <f ca="1">IF(Daten!EO$12=0,0,HLOOKUP(C63,Daten!$DU$4:$EP$22,19,FALSE))</f>
        <v>-322.45552021008405</v>
      </c>
      <c r="I63" s="87"/>
      <c r="J63" s="80">
        <f ca="1">HLOOKUP(C63,Daten!$ER$4:$FM$5,2,FALSE)</f>
        <v>0</v>
      </c>
      <c r="K63" s="3323">
        <f ca="1">IF(Daten!FL$12=0,0,HLOOKUP(C63,Daten!$ER$4:$FL$22,19,FALSE))</f>
        <v>-322.45552021008405</v>
      </c>
      <c r="L63" s="77"/>
      <c r="M63" s="3321">
        <f t="shared" ca="1" si="1"/>
        <v>-322.45552021008405</v>
      </c>
    </row>
    <row r="64" spans="2:13" ht="21.4" hidden="1" customHeight="1">
      <c r="B64" s="86"/>
      <c r="C64" s="78" t="str">
        <f>Kostenrechnung!F287</f>
        <v xml:space="preserve">FAKT-Blühmischung </v>
      </c>
      <c r="D64" s="3322">
        <f ca="1">HLOOKUP(C64,Daten!$CX$4:$DS$5,2,FALSE)</f>
        <v>0</v>
      </c>
      <c r="E64" s="80">
        <f ca="1">IF(Daten!DS$12=0,0,HLOOKUP(C64,Daten!$CX$4:$DS$22,19,FALSE))</f>
        <v>-224.39039605243698</v>
      </c>
      <c r="F64" s="80"/>
      <c r="G64" s="87">
        <f ca="1">HLOOKUP(C64,Daten!$DU$4:$EP$5,2,FALSE)</f>
        <v>0</v>
      </c>
      <c r="H64" s="87">
        <f ca="1">IF(Daten!EP$12=0,0,HLOOKUP(C64,Daten!$DU$4:$EP$22,19,FALSE))</f>
        <v>-224.39039605243698</v>
      </c>
      <c r="I64" s="87"/>
      <c r="J64" s="80">
        <f ca="1">HLOOKUP(C64,Daten!$ER$4:$FM$5,2,FALSE)</f>
        <v>0</v>
      </c>
      <c r="K64" s="3323">
        <f ca="1">IF(Daten!FM$12=0,0,HLOOKUP(C64,Daten!$ER$4:$FM$22,19,FALSE))</f>
        <v>-224.39039605243698</v>
      </c>
      <c r="L64" s="77"/>
      <c r="M64" s="3321">
        <f t="shared" ca="1" si="1"/>
        <v>-224.39039605243698</v>
      </c>
    </row>
    <row r="65" spans="3:12" ht="14.25">
      <c r="C65" s="78"/>
      <c r="L65" s="77"/>
    </row>
    <row r="66" spans="3:12" ht="14.25">
      <c r="C66" s="78"/>
      <c r="L66" s="77"/>
    </row>
    <row r="67" spans="3:12" ht="14.25">
      <c r="C67" s="3996"/>
      <c r="L67" s="77"/>
    </row>
    <row r="68" spans="3:12" ht="14.25">
      <c r="C68" s="78"/>
      <c r="L68" s="77"/>
    </row>
    <row r="69" spans="3:12" ht="14.25">
      <c r="C69" s="78"/>
      <c r="L69" s="77"/>
    </row>
    <row r="70" spans="3:12" ht="14.25">
      <c r="C70" s="78"/>
      <c r="L70" s="77"/>
    </row>
    <row r="71" spans="3:12" ht="14.25">
      <c r="C71" s="78"/>
      <c r="L71" s="77"/>
    </row>
    <row r="72" spans="3:12" ht="14.25">
      <c r="C72" s="78"/>
      <c r="L72" s="77"/>
    </row>
    <row r="73" spans="3:12" ht="14.25">
      <c r="C73" s="78"/>
      <c r="L73" s="77"/>
    </row>
    <row r="74" spans="3:12" ht="14.25">
      <c r="C74" s="78"/>
      <c r="L74" s="77"/>
    </row>
    <row r="75" spans="3:12" ht="14.25">
      <c r="C75" s="78"/>
      <c r="L75" s="77"/>
    </row>
    <row r="76" spans="3:12" ht="14.25">
      <c r="C76" s="78"/>
      <c r="L76" s="77"/>
    </row>
    <row r="77" spans="3:12" ht="14.25">
      <c r="C77" s="78"/>
      <c r="L77" s="77"/>
    </row>
    <row r="78" spans="3:12" ht="14.25">
      <c r="C78" s="78"/>
      <c r="L78" s="77"/>
    </row>
    <row r="79" spans="3:12" ht="14.25">
      <c r="C79" s="78"/>
      <c r="L79" s="77"/>
    </row>
    <row r="80" spans="3:12" ht="14.25">
      <c r="C80" s="78"/>
      <c r="L80" s="77"/>
    </row>
    <row r="81" spans="3:12" ht="14.25">
      <c r="C81" s="78"/>
      <c r="L81" s="77"/>
    </row>
    <row r="82" spans="3:12" ht="14.25">
      <c r="C82" s="78"/>
      <c r="L82" s="77"/>
    </row>
    <row r="83" spans="3:12" ht="14.25">
      <c r="C83" s="78"/>
      <c r="L83" s="77"/>
    </row>
    <row r="84" spans="3:12" ht="14.25">
      <c r="C84" s="78"/>
      <c r="L84" s="77"/>
    </row>
    <row r="85" spans="3:12" ht="14.25">
      <c r="C85" s="78"/>
      <c r="L85" s="77"/>
    </row>
    <row r="86" spans="3:12" ht="14.25">
      <c r="C86" s="78"/>
      <c r="L86" s="77"/>
    </row>
    <row r="87" spans="3:12" ht="14.25">
      <c r="C87" s="78"/>
      <c r="L87" s="77"/>
    </row>
    <row r="88" spans="3:12" ht="14.25">
      <c r="C88" s="78"/>
      <c r="L88" s="77"/>
    </row>
    <row r="89" spans="3:12" ht="14.25">
      <c r="C89" s="78"/>
      <c r="L89" s="77"/>
    </row>
    <row r="90" spans="3:12" ht="14.25">
      <c r="C90" s="78"/>
      <c r="L90" s="77"/>
    </row>
    <row r="91" spans="3:12" ht="14.25">
      <c r="C91" s="78"/>
      <c r="L91" s="77"/>
    </row>
    <row r="92" spans="3:12" ht="14.25">
      <c r="C92" s="78"/>
      <c r="L92" s="77"/>
    </row>
    <row r="93" spans="3:12" ht="14.25">
      <c r="C93" s="78"/>
      <c r="L93" s="77"/>
    </row>
    <row r="94" spans="3:12" ht="14.25">
      <c r="C94" s="78"/>
      <c r="L94" s="77"/>
    </row>
    <row r="95" spans="3:12" ht="14.25">
      <c r="C95" s="78"/>
      <c r="L95" s="77"/>
    </row>
    <row r="96" spans="3:12" ht="14.25">
      <c r="C96" s="78"/>
      <c r="L96" s="77"/>
    </row>
    <row r="97" spans="3:12" ht="14.25">
      <c r="C97" s="78"/>
      <c r="L97" s="77"/>
    </row>
    <row r="98" spans="3:12" ht="14.25">
      <c r="C98" s="78"/>
      <c r="L98" s="77"/>
    </row>
    <row r="99" spans="3:12" ht="14.25">
      <c r="C99" s="78"/>
      <c r="L99" s="77"/>
    </row>
    <row r="100" spans="3:12" ht="14.25">
      <c r="C100" s="78"/>
      <c r="L100" s="77"/>
    </row>
    <row r="101" spans="3:12" ht="14.25">
      <c r="C101" s="78"/>
      <c r="L101" s="77"/>
    </row>
    <row r="102" spans="3:12" ht="14.25">
      <c r="C102" s="78"/>
      <c r="L102" s="77"/>
    </row>
    <row r="103" spans="3:12" ht="14.25">
      <c r="C103" s="78"/>
      <c r="L103" s="77"/>
    </row>
    <row r="104" spans="3:12" ht="14.25">
      <c r="C104" s="78"/>
      <c r="L104" s="77"/>
    </row>
    <row r="105" spans="3:12" ht="14.25">
      <c r="C105" s="78"/>
      <c r="L105" s="77"/>
    </row>
    <row r="106" spans="3:12" ht="14.25">
      <c r="C106" s="78"/>
      <c r="L106" s="77"/>
    </row>
    <row r="107" spans="3:12" ht="14.25">
      <c r="C107" s="78"/>
      <c r="L107" s="77"/>
    </row>
    <row r="108" spans="3:12" ht="14.25">
      <c r="C108" s="78"/>
      <c r="L108" s="77"/>
    </row>
    <row r="109" spans="3:12" ht="14.25">
      <c r="C109" s="78"/>
      <c r="L109" s="77"/>
    </row>
    <row r="110" spans="3:12" ht="14.25">
      <c r="C110" s="78"/>
      <c r="L110" s="77"/>
    </row>
    <row r="111" spans="3:12" ht="14.25">
      <c r="C111" s="78"/>
      <c r="L111" s="77"/>
    </row>
    <row r="112" spans="3:12" ht="14.25">
      <c r="C112" s="78"/>
      <c r="L112" s="77"/>
    </row>
    <row r="113" spans="3:12" ht="14.25">
      <c r="C113" s="78"/>
      <c r="L113" s="77"/>
    </row>
    <row r="114" spans="3:12" ht="14.25">
      <c r="C114" s="78"/>
      <c r="L114" s="77"/>
    </row>
    <row r="115" spans="3:12" ht="14.25">
      <c r="C115" s="78"/>
      <c r="L115" s="77"/>
    </row>
    <row r="116" spans="3:12" ht="14.25">
      <c r="C116" s="78"/>
      <c r="L116" s="77"/>
    </row>
    <row r="117" spans="3:12" ht="14.25">
      <c r="C117" s="78"/>
      <c r="L117" s="77"/>
    </row>
    <row r="118" spans="3:12" ht="14.25">
      <c r="C118" s="78"/>
      <c r="L118" s="77"/>
    </row>
    <row r="119" spans="3:12" ht="14.25">
      <c r="C119" s="78"/>
      <c r="L119" s="77"/>
    </row>
    <row r="120" spans="3:12" ht="14.25">
      <c r="C120" s="78"/>
      <c r="L120" s="77"/>
    </row>
    <row r="121" spans="3:12" ht="14.25">
      <c r="C121" s="78"/>
      <c r="L121" s="77"/>
    </row>
    <row r="122" spans="3:12" ht="14.25">
      <c r="C122" s="78"/>
      <c r="L122" s="77"/>
    </row>
    <row r="123" spans="3:12" ht="14.25">
      <c r="C123" s="78"/>
      <c r="L123" s="77"/>
    </row>
    <row r="124" spans="3:12" ht="14.25">
      <c r="C124" s="78"/>
      <c r="L124" s="77"/>
    </row>
    <row r="125" spans="3:12" ht="14.25">
      <c r="C125" s="78"/>
      <c r="L125" s="77"/>
    </row>
    <row r="126" spans="3:12" ht="14.25">
      <c r="C126" s="78"/>
      <c r="L126" s="77"/>
    </row>
    <row r="127" spans="3:12" ht="14.25">
      <c r="C127" s="78"/>
      <c r="L127" s="77"/>
    </row>
    <row r="128" spans="3:12" ht="14.25">
      <c r="C128" s="78"/>
      <c r="L128" s="77"/>
    </row>
    <row r="129" spans="3:12" ht="14.25">
      <c r="C129" s="78"/>
      <c r="L129" s="77"/>
    </row>
    <row r="130" spans="3:12" ht="14.25">
      <c r="C130" s="78"/>
      <c r="L130" s="77"/>
    </row>
  </sheetData>
  <sheetProtection sheet="1" objects="1" scenarios="1"/>
  <autoFilter ref="B12:B64">
    <filterColumn colId="0">
      <customFilters>
        <customFilter operator="notEqual" val=" "/>
      </customFilters>
    </filterColumn>
  </autoFilter>
  <printOptions horizontalCentered="1"/>
  <pageMargins left="0.59055118110236227" right="0.59055118110236227" top="0.59055118110236227" bottom="0.59055118110236227" header="0.39370078740157483" footer="0.39370078740157483"/>
  <pageSetup paperSize="9" scale="89" firstPageNumber="84" fitToHeight="0" orientation="portrait" r:id="rId1"/>
  <headerFooter alignWithMargins="0">
    <oddFooter>&amp;L&amp;11LEL Schwäbisch Gmünd&amp;C&amp;P&amp;R&amp;11&amp;F</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pageSetUpPr fitToPage="1"/>
  </sheetPr>
  <dimension ref="A1:FO87"/>
  <sheetViews>
    <sheetView showZeros="0" zoomScale="110" zoomScaleNormal="110" workbookViewId="0">
      <pane xSplit="3" ySplit="4" topLeftCell="BB32" activePane="bottomRight" state="frozen"/>
      <selection activeCell="AF19" sqref="AF19"/>
      <selection pane="topRight" activeCell="AF19" sqref="AF19"/>
      <selection pane="bottomLeft" activeCell="AF19" sqref="AF19"/>
      <selection pane="bottomRight" activeCell="BB15" sqref="BB15"/>
    </sheetView>
  </sheetViews>
  <sheetFormatPr baseColWidth="10" defaultColWidth="10.5" defaultRowHeight="8.25"/>
  <cols>
    <col min="1" max="1" width="2.375" style="1433" customWidth="1"/>
    <col min="2" max="2" width="23.75" style="1435" customWidth="1"/>
    <col min="3" max="4" width="6.625" style="1434" bestFit="1" customWidth="1"/>
    <col min="5" max="5" width="6.625" style="1434" customWidth="1"/>
    <col min="6" max="32" width="5.5" style="1434" customWidth="1"/>
    <col min="33" max="33" width="6.25" style="1434" customWidth="1"/>
    <col min="34" max="35" width="5.5" style="1434" customWidth="1"/>
    <col min="36" max="101" width="5.5" style="1433" customWidth="1"/>
    <col min="102" max="102" width="6.625" style="1434" bestFit="1" customWidth="1"/>
    <col min="103" max="124" width="5.5" style="1433" customWidth="1"/>
    <col min="125" max="125" width="6" style="1433" customWidth="1"/>
    <col min="126" max="169" width="5.5" style="1433" customWidth="1"/>
    <col min="170" max="16384" width="10.5" style="1433"/>
  </cols>
  <sheetData>
    <row r="1" spans="1:169">
      <c r="A1" s="1440">
        <f>ROWS($A1:A$1)</f>
        <v>1</v>
      </c>
      <c r="D1" s="1434">
        <v>202</v>
      </c>
      <c r="E1" s="1434">
        <v>203</v>
      </c>
      <c r="F1" s="1434">
        <v>204</v>
      </c>
      <c r="G1" s="1434">
        <v>205</v>
      </c>
      <c r="H1" s="1434">
        <v>206</v>
      </c>
      <c r="I1" s="1434">
        <v>207</v>
      </c>
      <c r="J1" s="1434">
        <v>208</v>
      </c>
      <c r="K1" s="1434">
        <v>209</v>
      </c>
      <c r="L1" s="1434">
        <v>210</v>
      </c>
      <c r="M1" s="1434">
        <v>211</v>
      </c>
      <c r="N1" s="1434">
        <v>212</v>
      </c>
      <c r="O1" s="1434">
        <v>213</v>
      </c>
      <c r="P1" s="1434">
        <v>214</v>
      </c>
      <c r="Q1" s="1434">
        <v>215</v>
      </c>
      <c r="R1" s="1434">
        <v>216</v>
      </c>
      <c r="S1" s="1434">
        <v>217</v>
      </c>
      <c r="T1" s="1434">
        <v>218</v>
      </c>
      <c r="U1" s="1434">
        <v>219</v>
      </c>
      <c r="V1" s="1434">
        <v>220</v>
      </c>
      <c r="W1" s="1434">
        <v>221</v>
      </c>
      <c r="X1" s="1434">
        <v>222</v>
      </c>
      <c r="Y1" s="1434">
        <v>223</v>
      </c>
      <c r="Z1" s="1434">
        <v>224</v>
      </c>
      <c r="AA1" s="1434">
        <v>225</v>
      </c>
      <c r="AB1" s="1434">
        <v>226</v>
      </c>
      <c r="AC1" s="1434">
        <v>227</v>
      </c>
      <c r="AD1" s="1434">
        <v>228</v>
      </c>
      <c r="AE1" s="1434">
        <v>229</v>
      </c>
      <c r="AF1" s="1434">
        <v>230</v>
      </c>
      <c r="AG1" s="1434">
        <v>231</v>
      </c>
      <c r="AH1" s="1434">
        <v>232</v>
      </c>
      <c r="AJ1" s="1544">
        <v>302</v>
      </c>
      <c r="AK1" s="1434">
        <v>303</v>
      </c>
      <c r="AL1" s="1434">
        <v>304</v>
      </c>
      <c r="AM1" s="1434">
        <v>305</v>
      </c>
      <c r="AN1" s="1434">
        <v>306</v>
      </c>
      <c r="AO1" s="1434">
        <v>307</v>
      </c>
      <c r="AP1" s="1434">
        <v>308</v>
      </c>
      <c r="AQ1" s="1434">
        <v>309</v>
      </c>
      <c r="AR1" s="1434">
        <v>310</v>
      </c>
      <c r="AS1" s="1434">
        <v>311</v>
      </c>
      <c r="AT1" s="1434">
        <v>312</v>
      </c>
      <c r="AU1" s="1434">
        <v>313</v>
      </c>
      <c r="AV1" s="1434">
        <v>314</v>
      </c>
      <c r="AW1" s="1434">
        <v>315</v>
      </c>
      <c r="AX1" s="1434">
        <v>316</v>
      </c>
      <c r="AY1" s="1434">
        <v>317</v>
      </c>
      <c r="AZ1" s="1434">
        <v>318</v>
      </c>
      <c r="BA1" s="1434">
        <v>319</v>
      </c>
      <c r="BB1" s="1434">
        <v>320</v>
      </c>
      <c r="BC1" s="1434">
        <v>321</v>
      </c>
      <c r="BD1" s="1434">
        <v>322</v>
      </c>
      <c r="BE1" s="1434">
        <v>323</v>
      </c>
      <c r="BF1" s="1434">
        <v>324</v>
      </c>
      <c r="BG1" s="1434">
        <v>325</v>
      </c>
      <c r="BH1" s="1434">
        <v>326</v>
      </c>
      <c r="BI1" s="1434">
        <v>327</v>
      </c>
      <c r="BJ1" s="1434">
        <v>328</v>
      </c>
      <c r="BK1" s="1434">
        <v>329</v>
      </c>
      <c r="BL1" s="1434">
        <v>330</v>
      </c>
      <c r="BM1" s="1434">
        <v>331</v>
      </c>
      <c r="BN1" s="1434">
        <v>332</v>
      </c>
      <c r="BO1" s="1434"/>
      <c r="BP1" s="1544">
        <v>402</v>
      </c>
      <c r="BQ1" s="1434">
        <v>403</v>
      </c>
      <c r="BR1" s="1434">
        <v>404</v>
      </c>
      <c r="BS1" s="1434">
        <v>405</v>
      </c>
      <c r="BT1" s="1434">
        <v>406</v>
      </c>
      <c r="BU1" s="1434">
        <v>407</v>
      </c>
      <c r="BV1" s="1434">
        <v>408</v>
      </c>
      <c r="BW1" s="1434">
        <v>409</v>
      </c>
      <c r="BX1" s="1434">
        <v>410</v>
      </c>
      <c r="BY1" s="1434">
        <v>411</v>
      </c>
      <c r="BZ1" s="1434">
        <v>412</v>
      </c>
      <c r="CA1" s="1434">
        <v>413</v>
      </c>
      <c r="CB1" s="1434">
        <v>414</v>
      </c>
      <c r="CC1" s="1434">
        <v>415</v>
      </c>
      <c r="CD1" s="1434">
        <v>416</v>
      </c>
      <c r="CE1" s="1434">
        <v>417</v>
      </c>
      <c r="CF1" s="1434">
        <v>418</v>
      </c>
      <c r="CG1" s="1434">
        <v>419</v>
      </c>
      <c r="CH1" s="1434">
        <v>420</v>
      </c>
      <c r="CI1" s="1434">
        <v>421</v>
      </c>
      <c r="CJ1" s="1434">
        <v>422</v>
      </c>
      <c r="CK1" s="1434">
        <v>423</v>
      </c>
      <c r="CL1" s="1434">
        <v>424</v>
      </c>
      <c r="CM1" s="1434">
        <v>425</v>
      </c>
      <c r="CN1" s="1434">
        <v>426</v>
      </c>
      <c r="CO1" s="1434">
        <v>427</v>
      </c>
      <c r="CP1" s="1434">
        <v>428</v>
      </c>
      <c r="CQ1" s="1434">
        <v>429</v>
      </c>
      <c r="CR1" s="1434">
        <v>430</v>
      </c>
      <c r="CS1" s="1434">
        <v>431</v>
      </c>
      <c r="CT1" s="1434">
        <v>432</v>
      </c>
      <c r="CV1" s="3605"/>
      <c r="CW1" s="3606"/>
      <c r="CX1" s="1434">
        <f t="shared" ref="CX1:DS1" si="0">200+CX2</f>
        <v>233</v>
      </c>
      <c r="CY1" s="3607">
        <f t="shared" si="0"/>
        <v>234</v>
      </c>
      <c r="CZ1" s="3607">
        <f t="shared" si="0"/>
        <v>235</v>
      </c>
      <c r="DA1" s="3607">
        <f t="shared" si="0"/>
        <v>236</v>
      </c>
      <c r="DB1" s="3607">
        <f t="shared" si="0"/>
        <v>237</v>
      </c>
      <c r="DC1" s="3607">
        <f t="shared" si="0"/>
        <v>238</v>
      </c>
      <c r="DD1" s="3607">
        <f t="shared" si="0"/>
        <v>239</v>
      </c>
      <c r="DE1" s="3607">
        <f t="shared" si="0"/>
        <v>240</v>
      </c>
      <c r="DF1" s="3607">
        <f t="shared" si="0"/>
        <v>241</v>
      </c>
      <c r="DG1" s="3607">
        <f t="shared" si="0"/>
        <v>242</v>
      </c>
      <c r="DH1" s="3607">
        <f t="shared" si="0"/>
        <v>243</v>
      </c>
      <c r="DI1" s="3607">
        <f t="shared" si="0"/>
        <v>244</v>
      </c>
      <c r="DJ1" s="3607">
        <f t="shared" si="0"/>
        <v>245</v>
      </c>
      <c r="DK1" s="3607">
        <f t="shared" si="0"/>
        <v>246</v>
      </c>
      <c r="DL1" s="3607">
        <f t="shared" si="0"/>
        <v>247</v>
      </c>
      <c r="DM1" s="3607">
        <f t="shared" si="0"/>
        <v>248</v>
      </c>
      <c r="DN1" s="3607">
        <f t="shared" si="0"/>
        <v>249</v>
      </c>
      <c r="DO1" s="3607">
        <f t="shared" si="0"/>
        <v>250</v>
      </c>
      <c r="DP1" s="3607">
        <f t="shared" si="0"/>
        <v>251</v>
      </c>
      <c r="DQ1" s="3607"/>
      <c r="DR1" s="3607">
        <f t="shared" si="0"/>
        <v>221</v>
      </c>
      <c r="DS1" s="3607">
        <f t="shared" si="0"/>
        <v>222</v>
      </c>
      <c r="DT1" s="3607"/>
      <c r="DU1" s="3607">
        <f>300+DU2</f>
        <v>333</v>
      </c>
      <c r="DV1" s="3607">
        <f t="shared" ref="DV1:EP1" si="1">300+DV2</f>
        <v>334</v>
      </c>
      <c r="DW1" s="3607">
        <f t="shared" si="1"/>
        <v>335</v>
      </c>
      <c r="DX1" s="3607">
        <f t="shared" si="1"/>
        <v>336</v>
      </c>
      <c r="DY1" s="3607">
        <f t="shared" si="1"/>
        <v>337</v>
      </c>
      <c r="DZ1" s="3607">
        <f t="shared" si="1"/>
        <v>338</v>
      </c>
      <c r="EA1" s="3607">
        <f t="shared" si="1"/>
        <v>339</v>
      </c>
      <c r="EB1" s="3607">
        <f t="shared" si="1"/>
        <v>340</v>
      </c>
      <c r="EC1" s="3607">
        <f t="shared" si="1"/>
        <v>341</v>
      </c>
      <c r="ED1" s="3607">
        <f t="shared" si="1"/>
        <v>342</v>
      </c>
      <c r="EE1" s="3607">
        <f t="shared" si="1"/>
        <v>343</v>
      </c>
      <c r="EF1" s="3607">
        <f t="shared" si="1"/>
        <v>344</v>
      </c>
      <c r="EG1" s="3607">
        <f t="shared" si="1"/>
        <v>345</v>
      </c>
      <c r="EH1" s="3607">
        <f t="shared" si="1"/>
        <v>346</v>
      </c>
      <c r="EI1" s="3607">
        <f t="shared" si="1"/>
        <v>347</v>
      </c>
      <c r="EJ1" s="3607">
        <f t="shared" si="1"/>
        <v>348</v>
      </c>
      <c r="EK1" s="3607">
        <f t="shared" si="1"/>
        <v>349</v>
      </c>
      <c r="EL1" s="3607">
        <f t="shared" si="1"/>
        <v>350</v>
      </c>
      <c r="EM1" s="3607">
        <f t="shared" si="1"/>
        <v>351</v>
      </c>
      <c r="EN1" s="3607">
        <f t="shared" si="1"/>
        <v>352</v>
      </c>
      <c r="EO1" s="3607">
        <f t="shared" si="1"/>
        <v>353</v>
      </c>
      <c r="EP1" s="3607">
        <f t="shared" si="1"/>
        <v>354</v>
      </c>
      <c r="EQ1" s="3607"/>
      <c r="ER1" s="3607">
        <f>400+ER2</f>
        <v>433</v>
      </c>
      <c r="ES1" s="3607">
        <f t="shared" ref="ES1:FM1" si="2">400+ES2</f>
        <v>434</v>
      </c>
      <c r="ET1" s="3607">
        <f t="shared" si="2"/>
        <v>435</v>
      </c>
      <c r="EU1" s="3607">
        <f t="shared" si="2"/>
        <v>436</v>
      </c>
      <c r="EV1" s="3607">
        <f t="shared" si="2"/>
        <v>437</v>
      </c>
      <c r="EW1" s="3607">
        <f t="shared" si="2"/>
        <v>438</v>
      </c>
      <c r="EX1" s="3607">
        <f t="shared" si="2"/>
        <v>439</v>
      </c>
      <c r="EY1" s="3607">
        <f t="shared" si="2"/>
        <v>440</v>
      </c>
      <c r="EZ1" s="3607">
        <f t="shared" si="2"/>
        <v>441</v>
      </c>
      <c r="FA1" s="3607">
        <f t="shared" si="2"/>
        <v>442</v>
      </c>
      <c r="FB1" s="3607">
        <f t="shared" si="2"/>
        <v>443</v>
      </c>
      <c r="FC1" s="3607">
        <f t="shared" si="2"/>
        <v>444</v>
      </c>
      <c r="FD1" s="3607">
        <f t="shared" si="2"/>
        <v>445</v>
      </c>
      <c r="FE1" s="3607">
        <f t="shared" si="2"/>
        <v>446</v>
      </c>
      <c r="FF1" s="3607">
        <f t="shared" si="2"/>
        <v>447</v>
      </c>
      <c r="FG1" s="3607">
        <f t="shared" si="2"/>
        <v>448</v>
      </c>
      <c r="FH1" s="3607">
        <f t="shared" si="2"/>
        <v>449</v>
      </c>
      <c r="FI1" s="3607">
        <f t="shared" si="2"/>
        <v>450</v>
      </c>
      <c r="FJ1" s="3607">
        <f t="shared" si="2"/>
        <v>451</v>
      </c>
      <c r="FK1" s="3607">
        <f t="shared" si="2"/>
        <v>452</v>
      </c>
      <c r="FL1" s="3607">
        <f t="shared" si="2"/>
        <v>453</v>
      </c>
      <c r="FM1" s="3607">
        <f t="shared" si="2"/>
        <v>454</v>
      </c>
    </row>
    <row r="2" spans="1:169" ht="19.5" customHeight="1">
      <c r="A2" s="1440">
        <f>ROWS($A$1:A2)</f>
        <v>2</v>
      </c>
      <c r="B2" s="1545" t="s">
        <v>100</v>
      </c>
      <c r="C2" s="1433"/>
      <c r="D2" s="1433">
        <v>2</v>
      </c>
      <c r="E2" s="1433">
        <v>3</v>
      </c>
      <c r="F2" s="1433">
        <v>4</v>
      </c>
      <c r="G2" s="1433">
        <v>5</v>
      </c>
      <c r="H2" s="1433">
        <v>6</v>
      </c>
      <c r="I2" s="1433">
        <v>7</v>
      </c>
      <c r="J2" s="1433">
        <v>8</v>
      </c>
      <c r="K2" s="1433">
        <v>9</v>
      </c>
      <c r="L2" s="1433">
        <v>10</v>
      </c>
      <c r="M2" s="1433">
        <v>11</v>
      </c>
      <c r="N2" s="1433">
        <v>12</v>
      </c>
      <c r="O2" s="1433">
        <v>13</v>
      </c>
      <c r="P2" s="1433">
        <v>14</v>
      </c>
      <c r="Q2" s="1433">
        <v>15</v>
      </c>
      <c r="R2" s="1433">
        <v>16</v>
      </c>
      <c r="S2" s="1433">
        <v>17</v>
      </c>
      <c r="T2" s="1433">
        <v>18</v>
      </c>
      <c r="U2" s="1433">
        <v>19</v>
      </c>
      <c r="V2" s="1433">
        <v>20</v>
      </c>
      <c r="W2" s="1433">
        <v>21</v>
      </c>
      <c r="X2" s="1433">
        <v>22</v>
      </c>
      <c r="Y2" s="1433">
        <v>23</v>
      </c>
      <c r="Z2" s="1433">
        <v>24</v>
      </c>
      <c r="AA2" s="1433">
        <v>25</v>
      </c>
      <c r="AB2" s="1433">
        <v>26</v>
      </c>
      <c r="AC2" s="1433">
        <v>27</v>
      </c>
      <c r="AD2" s="1433">
        <v>28</v>
      </c>
      <c r="AE2" s="1433">
        <v>29</v>
      </c>
      <c r="AF2" s="1433">
        <v>30</v>
      </c>
      <c r="AG2" s="1433">
        <v>31</v>
      </c>
      <c r="AH2" s="1433">
        <v>32</v>
      </c>
      <c r="AI2" s="1433"/>
      <c r="AJ2" s="1544">
        <v>2</v>
      </c>
      <c r="AK2" s="1434">
        <v>3</v>
      </c>
      <c r="AL2" s="1434">
        <v>4</v>
      </c>
      <c r="AM2" s="1434">
        <v>5</v>
      </c>
      <c r="AN2" s="1434">
        <v>6</v>
      </c>
      <c r="AO2" s="1434">
        <v>7</v>
      </c>
      <c r="AP2" s="1434">
        <v>8</v>
      </c>
      <c r="AQ2" s="1434">
        <v>9</v>
      </c>
      <c r="AR2" s="1434">
        <v>10</v>
      </c>
      <c r="AS2" s="1434">
        <v>11</v>
      </c>
      <c r="AT2" s="1434">
        <v>12</v>
      </c>
      <c r="AU2" s="1434">
        <v>13</v>
      </c>
      <c r="AV2" s="1434">
        <v>14</v>
      </c>
      <c r="AW2" s="1434">
        <v>15</v>
      </c>
      <c r="AX2" s="1434">
        <v>16</v>
      </c>
      <c r="AY2" s="1434">
        <v>17</v>
      </c>
      <c r="AZ2" s="1434">
        <v>18</v>
      </c>
      <c r="BA2" s="1434">
        <v>19</v>
      </c>
      <c r="BB2" s="1434">
        <v>20</v>
      </c>
      <c r="BC2" s="1434">
        <v>21</v>
      </c>
      <c r="BD2" s="1434">
        <v>22</v>
      </c>
      <c r="BE2" s="1434">
        <v>23</v>
      </c>
      <c r="BF2" s="1434">
        <v>24</v>
      </c>
      <c r="BG2" s="1434">
        <v>25</v>
      </c>
      <c r="BH2" s="1434">
        <v>26</v>
      </c>
      <c r="BI2" s="1434">
        <v>27</v>
      </c>
      <c r="BJ2" s="1434">
        <v>28</v>
      </c>
      <c r="BK2" s="1434">
        <v>29</v>
      </c>
      <c r="BL2" s="1434">
        <v>30</v>
      </c>
      <c r="BM2" s="1434">
        <v>31</v>
      </c>
      <c r="BN2" s="1434">
        <v>32</v>
      </c>
      <c r="BO2" s="1434"/>
      <c r="BP2" s="1544">
        <v>2</v>
      </c>
      <c r="BQ2" s="1434">
        <v>3</v>
      </c>
      <c r="BR2" s="1434">
        <v>4</v>
      </c>
      <c r="BS2" s="1434">
        <v>5</v>
      </c>
      <c r="BT2" s="1434">
        <v>6</v>
      </c>
      <c r="BU2" s="1434">
        <v>7</v>
      </c>
      <c r="BV2" s="1434">
        <v>8</v>
      </c>
      <c r="BW2" s="1434">
        <v>9</v>
      </c>
      <c r="BX2" s="1434">
        <v>10</v>
      </c>
      <c r="BY2" s="1434">
        <v>11</v>
      </c>
      <c r="BZ2" s="1434">
        <v>12</v>
      </c>
      <c r="CA2" s="1434">
        <v>13</v>
      </c>
      <c r="CB2" s="1434">
        <v>14</v>
      </c>
      <c r="CC2" s="1434">
        <v>15</v>
      </c>
      <c r="CD2" s="1434">
        <v>16</v>
      </c>
      <c r="CE2" s="1434">
        <v>17</v>
      </c>
      <c r="CF2" s="1434">
        <v>18</v>
      </c>
      <c r="CG2" s="1434">
        <v>19</v>
      </c>
      <c r="CH2" s="1434">
        <v>20</v>
      </c>
      <c r="CI2" s="1434">
        <v>21</v>
      </c>
      <c r="CJ2" s="1434">
        <v>22</v>
      </c>
      <c r="CK2" s="1434">
        <v>23</v>
      </c>
      <c r="CL2" s="1434">
        <v>24</v>
      </c>
      <c r="CM2" s="1434">
        <v>25</v>
      </c>
      <c r="CN2" s="1434">
        <v>26</v>
      </c>
      <c r="CO2" s="1434">
        <v>27</v>
      </c>
      <c r="CP2" s="1434">
        <v>28</v>
      </c>
      <c r="CQ2" s="1434">
        <v>29</v>
      </c>
      <c r="CR2" s="1434">
        <v>30</v>
      </c>
      <c r="CS2" s="1434">
        <v>31</v>
      </c>
      <c r="CT2" s="1434">
        <v>32</v>
      </c>
      <c r="CV2" s="3206"/>
      <c r="CX2" s="1433">
        <f>AH2+1</f>
        <v>33</v>
      </c>
      <c r="CY2" s="1433">
        <f>CX2+1</f>
        <v>34</v>
      </c>
      <c r="CZ2" s="1433">
        <f>CY2+1</f>
        <v>35</v>
      </c>
      <c r="DA2" s="1433">
        <f t="shared" ref="DA2:DF2" si="3">CZ2+1</f>
        <v>36</v>
      </c>
      <c r="DB2" s="1433">
        <f t="shared" si="3"/>
        <v>37</v>
      </c>
      <c r="DC2" s="1433">
        <f t="shared" si="3"/>
        <v>38</v>
      </c>
      <c r="DD2" s="1433">
        <f t="shared" si="3"/>
        <v>39</v>
      </c>
      <c r="DE2" s="1433">
        <f t="shared" si="3"/>
        <v>40</v>
      </c>
      <c r="DF2" s="1433">
        <f t="shared" si="3"/>
        <v>41</v>
      </c>
      <c r="DG2" s="1433">
        <f t="shared" ref="DG2:DP2" si="4">DF2+1</f>
        <v>42</v>
      </c>
      <c r="DH2" s="1433">
        <f t="shared" si="4"/>
        <v>43</v>
      </c>
      <c r="DI2" s="1433">
        <f t="shared" si="4"/>
        <v>44</v>
      </c>
      <c r="DJ2" s="1433">
        <f t="shared" si="4"/>
        <v>45</v>
      </c>
      <c r="DK2" s="1433">
        <f t="shared" si="4"/>
        <v>46</v>
      </c>
      <c r="DL2" s="1433">
        <f t="shared" si="4"/>
        <v>47</v>
      </c>
      <c r="DM2" s="1433">
        <f t="shared" si="4"/>
        <v>48</v>
      </c>
      <c r="DN2" s="1433">
        <f t="shared" si="4"/>
        <v>49</v>
      </c>
      <c r="DO2" s="1433">
        <f t="shared" si="4"/>
        <v>50</v>
      </c>
      <c r="DP2" s="1433">
        <f t="shared" si="4"/>
        <v>51</v>
      </c>
      <c r="DR2" s="2353">
        <f>BB2+1</f>
        <v>21</v>
      </c>
      <c r="DS2" s="1433">
        <f>DR2+1</f>
        <v>22</v>
      </c>
      <c r="DU2" s="1433">
        <f>BN2+1</f>
        <v>33</v>
      </c>
      <c r="DV2" s="1433">
        <f t="shared" ref="DV2:EP2" si="5">DU2+1</f>
        <v>34</v>
      </c>
      <c r="DW2" s="1433">
        <f t="shared" si="5"/>
        <v>35</v>
      </c>
      <c r="DX2" s="1433">
        <f t="shared" si="5"/>
        <v>36</v>
      </c>
      <c r="DY2" s="1433">
        <f t="shared" si="5"/>
        <v>37</v>
      </c>
      <c r="DZ2" s="1433">
        <f t="shared" si="5"/>
        <v>38</v>
      </c>
      <c r="EA2" s="1433">
        <f t="shared" si="5"/>
        <v>39</v>
      </c>
      <c r="EB2" s="1433">
        <f t="shared" si="5"/>
        <v>40</v>
      </c>
      <c r="EC2" s="1433">
        <f t="shared" si="5"/>
        <v>41</v>
      </c>
      <c r="ED2" s="1433">
        <f t="shared" si="5"/>
        <v>42</v>
      </c>
      <c r="EE2" s="1433">
        <f t="shared" si="5"/>
        <v>43</v>
      </c>
      <c r="EF2" s="1433">
        <f t="shared" si="5"/>
        <v>44</v>
      </c>
      <c r="EG2" s="1433">
        <f t="shared" si="5"/>
        <v>45</v>
      </c>
      <c r="EH2" s="1433">
        <f t="shared" si="5"/>
        <v>46</v>
      </c>
      <c r="EI2" s="1433">
        <f t="shared" si="5"/>
        <v>47</v>
      </c>
      <c r="EJ2" s="1433">
        <f t="shared" si="5"/>
        <v>48</v>
      </c>
      <c r="EK2" s="1433">
        <f t="shared" si="5"/>
        <v>49</v>
      </c>
      <c r="EL2" s="1433">
        <f t="shared" si="5"/>
        <v>50</v>
      </c>
      <c r="EM2" s="1433">
        <f t="shared" si="5"/>
        <v>51</v>
      </c>
      <c r="EN2" s="1433">
        <f t="shared" si="5"/>
        <v>52</v>
      </c>
      <c r="EO2" s="1433">
        <f t="shared" si="5"/>
        <v>53</v>
      </c>
      <c r="EP2" s="1433">
        <f t="shared" si="5"/>
        <v>54</v>
      </c>
      <c r="ER2" s="2355">
        <f>CT2+1</f>
        <v>33</v>
      </c>
      <c r="ES2" s="2353">
        <f>ER2+1</f>
        <v>34</v>
      </c>
      <c r="ET2" s="2353">
        <f>ES2+1</f>
        <v>35</v>
      </c>
      <c r="EU2" s="2353">
        <f t="shared" ref="EU2:FB2" si="6">ET2+1</f>
        <v>36</v>
      </c>
      <c r="EV2" s="2353">
        <f t="shared" si="6"/>
        <v>37</v>
      </c>
      <c r="EW2" s="2353">
        <f t="shared" si="6"/>
        <v>38</v>
      </c>
      <c r="EX2" s="2353">
        <f t="shared" si="6"/>
        <v>39</v>
      </c>
      <c r="EY2" s="2353">
        <f t="shared" si="6"/>
        <v>40</v>
      </c>
      <c r="EZ2" s="2353">
        <f t="shared" si="6"/>
        <v>41</v>
      </c>
      <c r="FA2" s="2353">
        <f t="shared" si="6"/>
        <v>42</v>
      </c>
      <c r="FB2" s="2353">
        <f t="shared" si="6"/>
        <v>43</v>
      </c>
      <c r="FC2" s="2353">
        <f t="shared" ref="FC2:FM2" si="7">FB2+1</f>
        <v>44</v>
      </c>
      <c r="FD2" s="2353">
        <f t="shared" si="7"/>
        <v>45</v>
      </c>
      <c r="FE2" s="2353">
        <f t="shared" si="7"/>
        <v>46</v>
      </c>
      <c r="FF2" s="2353">
        <f t="shared" si="7"/>
        <v>47</v>
      </c>
      <c r="FG2" s="2353">
        <f t="shared" si="7"/>
        <v>48</v>
      </c>
      <c r="FH2" s="2353">
        <f t="shared" si="7"/>
        <v>49</v>
      </c>
      <c r="FI2" s="2353">
        <f t="shared" si="7"/>
        <v>50</v>
      </c>
      <c r="FJ2" s="2353">
        <f t="shared" si="7"/>
        <v>51</v>
      </c>
      <c r="FK2" s="2353">
        <f t="shared" si="7"/>
        <v>52</v>
      </c>
      <c r="FL2" s="2353">
        <f t="shared" si="7"/>
        <v>53</v>
      </c>
      <c r="FM2" s="2353">
        <f t="shared" si="7"/>
        <v>54</v>
      </c>
    </row>
    <row r="3" spans="1:169" ht="40.15" customHeight="1" thickBot="1">
      <c r="A3" s="1440">
        <f>ROWS($A$1:A3)</f>
        <v>3</v>
      </c>
      <c r="B3" s="1543">
        <f>'SDK1'!D5</f>
        <v>45368</v>
      </c>
      <c r="C3" s="1433"/>
      <c r="D3" s="1542" t="str">
        <f t="shared" ref="D3:AG3" si="8">D2&amp;"n"</f>
        <v>2n</v>
      </c>
      <c r="E3" s="1542" t="str">
        <f t="shared" si="8"/>
        <v>3n</v>
      </c>
      <c r="F3" s="1542" t="str">
        <f t="shared" si="8"/>
        <v>4n</v>
      </c>
      <c r="G3" s="1542" t="str">
        <f t="shared" si="8"/>
        <v>5n</v>
      </c>
      <c r="H3" s="1542" t="str">
        <f t="shared" si="8"/>
        <v>6n</v>
      </c>
      <c r="I3" s="1542" t="str">
        <f t="shared" si="8"/>
        <v>7n</v>
      </c>
      <c r="J3" s="1542" t="str">
        <f t="shared" si="8"/>
        <v>8n</v>
      </c>
      <c r="K3" s="1542" t="str">
        <f t="shared" si="8"/>
        <v>9n</v>
      </c>
      <c r="L3" s="1542" t="str">
        <f t="shared" si="8"/>
        <v>10n</v>
      </c>
      <c r="M3" s="1542" t="str">
        <f t="shared" si="8"/>
        <v>11n</v>
      </c>
      <c r="N3" s="1542" t="str">
        <f t="shared" si="8"/>
        <v>12n</v>
      </c>
      <c r="O3" s="1542" t="str">
        <f t="shared" si="8"/>
        <v>13n</v>
      </c>
      <c r="P3" s="1542" t="str">
        <f t="shared" si="8"/>
        <v>14n</v>
      </c>
      <c r="Q3" s="1542" t="str">
        <f t="shared" si="8"/>
        <v>15n</v>
      </c>
      <c r="R3" s="1542" t="str">
        <f t="shared" si="8"/>
        <v>16n</v>
      </c>
      <c r="S3" s="1542" t="str">
        <f t="shared" si="8"/>
        <v>17n</v>
      </c>
      <c r="T3" s="1542" t="str">
        <f t="shared" si="8"/>
        <v>18n</v>
      </c>
      <c r="U3" s="1542" t="str">
        <f t="shared" si="8"/>
        <v>19n</v>
      </c>
      <c r="V3" s="1542" t="str">
        <f t="shared" si="8"/>
        <v>20n</v>
      </c>
      <c r="W3" s="1542" t="str">
        <f t="shared" si="8"/>
        <v>21n</v>
      </c>
      <c r="X3" s="1542" t="str">
        <f t="shared" si="8"/>
        <v>22n</v>
      </c>
      <c r="Y3" s="1542" t="str">
        <f t="shared" si="8"/>
        <v>23n</v>
      </c>
      <c r="Z3" s="1542" t="str">
        <f t="shared" si="8"/>
        <v>24n</v>
      </c>
      <c r="AA3" s="1542" t="str">
        <f t="shared" si="8"/>
        <v>25n</v>
      </c>
      <c r="AB3" s="1542" t="str">
        <f t="shared" si="8"/>
        <v>26n</v>
      </c>
      <c r="AC3" s="1542" t="str">
        <f t="shared" si="8"/>
        <v>27n</v>
      </c>
      <c r="AD3" s="1542" t="str">
        <f t="shared" si="8"/>
        <v>28n</v>
      </c>
      <c r="AE3" s="1542" t="str">
        <f t="shared" si="8"/>
        <v>29n</v>
      </c>
      <c r="AF3" s="1542" t="str">
        <f t="shared" si="8"/>
        <v>30n</v>
      </c>
      <c r="AG3" s="1542" t="str">
        <f t="shared" si="8"/>
        <v>31n</v>
      </c>
      <c r="AH3" s="1542" t="str">
        <f>AH2&amp;"n"</f>
        <v>32n</v>
      </c>
      <c r="AI3" s="4043"/>
      <c r="AJ3" s="1542" t="str">
        <f t="shared" ref="AJ3:BN3" si="9">AJ2&amp; "m"</f>
        <v>2m</v>
      </c>
      <c r="AK3" s="1542" t="str">
        <f t="shared" si="9"/>
        <v>3m</v>
      </c>
      <c r="AL3" s="1542" t="str">
        <f t="shared" si="9"/>
        <v>4m</v>
      </c>
      <c r="AM3" s="1542" t="str">
        <f t="shared" si="9"/>
        <v>5m</v>
      </c>
      <c r="AN3" s="1542" t="str">
        <f t="shared" si="9"/>
        <v>6m</v>
      </c>
      <c r="AO3" s="1542" t="str">
        <f t="shared" si="9"/>
        <v>7m</v>
      </c>
      <c r="AP3" s="1542" t="str">
        <f t="shared" si="9"/>
        <v>8m</v>
      </c>
      <c r="AQ3" s="1542" t="str">
        <f t="shared" si="9"/>
        <v>9m</v>
      </c>
      <c r="AR3" s="1542" t="str">
        <f t="shared" si="9"/>
        <v>10m</v>
      </c>
      <c r="AS3" s="1542" t="str">
        <f t="shared" si="9"/>
        <v>11m</v>
      </c>
      <c r="AT3" s="1542" t="str">
        <f t="shared" si="9"/>
        <v>12m</v>
      </c>
      <c r="AU3" s="1542" t="str">
        <f t="shared" si="9"/>
        <v>13m</v>
      </c>
      <c r="AV3" s="1542" t="str">
        <f t="shared" si="9"/>
        <v>14m</v>
      </c>
      <c r="AW3" s="1542" t="str">
        <f t="shared" si="9"/>
        <v>15m</v>
      </c>
      <c r="AX3" s="1542" t="str">
        <f t="shared" si="9"/>
        <v>16m</v>
      </c>
      <c r="AY3" s="1542" t="str">
        <f t="shared" si="9"/>
        <v>17m</v>
      </c>
      <c r="AZ3" s="1542" t="str">
        <f t="shared" si="9"/>
        <v>18m</v>
      </c>
      <c r="BA3" s="1542" t="str">
        <f t="shared" si="9"/>
        <v>19m</v>
      </c>
      <c r="BB3" s="1542" t="str">
        <f t="shared" si="9"/>
        <v>20m</v>
      </c>
      <c r="BC3" s="1542" t="str">
        <f t="shared" si="9"/>
        <v>21m</v>
      </c>
      <c r="BD3" s="1542" t="str">
        <f t="shared" si="9"/>
        <v>22m</v>
      </c>
      <c r="BE3" s="1542" t="str">
        <f t="shared" si="9"/>
        <v>23m</v>
      </c>
      <c r="BF3" s="1542" t="str">
        <f t="shared" si="9"/>
        <v>24m</v>
      </c>
      <c r="BG3" s="1542" t="str">
        <f t="shared" si="9"/>
        <v>25m</v>
      </c>
      <c r="BH3" s="1542" t="str">
        <f t="shared" si="9"/>
        <v>26m</v>
      </c>
      <c r="BI3" s="1542" t="str">
        <f t="shared" si="9"/>
        <v>27m</v>
      </c>
      <c r="BJ3" s="1542" t="str">
        <f t="shared" si="9"/>
        <v>28m</v>
      </c>
      <c r="BK3" s="1542" t="str">
        <f t="shared" si="9"/>
        <v>29m</v>
      </c>
      <c r="BL3" s="1542" t="str">
        <f t="shared" si="9"/>
        <v>30m</v>
      </c>
      <c r="BM3" s="1542" t="str">
        <f t="shared" si="9"/>
        <v>31m</v>
      </c>
      <c r="BN3" s="1542" t="str">
        <f t="shared" si="9"/>
        <v>32m</v>
      </c>
      <c r="BO3" s="4043"/>
      <c r="BP3" s="1542" t="str">
        <f t="shared" ref="BP3:CT3" si="10">BP2&amp; "h"</f>
        <v>2h</v>
      </c>
      <c r="BQ3" s="1542" t="str">
        <f t="shared" si="10"/>
        <v>3h</v>
      </c>
      <c r="BR3" s="1542" t="str">
        <f t="shared" si="10"/>
        <v>4h</v>
      </c>
      <c r="BS3" s="1542" t="str">
        <f t="shared" si="10"/>
        <v>5h</v>
      </c>
      <c r="BT3" s="1542" t="str">
        <f t="shared" si="10"/>
        <v>6h</v>
      </c>
      <c r="BU3" s="1542" t="str">
        <f t="shared" si="10"/>
        <v>7h</v>
      </c>
      <c r="BV3" s="1542" t="str">
        <f t="shared" si="10"/>
        <v>8h</v>
      </c>
      <c r="BW3" s="1542" t="str">
        <f t="shared" si="10"/>
        <v>9h</v>
      </c>
      <c r="BX3" s="1542" t="str">
        <f t="shared" si="10"/>
        <v>10h</v>
      </c>
      <c r="BY3" s="1542" t="str">
        <f t="shared" si="10"/>
        <v>11h</v>
      </c>
      <c r="BZ3" s="1542" t="str">
        <f t="shared" si="10"/>
        <v>12h</v>
      </c>
      <c r="CA3" s="1542" t="str">
        <f t="shared" si="10"/>
        <v>13h</v>
      </c>
      <c r="CB3" s="1542" t="str">
        <f t="shared" si="10"/>
        <v>14h</v>
      </c>
      <c r="CC3" s="1542" t="str">
        <f t="shared" si="10"/>
        <v>15h</v>
      </c>
      <c r="CD3" s="1542" t="str">
        <f t="shared" si="10"/>
        <v>16h</v>
      </c>
      <c r="CE3" s="1542" t="str">
        <f t="shared" si="10"/>
        <v>17h</v>
      </c>
      <c r="CF3" s="1542" t="str">
        <f t="shared" si="10"/>
        <v>18h</v>
      </c>
      <c r="CG3" s="1542" t="str">
        <f t="shared" si="10"/>
        <v>19h</v>
      </c>
      <c r="CH3" s="1542" t="str">
        <f t="shared" si="10"/>
        <v>20h</v>
      </c>
      <c r="CI3" s="1542" t="str">
        <f t="shared" si="10"/>
        <v>21h</v>
      </c>
      <c r="CJ3" s="1542" t="str">
        <f t="shared" si="10"/>
        <v>22h</v>
      </c>
      <c r="CK3" s="1542" t="str">
        <f t="shared" si="10"/>
        <v>23h</v>
      </c>
      <c r="CL3" s="1542" t="str">
        <f t="shared" si="10"/>
        <v>24h</v>
      </c>
      <c r="CM3" s="1542" t="str">
        <f t="shared" si="10"/>
        <v>25h</v>
      </c>
      <c r="CN3" s="1542" t="str">
        <f t="shared" si="10"/>
        <v>26h</v>
      </c>
      <c r="CO3" s="1542" t="str">
        <f t="shared" si="10"/>
        <v>27h</v>
      </c>
      <c r="CP3" s="1542" t="str">
        <f t="shared" si="10"/>
        <v>28h</v>
      </c>
      <c r="CQ3" s="1542" t="str">
        <f t="shared" si="10"/>
        <v>29h</v>
      </c>
      <c r="CR3" s="1542" t="str">
        <f t="shared" si="10"/>
        <v>30h</v>
      </c>
      <c r="CS3" s="1542" t="str">
        <f t="shared" si="10"/>
        <v>31h</v>
      </c>
      <c r="CT3" s="1542" t="str">
        <f t="shared" si="10"/>
        <v>32h</v>
      </c>
      <c r="CV3" s="3207"/>
      <c r="CW3" s="2354"/>
      <c r="CX3" s="1542" t="str">
        <f>CX2&amp;"n"</f>
        <v>33n</v>
      </c>
      <c r="CY3" s="1542" t="str">
        <f>CY2&amp;"n"</f>
        <v>34n</v>
      </c>
      <c r="CZ3" s="1542" t="str">
        <f t="shared" ref="CZ3:DF3" si="11">CZ2&amp;"n"</f>
        <v>35n</v>
      </c>
      <c r="DA3" s="1542" t="str">
        <f t="shared" si="11"/>
        <v>36n</v>
      </c>
      <c r="DB3" s="1542" t="str">
        <f t="shared" si="11"/>
        <v>37n</v>
      </c>
      <c r="DC3" s="1542" t="str">
        <f t="shared" si="11"/>
        <v>38n</v>
      </c>
      <c r="DD3" s="1542" t="str">
        <f t="shared" si="11"/>
        <v>39n</v>
      </c>
      <c r="DE3" s="1542" t="str">
        <f t="shared" si="11"/>
        <v>40n</v>
      </c>
      <c r="DF3" s="1542" t="str">
        <f t="shared" si="11"/>
        <v>41n</v>
      </c>
      <c r="DG3" s="1542" t="str">
        <f t="shared" ref="DG3:DS3" si="12">DG2&amp;"n"</f>
        <v>42n</v>
      </c>
      <c r="DH3" s="1542" t="str">
        <f t="shared" si="12"/>
        <v>43n</v>
      </c>
      <c r="DI3" s="1542" t="str">
        <f t="shared" si="12"/>
        <v>44n</v>
      </c>
      <c r="DJ3" s="1542" t="str">
        <f t="shared" si="12"/>
        <v>45n</v>
      </c>
      <c r="DK3" s="1542" t="str">
        <f t="shared" si="12"/>
        <v>46n</v>
      </c>
      <c r="DL3" s="1542" t="str">
        <f t="shared" si="12"/>
        <v>47n</v>
      </c>
      <c r="DM3" s="1542" t="str">
        <f t="shared" si="12"/>
        <v>48n</v>
      </c>
      <c r="DN3" s="1542" t="str">
        <f t="shared" si="12"/>
        <v>49n</v>
      </c>
      <c r="DO3" s="1542" t="str">
        <f t="shared" si="12"/>
        <v>50n</v>
      </c>
      <c r="DP3" s="1542" t="str">
        <f t="shared" si="12"/>
        <v>51n</v>
      </c>
      <c r="DQ3" s="1542"/>
      <c r="DR3" s="1542" t="str">
        <f t="shared" si="12"/>
        <v>21n</v>
      </c>
      <c r="DS3" s="1542" t="str">
        <f t="shared" si="12"/>
        <v>22n</v>
      </c>
      <c r="DT3" s="2985"/>
      <c r="DU3" s="1542" t="str">
        <f>DU2&amp;"m"</f>
        <v>33m</v>
      </c>
      <c r="DV3" s="1542" t="str">
        <f>DV2&amp;"m"</f>
        <v>34m</v>
      </c>
      <c r="DW3" s="1542" t="str">
        <f t="shared" ref="DW3:EP3" si="13">DW2&amp;"m"</f>
        <v>35m</v>
      </c>
      <c r="DX3" s="1542" t="str">
        <f>DX2&amp;"m"</f>
        <v>36m</v>
      </c>
      <c r="DY3" s="1542" t="str">
        <f>DY2&amp;"m"</f>
        <v>37m</v>
      </c>
      <c r="DZ3" s="1542" t="str">
        <f>DZ2&amp;"m"</f>
        <v>38m</v>
      </c>
      <c r="EA3" s="1542" t="str">
        <f t="shared" si="13"/>
        <v>39m</v>
      </c>
      <c r="EB3" s="1542" t="str">
        <f t="shared" si="13"/>
        <v>40m</v>
      </c>
      <c r="EC3" s="1542" t="str">
        <f t="shared" si="13"/>
        <v>41m</v>
      </c>
      <c r="ED3" s="1542" t="str">
        <f t="shared" si="13"/>
        <v>42m</v>
      </c>
      <c r="EE3" s="1542" t="str">
        <f t="shared" si="13"/>
        <v>43m</v>
      </c>
      <c r="EF3" s="1542" t="str">
        <f t="shared" si="13"/>
        <v>44m</v>
      </c>
      <c r="EG3" s="1542" t="str">
        <f t="shared" si="13"/>
        <v>45m</v>
      </c>
      <c r="EH3" s="1542" t="str">
        <f t="shared" si="13"/>
        <v>46m</v>
      </c>
      <c r="EI3" s="1542" t="str">
        <f t="shared" si="13"/>
        <v>47m</v>
      </c>
      <c r="EJ3" s="1542" t="str">
        <f t="shared" si="13"/>
        <v>48m</v>
      </c>
      <c r="EK3" s="1542" t="str">
        <f t="shared" si="13"/>
        <v>49m</v>
      </c>
      <c r="EL3" s="1542" t="str">
        <f t="shared" si="13"/>
        <v>50m</v>
      </c>
      <c r="EM3" s="1542" t="str">
        <f t="shared" si="13"/>
        <v>51m</v>
      </c>
      <c r="EN3" s="1542"/>
      <c r="EO3" s="1542" t="str">
        <f>EO2&amp;"m"</f>
        <v>53m</v>
      </c>
      <c r="EP3" s="1542" t="str">
        <f t="shared" si="13"/>
        <v>54m</v>
      </c>
      <c r="EQ3" s="2985"/>
      <c r="ER3" s="1542" t="str">
        <f>ER2&amp;"h"</f>
        <v>33h</v>
      </c>
      <c r="ES3" s="1542" t="str">
        <f t="shared" ref="ES3:FM3" si="14">ES2&amp;"h"</f>
        <v>34h</v>
      </c>
      <c r="ET3" s="1542" t="str">
        <f t="shared" si="14"/>
        <v>35h</v>
      </c>
      <c r="EU3" s="1542" t="str">
        <f t="shared" si="14"/>
        <v>36h</v>
      </c>
      <c r="EV3" s="1542" t="str">
        <f t="shared" si="14"/>
        <v>37h</v>
      </c>
      <c r="EW3" s="1542" t="str">
        <f t="shared" si="14"/>
        <v>38h</v>
      </c>
      <c r="EX3" s="1542" t="str">
        <f t="shared" si="14"/>
        <v>39h</v>
      </c>
      <c r="EY3" s="1542" t="str">
        <f t="shared" si="14"/>
        <v>40h</v>
      </c>
      <c r="EZ3" s="1542" t="str">
        <f t="shared" si="14"/>
        <v>41h</v>
      </c>
      <c r="FA3" s="1542" t="str">
        <f t="shared" si="14"/>
        <v>42h</v>
      </c>
      <c r="FB3" s="1542" t="str">
        <f t="shared" si="14"/>
        <v>43h</v>
      </c>
      <c r="FC3" s="1542" t="str">
        <f t="shared" si="14"/>
        <v>44h</v>
      </c>
      <c r="FD3" s="1542" t="str">
        <f t="shared" si="14"/>
        <v>45h</v>
      </c>
      <c r="FE3" s="1542" t="str">
        <f t="shared" si="14"/>
        <v>46h</v>
      </c>
      <c r="FF3" s="1542" t="str">
        <f t="shared" si="14"/>
        <v>47h</v>
      </c>
      <c r="FG3" s="1542" t="str">
        <f t="shared" si="14"/>
        <v>48h</v>
      </c>
      <c r="FH3" s="1542" t="str">
        <f t="shared" si="14"/>
        <v>49h</v>
      </c>
      <c r="FI3" s="1542" t="str">
        <f t="shared" si="14"/>
        <v>50h</v>
      </c>
      <c r="FJ3" s="1542" t="str">
        <f t="shared" si="14"/>
        <v>51h</v>
      </c>
      <c r="FK3" s="1542" t="str">
        <f t="shared" si="14"/>
        <v>52h</v>
      </c>
      <c r="FL3" s="1542" t="str">
        <f t="shared" si="14"/>
        <v>53h</v>
      </c>
      <c r="FM3" s="1542" t="str">
        <f t="shared" si="14"/>
        <v>54h</v>
      </c>
    </row>
    <row r="4" spans="1:169" s="1538" customFormat="1" ht="30.4" customHeight="1">
      <c r="A4" s="1440">
        <f>ROWS($A$1:A4)</f>
        <v>4</v>
      </c>
      <c r="B4" s="1541" t="s">
        <v>1151</v>
      </c>
      <c r="C4" s="1540"/>
      <c r="D4" s="1539" t="str">
        <f>'WW1'!$K$2</f>
        <v>Winterweizen (Futter-)</v>
      </c>
      <c r="E4" s="1539" t="str">
        <f ca="1">INDIRECT("'"&amp;E65&amp;"'!$K$2")</f>
        <v>Winterweizen (Brot-)</v>
      </c>
      <c r="F4" s="1539" t="str">
        <f t="shared" ref="F4:BQ4" ca="1" si="15">INDIRECT("'"&amp;F65&amp;"'!$K$2")</f>
        <v>Winterweizen (Aufmisch-; A-Sort.)</v>
      </c>
      <c r="G4" s="1539" t="str">
        <f t="shared" ca="1" si="15"/>
        <v>Winterweizen (Qualität-; E-Sorte)</v>
      </c>
      <c r="H4" s="1539" t="str">
        <f t="shared" ca="1" si="15"/>
        <v>Winterroggen</v>
      </c>
      <c r="I4" s="1539" t="str">
        <f t="shared" ca="1" si="15"/>
        <v>Triticale</v>
      </c>
      <c r="J4" s="1539" t="str">
        <f t="shared" ca="1" si="15"/>
        <v>Wintergerste</v>
      </c>
      <c r="K4" s="1539" t="str">
        <f t="shared" ca="1" si="15"/>
        <v>Dinkel</v>
      </c>
      <c r="L4" s="1539" t="str">
        <f t="shared" ca="1" si="15"/>
        <v xml:space="preserve">Sommerweizen </v>
      </c>
      <c r="M4" s="1539" t="str">
        <f t="shared" ca="1" si="15"/>
        <v xml:space="preserve">Sommerfuttergerste </v>
      </c>
      <c r="N4" s="1539" t="str">
        <f t="shared" ca="1" si="15"/>
        <v>Braugerste</v>
      </c>
      <c r="O4" s="1539" t="str">
        <f t="shared" ca="1" si="15"/>
        <v xml:space="preserve">Hafer </v>
      </c>
      <c r="P4" s="1539" t="str">
        <f t="shared" ca="1" si="15"/>
        <v>Durum</v>
      </c>
      <c r="Q4" s="1539" t="str">
        <f t="shared" ca="1" si="15"/>
        <v xml:space="preserve">Körnermais </v>
      </c>
      <c r="R4" s="1539" t="str">
        <f t="shared" ca="1" si="15"/>
        <v>Körnerhirse (Lebens-/Futtermittel)</v>
      </c>
      <c r="S4" s="1539" t="str">
        <f t="shared" ca="1" si="15"/>
        <v>Winterraps</v>
      </c>
      <c r="T4" s="1539" t="str">
        <f t="shared" ca="1" si="15"/>
        <v xml:space="preserve">Sommerraps </v>
      </c>
      <c r="U4" s="1539" t="str">
        <f ca="1">INDIRECT("'"&amp;U65&amp;"'!$K$2")</f>
        <v xml:space="preserve">Sonnenblumen </v>
      </c>
      <c r="V4" s="1539" t="str">
        <f t="shared" ca="1" si="15"/>
        <v xml:space="preserve">Sojabohne </v>
      </c>
      <c r="W4" s="1539" t="str">
        <f t="shared" ca="1" si="15"/>
        <v xml:space="preserve">Öllein (Industrie) </v>
      </c>
      <c r="X4" s="1539" t="str">
        <f t="shared" ca="1" si="15"/>
        <v xml:space="preserve">Futtererbsen </v>
      </c>
      <c r="Y4" s="1539" t="str">
        <f t="shared" ca="1" si="15"/>
        <v xml:space="preserve">Ackerbohnen </v>
      </c>
      <c r="Z4" s="1539" t="str">
        <f t="shared" ca="1" si="15"/>
        <v xml:space="preserve">Blaue Lupine </v>
      </c>
      <c r="AA4" s="1539" t="str">
        <f t="shared" ca="1" si="15"/>
        <v xml:space="preserve">Zuckerrüben </v>
      </c>
      <c r="AB4" s="1539" t="str">
        <f t="shared" ca="1" si="15"/>
        <v>Frühkartoffeln</v>
      </c>
      <c r="AC4" s="1539" t="str">
        <f t="shared" ca="1" si="15"/>
        <v>Frühkartoffeln, Folie, beregnet</v>
      </c>
      <c r="AD4" s="1539" t="str">
        <f t="shared" ca="1" si="15"/>
        <v>Speisekartoffeln spät</v>
      </c>
      <c r="AE4" s="1539" t="str">
        <f t="shared" ca="1" si="15"/>
        <v>Speisekartoffeln spät, beregnet</v>
      </c>
      <c r="AF4" s="1539" t="str">
        <f t="shared" ca="1" si="15"/>
        <v>Kultur A</v>
      </c>
      <c r="AG4" s="1539" t="str">
        <f ca="1">INDIRECT("'"&amp;AG65&amp;"'!$K$2")</f>
        <v>FAKT - Brachebegrünung</v>
      </c>
      <c r="AH4" s="1539" t="str">
        <f t="shared" ca="1" si="15"/>
        <v>Begrünung</v>
      </c>
      <c r="AI4" s="4046"/>
      <c r="AJ4" s="1539" t="str">
        <f t="shared" ca="1" si="15"/>
        <v>Winterweizen (Futter-)</v>
      </c>
      <c r="AK4" s="1539" t="str">
        <f t="shared" ca="1" si="15"/>
        <v>Winterweizen (Brot-)</v>
      </c>
      <c r="AL4" s="1539" t="str">
        <f t="shared" ca="1" si="15"/>
        <v>Winterweizen (Aufmisch-; A-Sort.)</v>
      </c>
      <c r="AM4" s="1539" t="str">
        <f t="shared" ca="1" si="15"/>
        <v>Winterweizen (Qualität-; E-Sorte)</v>
      </c>
      <c r="AN4" s="1539" t="str">
        <f t="shared" ca="1" si="15"/>
        <v>Winterroggen</v>
      </c>
      <c r="AO4" s="1539" t="str">
        <f t="shared" ca="1" si="15"/>
        <v>Triticale</v>
      </c>
      <c r="AP4" s="1539" t="str">
        <f t="shared" ca="1" si="15"/>
        <v>Wintergerste</v>
      </c>
      <c r="AQ4" s="1539" t="str">
        <f t="shared" ca="1" si="15"/>
        <v>Dinkel</v>
      </c>
      <c r="AR4" s="1539" t="str">
        <f t="shared" ca="1" si="15"/>
        <v xml:space="preserve">Sommerweizen </v>
      </c>
      <c r="AS4" s="1539" t="str">
        <f t="shared" ca="1" si="15"/>
        <v xml:space="preserve">Sommerfuttergerste </v>
      </c>
      <c r="AT4" s="1539" t="str">
        <f t="shared" ca="1" si="15"/>
        <v>Braugerste</v>
      </c>
      <c r="AU4" s="1539" t="str">
        <f t="shared" ca="1" si="15"/>
        <v xml:space="preserve">Hafer </v>
      </c>
      <c r="AV4" s="1539" t="str">
        <f t="shared" ca="1" si="15"/>
        <v>Durum</v>
      </c>
      <c r="AW4" s="1539" t="str">
        <f t="shared" ca="1" si="15"/>
        <v xml:space="preserve">Körnermais </v>
      </c>
      <c r="AX4" s="1539" t="str">
        <f t="shared" ca="1" si="15"/>
        <v>Körnerhirse (Lebens-/Futtermittel)</v>
      </c>
      <c r="AY4" s="1539" t="str">
        <f t="shared" ca="1" si="15"/>
        <v>Winterraps</v>
      </c>
      <c r="AZ4" s="1539" t="str">
        <f t="shared" ca="1" si="15"/>
        <v xml:space="preserve">Sommerraps </v>
      </c>
      <c r="BA4" s="1539" t="str">
        <f t="shared" ca="1" si="15"/>
        <v xml:space="preserve">Sonnenblumen </v>
      </c>
      <c r="BB4" s="1539" t="str">
        <f t="shared" ca="1" si="15"/>
        <v xml:space="preserve">Sojabohne </v>
      </c>
      <c r="BC4" s="1539" t="str">
        <f t="shared" ca="1" si="15"/>
        <v xml:space="preserve">Öllein (Industrie) </v>
      </c>
      <c r="BD4" s="1539" t="str">
        <f t="shared" ca="1" si="15"/>
        <v xml:space="preserve">Futtererbsen </v>
      </c>
      <c r="BE4" s="1539" t="str">
        <f t="shared" ca="1" si="15"/>
        <v xml:space="preserve">Ackerbohnen </v>
      </c>
      <c r="BF4" s="1539" t="str">
        <f t="shared" ca="1" si="15"/>
        <v xml:space="preserve">Blaue Lupine </v>
      </c>
      <c r="BG4" s="1539" t="str">
        <f t="shared" ca="1" si="15"/>
        <v xml:space="preserve">Zuckerrüben </v>
      </c>
      <c r="BH4" s="1539" t="str">
        <f t="shared" ca="1" si="15"/>
        <v>Frühkartoffeln</v>
      </c>
      <c r="BI4" s="1539" t="str">
        <f t="shared" ca="1" si="15"/>
        <v>Frühkartoffeln, Folie, beregnet</v>
      </c>
      <c r="BJ4" s="1539" t="str">
        <f t="shared" ca="1" si="15"/>
        <v>Speisekartoffeln spät</v>
      </c>
      <c r="BK4" s="1539" t="str">
        <f t="shared" ca="1" si="15"/>
        <v>Speisekartoffeln spät, beregnet</v>
      </c>
      <c r="BL4" s="1539" t="str">
        <f t="shared" ca="1" si="15"/>
        <v>Kultur A</v>
      </c>
      <c r="BM4" s="1539" t="str">
        <f ca="1">INDIRECT("'"&amp;BM65&amp;"'!$K$2")</f>
        <v>FAKT - Brachebegrünung</v>
      </c>
      <c r="BN4" s="1539" t="str">
        <f t="shared" ca="1" si="15"/>
        <v>Begrünung</v>
      </c>
      <c r="BO4" s="4042"/>
      <c r="BP4" s="1539" t="str">
        <f t="shared" ca="1" si="15"/>
        <v>Winterweizen (Futter-)</v>
      </c>
      <c r="BQ4" s="1539" t="str">
        <f t="shared" ca="1" si="15"/>
        <v>Winterweizen (Brot-)</v>
      </c>
      <c r="BR4" s="1539" t="str">
        <f t="shared" ref="BR4:CT4" ca="1" si="16">INDIRECT("'"&amp;BR65&amp;"'!$K$2")</f>
        <v>Winterweizen (Aufmisch-; A-Sort.)</v>
      </c>
      <c r="BS4" s="1539" t="str">
        <f t="shared" ca="1" si="16"/>
        <v>Winterweizen (Qualität-; E-Sorte)</v>
      </c>
      <c r="BT4" s="1539" t="str">
        <f t="shared" ca="1" si="16"/>
        <v>Winterroggen</v>
      </c>
      <c r="BU4" s="1539" t="str">
        <f t="shared" ca="1" si="16"/>
        <v>Triticale</v>
      </c>
      <c r="BV4" s="1539" t="str">
        <f t="shared" ca="1" si="16"/>
        <v>Wintergerste</v>
      </c>
      <c r="BW4" s="1539" t="str">
        <f t="shared" ca="1" si="16"/>
        <v>Dinkel</v>
      </c>
      <c r="BX4" s="1539" t="str">
        <f t="shared" ca="1" si="16"/>
        <v xml:space="preserve">Sommerweizen </v>
      </c>
      <c r="BY4" s="1539" t="str">
        <f t="shared" ca="1" si="16"/>
        <v xml:space="preserve">Sommerfuttergerste </v>
      </c>
      <c r="BZ4" s="1539" t="str">
        <f t="shared" ca="1" si="16"/>
        <v>Braugerste</v>
      </c>
      <c r="CA4" s="1539" t="str">
        <f t="shared" ca="1" si="16"/>
        <v xml:space="preserve">Hafer </v>
      </c>
      <c r="CB4" s="1539" t="str">
        <f t="shared" ca="1" si="16"/>
        <v>Durum</v>
      </c>
      <c r="CC4" s="1539" t="str">
        <f t="shared" ca="1" si="16"/>
        <v xml:space="preserve">Körnermais </v>
      </c>
      <c r="CD4" s="1539" t="str">
        <f t="shared" ca="1" si="16"/>
        <v>Körnerhirse (Lebens-/Futtermittel)</v>
      </c>
      <c r="CE4" s="1539" t="str">
        <f t="shared" ca="1" si="16"/>
        <v>Winterraps</v>
      </c>
      <c r="CF4" s="1539" t="str">
        <f t="shared" ca="1" si="16"/>
        <v xml:space="preserve">Sommerraps </v>
      </c>
      <c r="CG4" s="1539" t="str">
        <f t="shared" ca="1" si="16"/>
        <v xml:space="preserve">Sonnenblumen </v>
      </c>
      <c r="CH4" s="1539" t="str">
        <f t="shared" ca="1" si="16"/>
        <v xml:space="preserve">Sojabohne </v>
      </c>
      <c r="CI4" s="1539" t="str">
        <f t="shared" ca="1" si="16"/>
        <v xml:space="preserve">Öllein (Industrie) </v>
      </c>
      <c r="CJ4" s="1539" t="str">
        <f t="shared" ca="1" si="16"/>
        <v xml:space="preserve">Futtererbsen </v>
      </c>
      <c r="CK4" s="1539" t="str">
        <f t="shared" ca="1" si="16"/>
        <v xml:space="preserve">Ackerbohnen </v>
      </c>
      <c r="CL4" s="1539" t="str">
        <f t="shared" ca="1" si="16"/>
        <v xml:space="preserve">Blaue Lupine </v>
      </c>
      <c r="CM4" s="1539" t="str">
        <f t="shared" ca="1" si="16"/>
        <v xml:space="preserve">Zuckerrüben </v>
      </c>
      <c r="CN4" s="1539" t="str">
        <f t="shared" ca="1" si="16"/>
        <v>Frühkartoffeln</v>
      </c>
      <c r="CO4" s="1539" t="str">
        <f t="shared" ca="1" si="16"/>
        <v>Frühkartoffeln, Folie, beregnet</v>
      </c>
      <c r="CP4" s="1539" t="str">
        <f t="shared" ca="1" si="16"/>
        <v>Speisekartoffeln spät</v>
      </c>
      <c r="CQ4" s="1539" t="str">
        <f t="shared" ca="1" si="16"/>
        <v>Speisekartoffeln spät, beregnet</v>
      </c>
      <c r="CR4" s="1539" t="str">
        <f t="shared" ca="1" si="16"/>
        <v>Kultur A</v>
      </c>
      <c r="CS4" s="1539" t="str">
        <f t="shared" ca="1" si="16"/>
        <v>FAKT - Brachebegrünung</v>
      </c>
      <c r="CT4" s="1539" t="str">
        <f t="shared" ca="1" si="16"/>
        <v>Begrünung</v>
      </c>
      <c r="CV4" s="3208" t="s">
        <v>1151</v>
      </c>
      <c r="CW4" s="1540"/>
      <c r="CX4" s="1539" t="str">
        <f ca="1">INDIRECT(CX65&amp;"!$K$2")</f>
        <v xml:space="preserve">Kleegras einjährig (70:30) </v>
      </c>
      <c r="CY4" s="1539" t="str">
        <f t="shared" ref="CY4:FJ4" ca="1" si="17">INDIRECT(CY65&amp;"!$K$2")</f>
        <v>Kleegras zweijährig (50:50)</v>
      </c>
      <c r="CZ4" s="1539" t="str">
        <f t="shared" ca="1" si="17"/>
        <v>Luzernegras einjährig (70:30)</v>
      </c>
      <c r="DA4" s="1539" t="str">
        <f t="shared" ca="1" si="17"/>
        <v>Luzernegras zweijährig (50:50)</v>
      </c>
      <c r="DB4" s="1539" t="str">
        <f t="shared" ca="1" si="17"/>
        <v>Öko-Winterweizen (Futter)</v>
      </c>
      <c r="DC4" s="1539" t="str">
        <f t="shared" ca="1" si="17"/>
        <v>Öko-Winterweizen (Brot)</v>
      </c>
      <c r="DD4" s="1539" t="str">
        <f t="shared" ca="1" si="17"/>
        <v>Öko-Dinkel</v>
      </c>
      <c r="DE4" s="1539" t="str">
        <f t="shared" ca="1" si="17"/>
        <v>Öko-Dinkel, entspelzt</v>
      </c>
      <c r="DF4" s="1539" t="str">
        <f t="shared" ca="1" si="17"/>
        <v>Öko-Winterroggen (Brot)</v>
      </c>
      <c r="DG4" s="1539" t="str">
        <f t="shared" ca="1" si="17"/>
        <v>Öko-Hafer</v>
      </c>
      <c r="DH4" s="1539" t="str">
        <f t="shared" ca="1" si="17"/>
        <v>Öko-Wintergerste</v>
      </c>
      <c r="DI4" s="1539" t="str">
        <f t="shared" ca="1" si="17"/>
        <v>Öko-Braugerste</v>
      </c>
      <c r="DJ4" s="1539" t="str">
        <f t="shared" ca="1" si="17"/>
        <v xml:space="preserve">Öko-Körnermais </v>
      </c>
      <c r="DK4" s="1539" t="str">
        <f t="shared" ca="1" si="17"/>
        <v xml:space="preserve">Öko-Ackerbohnen </v>
      </c>
      <c r="DL4" s="1539" t="str">
        <f t="shared" ca="1" si="17"/>
        <v>Öko-Futtererbsen</v>
      </c>
      <c r="DM4" s="1539" t="str">
        <f t="shared" ca="1" si="17"/>
        <v>Öko-Sojabohnen</v>
      </c>
      <c r="DN4" s="1539" t="str">
        <f t="shared" ca="1" si="17"/>
        <v>Öko-Sonnenblumen</v>
      </c>
      <c r="DO4" s="1539" t="str">
        <f t="shared" ca="1" si="17"/>
        <v>Öko-Winterraps (Ölproduktion)</v>
      </c>
      <c r="DP4" s="1539" t="str">
        <f t="shared" ca="1" si="17"/>
        <v>Öko-Speisekartoffeln spät</v>
      </c>
      <c r="DQ4" s="1539"/>
      <c r="DR4" s="1539" t="str">
        <f t="shared" ca="1" si="17"/>
        <v>FAKT-Begrünung</v>
      </c>
      <c r="DS4" s="1539" t="str">
        <f t="shared" ca="1" si="17"/>
        <v xml:space="preserve">FAKT-Blühmischung </v>
      </c>
      <c r="DT4" s="1539"/>
      <c r="DU4" s="1539" t="str">
        <f t="shared" ca="1" si="17"/>
        <v xml:space="preserve">Kleegras einjährig (70:30) </v>
      </c>
      <c r="DV4" s="1539" t="str">
        <f t="shared" ca="1" si="17"/>
        <v>Kleegras zweijährig (50:50)</v>
      </c>
      <c r="DW4" s="1539" t="str">
        <f t="shared" ca="1" si="17"/>
        <v>Luzernegras einjährig (70:30)</v>
      </c>
      <c r="DX4" s="1539" t="str">
        <f t="shared" ca="1" si="17"/>
        <v>Luzernegras zweijährig (50:50)</v>
      </c>
      <c r="DY4" s="1539" t="str">
        <f t="shared" ca="1" si="17"/>
        <v>Öko-Winterweizen (Futter)</v>
      </c>
      <c r="DZ4" s="1539" t="str">
        <f t="shared" ca="1" si="17"/>
        <v>Öko-Winterweizen (Brot)</v>
      </c>
      <c r="EA4" s="1539" t="str">
        <f t="shared" ca="1" si="17"/>
        <v>Öko-Dinkel</v>
      </c>
      <c r="EB4" s="1539" t="str">
        <f t="shared" ca="1" si="17"/>
        <v>Öko-Dinkel, entspelzt</v>
      </c>
      <c r="EC4" s="1539" t="str">
        <f t="shared" ca="1" si="17"/>
        <v>Öko-Winterroggen (Brot)</v>
      </c>
      <c r="ED4" s="1539" t="str">
        <f t="shared" ca="1" si="17"/>
        <v>Öko-Hafer</v>
      </c>
      <c r="EE4" s="1539" t="str">
        <f t="shared" ca="1" si="17"/>
        <v>Öko-Wintergerste</v>
      </c>
      <c r="EF4" s="1539" t="str">
        <f t="shared" ca="1" si="17"/>
        <v>Öko-Braugerste</v>
      </c>
      <c r="EG4" s="1539" t="str">
        <f t="shared" ca="1" si="17"/>
        <v xml:space="preserve">Öko-Körnermais </v>
      </c>
      <c r="EH4" s="1539" t="str">
        <f t="shared" ca="1" si="17"/>
        <v xml:space="preserve">Öko-Ackerbohnen </v>
      </c>
      <c r="EI4" s="1539" t="str">
        <f t="shared" ca="1" si="17"/>
        <v>Öko-Futtererbsen</v>
      </c>
      <c r="EJ4" s="1539" t="str">
        <f t="shared" ca="1" si="17"/>
        <v>Öko-Sojabohnen</v>
      </c>
      <c r="EK4" s="1539" t="str">
        <f t="shared" ca="1" si="17"/>
        <v>Öko-Sonnenblumen</v>
      </c>
      <c r="EL4" s="1539" t="str">
        <f t="shared" ca="1" si="17"/>
        <v>Öko-Winterraps (Ölproduktion)</v>
      </c>
      <c r="EM4" s="1539" t="str">
        <f t="shared" ca="1" si="17"/>
        <v>Öko-Speisekartoffeln spät</v>
      </c>
      <c r="EN4" s="1539"/>
      <c r="EO4" s="1539" t="str">
        <f t="shared" ca="1" si="17"/>
        <v>FAKT-Begrünung</v>
      </c>
      <c r="EP4" s="1539" t="str">
        <f t="shared" ca="1" si="17"/>
        <v xml:space="preserve">FAKT-Blühmischung </v>
      </c>
      <c r="EQ4" s="1539"/>
      <c r="ER4" s="1539" t="str">
        <f t="shared" ca="1" si="17"/>
        <v xml:space="preserve">Kleegras einjährig (70:30) </v>
      </c>
      <c r="ES4" s="1539" t="str">
        <f t="shared" ca="1" si="17"/>
        <v>Kleegras zweijährig (50:50)</v>
      </c>
      <c r="ET4" s="1539" t="str">
        <f t="shared" ca="1" si="17"/>
        <v>Luzernegras einjährig (70:30)</v>
      </c>
      <c r="EU4" s="1539" t="str">
        <f t="shared" ca="1" si="17"/>
        <v>Luzernegras zweijährig (50:50)</v>
      </c>
      <c r="EV4" s="1539" t="str">
        <f t="shared" ca="1" si="17"/>
        <v>Öko-Winterweizen (Futter)</v>
      </c>
      <c r="EW4" s="1539" t="str">
        <f t="shared" ca="1" si="17"/>
        <v>Öko-Winterweizen (Brot)</v>
      </c>
      <c r="EX4" s="1539" t="str">
        <f t="shared" ca="1" si="17"/>
        <v>Öko-Dinkel</v>
      </c>
      <c r="EY4" s="1539" t="str">
        <f t="shared" ca="1" si="17"/>
        <v>Öko-Dinkel, entspelzt</v>
      </c>
      <c r="EZ4" s="1539" t="str">
        <f t="shared" ca="1" si="17"/>
        <v>Öko-Winterroggen (Brot)</v>
      </c>
      <c r="FA4" s="1539" t="str">
        <f t="shared" ca="1" si="17"/>
        <v>Öko-Hafer</v>
      </c>
      <c r="FB4" s="1539" t="str">
        <f t="shared" ca="1" si="17"/>
        <v>Öko-Wintergerste</v>
      </c>
      <c r="FC4" s="1539" t="str">
        <f t="shared" ca="1" si="17"/>
        <v>Öko-Braugerste</v>
      </c>
      <c r="FD4" s="1539" t="str">
        <f t="shared" ca="1" si="17"/>
        <v xml:space="preserve">Öko-Körnermais </v>
      </c>
      <c r="FE4" s="1539" t="str">
        <f t="shared" ca="1" si="17"/>
        <v xml:space="preserve">Öko-Ackerbohnen </v>
      </c>
      <c r="FF4" s="1539" t="str">
        <f t="shared" ca="1" si="17"/>
        <v>Öko-Futtererbsen</v>
      </c>
      <c r="FG4" s="1539" t="str">
        <f t="shared" ca="1" si="17"/>
        <v>Öko-Sojabohnen</v>
      </c>
      <c r="FH4" s="1539" t="str">
        <f t="shared" ca="1" si="17"/>
        <v>Öko-Sonnenblumen</v>
      </c>
      <c r="FI4" s="1539" t="str">
        <f t="shared" ca="1" si="17"/>
        <v>Öko-Winterraps (Ölproduktion)</v>
      </c>
      <c r="FJ4" s="1539" t="str">
        <f t="shared" ca="1" si="17"/>
        <v>Öko-Speisekartoffeln spät</v>
      </c>
      <c r="FK4" s="1539"/>
      <c r="FL4" s="1539" t="str">
        <f ca="1">INDIRECT(FL65&amp;"!$K$2")</f>
        <v>FAKT-Begrünung</v>
      </c>
      <c r="FM4" s="1539" t="str">
        <f ca="1">INDIRECT(FM65&amp;"!$K$2")</f>
        <v xml:space="preserve">FAKT-Blühmischung </v>
      </c>
    </row>
    <row r="5" spans="1:169" s="1535" customFormat="1" ht="18" customHeight="1">
      <c r="A5" s="1440">
        <f>ROWS($A$1:A5)</f>
        <v>5</v>
      </c>
      <c r="B5" s="1537" t="s">
        <v>1096</v>
      </c>
      <c r="C5" s="1528" t="s">
        <v>172</v>
      </c>
      <c r="D5" s="3616">
        <f>'WW1'!$J$6</f>
        <v>65</v>
      </c>
      <c r="E5" s="1498">
        <f>'WW2'!$J$6</f>
        <v>60</v>
      </c>
      <c r="F5" s="1498">
        <f>'WW3'!$J$6</f>
        <v>55</v>
      </c>
      <c r="G5" s="1498">
        <f>'WW4'!$J$6</f>
        <v>55</v>
      </c>
      <c r="H5" s="1498">
        <f>WRo!$J$6</f>
        <v>55</v>
      </c>
      <c r="I5" s="1498">
        <f>Tr!$J$6</f>
        <v>60</v>
      </c>
      <c r="J5" s="1498">
        <f>WG!$J$6</f>
        <v>55</v>
      </c>
      <c r="K5" s="1498">
        <f>Di!$J$6</f>
        <v>50</v>
      </c>
      <c r="L5" s="1498">
        <f>SW!$J$6</f>
        <v>55</v>
      </c>
      <c r="M5" s="1498">
        <f>'SG-Fu'!$J$6</f>
        <v>50</v>
      </c>
      <c r="N5" s="1498">
        <f>BG!$J$6</f>
        <v>45</v>
      </c>
      <c r="O5" s="1498">
        <f>Ha!$J$6</f>
        <v>45</v>
      </c>
      <c r="P5" s="1498">
        <f>Du!$J$6</f>
        <v>40</v>
      </c>
      <c r="Q5" s="1498">
        <f>KöM!$J$6</f>
        <v>80</v>
      </c>
      <c r="R5" s="1498"/>
      <c r="S5" s="1498">
        <f>WR!$J$6</f>
        <v>30</v>
      </c>
      <c r="T5" s="1498">
        <f>SR!$J$6</f>
        <v>20</v>
      </c>
      <c r="U5" s="1498">
        <f>SoBl!$J$6</f>
        <v>25</v>
      </c>
      <c r="V5" s="1498">
        <f>Soja!$J$6</f>
        <v>20</v>
      </c>
      <c r="W5" s="1498"/>
      <c r="X5" s="1498">
        <f>FE!$J$6</f>
        <v>20</v>
      </c>
      <c r="Y5" s="1498">
        <f>AB!$J$6</f>
        <v>20</v>
      </c>
      <c r="Z5" s="1498">
        <f>Lu!$J$6</f>
        <v>10</v>
      </c>
      <c r="AA5" s="1498">
        <f>ZR!$J$6</f>
        <v>650</v>
      </c>
      <c r="AB5" s="1498">
        <f>FrühKa!$J$6</f>
        <v>250</v>
      </c>
      <c r="AC5" s="1498">
        <f>FrühKaFolieBer!$J$6</f>
        <v>300</v>
      </c>
      <c r="AD5" s="1498">
        <f>SpKa!$J$6</f>
        <v>400</v>
      </c>
      <c r="AE5" s="1498">
        <f>SpKaBer!$J$6</f>
        <v>450</v>
      </c>
      <c r="AF5" s="1498">
        <f>'Kultur A'!$J$6</f>
        <v>0</v>
      </c>
      <c r="AG5" s="1498">
        <f>'FAKT-Brachebegrünung'!$J$6</f>
        <v>1</v>
      </c>
      <c r="AH5" s="1498">
        <f>Begr!$J$6</f>
        <v>1</v>
      </c>
      <c r="AI5" s="1500"/>
      <c r="AJ5" s="1499">
        <f>'WW1'!$M$6</f>
        <v>80</v>
      </c>
      <c r="AK5" s="1498">
        <f>'WW2'!$M$6</f>
        <v>75</v>
      </c>
      <c r="AL5" s="1498">
        <f>'WW3'!$M$6</f>
        <v>70</v>
      </c>
      <c r="AM5" s="1498">
        <f>'WW4'!$M$6</f>
        <v>65</v>
      </c>
      <c r="AN5" s="1498">
        <f>WRo!$M$6</f>
        <v>65</v>
      </c>
      <c r="AO5" s="1498">
        <f>Tr!$M$6</f>
        <v>75</v>
      </c>
      <c r="AP5" s="1498">
        <f>WG!$M$6</f>
        <v>70</v>
      </c>
      <c r="AQ5" s="1498">
        <f>Di!$M$6</f>
        <v>60</v>
      </c>
      <c r="AR5" s="1498">
        <f>SW!$M$6</f>
        <v>65</v>
      </c>
      <c r="AS5" s="1498">
        <f>'SG-Fu'!$M$6</f>
        <v>60</v>
      </c>
      <c r="AT5" s="1498">
        <f>BG!$M$6</f>
        <v>55</v>
      </c>
      <c r="AU5" s="1498">
        <f>Ha!$M$6</f>
        <v>55</v>
      </c>
      <c r="AV5" s="1498">
        <f>Du!$M$6</f>
        <v>55</v>
      </c>
      <c r="AW5" s="1498">
        <f>KöM!$M$6</f>
        <v>100</v>
      </c>
      <c r="AX5" s="1498"/>
      <c r="AY5" s="1498">
        <f>WR!$M$6</f>
        <v>40</v>
      </c>
      <c r="AZ5" s="1498">
        <f>SR!$M$6</f>
        <v>25</v>
      </c>
      <c r="BA5" s="1498">
        <f>SoBl!$M$6</f>
        <v>30</v>
      </c>
      <c r="BB5" s="1498">
        <f>Soja!$M$6</f>
        <v>27</v>
      </c>
      <c r="BC5" s="1498"/>
      <c r="BD5" s="1498">
        <f>FE!$M$6</f>
        <v>35</v>
      </c>
      <c r="BE5" s="1498">
        <f>AB!$M$6</f>
        <v>35</v>
      </c>
      <c r="BF5" s="1498">
        <f>Lu!$M$6</f>
        <v>25</v>
      </c>
      <c r="BG5" s="1498">
        <f>ZR!$M$6</f>
        <v>750</v>
      </c>
      <c r="BH5" s="1498">
        <f>FrühKa!$M$6</f>
        <v>300</v>
      </c>
      <c r="BI5" s="1498">
        <f>FrühKaFolieBer!$M$6</f>
        <v>350</v>
      </c>
      <c r="BJ5" s="1498">
        <f>SpKa!$M$6</f>
        <v>450</v>
      </c>
      <c r="BK5" s="1498">
        <f>SpKaBer!$M$6</f>
        <v>500</v>
      </c>
      <c r="BL5" s="1498">
        <v>0</v>
      </c>
      <c r="BM5" s="1498">
        <f>'FAKT-Brachebegrünung'!$M$6</f>
        <v>1</v>
      </c>
      <c r="BN5" s="1498">
        <f>Begr!$M$6</f>
        <v>1</v>
      </c>
      <c r="BO5" s="1489"/>
      <c r="BP5" s="1499">
        <f>'WW1'!$P$6</f>
        <v>95</v>
      </c>
      <c r="BQ5" s="1498">
        <f>'WW2'!$P$6</f>
        <v>90</v>
      </c>
      <c r="BR5" s="1498">
        <f>'WW3'!$P$6</f>
        <v>85</v>
      </c>
      <c r="BS5" s="1498">
        <f>'WW4'!$P$6</f>
        <v>75</v>
      </c>
      <c r="BT5" s="1498">
        <f>WRo!$P$6</f>
        <v>75</v>
      </c>
      <c r="BU5" s="1498">
        <f>Tr!$P$6</f>
        <v>90</v>
      </c>
      <c r="BV5" s="1498">
        <f>WG!$P$6</f>
        <v>85</v>
      </c>
      <c r="BW5" s="1498">
        <f>Di!$P$6</f>
        <v>70</v>
      </c>
      <c r="BX5" s="1498">
        <f>SW!$P$6</f>
        <v>75</v>
      </c>
      <c r="BY5" s="1498">
        <f>'SG-Fu'!$P$6</f>
        <v>70</v>
      </c>
      <c r="BZ5" s="1498">
        <f>BG!$P$6</f>
        <v>65</v>
      </c>
      <c r="CA5" s="1498">
        <f>Ha!$P$6</f>
        <v>65</v>
      </c>
      <c r="CB5" s="1498">
        <f>Du!$P$6</f>
        <v>60</v>
      </c>
      <c r="CC5" s="1498">
        <f>KöM!$P$6</f>
        <v>120</v>
      </c>
      <c r="CD5" s="1498"/>
      <c r="CE5" s="1498">
        <f>WR!$P$6</f>
        <v>50</v>
      </c>
      <c r="CF5" s="1498">
        <f>SR!$P$6</f>
        <v>30</v>
      </c>
      <c r="CG5" s="1498">
        <f>SoBl!$P$6</f>
        <v>35</v>
      </c>
      <c r="CH5" s="1498">
        <f>Soja!$P$6</f>
        <v>34</v>
      </c>
      <c r="CI5" s="1498"/>
      <c r="CJ5" s="1498">
        <f>FE!$P$6</f>
        <v>50</v>
      </c>
      <c r="CK5" s="1498">
        <f>AB!$P$6</f>
        <v>50</v>
      </c>
      <c r="CL5" s="1498">
        <f>Lu!$P$6</f>
        <v>40</v>
      </c>
      <c r="CM5" s="1498">
        <f>ZR!$P$6</f>
        <v>850</v>
      </c>
      <c r="CN5" s="1498">
        <f>FrühKa!$P$6</f>
        <v>350</v>
      </c>
      <c r="CO5" s="1498">
        <f>FrühKaFolieBer!$P$6</f>
        <v>400</v>
      </c>
      <c r="CP5" s="1498">
        <f>SpKa!$P$6</f>
        <v>500</v>
      </c>
      <c r="CQ5" s="1498">
        <f>SpKaBer!$P$6</f>
        <v>550</v>
      </c>
      <c r="CR5" s="1498">
        <f>'Kultur A'!$P$6</f>
        <v>0</v>
      </c>
      <c r="CS5" s="1498">
        <f>'FAKT-Brachebegrünung'!$P$6</f>
        <v>1</v>
      </c>
      <c r="CT5" s="1498">
        <f>Begr!$P$6</f>
        <v>1</v>
      </c>
      <c r="CV5" s="1537" t="s">
        <v>1096</v>
      </c>
      <c r="CW5" s="1528" t="s">
        <v>172</v>
      </c>
      <c r="CX5" s="3616">
        <f>'Öko-KG1'!$J$6</f>
        <v>300</v>
      </c>
      <c r="CY5" s="1498">
        <f>'Öko-KG2'!$J$6</f>
        <v>400</v>
      </c>
      <c r="CZ5" s="1498">
        <f>'Öko-LU1'!$J$6</f>
        <v>300</v>
      </c>
      <c r="DA5" s="1498">
        <f>'Öko-LU2'!$J$6</f>
        <v>350</v>
      </c>
      <c r="DB5" s="1498">
        <f>'Öko-WW-Futter'!$J$6</f>
        <v>30</v>
      </c>
      <c r="DC5" s="1498">
        <f>'Öko-WW-Brot'!$J$6</f>
        <v>30</v>
      </c>
      <c r="DD5" s="1498">
        <f>'Öko-Dinkel'!$J$6</f>
        <v>26.25</v>
      </c>
      <c r="DE5" s="1498">
        <f>'Öko-Dinkel,gegerbt'!$J$6</f>
        <v>26.25</v>
      </c>
      <c r="DF5" s="1498">
        <f>'Öko-Roggen'!$J$6</f>
        <v>30</v>
      </c>
      <c r="DG5" s="1498">
        <f>'Öko-Hafer'!$J$6</f>
        <v>30</v>
      </c>
      <c r="DH5" s="1498">
        <f>'Öko-Wintergerste'!$J$6</f>
        <v>30</v>
      </c>
      <c r="DI5" s="1498">
        <f>'Öko-Braugerste'!$J$6</f>
        <v>26.25</v>
      </c>
      <c r="DJ5" s="1498">
        <f>'Öko-Körnermais'!$J$6</f>
        <v>60</v>
      </c>
      <c r="DK5" s="1498">
        <f>'Öko-Ackerbohnen'!$J$6</f>
        <v>26.25</v>
      </c>
      <c r="DL5" s="1498">
        <f>'Öko-Erbsen'!$J$6</f>
        <v>22.5</v>
      </c>
      <c r="DM5" s="1498">
        <f>'Öko-Sojabohnen'!$J$6</f>
        <v>25.5</v>
      </c>
      <c r="DN5" s="1498">
        <f>'Öko-Soblu'!$J$6</f>
        <v>20</v>
      </c>
      <c r="DO5" s="1498">
        <f>'Öko-Raps'!$J$6</f>
        <v>10</v>
      </c>
      <c r="DP5" s="1498">
        <f>'Öko-Kartoffel'!$J$6</f>
        <v>200</v>
      </c>
      <c r="DQ5" s="1498"/>
      <c r="DR5" s="1498">
        <f>Begrün.!$J$6</f>
        <v>0</v>
      </c>
      <c r="DS5" s="1498">
        <f>Blühm.!$J$6</f>
        <v>0</v>
      </c>
      <c r="DU5" s="1498">
        <f>'Öko-KG1'!$M$6</f>
        <v>400</v>
      </c>
      <c r="DV5" s="1498">
        <f>'Öko-KG2'!$M$6</f>
        <v>500</v>
      </c>
      <c r="DW5" s="1498">
        <f>'Öko-LU1'!$M$6</f>
        <v>400</v>
      </c>
      <c r="DX5" s="1498">
        <f>'Öko-LU2'!$M$6</f>
        <v>450</v>
      </c>
      <c r="DY5" s="1499">
        <f>'Öko-WW-Futter'!$M$6</f>
        <v>40</v>
      </c>
      <c r="DZ5" s="1498">
        <f>'Öko-WW-Brot'!$M$6</f>
        <v>40</v>
      </c>
      <c r="EA5" s="1498">
        <f>'Öko-Dinkel'!$M$6</f>
        <v>35</v>
      </c>
      <c r="EB5" s="1498">
        <f>'Öko-Dinkel,gegerbt'!$M$6</f>
        <v>35</v>
      </c>
      <c r="EC5" s="1498">
        <f>'Öko-Roggen'!$M$6</f>
        <v>40</v>
      </c>
      <c r="ED5" s="1498">
        <f>'Öko-Hafer'!$M$6</f>
        <v>40</v>
      </c>
      <c r="EE5" s="1498">
        <f>'Öko-Wintergerste'!$M$6</f>
        <v>40</v>
      </c>
      <c r="EF5" s="1498">
        <f>'Öko-Braugerste'!$M$6</f>
        <v>35</v>
      </c>
      <c r="EG5" s="1498">
        <f>'Öko-Körnermais'!$M$6</f>
        <v>80</v>
      </c>
      <c r="EH5" s="1498">
        <f>'Öko-Ackerbohnen'!$M$6</f>
        <v>35</v>
      </c>
      <c r="EI5" s="1498">
        <f>'Öko-Erbsen'!$M$6</f>
        <v>30</v>
      </c>
      <c r="EJ5" s="1498">
        <f>'Öko-Sojabohnen'!$M$6</f>
        <v>30</v>
      </c>
      <c r="EK5" s="1498">
        <f>'Öko-Soblu'!$M$6</f>
        <v>30</v>
      </c>
      <c r="EL5" s="1498">
        <f>'Öko-Raps'!$M$6</f>
        <v>19</v>
      </c>
      <c r="EM5" s="1498">
        <f>'Öko-Kartoffel'!$M$6</f>
        <v>250</v>
      </c>
      <c r="EN5" s="1498"/>
      <c r="EO5" s="1498">
        <f>Begrün.!$M$6</f>
        <v>0</v>
      </c>
      <c r="EP5" s="1498">
        <f>Blühm.!$M$6</f>
        <v>0</v>
      </c>
      <c r="ER5" s="1498">
        <f>'Öko-KG1'!$P$6</f>
        <v>500</v>
      </c>
      <c r="ES5" s="1498">
        <f>'Öko-KG2'!$P$6</f>
        <v>600</v>
      </c>
      <c r="ET5" s="1498">
        <f>'Öko-LU1'!$P$6</f>
        <v>500</v>
      </c>
      <c r="EU5" s="1498">
        <f>'Öko-LU2'!$P$6</f>
        <v>550</v>
      </c>
      <c r="EV5" s="1499">
        <f>'Öko-WW-Futter'!$P$6</f>
        <v>69</v>
      </c>
      <c r="EW5" s="1498">
        <f>'Öko-WW-Brot'!$P$6</f>
        <v>60</v>
      </c>
      <c r="EX5" s="1498">
        <f>'Öko-Dinkel'!$P$6</f>
        <v>45</v>
      </c>
      <c r="EY5" s="1498">
        <f>'Öko-Dinkel,gegerbt'!$P$6</f>
        <v>43.75</v>
      </c>
      <c r="EZ5" s="1498">
        <f>'Öko-Roggen'!$P$6</f>
        <v>50</v>
      </c>
      <c r="FA5" s="1498">
        <f>'Öko-Hafer'!$P$6</f>
        <v>50</v>
      </c>
      <c r="FB5" s="1498">
        <f>'Öko-Wintergerste'!$P$6</f>
        <v>50</v>
      </c>
      <c r="FC5" s="1498">
        <f>'Öko-Braugerste'!$P$6</f>
        <v>43.75</v>
      </c>
      <c r="FD5" s="1498">
        <f>'Öko-Körnermais'!$P$6</f>
        <v>100</v>
      </c>
      <c r="FE5" s="1498">
        <f>'Öko-Ackerbohnen'!$P$6</f>
        <v>43.75</v>
      </c>
      <c r="FF5" s="1498">
        <f>'Öko-Erbsen'!$P$6</f>
        <v>37.5</v>
      </c>
      <c r="FG5" s="1498">
        <f>'Öko-Sojabohnen'!$P$6</f>
        <v>34.5</v>
      </c>
      <c r="FH5" s="1498">
        <f>'Öko-Soblu'!$P$6</f>
        <v>40</v>
      </c>
      <c r="FI5" s="1498">
        <f>'Öko-Raps'!$P$6</f>
        <v>26</v>
      </c>
      <c r="FJ5" s="1498">
        <f>'Öko-Kartoffel'!$P$6</f>
        <v>300</v>
      </c>
      <c r="FK5" s="1498"/>
      <c r="FL5" s="1498">
        <f>Begrün.!$P$6</f>
        <v>0</v>
      </c>
      <c r="FM5" s="1498">
        <f>Blühm.!$P$6</f>
        <v>0</v>
      </c>
    </row>
    <row r="6" spans="1:169" s="1535" customFormat="1" ht="16.149999999999999" customHeight="1">
      <c r="A6" s="1440">
        <f>ROWS($A$1:A6)</f>
        <v>6</v>
      </c>
      <c r="B6" s="1536" t="s">
        <v>1150</v>
      </c>
      <c r="C6" s="1529"/>
      <c r="D6" s="3615">
        <f>'WW1'!$H$9</f>
        <v>65</v>
      </c>
      <c r="E6" s="1484">
        <f>'WW2'!$H$9</f>
        <v>60</v>
      </c>
      <c r="F6" s="1484">
        <f>'WW3'!$H$9</f>
        <v>55</v>
      </c>
      <c r="G6" s="1484">
        <f>'WW4'!$H$9</f>
        <v>55</v>
      </c>
      <c r="H6" s="1484">
        <f>WRo!$H$9</f>
        <v>55</v>
      </c>
      <c r="I6" s="1484">
        <f>Tr!$H$9</f>
        <v>60</v>
      </c>
      <c r="J6" s="1484">
        <f>WG!$H$9</f>
        <v>55</v>
      </c>
      <c r="K6" s="1484">
        <f>Di!$H$9</f>
        <v>50</v>
      </c>
      <c r="L6" s="1484">
        <f>SW!$H$9</f>
        <v>55</v>
      </c>
      <c r="M6" s="1484">
        <f>'SG-Fu'!$H$9</f>
        <v>50</v>
      </c>
      <c r="N6" s="1484">
        <f>BG!$H$9</f>
        <v>40</v>
      </c>
      <c r="O6" s="1484">
        <f>Ha!$H$9</f>
        <v>45</v>
      </c>
      <c r="P6" s="1484">
        <f>Du!$H$9</f>
        <v>40</v>
      </c>
      <c r="Q6" s="1484">
        <f>KöM!$H$9</f>
        <v>80</v>
      </c>
      <c r="R6" s="1484"/>
      <c r="S6" s="1484">
        <f>WR!$H$9</f>
        <v>30</v>
      </c>
      <c r="T6" s="1484">
        <f>SR!$H$9</f>
        <v>20</v>
      </c>
      <c r="U6" s="1484">
        <f>SoBl!$H$9</f>
        <v>25</v>
      </c>
      <c r="V6" s="1484">
        <f>Soja!$H$9</f>
        <v>20</v>
      </c>
      <c r="W6" s="1484"/>
      <c r="X6" s="1484">
        <f>FE!$H$9</f>
        <v>20</v>
      </c>
      <c r="Y6" s="1484">
        <f>AB!$H$9</f>
        <v>20</v>
      </c>
      <c r="Z6" s="1484">
        <f>Lu!$H$9</f>
        <v>10</v>
      </c>
      <c r="AA6" s="1484">
        <f>ZR!$H$9</f>
        <v>350</v>
      </c>
      <c r="AB6" s="1484">
        <f>FrühKa!$H$9</f>
        <v>250</v>
      </c>
      <c r="AC6" s="1484">
        <f>FrühKaFolieBer!$H$9</f>
        <v>300</v>
      </c>
      <c r="AD6" s="1484">
        <f>SpKa!$H$9</f>
        <v>365</v>
      </c>
      <c r="AE6" s="1484">
        <f>SpKaBer!$H$9</f>
        <v>383</v>
      </c>
      <c r="AF6" s="1484">
        <f>'Kultur A'!$H$9</f>
        <v>0</v>
      </c>
      <c r="AG6" s="1484">
        <f>'FAKT-Brachebegrünung'!$H$9</f>
        <v>1</v>
      </c>
      <c r="AH6" s="1484">
        <f>Begr!$H$9</f>
        <v>1</v>
      </c>
      <c r="AI6" s="1442"/>
      <c r="AJ6" s="1485">
        <f>'WW1'!$K$9</f>
        <v>80</v>
      </c>
      <c r="AK6" s="1484">
        <f>'WW2'!$K$9</f>
        <v>75</v>
      </c>
      <c r="AL6" s="1484">
        <f>'WW3'!$K$9</f>
        <v>70</v>
      </c>
      <c r="AM6" s="1484">
        <f>'WW4'!$K$9</f>
        <v>65</v>
      </c>
      <c r="AN6" s="1484">
        <f>WRo!$K$9</f>
        <v>65</v>
      </c>
      <c r="AO6" s="1484">
        <f>Tr!$K$9</f>
        <v>75</v>
      </c>
      <c r="AP6" s="1484">
        <f>WG!$K$9</f>
        <v>70</v>
      </c>
      <c r="AQ6" s="1484">
        <f>Di!$K$9</f>
        <v>60</v>
      </c>
      <c r="AR6" s="1484">
        <f>SW!$K$9</f>
        <v>65</v>
      </c>
      <c r="AS6" s="1484">
        <f>'SG-Fu'!$K$9</f>
        <v>60</v>
      </c>
      <c r="AT6" s="1484">
        <f>BG!$K$9</f>
        <v>49</v>
      </c>
      <c r="AU6" s="1484">
        <f>Ha!$K$9</f>
        <v>55</v>
      </c>
      <c r="AV6" s="1484">
        <f>Du!$K$9</f>
        <v>55</v>
      </c>
      <c r="AW6" s="1484">
        <f>KöM!$K$9</f>
        <v>100</v>
      </c>
      <c r="AX6" s="1484"/>
      <c r="AY6" s="1484">
        <f>WR!$K$9</f>
        <v>40</v>
      </c>
      <c r="AZ6" s="1484">
        <f>SR!$K$9</f>
        <v>25</v>
      </c>
      <c r="BA6" s="1484">
        <f>SoBl!$K$9</f>
        <v>30</v>
      </c>
      <c r="BB6" s="1484">
        <f>Soja!$K$9</f>
        <v>27</v>
      </c>
      <c r="BC6" s="1484"/>
      <c r="BD6" s="1484">
        <f>FE!$K$9</f>
        <v>35</v>
      </c>
      <c r="BE6" s="1484">
        <f>AB!$K$9</f>
        <v>35</v>
      </c>
      <c r="BF6" s="1484">
        <f>Lu!$K$9</f>
        <v>25</v>
      </c>
      <c r="BG6" s="1484">
        <f>ZR!$K$9</f>
        <v>730</v>
      </c>
      <c r="BH6" s="1484">
        <f>FrühKa!$K$9</f>
        <v>300</v>
      </c>
      <c r="BI6" s="1484">
        <f>FrühKaFolieBer!$K$9</f>
        <v>350</v>
      </c>
      <c r="BJ6" s="1484">
        <f>SpKa!$K$9</f>
        <v>366</v>
      </c>
      <c r="BK6" s="1484">
        <f>SpKaBer!$K$9</f>
        <v>425</v>
      </c>
      <c r="BL6" s="1484">
        <v>0</v>
      </c>
      <c r="BM6" s="1484">
        <f>'FAKT-Brachebegrünung'!$K$9</f>
        <v>1</v>
      </c>
      <c r="BN6" s="1484">
        <f>Begr!$K$9</f>
        <v>1</v>
      </c>
      <c r="BO6" s="1442"/>
      <c r="BP6" s="1485">
        <f>'WW1'!$N$9</f>
        <v>95</v>
      </c>
      <c r="BQ6" s="1484">
        <f>'WW2'!$N$9</f>
        <v>90</v>
      </c>
      <c r="BR6" s="1484">
        <f>'WW3'!$N$9</f>
        <v>85</v>
      </c>
      <c r="BS6" s="1484">
        <f>'WW4'!$N$9</f>
        <v>75</v>
      </c>
      <c r="BT6" s="1484">
        <f>WRo!$N$9</f>
        <v>75</v>
      </c>
      <c r="BU6" s="1484">
        <f>Tr!$N$9</f>
        <v>90</v>
      </c>
      <c r="BV6" s="1484">
        <f>WG!$N$9</f>
        <v>85</v>
      </c>
      <c r="BW6" s="1484">
        <f>Di!$N$9</f>
        <v>70</v>
      </c>
      <c r="BX6" s="1484">
        <f>SW!$N$9</f>
        <v>75</v>
      </c>
      <c r="BY6" s="1484">
        <f>'SG-Fu'!$N$9</f>
        <v>70</v>
      </c>
      <c r="BZ6" s="1484">
        <f>BG!$N$9</f>
        <v>58</v>
      </c>
      <c r="CA6" s="1484">
        <f>Ha!$N$9</f>
        <v>65</v>
      </c>
      <c r="CB6" s="1484">
        <f>Du!$N$9</f>
        <v>60</v>
      </c>
      <c r="CC6" s="1484">
        <f>KöM!$N$9</f>
        <v>120</v>
      </c>
      <c r="CD6" s="1484"/>
      <c r="CE6" s="1484">
        <f>WR!$N$9</f>
        <v>50</v>
      </c>
      <c r="CF6" s="1484">
        <f>SR!$N$9</f>
        <v>30</v>
      </c>
      <c r="CG6" s="1484">
        <f>SoBl!$N$9</f>
        <v>35</v>
      </c>
      <c r="CH6" s="1484">
        <f>Soja!$N$9</f>
        <v>34</v>
      </c>
      <c r="CI6" s="1484"/>
      <c r="CJ6" s="1484">
        <f>FE!$N$9</f>
        <v>50</v>
      </c>
      <c r="CK6" s="1484">
        <f>AB!$N$9</f>
        <v>50</v>
      </c>
      <c r="CL6" s="1484">
        <f>Lu!$N$9</f>
        <v>40</v>
      </c>
      <c r="CM6" s="1484">
        <f>ZR!$N$9</f>
        <v>850</v>
      </c>
      <c r="CN6" s="1484">
        <f>FrühKa!$N$9</f>
        <v>350</v>
      </c>
      <c r="CO6" s="1484">
        <f>FrühKaFolieBer!$N$9</f>
        <v>400</v>
      </c>
      <c r="CP6" s="1484">
        <f>SpKa!$N$9</f>
        <v>400</v>
      </c>
      <c r="CQ6" s="1484">
        <f>SpKaBer!$N$9</f>
        <v>466</v>
      </c>
      <c r="CR6" s="1484">
        <f>'Kultur A'!$N$9</f>
        <v>0</v>
      </c>
      <c r="CS6" s="1484">
        <f>'FAKT-Brachebegrünung'!$N$9</f>
        <v>1</v>
      </c>
      <c r="CT6" s="1484">
        <f>Begr!$N$9</f>
        <v>1</v>
      </c>
      <c r="CV6" s="1536" t="s">
        <v>1150</v>
      </c>
      <c r="CW6" s="1529"/>
      <c r="CX6" s="3615">
        <f>'Öko-KG1'!$H$9</f>
        <v>300</v>
      </c>
      <c r="CY6" s="1484">
        <f>'Öko-KG2'!$H$9</f>
        <v>400</v>
      </c>
      <c r="CZ6" s="1484">
        <f>'Öko-LU1'!$H$9</f>
        <v>300</v>
      </c>
      <c r="DA6" s="1484">
        <f>'Öko-LU2'!$H$9</f>
        <v>350</v>
      </c>
      <c r="DB6" s="1484">
        <f>'Öko-WW-Futter'!$H$9</f>
        <v>30</v>
      </c>
      <c r="DC6" s="1484">
        <f>'Öko-WW-Brot'!$H$9</f>
        <v>30</v>
      </c>
      <c r="DD6" s="1484">
        <f>'Öko-Dinkel'!$H$9</f>
        <v>26.25</v>
      </c>
      <c r="DE6" s="1484">
        <f>'Öko-Dinkel,gegerbt'!$H$9</f>
        <v>17.587500000000002</v>
      </c>
      <c r="DF6" s="1484">
        <f>'Öko-Roggen'!$H$9</f>
        <v>30</v>
      </c>
      <c r="DG6" s="1484">
        <f>'Öko-Hafer'!$H$9</f>
        <v>30</v>
      </c>
      <c r="DH6" s="1484">
        <f>'Öko-Wintergerste'!$H$9</f>
        <v>30</v>
      </c>
      <c r="DI6" s="1484">
        <f>'Öko-Braugerste'!$H$9</f>
        <v>23.625</v>
      </c>
      <c r="DJ6" s="1484">
        <f>'Öko-Körnermais'!$H$9</f>
        <v>60</v>
      </c>
      <c r="DK6" s="1484">
        <f>'Öko-Ackerbohnen'!$H$9</f>
        <v>26.25</v>
      </c>
      <c r="DL6" s="1484">
        <f>'Öko-Erbsen'!$H$9</f>
        <v>22.5</v>
      </c>
      <c r="DM6" s="1484">
        <f>'Öko-Sojabohnen'!$H$9</f>
        <v>25.5</v>
      </c>
      <c r="DN6" s="1484">
        <f>'Öko-Soblu'!$H$9</f>
        <v>20</v>
      </c>
      <c r="DO6" s="1484">
        <f>'Öko-Raps'!$H$9</f>
        <v>10</v>
      </c>
      <c r="DP6" s="1484">
        <f>'Öko-Kartoffel'!$H$9</f>
        <v>150</v>
      </c>
      <c r="DQ6" s="1484"/>
      <c r="DR6" s="1484">
        <f>Begrün.!$H$9</f>
        <v>0</v>
      </c>
      <c r="DS6" s="1484">
        <f>Blühm.!$H$9</f>
        <v>0</v>
      </c>
      <c r="DU6" s="1484">
        <f>'Öko-KG1'!$K$9</f>
        <v>400</v>
      </c>
      <c r="DV6" s="1484">
        <f>'Öko-KG2'!$K$9</f>
        <v>500</v>
      </c>
      <c r="DW6" s="1484">
        <f>'Öko-LU1'!$K$9</f>
        <v>400</v>
      </c>
      <c r="DX6" s="1484">
        <f>'Öko-LU2'!$K$9</f>
        <v>450</v>
      </c>
      <c r="DY6" s="1485">
        <f>'Öko-WW-Futter'!$K$9</f>
        <v>40</v>
      </c>
      <c r="DZ6" s="1484">
        <f>'Öko-WW-Brot'!$K$9</f>
        <v>40</v>
      </c>
      <c r="EA6" s="1484">
        <f>'Öko-Dinkel'!$K$9</f>
        <v>35</v>
      </c>
      <c r="EB6" s="1484">
        <f>'Öko-Dinkel,gegerbt'!$K$9</f>
        <v>23.450000000000003</v>
      </c>
      <c r="EC6" s="1484">
        <f>'Öko-Roggen'!$K$9</f>
        <v>40</v>
      </c>
      <c r="ED6" s="1484">
        <f>'Öko-Hafer'!$K$9</f>
        <v>40</v>
      </c>
      <c r="EE6" s="1484">
        <f>'Öko-Wintergerste'!$K$9</f>
        <v>40</v>
      </c>
      <c r="EF6" s="1484">
        <f>'Öko-Braugerste'!$K$9</f>
        <v>31.5</v>
      </c>
      <c r="EG6" s="1484">
        <f>'Öko-Körnermais'!$K$9</f>
        <v>80</v>
      </c>
      <c r="EH6" s="1484">
        <f>'Öko-Ackerbohnen'!$K$9</f>
        <v>35</v>
      </c>
      <c r="EI6" s="1484">
        <f>'Öko-Erbsen'!$K$9</f>
        <v>30</v>
      </c>
      <c r="EJ6" s="1484">
        <f>'Öko-Sojabohnen'!$K$9</f>
        <v>30</v>
      </c>
      <c r="EK6" s="1484">
        <f>'Öko-Soblu'!$K$9</f>
        <v>30</v>
      </c>
      <c r="EL6" s="1484">
        <f>'Öko-Raps'!$K$9</f>
        <v>19</v>
      </c>
      <c r="EM6" s="1484">
        <f>'Öko-Kartoffel'!$K$9</f>
        <v>187.5</v>
      </c>
      <c r="EN6" s="1484"/>
      <c r="EO6" s="1484">
        <f>Begrün.!$K$9</f>
        <v>0</v>
      </c>
      <c r="EP6" s="1484">
        <f>Blühm.!$K$9</f>
        <v>0</v>
      </c>
      <c r="ER6" s="1484">
        <f>'Öko-KG1'!$N$9</f>
        <v>500</v>
      </c>
      <c r="ES6" s="1484">
        <f>'Öko-KG2'!$N$9</f>
        <v>600</v>
      </c>
      <c r="ET6" s="1484">
        <f>'Öko-LU1'!$N$9</f>
        <v>500</v>
      </c>
      <c r="EU6" s="1484">
        <f>'Öko-LU2'!$N$9</f>
        <v>550</v>
      </c>
      <c r="EV6" s="1485">
        <f>'Öko-WW-Futter'!$N$9</f>
        <v>69</v>
      </c>
      <c r="EW6" s="1484">
        <f>'Öko-WW-Brot'!$N$9</f>
        <v>60</v>
      </c>
      <c r="EX6" s="1484">
        <f>'Öko-Dinkel'!$N$9</f>
        <v>45</v>
      </c>
      <c r="EY6" s="1484">
        <f>'Öko-Dinkel,gegerbt'!$N$9</f>
        <v>29.3125</v>
      </c>
      <c r="EZ6" s="1484">
        <f>'Öko-Roggen'!$N$9</f>
        <v>50</v>
      </c>
      <c r="FA6" s="1484">
        <f>'Öko-Hafer'!$N$9</f>
        <v>50</v>
      </c>
      <c r="FB6" s="1484">
        <f>'Öko-Wintergerste'!$N$9</f>
        <v>50</v>
      </c>
      <c r="FC6" s="1484">
        <f>'Öko-Braugerste'!$N$9</f>
        <v>39.375</v>
      </c>
      <c r="FD6" s="1484">
        <f>'Öko-Körnermais'!$N$9</f>
        <v>100</v>
      </c>
      <c r="FE6" s="1484">
        <f>'Öko-Ackerbohnen'!$N$9</f>
        <v>43.75</v>
      </c>
      <c r="FF6" s="1484">
        <f>'Öko-Erbsen'!$N$9</f>
        <v>37.5</v>
      </c>
      <c r="FG6" s="1484">
        <f>'Öko-Sojabohnen'!$N$9</f>
        <v>34.5</v>
      </c>
      <c r="FH6" s="1484">
        <f>'Öko-Soblu'!$N$9</f>
        <v>40</v>
      </c>
      <c r="FI6" s="1484">
        <f>'Öko-Raps'!$N$9</f>
        <v>26</v>
      </c>
      <c r="FJ6" s="1484">
        <f>'Öko-Kartoffel'!$N$9</f>
        <v>225</v>
      </c>
      <c r="FK6" s="1484"/>
      <c r="FL6" s="1484">
        <f>Begrün.!$N$9</f>
        <v>0</v>
      </c>
      <c r="FM6" s="1484">
        <f>Blühm.!$N$9</f>
        <v>0</v>
      </c>
    </row>
    <row r="7" spans="1:169" s="1531" customFormat="1" ht="18" customHeight="1">
      <c r="A7" s="1440">
        <f>ROWS($A$1:A7)</f>
        <v>7</v>
      </c>
      <c r="B7" s="1534" t="s">
        <v>1149</v>
      </c>
      <c r="C7" s="1495" t="s">
        <v>228</v>
      </c>
      <c r="D7" s="3614">
        <f>'WW1'!$G$9</f>
        <v>22.233333333333334</v>
      </c>
      <c r="E7" s="1532">
        <f>'WW2'!$G$9</f>
        <v>23.533333333333331</v>
      </c>
      <c r="F7" s="1532">
        <f>'WW3'!$G$9</f>
        <v>24.8</v>
      </c>
      <c r="G7" s="1532">
        <f>'WW4'!$G$9</f>
        <v>26.934666666666669</v>
      </c>
      <c r="H7" s="1532">
        <f>WRo!$G$9</f>
        <v>21.466666666666669</v>
      </c>
      <c r="I7" s="1532">
        <f>Tr!$G$9</f>
        <v>20.533333333333331</v>
      </c>
      <c r="J7" s="1532">
        <f>WG!$G$9</f>
        <v>19.900000000000002</v>
      </c>
      <c r="K7" s="1532">
        <f>Di!$G$9</f>
        <v>21</v>
      </c>
      <c r="L7" s="1532">
        <f>SW!$G$9</f>
        <v>23.5</v>
      </c>
      <c r="M7" s="1532">
        <f>'SG-Fu'!$G$9</f>
        <v>19.900000000000002</v>
      </c>
      <c r="N7" s="1532">
        <f>BG!$G$9</f>
        <v>30.2</v>
      </c>
      <c r="O7" s="1532">
        <f>Ha!$G$9</f>
        <v>21.333333333333329</v>
      </c>
      <c r="P7" s="1532">
        <f>Du!$G$9</f>
        <v>33</v>
      </c>
      <c r="Q7" s="1532">
        <f>KöM!$G$9</f>
        <v>24.633333333333336</v>
      </c>
      <c r="R7" s="1532"/>
      <c r="S7" s="1532">
        <f>WR!$G$9</f>
        <v>52.166666666666657</v>
      </c>
      <c r="T7" s="1532">
        <f>SR!$G$9</f>
        <v>52.166666666666657</v>
      </c>
      <c r="U7" s="1532">
        <f>SoBl!$G$9</f>
        <v>45.166666666666657</v>
      </c>
      <c r="V7" s="1532">
        <f>Soja!$G$9</f>
        <v>52.333333333333343</v>
      </c>
      <c r="W7" s="1532"/>
      <c r="X7" s="1532">
        <f>FE!$G$9</f>
        <v>29.966666666666669</v>
      </c>
      <c r="Y7" s="1532">
        <f>AB!$G$9</f>
        <v>30.3</v>
      </c>
      <c r="Z7" s="1532">
        <f>Lu!$G$9</f>
        <v>26.633333333333336</v>
      </c>
      <c r="AA7" s="1532">
        <f>ZR!$G$9</f>
        <v>2.9433333333333334</v>
      </c>
      <c r="AB7" s="1532">
        <f>FrühKa!$G$9</f>
        <v>56.933333333333337</v>
      </c>
      <c r="AC7" s="1532">
        <f>FrühKaFolieBer!$G$9</f>
        <v>56.933333333333337</v>
      </c>
      <c r="AD7" s="1532">
        <f>SpKa!$G$9</f>
        <v>28.033333333333331</v>
      </c>
      <c r="AE7" s="1532">
        <f>SpKaBer!$G$9</f>
        <v>28.033333333333331</v>
      </c>
      <c r="AF7" s="1532">
        <f>'Kultur A'!$G$9</f>
        <v>0</v>
      </c>
      <c r="AG7" s="1532">
        <f>'FAKT-Brachebegrünung'!$G$9</f>
        <v>0</v>
      </c>
      <c r="AH7" s="1532">
        <f>Begr!$G$9</f>
        <v>0</v>
      </c>
      <c r="AI7" s="1453"/>
      <c r="AJ7" s="1533">
        <f>'WW1'!$G$9</f>
        <v>22.233333333333334</v>
      </c>
      <c r="AK7" s="1532">
        <f>'WW2'!$G$9</f>
        <v>23.533333333333331</v>
      </c>
      <c r="AL7" s="1532">
        <f>'WW3'!$G$9</f>
        <v>24.8</v>
      </c>
      <c r="AM7" s="1532">
        <f>'WW4'!$G$9</f>
        <v>26.934666666666669</v>
      </c>
      <c r="AN7" s="1532">
        <f>WRo!$G$9</f>
        <v>21.466666666666669</v>
      </c>
      <c r="AO7" s="1532">
        <f>Tr!$G$9</f>
        <v>20.533333333333331</v>
      </c>
      <c r="AP7" s="1532">
        <f>WG!$G$9</f>
        <v>19.900000000000002</v>
      </c>
      <c r="AQ7" s="1532">
        <f>Di!$G$9</f>
        <v>21</v>
      </c>
      <c r="AR7" s="1532">
        <f>SW!$G$9</f>
        <v>23.5</v>
      </c>
      <c r="AS7" s="1532">
        <f>'SG-Fu'!$G$9</f>
        <v>19.900000000000002</v>
      </c>
      <c r="AT7" s="1532">
        <f>BG!$G$9</f>
        <v>30.2</v>
      </c>
      <c r="AU7" s="1532">
        <f>Ha!$G$9</f>
        <v>21.333333333333329</v>
      </c>
      <c r="AV7" s="1532">
        <f>Du!$G$9</f>
        <v>33</v>
      </c>
      <c r="AW7" s="1532">
        <f>KöM!$G$9</f>
        <v>24.633333333333336</v>
      </c>
      <c r="AX7" s="1532"/>
      <c r="AY7" s="1532">
        <f>WR!$G$9</f>
        <v>52.166666666666657</v>
      </c>
      <c r="AZ7" s="1532">
        <f>SR!$G$9</f>
        <v>52.166666666666657</v>
      </c>
      <c r="BA7" s="1532">
        <f>SoBl!$G$9</f>
        <v>45.166666666666657</v>
      </c>
      <c r="BB7" s="1532">
        <f>Soja!$G$9</f>
        <v>52.333333333333343</v>
      </c>
      <c r="BC7" s="1532"/>
      <c r="BD7" s="1532">
        <f>FE!$G$9</f>
        <v>29.966666666666669</v>
      </c>
      <c r="BE7" s="1532">
        <f>AB!$G$9</f>
        <v>30.3</v>
      </c>
      <c r="BF7" s="1532">
        <f>Lu!$G$9</f>
        <v>26.633333333333336</v>
      </c>
      <c r="BG7" s="1532">
        <f>ZR!$G$9</f>
        <v>2.9433333333333334</v>
      </c>
      <c r="BH7" s="1532">
        <f>FrühKa!$G$9</f>
        <v>56.933333333333337</v>
      </c>
      <c r="BI7" s="1532">
        <f>FrühKaFolieBer!$G$9</f>
        <v>56.933333333333337</v>
      </c>
      <c r="BJ7" s="1532">
        <f>SpKa!$G$9</f>
        <v>28.033333333333331</v>
      </c>
      <c r="BK7" s="1532">
        <f>SpKaBer!$G$9</f>
        <v>28.033333333333331</v>
      </c>
      <c r="BL7" s="1532">
        <v>0</v>
      </c>
      <c r="BM7" s="1532">
        <f>'FAKT-Brachebegrünung'!$G$9</f>
        <v>0</v>
      </c>
      <c r="BN7" s="1532">
        <f>Begr!$G$9</f>
        <v>0</v>
      </c>
      <c r="BO7" s="1453"/>
      <c r="BP7" s="1533">
        <f>'WW1'!$G$9</f>
        <v>22.233333333333334</v>
      </c>
      <c r="BQ7" s="1532">
        <f>'WW2'!$G$9</f>
        <v>23.533333333333331</v>
      </c>
      <c r="BR7" s="1532">
        <f>'WW3'!$G$9</f>
        <v>24.8</v>
      </c>
      <c r="BS7" s="1532">
        <f>'WW4'!$G$9</f>
        <v>26.934666666666669</v>
      </c>
      <c r="BT7" s="1532">
        <f>WRo!$G$9</f>
        <v>21.466666666666669</v>
      </c>
      <c r="BU7" s="1532">
        <f>Tr!$G$9</f>
        <v>20.533333333333331</v>
      </c>
      <c r="BV7" s="1532">
        <f>WG!$G$9</f>
        <v>19.900000000000002</v>
      </c>
      <c r="BW7" s="1532">
        <f>Di!$G$9</f>
        <v>21</v>
      </c>
      <c r="BX7" s="1532">
        <f>SW!$G$9</f>
        <v>23.5</v>
      </c>
      <c r="BY7" s="1532">
        <f>'SG-Fu'!$G$9</f>
        <v>19.900000000000002</v>
      </c>
      <c r="BZ7" s="1532">
        <f>BG!$G$9</f>
        <v>30.2</v>
      </c>
      <c r="CA7" s="1532">
        <f>Ha!$G$9</f>
        <v>21.333333333333329</v>
      </c>
      <c r="CB7" s="1532">
        <f>Du!$G$9</f>
        <v>33</v>
      </c>
      <c r="CC7" s="1532">
        <f>KöM!$G$9</f>
        <v>24.633333333333336</v>
      </c>
      <c r="CD7" s="1532"/>
      <c r="CE7" s="1532">
        <f>WR!$G$9</f>
        <v>52.166666666666657</v>
      </c>
      <c r="CF7" s="1532">
        <f>SR!$G$9</f>
        <v>52.166666666666657</v>
      </c>
      <c r="CG7" s="1532">
        <f>SoBl!$G$9</f>
        <v>45.166666666666657</v>
      </c>
      <c r="CH7" s="1532">
        <f>Soja!$G$9</f>
        <v>52.333333333333343</v>
      </c>
      <c r="CI7" s="1532"/>
      <c r="CJ7" s="1532">
        <f>FE!$G$9</f>
        <v>29.966666666666669</v>
      </c>
      <c r="CK7" s="1532">
        <f>AB!$G$9</f>
        <v>30.3</v>
      </c>
      <c r="CL7" s="1532">
        <f>Lu!$G$9</f>
        <v>26.633333333333336</v>
      </c>
      <c r="CM7" s="1532">
        <f>ZR!$G$9</f>
        <v>2.9433333333333334</v>
      </c>
      <c r="CN7" s="1532">
        <f>FrühKa!$G$9</f>
        <v>56.933333333333337</v>
      </c>
      <c r="CO7" s="1532">
        <f>FrühKaFolieBer!$G$9</f>
        <v>56.933333333333337</v>
      </c>
      <c r="CP7" s="1532">
        <f>SpKa!$G$9</f>
        <v>28.033333333333331</v>
      </c>
      <c r="CQ7" s="1532">
        <f>SpKaBer!$G$9</f>
        <v>28.033333333333331</v>
      </c>
      <c r="CR7" s="1532">
        <f>'Kultur A'!$G$9</f>
        <v>0</v>
      </c>
      <c r="CS7" s="1532">
        <f>'FAKT-Brachebegrünung'!$G$9</f>
        <v>0</v>
      </c>
      <c r="CT7" s="1532">
        <f>Begr!$G$9</f>
        <v>0</v>
      </c>
      <c r="CV7" s="1534" t="s">
        <v>1149</v>
      </c>
      <c r="CW7" s="1495" t="s">
        <v>228</v>
      </c>
      <c r="CX7" s="3614">
        <f>'Öko-KG1'!$G$9</f>
        <v>0</v>
      </c>
      <c r="CY7" s="1532">
        <f>'Öko-KG2'!$G$9</f>
        <v>0</v>
      </c>
      <c r="CZ7" s="1532">
        <f>'Öko-LU1'!$G$9</f>
        <v>0</v>
      </c>
      <c r="DA7" s="1532">
        <f>'Öko-LU2'!$G$9</f>
        <v>0</v>
      </c>
      <c r="DB7" s="1532">
        <f>'Öko-WW-Futter'!$G$9</f>
        <v>37.533333333333339</v>
      </c>
      <c r="DC7" s="1532">
        <f>'Öko-WW-Brot'!$G$9</f>
        <v>51</v>
      </c>
      <c r="DD7" s="1532">
        <f>'Öko-Dinkel'!$G$9</f>
        <v>44</v>
      </c>
      <c r="DE7" s="1532">
        <f>'Öko-Dinkel,gegerbt'!$G$9</f>
        <v>80.033333333333331</v>
      </c>
      <c r="DF7" s="1532">
        <f>'Öko-Roggen'!$G$9</f>
        <v>36.300000000000004</v>
      </c>
      <c r="DG7" s="1532">
        <f>'Öko-Hafer'!$G$9</f>
        <v>39.56666666666667</v>
      </c>
      <c r="DH7" s="1532">
        <f>'Öko-Wintergerste'!$G$9</f>
        <v>35.900000000000006</v>
      </c>
      <c r="DI7" s="1532">
        <f>'Öko-Braugerste'!$G$9</f>
        <v>50.316666666666663</v>
      </c>
      <c r="DJ7" s="1532">
        <f>'Öko-Körnermais'!$G$9</f>
        <v>39.266666666666673</v>
      </c>
      <c r="DK7" s="1532">
        <f>'Öko-Ackerbohnen'!$G$9</f>
        <v>55.733333333333327</v>
      </c>
      <c r="DL7" s="1532">
        <f>'Öko-Erbsen'!$G$9</f>
        <v>54.4</v>
      </c>
      <c r="DM7" s="1532">
        <f>'Öko-Sojabohnen'!$G$9</f>
        <v>88.1</v>
      </c>
      <c r="DN7" s="1532">
        <f>'Öko-Soblu'!$G$9</f>
        <v>77.52000000000001</v>
      </c>
      <c r="DO7" s="1532">
        <f>'Öko-Raps'!$G$9</f>
        <v>90.933333333333337</v>
      </c>
      <c r="DP7" s="1532">
        <f>'Öko-Kartoffel'!$G$9</f>
        <v>62.126666666666658</v>
      </c>
      <c r="DQ7" s="1532"/>
      <c r="DR7" s="1532">
        <f>Begrün.!$G$9</f>
        <v>0</v>
      </c>
      <c r="DS7" s="1532">
        <f>Blühm.!$G$9</f>
        <v>0</v>
      </c>
      <c r="DU7" s="1532">
        <f>'Öko-KG1'!$G$9</f>
        <v>0</v>
      </c>
      <c r="DV7" s="1532">
        <f>'Öko-KG2'!$G$9</f>
        <v>0</v>
      </c>
      <c r="DW7" s="1532">
        <f>'Öko-LU1'!$G$9</f>
        <v>0</v>
      </c>
      <c r="DX7" s="1532">
        <f>'Öko-LU2'!$G$9</f>
        <v>0</v>
      </c>
      <c r="DY7" s="1533">
        <f>'Öko-WW-Futter'!$G$9</f>
        <v>37.533333333333339</v>
      </c>
      <c r="DZ7" s="1532">
        <f>'Öko-WW-Brot'!$G$9</f>
        <v>51</v>
      </c>
      <c r="EA7" s="1532">
        <f>'Öko-Dinkel'!$G$9</f>
        <v>44</v>
      </c>
      <c r="EB7" s="1532">
        <f>'Öko-Dinkel,gegerbt'!$G$9</f>
        <v>80.033333333333331</v>
      </c>
      <c r="EC7" s="1532">
        <f>'Öko-Roggen'!$G$9</f>
        <v>36.300000000000004</v>
      </c>
      <c r="ED7" s="1532">
        <f>'Öko-Hafer'!$G$9</f>
        <v>39.56666666666667</v>
      </c>
      <c r="EE7" s="1532">
        <f>'Öko-Wintergerste'!$G$9</f>
        <v>35.900000000000006</v>
      </c>
      <c r="EF7" s="1532">
        <f>'Öko-Braugerste'!$G$9</f>
        <v>50.316666666666663</v>
      </c>
      <c r="EG7" s="1532">
        <f>'Öko-Körnermais'!$G$9</f>
        <v>39.266666666666673</v>
      </c>
      <c r="EH7" s="1532">
        <f>'Öko-Ackerbohnen'!$G$9</f>
        <v>55.733333333333327</v>
      </c>
      <c r="EI7" s="1532">
        <f>'Öko-Erbsen'!$G$9</f>
        <v>54.4</v>
      </c>
      <c r="EJ7" s="1532">
        <f>'Öko-Sojabohnen'!$G$9</f>
        <v>88.1</v>
      </c>
      <c r="EK7" s="1532">
        <f>'Öko-Soblu'!$G$9</f>
        <v>77.52000000000001</v>
      </c>
      <c r="EL7" s="1532">
        <f>'Öko-Raps'!$G$9</f>
        <v>90.933333333333337</v>
      </c>
      <c r="EM7" s="1532">
        <f>'Öko-Kartoffel'!$G$9</f>
        <v>62.126666666666658</v>
      </c>
      <c r="EN7" s="1532"/>
      <c r="EO7" s="1532">
        <f>Begrün.!$G$9</f>
        <v>0</v>
      </c>
      <c r="EP7" s="1532">
        <f>Blühm.!$G$9</f>
        <v>0</v>
      </c>
      <c r="ER7" s="1532">
        <f>'Öko-KG1'!$G$9</f>
        <v>0</v>
      </c>
      <c r="ES7" s="1532">
        <f>'Öko-KG2'!$G$9</f>
        <v>0</v>
      </c>
      <c r="ET7" s="1532">
        <f>'Öko-LU1'!$G$9</f>
        <v>0</v>
      </c>
      <c r="EU7" s="1532">
        <f>'Öko-LU2'!$G$9</f>
        <v>0</v>
      </c>
      <c r="EV7" s="1533">
        <f>'Öko-WW-Futter'!$G$9</f>
        <v>37.533333333333339</v>
      </c>
      <c r="EW7" s="1532">
        <f>'Öko-WW-Brot'!$G$9</f>
        <v>51</v>
      </c>
      <c r="EX7" s="1532">
        <f>'Öko-Dinkel'!$G$9</f>
        <v>44</v>
      </c>
      <c r="EY7" s="1532">
        <f>'Öko-Dinkel,gegerbt'!$G$9</f>
        <v>80.033333333333331</v>
      </c>
      <c r="EZ7" s="1532">
        <f>'Öko-Roggen'!$G$9</f>
        <v>36.300000000000004</v>
      </c>
      <c r="FA7" s="1532">
        <f>'Öko-Hafer'!$G$9</f>
        <v>39.56666666666667</v>
      </c>
      <c r="FB7" s="1532">
        <f>'Öko-Wintergerste'!$G$9</f>
        <v>35.900000000000006</v>
      </c>
      <c r="FC7" s="1532">
        <f>'Öko-Braugerste'!$G$9</f>
        <v>50.316666666666663</v>
      </c>
      <c r="FD7" s="1532">
        <f>'Öko-Körnermais'!$G$9</f>
        <v>39.266666666666673</v>
      </c>
      <c r="FE7" s="1532">
        <f>'Öko-Ackerbohnen'!$G$9</f>
        <v>55.733333333333327</v>
      </c>
      <c r="FF7" s="1532">
        <f>'Öko-Erbsen'!$G$9</f>
        <v>54.4</v>
      </c>
      <c r="FG7" s="1532">
        <f>'Öko-Sojabohnen'!$G$9</f>
        <v>88.1</v>
      </c>
      <c r="FH7" s="1532">
        <f>'Öko-Soblu'!$G$9</f>
        <v>77.52000000000001</v>
      </c>
      <c r="FI7" s="1532">
        <f>'Öko-Raps'!$G$9</f>
        <v>90.933333333333337</v>
      </c>
      <c r="FJ7" s="1532">
        <f>'Öko-Kartoffel'!$G$9</f>
        <v>62.126666666666658</v>
      </c>
      <c r="FK7" s="1532"/>
      <c r="FL7" s="1532">
        <f>Begrün.!$G$9</f>
        <v>0</v>
      </c>
      <c r="FM7" s="1532">
        <f>Blühm.!$G$9</f>
        <v>0</v>
      </c>
    </row>
    <row r="8" spans="1:169" ht="16.149999999999999" customHeight="1">
      <c r="A8" s="1440">
        <f>ROWS($A$1:A8)</f>
        <v>8</v>
      </c>
      <c r="B8" s="1444" t="s">
        <v>1148</v>
      </c>
      <c r="C8" s="1434" t="s">
        <v>171</v>
      </c>
      <c r="D8" s="3613">
        <f>'WW1'!$I$9</f>
        <v>1445.1666666666667</v>
      </c>
      <c r="E8" s="1516">
        <f>'WW2'!$I$9</f>
        <v>1412</v>
      </c>
      <c r="F8" s="1516">
        <f>'WW3'!$I$9</f>
        <v>1364</v>
      </c>
      <c r="G8" s="1516">
        <f>'WW4'!$I$9</f>
        <v>1481.4066666666668</v>
      </c>
      <c r="H8" s="1516">
        <f>WRo!$I$9</f>
        <v>1180.6666666666667</v>
      </c>
      <c r="I8" s="1516">
        <f>Tr!$I$9</f>
        <v>1232</v>
      </c>
      <c r="J8" s="1516">
        <f>WG!$I$9</f>
        <v>1094.5000000000002</v>
      </c>
      <c r="K8" s="1516">
        <f>Di!$I$9</f>
        <v>1050</v>
      </c>
      <c r="L8" s="1516">
        <f>SW!$I$9</f>
        <v>1292.5</v>
      </c>
      <c r="M8" s="1516">
        <f>'SG-Fu'!$I$9</f>
        <v>995.00000000000011</v>
      </c>
      <c r="N8" s="1516">
        <f>BG!$I$9</f>
        <v>1208</v>
      </c>
      <c r="O8" s="1516">
        <f>Ha!$I$9</f>
        <v>959.99999999999977</v>
      </c>
      <c r="P8" s="1516">
        <f>Du!$I$9</f>
        <v>1320</v>
      </c>
      <c r="Q8" s="1516">
        <f>KöM!$I$9</f>
        <v>1970.666666666667</v>
      </c>
      <c r="R8" s="1516"/>
      <c r="S8" s="1516">
        <f>WR!$I$9</f>
        <v>1564.9999999999998</v>
      </c>
      <c r="T8" s="1516">
        <f>SR!$I$9</f>
        <v>1043.333333333333</v>
      </c>
      <c r="U8" s="1516">
        <f>SoBl!$I$9</f>
        <v>1129.1666666666665</v>
      </c>
      <c r="V8" s="1516">
        <f>Soja!$I$9</f>
        <v>1046.666666666667</v>
      </c>
      <c r="W8" s="1516"/>
      <c r="X8" s="1516">
        <f>FE!$I$9</f>
        <v>599.33333333333337</v>
      </c>
      <c r="Y8" s="1516">
        <f>AB!$I$9</f>
        <v>606</v>
      </c>
      <c r="Z8" s="1516">
        <f>Lu!$I$9</f>
        <v>266.33333333333337</v>
      </c>
      <c r="AA8" s="1516">
        <f>ZR!$I$9</f>
        <v>1030.1666666666667</v>
      </c>
      <c r="AB8" s="1516">
        <f>FrühKa!$I$9</f>
        <v>14233.333333333334</v>
      </c>
      <c r="AC8" s="1516">
        <f>FrühKaFolieBer!$I$9</f>
        <v>17080</v>
      </c>
      <c r="AD8" s="1516">
        <f>SpKa!$I$9</f>
        <v>10232.166666666666</v>
      </c>
      <c r="AE8" s="1516">
        <f>SpKaBer!$I$9</f>
        <v>10736.766666666666</v>
      </c>
      <c r="AF8" s="1516">
        <f>'Kultur A'!$I$9</f>
        <v>0</v>
      </c>
      <c r="AG8" s="1516">
        <f>'FAKT-Brachebegrünung'!$I$9</f>
        <v>0</v>
      </c>
      <c r="AH8" s="1516">
        <f>Begr!$I$9</f>
        <v>0</v>
      </c>
      <c r="AI8" s="1518"/>
      <c r="AJ8" s="1517">
        <f>'WW1'!$L$9</f>
        <v>1778.6666666666667</v>
      </c>
      <c r="AK8" s="1516">
        <f>'WW2'!$L$9</f>
        <v>1764.9999999999998</v>
      </c>
      <c r="AL8" s="1516">
        <f>'WW3'!$L$9</f>
        <v>1736</v>
      </c>
      <c r="AM8" s="1516">
        <f>'WW4'!$L$9</f>
        <v>1750.7533333333336</v>
      </c>
      <c r="AN8" s="1516">
        <f>WRo!$L$9</f>
        <v>1395.3333333333335</v>
      </c>
      <c r="AO8" s="1516">
        <f>Tr!$L$9</f>
        <v>1539.9999999999998</v>
      </c>
      <c r="AP8" s="1516">
        <f>WG!$L$9</f>
        <v>1393.0000000000002</v>
      </c>
      <c r="AQ8" s="1516">
        <f>Di!$L$9</f>
        <v>1260</v>
      </c>
      <c r="AR8" s="1516">
        <f>SW!$L$9</f>
        <v>1527.5</v>
      </c>
      <c r="AS8" s="1516">
        <f>'SG-Fu'!$L$9</f>
        <v>1194.0000000000002</v>
      </c>
      <c r="AT8" s="1516">
        <f>BG!$L$9</f>
        <v>1479.8</v>
      </c>
      <c r="AU8" s="1516">
        <f>Ha!$L$9</f>
        <v>1173.333333333333</v>
      </c>
      <c r="AV8" s="1516">
        <f>Du!$L$9</f>
        <v>1815</v>
      </c>
      <c r="AW8" s="1516">
        <f>KöM!$L$9</f>
        <v>2463.3333333333335</v>
      </c>
      <c r="AX8" s="1516"/>
      <c r="AY8" s="1516">
        <f>WR!$L$9</f>
        <v>2086.6666666666661</v>
      </c>
      <c r="AZ8" s="1516">
        <f>SR!$L$9</f>
        <v>1304.1666666666665</v>
      </c>
      <c r="BA8" s="1516">
        <f>SoBl!$L$9</f>
        <v>1354.9999999999998</v>
      </c>
      <c r="BB8" s="1516">
        <f>Soja!$L$9</f>
        <v>1413.0000000000002</v>
      </c>
      <c r="BC8" s="1516"/>
      <c r="BD8" s="1516">
        <f>FE!$L$9</f>
        <v>1048.8333333333335</v>
      </c>
      <c r="BE8" s="1516">
        <f>AB!$L$9</f>
        <v>1060.5</v>
      </c>
      <c r="BF8" s="1516">
        <f>Lu!$L$9</f>
        <v>665.83333333333337</v>
      </c>
      <c r="BG8" s="1516">
        <f>ZR!$L$9</f>
        <v>2148.6333333333332</v>
      </c>
      <c r="BH8" s="1516">
        <f>FrühKa!$L$9</f>
        <v>17080</v>
      </c>
      <c r="BI8" s="1516">
        <f>FrühKaFolieBer!$L$9</f>
        <v>19926.666666666668</v>
      </c>
      <c r="BJ8" s="1516">
        <f>SpKa!$L$9</f>
        <v>10260.199999999999</v>
      </c>
      <c r="BK8" s="1516">
        <f>SpKaBer!$L$9</f>
        <v>11914.166666666666</v>
      </c>
      <c r="BL8" s="1516">
        <v>0</v>
      </c>
      <c r="BM8" s="1516">
        <f>'FAKT-Brachebegrünung'!$L$9</f>
        <v>0</v>
      </c>
      <c r="BN8" s="1516">
        <f>Begr!$L$9</f>
        <v>0</v>
      </c>
      <c r="BO8" s="1518"/>
      <c r="BP8" s="1517">
        <f>'WW1'!$O$9</f>
        <v>2112.166666666667</v>
      </c>
      <c r="BQ8" s="1516">
        <f>'WW2'!$O$9</f>
        <v>2118</v>
      </c>
      <c r="BR8" s="1516">
        <f>'WW3'!$O$9</f>
        <v>2108</v>
      </c>
      <c r="BS8" s="1516">
        <f>'WW4'!$O$9</f>
        <v>2020.1000000000001</v>
      </c>
      <c r="BT8" s="1516">
        <f>WRo!$O$9</f>
        <v>1610.0000000000002</v>
      </c>
      <c r="BU8" s="1516">
        <f>Tr!$O$9</f>
        <v>1847.9999999999998</v>
      </c>
      <c r="BV8" s="1516">
        <f>WG!$O$9</f>
        <v>1691.5000000000002</v>
      </c>
      <c r="BW8" s="1516">
        <f>Di!$O$9</f>
        <v>1470</v>
      </c>
      <c r="BX8" s="1516">
        <f>SW!$O$9</f>
        <v>1762.5</v>
      </c>
      <c r="BY8" s="1516">
        <f>'SG-Fu'!$O$9</f>
        <v>1393.0000000000002</v>
      </c>
      <c r="BZ8" s="1516">
        <f>BG!$O$9</f>
        <v>1751.6</v>
      </c>
      <c r="CA8" s="1516">
        <f>Ha!$O$9</f>
        <v>1386.6666666666663</v>
      </c>
      <c r="CB8" s="1516">
        <f>Du!$O$9</f>
        <v>1980</v>
      </c>
      <c r="CC8" s="1516">
        <f>KöM!$O$9</f>
        <v>2956.0000000000005</v>
      </c>
      <c r="CD8" s="1516"/>
      <c r="CE8" s="1516">
        <f>WR!$O$9</f>
        <v>2608.333333333333</v>
      </c>
      <c r="CF8" s="1516">
        <f>SR!$O$9</f>
        <v>1564.9999999999998</v>
      </c>
      <c r="CG8" s="1516">
        <f>SoBl!$O$9</f>
        <v>1580.833333333333</v>
      </c>
      <c r="CH8" s="1516">
        <f>Soja!$O$9</f>
        <v>1779.3333333333337</v>
      </c>
      <c r="CI8" s="1516"/>
      <c r="CJ8" s="1516">
        <f>FE!$O$9</f>
        <v>1498.3333333333335</v>
      </c>
      <c r="CK8" s="1516">
        <f>AB!$O$9</f>
        <v>1515</v>
      </c>
      <c r="CL8" s="1516">
        <f>Lu!$O$9</f>
        <v>1065.3333333333335</v>
      </c>
      <c r="CM8" s="1516">
        <f>ZR!$O$9</f>
        <v>2501.8333333333335</v>
      </c>
      <c r="CN8" s="1516">
        <f>FrühKa!$O$9</f>
        <v>19926.666666666668</v>
      </c>
      <c r="CO8" s="1516">
        <f>FrühKaFolieBer!$O$9</f>
        <v>22773.333333333336</v>
      </c>
      <c r="CP8" s="1516">
        <f>SpKa!$O$9</f>
        <v>11213.333333333332</v>
      </c>
      <c r="CQ8" s="1516">
        <f>SpKaBer!$O$9</f>
        <v>13063.533333333333</v>
      </c>
      <c r="CR8" s="1516">
        <f>'Kultur A'!$O$9</f>
        <v>0</v>
      </c>
      <c r="CS8" s="1516">
        <f>'FAKT-Brachebegrünung'!$O$9</f>
        <v>0</v>
      </c>
      <c r="CT8" s="1516">
        <f>Begr!$O$9</f>
        <v>0</v>
      </c>
      <c r="CV8" s="1444" t="s">
        <v>1148</v>
      </c>
      <c r="CW8" s="1434" t="s">
        <v>171</v>
      </c>
      <c r="CX8" s="3613">
        <f>'Öko-KG1'!$I$9</f>
        <v>0</v>
      </c>
      <c r="CY8" s="1516">
        <f>'Öko-KG2'!$I$9</f>
        <v>0</v>
      </c>
      <c r="CZ8" s="1516">
        <f>'Öko-LU1'!$I$9</f>
        <v>0</v>
      </c>
      <c r="DA8" s="1516">
        <f>'Öko-LU2'!$I$9</f>
        <v>0</v>
      </c>
      <c r="DB8" s="1516">
        <f>'Öko-WW-Futter'!$I$9</f>
        <v>1126.0000000000002</v>
      </c>
      <c r="DC8" s="1516">
        <f>'Öko-WW-Brot'!$I$9</f>
        <v>1530</v>
      </c>
      <c r="DD8" s="1516">
        <f>'Öko-Dinkel'!$I$9</f>
        <v>1155</v>
      </c>
      <c r="DE8" s="1516">
        <f>'Öko-Dinkel,gegerbt'!$I$9</f>
        <v>1407.5862500000001</v>
      </c>
      <c r="DF8" s="1516">
        <f>'Öko-Roggen'!$I$9</f>
        <v>1089.0000000000002</v>
      </c>
      <c r="DG8" s="1516">
        <f>'Öko-Hafer'!$I$9</f>
        <v>1187</v>
      </c>
      <c r="DH8" s="1516">
        <f>'Öko-Wintergerste'!$I$9</f>
        <v>1077.0000000000002</v>
      </c>
      <c r="DI8" s="1516">
        <f>'Öko-Braugerste'!$I$9</f>
        <v>1188.7312499999998</v>
      </c>
      <c r="DJ8" s="1516">
        <f>'Öko-Körnermais'!$I$9</f>
        <v>2356.0000000000005</v>
      </c>
      <c r="DK8" s="1516">
        <f>'Öko-Ackerbohnen'!$I$9</f>
        <v>1462.9999999999998</v>
      </c>
      <c r="DL8" s="1516">
        <f>'Öko-Erbsen'!$I$9</f>
        <v>1224</v>
      </c>
      <c r="DM8" s="1516">
        <f>'Öko-Sojabohnen'!$I$9</f>
        <v>2246.5499999999997</v>
      </c>
      <c r="DN8" s="1516">
        <f>'Öko-Soblu'!$I$9</f>
        <v>1550.4</v>
      </c>
      <c r="DO8" s="1516">
        <f>'Öko-Raps'!$I$9</f>
        <v>909.33333333333337</v>
      </c>
      <c r="DP8" s="1516">
        <f>'Öko-Kartoffel'!$I$9</f>
        <v>9318.9999999999982</v>
      </c>
      <c r="DQ8" s="1516"/>
      <c r="DR8" s="1516">
        <f>Begrün.!$I$9</f>
        <v>0</v>
      </c>
      <c r="DS8" s="1516">
        <f>Blühm.!$I$9</f>
        <v>0</v>
      </c>
      <c r="DT8" s="1434"/>
      <c r="DU8" s="1516">
        <f>'Öko-KG1'!$L$9</f>
        <v>0</v>
      </c>
      <c r="DV8" s="1516">
        <f>'Öko-KG2'!$L$9</f>
        <v>0</v>
      </c>
      <c r="DW8" s="1516">
        <f>'Öko-LU1'!$L$9</f>
        <v>0</v>
      </c>
      <c r="DX8" s="1516">
        <f>'Öko-LU2'!$L$9</f>
        <v>0</v>
      </c>
      <c r="DY8" s="1517">
        <f>'Öko-WW-Futter'!$L$9</f>
        <v>1501.3333333333335</v>
      </c>
      <c r="DZ8" s="1516">
        <f>'Öko-WW-Brot'!$L$9</f>
        <v>2040</v>
      </c>
      <c r="EA8" s="1516">
        <f>'Öko-Dinkel'!$L$9</f>
        <v>1540</v>
      </c>
      <c r="EB8" s="1516">
        <f>'Öko-Dinkel,gegerbt'!$L$9</f>
        <v>1876.7816666666668</v>
      </c>
      <c r="EC8" s="1516">
        <f>'Öko-Roggen'!$L$9</f>
        <v>1452.0000000000002</v>
      </c>
      <c r="ED8" s="1516">
        <f>'Öko-Hafer'!$L$9</f>
        <v>1582.6666666666667</v>
      </c>
      <c r="EE8" s="1516">
        <f>'Öko-Wintergerste'!$L$9</f>
        <v>1436.0000000000002</v>
      </c>
      <c r="EF8" s="1516">
        <f>'Öko-Braugerste'!$L$9</f>
        <v>1584.9749999999999</v>
      </c>
      <c r="EG8" s="1516">
        <f>'Öko-Körnermais'!$L$9</f>
        <v>3141.3333333333339</v>
      </c>
      <c r="EH8" s="1516">
        <f>'Öko-Ackerbohnen'!$L$9</f>
        <v>1950.6666666666665</v>
      </c>
      <c r="EI8" s="1516">
        <f>'Öko-Erbsen'!$L$9</f>
        <v>1632</v>
      </c>
      <c r="EJ8" s="1516">
        <f>'Öko-Sojabohnen'!$L$9</f>
        <v>2643</v>
      </c>
      <c r="EK8" s="1516">
        <f>'Öko-Soblu'!$L$9</f>
        <v>2325.6000000000004</v>
      </c>
      <c r="EL8" s="1516">
        <f>'Öko-Raps'!$L$9</f>
        <v>1727.7333333333333</v>
      </c>
      <c r="EM8" s="1516">
        <f>'Öko-Kartoffel'!$L$9</f>
        <v>11648.749999999998</v>
      </c>
      <c r="EN8" s="1516"/>
      <c r="EO8" s="1516">
        <f>Begrün.!$L$9</f>
        <v>0</v>
      </c>
      <c r="EP8" s="1516">
        <f>Blühm.!$L$9</f>
        <v>0</v>
      </c>
      <c r="EQ8" s="1434"/>
      <c r="ER8" s="1516">
        <f>'Öko-KG1'!$O$9</f>
        <v>0</v>
      </c>
      <c r="ES8" s="1516">
        <f>'Öko-KG2'!$O$9</f>
        <v>0</v>
      </c>
      <c r="ET8" s="1516">
        <f>'Öko-LU1'!$O$9</f>
        <v>0</v>
      </c>
      <c r="EU8" s="1516">
        <f>'Öko-LU2'!$O$9</f>
        <v>0</v>
      </c>
      <c r="EV8" s="1517">
        <f>'Öko-WW-Futter'!$O$9</f>
        <v>2589.8000000000002</v>
      </c>
      <c r="EW8" s="1516">
        <f>'Öko-WW-Brot'!$O$9</f>
        <v>3060</v>
      </c>
      <c r="EX8" s="1516">
        <f>'Öko-Dinkel'!$O$9</f>
        <v>1980</v>
      </c>
      <c r="EY8" s="1516">
        <f>'Öko-Dinkel,gegerbt'!$O$9</f>
        <v>2345.9770833333332</v>
      </c>
      <c r="EZ8" s="1516">
        <f>'Öko-Roggen'!$O$9</f>
        <v>1815.0000000000002</v>
      </c>
      <c r="FA8" s="1516">
        <f>'Öko-Hafer'!$O$9</f>
        <v>1978.3333333333335</v>
      </c>
      <c r="FB8" s="1516">
        <f>'Öko-Wintergerste'!$O$9</f>
        <v>1795.0000000000002</v>
      </c>
      <c r="FC8" s="1516">
        <f>'Öko-Braugerste'!$O$9</f>
        <v>1981.2187499999998</v>
      </c>
      <c r="FD8" s="1516">
        <f>'Öko-Körnermais'!$O$9</f>
        <v>3926.6666666666674</v>
      </c>
      <c r="FE8" s="1516">
        <f>'Öko-Ackerbohnen'!$O$9</f>
        <v>2438.333333333333</v>
      </c>
      <c r="FF8" s="1516">
        <f>'Öko-Erbsen'!$O$9</f>
        <v>2040</v>
      </c>
      <c r="FG8" s="1516">
        <f>'Öko-Sojabohnen'!$O$9</f>
        <v>3039.45</v>
      </c>
      <c r="FH8" s="1516">
        <f>'Öko-Soblu'!$O$9</f>
        <v>3100.8</v>
      </c>
      <c r="FI8" s="1516">
        <f>'Öko-Raps'!$O$9</f>
        <v>2364.2666666666669</v>
      </c>
      <c r="FJ8" s="1516">
        <f>'Öko-Kartoffel'!$O$9</f>
        <v>13978.499999999998</v>
      </c>
      <c r="FK8" s="1516"/>
      <c r="FL8" s="1516">
        <f>Begrün.!$O$9</f>
        <v>0</v>
      </c>
      <c r="FM8" s="1516">
        <f>Blühm.!$O$9</f>
        <v>0</v>
      </c>
    </row>
    <row r="9" spans="1:169" ht="16.149999999999999" customHeight="1">
      <c r="A9" s="1440">
        <f>ROWS($A$1:A9)</f>
        <v>9</v>
      </c>
      <c r="B9" s="1444" t="s">
        <v>1147</v>
      </c>
      <c r="D9" s="3613">
        <f>'WW1'!$R$10</f>
        <v>476.66666666666663</v>
      </c>
      <c r="E9" s="1516">
        <f>'WW2'!$R$10</f>
        <v>0</v>
      </c>
      <c r="F9" s="1516">
        <f>'WW3'!$R$10</f>
        <v>0</v>
      </c>
      <c r="G9" s="1516">
        <f>'WW4'!$R$10</f>
        <v>0</v>
      </c>
      <c r="H9" s="1516">
        <f>WRo!$R$10</f>
        <v>0</v>
      </c>
      <c r="I9" s="1516">
        <f>Tr!$R$10</f>
        <v>0</v>
      </c>
      <c r="J9" s="1516">
        <f>WG!$R$10</f>
        <v>0</v>
      </c>
      <c r="K9" s="1516">
        <f>Di!$R$10</f>
        <v>0</v>
      </c>
      <c r="L9" s="1516">
        <f>SW!$R$10</f>
        <v>0</v>
      </c>
      <c r="M9" s="1516">
        <f>'SG-Fu'!$R$10</f>
        <v>0</v>
      </c>
      <c r="N9" s="1516">
        <f>BG!$R$10</f>
        <v>99.500000000000014</v>
      </c>
      <c r="O9" s="1516">
        <f>Ha!$R$10</f>
        <v>0</v>
      </c>
      <c r="P9" s="1516">
        <f>Du!$R$10</f>
        <v>0</v>
      </c>
      <c r="Q9" s="1516">
        <f>KöM!$R$10</f>
        <v>0</v>
      </c>
      <c r="R9" s="1516"/>
      <c r="S9" s="1516">
        <f>WR!$R$10</f>
        <v>0</v>
      </c>
      <c r="T9" s="1516">
        <f>SR!$R$10</f>
        <v>0</v>
      </c>
      <c r="U9" s="1516">
        <f>SoBl!$R$10</f>
        <v>0</v>
      </c>
      <c r="V9" s="1516">
        <f>Soja!$R$10</f>
        <v>0</v>
      </c>
      <c r="W9" s="1516"/>
      <c r="X9" s="1516">
        <f>FE!$R$10</f>
        <v>0</v>
      </c>
      <c r="Y9" s="1516">
        <f>AB!$R$10</f>
        <v>0</v>
      </c>
      <c r="Z9" s="1516">
        <f>Lu!$R$10</f>
        <v>0</v>
      </c>
      <c r="AA9" s="1516">
        <f>ZR!$R$10</f>
        <v>655.00000000000011</v>
      </c>
      <c r="AB9" s="1516">
        <f>FrühKa!$R$10</f>
        <v>0</v>
      </c>
      <c r="AC9" s="1516">
        <f>FrühKaFolieBer!$R$10</f>
        <v>0</v>
      </c>
      <c r="AD9" s="1516">
        <f>SpKa!$R$10</f>
        <v>35</v>
      </c>
      <c r="AE9" s="1516">
        <f>SpKaBer!$R$10</f>
        <v>67</v>
      </c>
      <c r="AF9" s="1516">
        <f>'Kultur A'!$R$10</f>
        <v>0</v>
      </c>
      <c r="AG9" s="1516">
        <f>'FAKT-Brachebegrünung'!$R$10</f>
        <v>0</v>
      </c>
      <c r="AH9" s="1516">
        <f>Begr!$R$10</f>
        <v>0</v>
      </c>
      <c r="AI9" s="1518"/>
      <c r="AJ9" s="1517">
        <f>'WW1'!$S$10</f>
        <v>586.66666666666663</v>
      </c>
      <c r="AK9" s="1516">
        <f>'WW2'!$S$10</f>
        <v>0</v>
      </c>
      <c r="AL9" s="1516">
        <f>'WW3'!$S$10</f>
        <v>0</v>
      </c>
      <c r="AM9" s="1516">
        <f>'WW4'!$S$10</f>
        <v>0</v>
      </c>
      <c r="AN9" s="1516">
        <f>WRo!$S$10</f>
        <v>0</v>
      </c>
      <c r="AO9" s="1516">
        <f>Tr!$S$10</f>
        <v>0</v>
      </c>
      <c r="AP9" s="1516">
        <f>WG!$S$10</f>
        <v>0</v>
      </c>
      <c r="AQ9" s="1516">
        <f>Di!$S$10</f>
        <v>0</v>
      </c>
      <c r="AR9" s="1516">
        <f>SW!$S$10</f>
        <v>0</v>
      </c>
      <c r="AS9" s="1516">
        <f>'SG-Fu'!$S$10</f>
        <v>0</v>
      </c>
      <c r="AT9" s="1516">
        <f>BG!$S$10</f>
        <v>119.4</v>
      </c>
      <c r="AU9" s="1516">
        <f>Ha!$S$10</f>
        <v>0</v>
      </c>
      <c r="AV9" s="1516">
        <f>Du!$S$10</f>
        <v>0</v>
      </c>
      <c r="AW9" s="1516">
        <f>KöM!$S$10</f>
        <v>0</v>
      </c>
      <c r="AX9" s="1516"/>
      <c r="AY9" s="1516">
        <f>WR!$S$10</f>
        <v>0</v>
      </c>
      <c r="AZ9" s="1516">
        <f>SR!$S$10</f>
        <v>0</v>
      </c>
      <c r="BA9" s="1516">
        <f>SoBl!$S$10</f>
        <v>0</v>
      </c>
      <c r="BB9" s="1516">
        <f>Soja!$S$10</f>
        <v>0</v>
      </c>
      <c r="BC9" s="1516"/>
      <c r="BD9" s="1516">
        <f>FE!$S$10</f>
        <v>0</v>
      </c>
      <c r="BE9" s="1516">
        <f>AB!$S$10</f>
        <v>0</v>
      </c>
      <c r="BF9" s="1516">
        <f>Lu!$S$10</f>
        <v>0</v>
      </c>
      <c r="BG9" s="1516">
        <f>ZR!$S$10</f>
        <v>43.666666666666671</v>
      </c>
      <c r="BH9" s="1516">
        <f>FrühKa!$S$10</f>
        <v>0</v>
      </c>
      <c r="BI9" s="1516">
        <f>FrühKaFolieBer!$S$10</f>
        <v>0</v>
      </c>
      <c r="BJ9" s="1516">
        <f>SpKa!$S$10</f>
        <v>84</v>
      </c>
      <c r="BK9" s="1516">
        <f>SpKaBer!$S$10</f>
        <v>75</v>
      </c>
      <c r="BL9" s="1516">
        <v>0</v>
      </c>
      <c r="BM9" s="1516">
        <f>'FAKT-Brachebegrünung'!$S$10</f>
        <v>0</v>
      </c>
      <c r="BN9" s="1516">
        <f>Begr!$S$10</f>
        <v>0</v>
      </c>
      <c r="BO9" s="1518"/>
      <c r="BP9" s="1517">
        <f>'WW1'!$T$10</f>
        <v>696.66666666666663</v>
      </c>
      <c r="BQ9" s="1516">
        <f>'WW2'!$T$10</f>
        <v>0</v>
      </c>
      <c r="BR9" s="1516">
        <f>'WW3'!$T$10</f>
        <v>0</v>
      </c>
      <c r="BS9" s="1516">
        <f>'WW4'!$T$10</f>
        <v>0</v>
      </c>
      <c r="BT9" s="1516">
        <f>WRo!$T$10</f>
        <v>0</v>
      </c>
      <c r="BU9" s="1516">
        <f>Tr!$T$10</f>
        <v>0</v>
      </c>
      <c r="BV9" s="1516">
        <f>WG!$T$10</f>
        <v>0</v>
      </c>
      <c r="BW9" s="1516">
        <f>Di!$T$10</f>
        <v>0</v>
      </c>
      <c r="BX9" s="1516">
        <f>SW!$T$10</f>
        <v>0</v>
      </c>
      <c r="BY9" s="1516">
        <f>'SG-Fu'!$T$10</f>
        <v>0</v>
      </c>
      <c r="BZ9" s="1516">
        <f>BG!$T$10</f>
        <v>139.30000000000001</v>
      </c>
      <c r="CA9" s="1516">
        <f>Ha!$T$10</f>
        <v>0</v>
      </c>
      <c r="CB9" s="1516">
        <f>Du!$T$10</f>
        <v>0</v>
      </c>
      <c r="CC9" s="1516">
        <f>KöM!$T$10</f>
        <v>0</v>
      </c>
      <c r="CD9" s="1516"/>
      <c r="CE9" s="1516">
        <f>WR!$T$10</f>
        <v>0</v>
      </c>
      <c r="CF9" s="1516">
        <f>SR!$T$10</f>
        <v>0</v>
      </c>
      <c r="CG9" s="1516">
        <f>SoBl!$T$10</f>
        <v>0</v>
      </c>
      <c r="CH9" s="1516">
        <f>Soja!$T$10</f>
        <v>0</v>
      </c>
      <c r="CI9" s="1516"/>
      <c r="CJ9" s="1516">
        <f>FE!$T$10</f>
        <v>0</v>
      </c>
      <c r="CK9" s="1516">
        <f>AB!$T$10</f>
        <v>0</v>
      </c>
      <c r="CL9" s="1516">
        <f>Lu!$T$10</f>
        <v>0</v>
      </c>
      <c r="CM9" s="1516">
        <f>ZR!$T$10</f>
        <v>0</v>
      </c>
      <c r="CN9" s="1516">
        <f>FrühKa!$T$10</f>
        <v>0</v>
      </c>
      <c r="CO9" s="1516">
        <f>FrühKaFolieBer!$T$10</f>
        <v>0</v>
      </c>
      <c r="CP9" s="1516">
        <f>SpKa!$T$10</f>
        <v>100</v>
      </c>
      <c r="CQ9" s="1516">
        <f>SpKaBer!$T$10</f>
        <v>84</v>
      </c>
      <c r="CR9" s="1516">
        <f>'Kultur A'!$T$10</f>
        <v>0</v>
      </c>
      <c r="CS9" s="1516">
        <f>'FAKT-Brachebegrünung'!$T$10</f>
        <v>0</v>
      </c>
      <c r="CT9" s="1516">
        <f>Begr!$T$10</f>
        <v>0</v>
      </c>
      <c r="CV9" s="1444" t="s">
        <v>1147</v>
      </c>
      <c r="CW9" s="1434"/>
      <c r="CX9" s="3613">
        <f>'Öko-KG1'!$R$10</f>
        <v>0</v>
      </c>
      <c r="CY9" s="1516">
        <f>'Öko-KG2'!$R$10</f>
        <v>0</v>
      </c>
      <c r="CZ9" s="1516">
        <f>'Öko-LU1'!$R$10</f>
        <v>0</v>
      </c>
      <c r="DA9" s="1516">
        <f>'Öko-LU2'!$R$10</f>
        <v>0</v>
      </c>
      <c r="DB9" s="1516">
        <f>'Öko-WW-Futter'!$R$10</f>
        <v>288</v>
      </c>
      <c r="DC9" s="1516">
        <f>'Öko-WW-Brot'!$R$10</f>
        <v>288</v>
      </c>
      <c r="DD9" s="1516">
        <f>'Öko-Dinkel'!$R$10</f>
        <v>252</v>
      </c>
      <c r="DE9" s="1516">
        <f>'Öko-Dinkel,gegerbt'!$R$10</f>
        <v>468.56249999999994</v>
      </c>
      <c r="DF9" s="1516">
        <f>'Öko-Roggen'!$R$10</f>
        <v>324</v>
      </c>
      <c r="DG9" s="1516">
        <f>'Öko-Hafer'!$R$10</f>
        <v>324</v>
      </c>
      <c r="DH9" s="1516">
        <f>'Öko-Wintergerste'!$R$10</f>
        <v>324</v>
      </c>
      <c r="DI9" s="1516">
        <f>'Öko-Braugerste'!$R$10</f>
        <v>377.73750000000001</v>
      </c>
      <c r="DJ9" s="1516">
        <f>'Öko-Körnermais'!$R$10</f>
        <v>0</v>
      </c>
      <c r="DK9" s="1516">
        <f>'Öko-Ackerbohnen'!$R$10</f>
        <v>0</v>
      </c>
      <c r="DL9" s="1516">
        <f>'Öko-Erbsen'!$R$10</f>
        <v>0</v>
      </c>
      <c r="DM9" s="1516">
        <f>'Öko-Sojabohnen'!$R$10</f>
        <v>0</v>
      </c>
      <c r="DN9" s="1516">
        <f>'Öko-Soblu'!$R$10</f>
        <v>0</v>
      </c>
      <c r="DO9" s="1516">
        <f>'Öko-Raps'!$R$10</f>
        <v>0</v>
      </c>
      <c r="DP9" s="1516">
        <f>'Öko-Kartoffel'!$R$10</f>
        <v>200</v>
      </c>
      <c r="DQ9" s="1516"/>
      <c r="DR9" s="1516">
        <f>Begrün.!$R$10</f>
        <v>0</v>
      </c>
      <c r="DS9" s="1516">
        <f>Blühm.!$R$10</f>
        <v>0</v>
      </c>
      <c r="DT9" s="1434"/>
      <c r="DU9" s="1516">
        <f>'Öko-KG1'!$S$10</f>
        <v>0</v>
      </c>
      <c r="DV9" s="1516">
        <f>'Öko-KG2'!$S$10</f>
        <v>0</v>
      </c>
      <c r="DW9" s="1516">
        <f>'Öko-LU1'!$S$10</f>
        <v>0</v>
      </c>
      <c r="DX9" s="1516">
        <f>'Öko-LU2'!$S$10</f>
        <v>0</v>
      </c>
      <c r="DY9" s="1517">
        <f>'Öko-WW-Futter'!$S$10</f>
        <v>384</v>
      </c>
      <c r="DZ9" s="1516">
        <f>'Öko-WW-Brot'!$S$10</f>
        <v>384</v>
      </c>
      <c r="EA9" s="1516">
        <f>'Öko-Dinkel'!$S$10</f>
        <v>336</v>
      </c>
      <c r="EB9" s="1516">
        <f>'Öko-Dinkel,gegerbt'!$S$10</f>
        <v>624.75</v>
      </c>
      <c r="EC9" s="1516">
        <f>'Öko-Roggen'!$S$10</f>
        <v>432</v>
      </c>
      <c r="ED9" s="1516">
        <f>'Öko-Hafer'!$S$10</f>
        <v>432</v>
      </c>
      <c r="EE9" s="1516">
        <f>'Öko-Wintergerste'!$S$10</f>
        <v>432</v>
      </c>
      <c r="EF9" s="1516">
        <f>'Öko-Braugerste'!$S$10</f>
        <v>503.65000000000003</v>
      </c>
      <c r="EG9" s="1516">
        <f>'Öko-Körnermais'!$S$10</f>
        <v>0</v>
      </c>
      <c r="EH9" s="1516">
        <f>'Öko-Ackerbohnen'!$S$10</f>
        <v>0</v>
      </c>
      <c r="EI9" s="1516">
        <f>'Öko-Erbsen'!$S$10</f>
        <v>0</v>
      </c>
      <c r="EJ9" s="1516">
        <f>'Öko-Sojabohnen'!$S$10</f>
        <v>0</v>
      </c>
      <c r="EK9" s="1516">
        <f>'Öko-Soblu'!$S$10</f>
        <v>0</v>
      </c>
      <c r="EL9" s="1516">
        <f>'Öko-Raps'!$S$10</f>
        <v>0</v>
      </c>
      <c r="EM9" s="1516">
        <f>'Öko-Kartoffel'!$S$10</f>
        <v>250</v>
      </c>
      <c r="EN9" s="1516"/>
      <c r="EO9" s="1516">
        <f>Begrün.!$S$10</f>
        <v>0</v>
      </c>
      <c r="EP9" s="1516">
        <f>Blühm.!$S$10</f>
        <v>0</v>
      </c>
      <c r="EQ9" s="1434"/>
      <c r="ER9" s="1516">
        <f>'Öko-KG1'!$T$10</f>
        <v>0</v>
      </c>
      <c r="ES9" s="1516">
        <f>'Öko-KG2'!$T$10</f>
        <v>0</v>
      </c>
      <c r="ET9" s="1516">
        <f>'Öko-LU1'!$T$10</f>
        <v>0</v>
      </c>
      <c r="EU9" s="1516">
        <f>'Öko-LU2'!$T$10</f>
        <v>0</v>
      </c>
      <c r="EV9" s="1517">
        <f>'Öko-WW-Futter'!$T$10</f>
        <v>662.40000000000009</v>
      </c>
      <c r="EW9" s="1516">
        <f>'Öko-WW-Brot'!$T$10</f>
        <v>576</v>
      </c>
      <c r="EX9" s="1516">
        <f>'Öko-Dinkel'!$T$10</f>
        <v>432</v>
      </c>
      <c r="EY9" s="1516">
        <f>'Öko-Dinkel,gegerbt'!$T$10</f>
        <v>780.9375</v>
      </c>
      <c r="EZ9" s="1516">
        <f>'Öko-Roggen'!$T$10</f>
        <v>540</v>
      </c>
      <c r="FA9" s="1516">
        <f>'Öko-Hafer'!$T$10</f>
        <v>540</v>
      </c>
      <c r="FB9" s="1516">
        <f>'Öko-Wintergerste'!$T$10</f>
        <v>540</v>
      </c>
      <c r="FC9" s="1516">
        <f>'Öko-Braugerste'!$T$10</f>
        <v>629.5625</v>
      </c>
      <c r="FD9" s="1516">
        <f>'Öko-Körnermais'!$T$10</f>
        <v>0</v>
      </c>
      <c r="FE9" s="1516">
        <f>'Öko-Ackerbohnen'!$T$10</f>
        <v>0</v>
      </c>
      <c r="FF9" s="1516">
        <f>'Öko-Erbsen'!$T$10</f>
        <v>0</v>
      </c>
      <c r="FG9" s="1516">
        <f>'Öko-Sojabohnen'!$T$10</f>
        <v>0</v>
      </c>
      <c r="FH9" s="1516">
        <f>'Öko-Soblu'!$T$10</f>
        <v>0</v>
      </c>
      <c r="FI9" s="1516">
        <f>'Öko-Raps'!$T$10</f>
        <v>0</v>
      </c>
      <c r="FJ9" s="1516">
        <f>'Öko-Kartoffel'!$T$10</f>
        <v>300</v>
      </c>
      <c r="FK9" s="1516"/>
      <c r="FL9" s="1516">
        <f>Begrün.!$T$10</f>
        <v>0</v>
      </c>
      <c r="FM9" s="1516">
        <f>Blühm.!$T$10</f>
        <v>0</v>
      </c>
    </row>
    <row r="10" spans="1:169" ht="16.149999999999999" customHeight="1">
      <c r="A10" s="1440">
        <f>ROWS($A$1:A10)</f>
        <v>10</v>
      </c>
      <c r="B10" s="1444" t="s">
        <v>1146</v>
      </c>
      <c r="C10" s="1443"/>
      <c r="D10" s="3610">
        <f>'WW1'!$J$22</f>
        <v>0</v>
      </c>
      <c r="E10" s="1445">
        <f>'WW2'!$J$22</f>
        <v>0</v>
      </c>
      <c r="F10" s="1445">
        <f>'WW3'!$J$22</f>
        <v>0</v>
      </c>
      <c r="G10" s="1445">
        <f>'WW4'!$J$22</f>
        <v>0</v>
      </c>
      <c r="H10" s="1445">
        <f>WRo!$J$22</f>
        <v>0</v>
      </c>
      <c r="I10" s="1445">
        <f>Tr!$J$22</f>
        <v>0</v>
      </c>
      <c r="J10" s="1445">
        <f>WG!$J$22</f>
        <v>0</v>
      </c>
      <c r="K10" s="1445">
        <f>Di!$J$22</f>
        <v>0</v>
      </c>
      <c r="L10" s="1445">
        <f>SW!$J$22</f>
        <v>0</v>
      </c>
      <c r="M10" s="1445">
        <f>'SG-Fu'!$J$22</f>
        <v>0</v>
      </c>
      <c r="N10" s="1445">
        <f>BG!$J$22</f>
        <v>0</v>
      </c>
      <c r="O10" s="1445">
        <f>Ha!$J$22</f>
        <v>0</v>
      </c>
      <c r="P10" s="1445">
        <f>Du!$J$22</f>
        <v>0</v>
      </c>
      <c r="Q10" s="1445">
        <f>KöM!$J$22</f>
        <v>0</v>
      </c>
      <c r="R10" s="1445"/>
      <c r="S10" s="1445">
        <f>WR!$J$22</f>
        <v>0</v>
      </c>
      <c r="T10" s="1445">
        <f>SR!$J$22</f>
        <v>0</v>
      </c>
      <c r="U10" s="1445">
        <f>SoBl!$J$22</f>
        <v>0</v>
      </c>
      <c r="V10" s="1445">
        <f>Soja!$J$22</f>
        <v>0</v>
      </c>
      <c r="W10" s="1445"/>
      <c r="X10" s="1445">
        <f>FE!$J$22</f>
        <v>0</v>
      </c>
      <c r="Y10" s="1445">
        <f>AB!$J$22</f>
        <v>0</v>
      </c>
      <c r="Z10" s="1445">
        <f>Lu!$J$22</f>
        <v>0</v>
      </c>
      <c r="AA10" s="1445">
        <f>ZR!$J$22</f>
        <v>0</v>
      </c>
      <c r="AB10" s="1445">
        <f>FrühKa!$J$22</f>
        <v>0</v>
      </c>
      <c r="AC10" s="1445">
        <f>FrühKaFolieBer!$J$22</f>
        <v>0</v>
      </c>
      <c r="AD10" s="1445">
        <f>SpKa!$J$22</f>
        <v>0</v>
      </c>
      <c r="AE10" s="1445">
        <f>SpKaBer!$J$22</f>
        <v>0</v>
      </c>
      <c r="AF10" s="1445">
        <f>'Kultur A'!$J$22</f>
        <v>0</v>
      </c>
      <c r="AG10" s="1445">
        <f>'FAKT-Brachebegrünung'!$J$22</f>
        <v>0</v>
      </c>
      <c r="AH10" s="1445">
        <f>Begr!$J$22</f>
        <v>0</v>
      </c>
      <c r="AI10" s="1442"/>
      <c r="AJ10" s="1443">
        <f>'WW1'!$M$22</f>
        <v>0</v>
      </c>
      <c r="AK10" s="1445">
        <f>'WW2'!$M$22</f>
        <v>0</v>
      </c>
      <c r="AL10" s="1445">
        <f>'WW3'!$M$22</f>
        <v>0</v>
      </c>
      <c r="AM10" s="1445">
        <f>'WW4'!$M$22</f>
        <v>0</v>
      </c>
      <c r="AN10" s="1445">
        <f>WRo!$M$22</f>
        <v>0</v>
      </c>
      <c r="AO10" s="1445">
        <f>Tr!$M$22</f>
        <v>0</v>
      </c>
      <c r="AP10" s="1445">
        <f>WG!$M$22</f>
        <v>0</v>
      </c>
      <c r="AQ10" s="1445">
        <f>Di!$M$22</f>
        <v>0</v>
      </c>
      <c r="AR10" s="1445">
        <f>SW!$M$22</f>
        <v>0</v>
      </c>
      <c r="AS10" s="1445">
        <f>'SG-Fu'!$M$22</f>
        <v>0</v>
      </c>
      <c r="AT10" s="1445">
        <f>BG!$M$22</f>
        <v>0</v>
      </c>
      <c r="AU10" s="1445">
        <f>Ha!$M$22</f>
        <v>0</v>
      </c>
      <c r="AV10" s="1445">
        <f>Du!$M$22</f>
        <v>0</v>
      </c>
      <c r="AW10" s="1445">
        <f>KöM!$M$22</f>
        <v>0</v>
      </c>
      <c r="AX10" s="1445"/>
      <c r="AY10" s="1445">
        <f>WR!$M$22</f>
        <v>0</v>
      </c>
      <c r="AZ10" s="1445">
        <f>SR!$M$22</f>
        <v>0</v>
      </c>
      <c r="BA10" s="1445">
        <f>SoBl!$M$22</f>
        <v>0</v>
      </c>
      <c r="BB10" s="1445">
        <f>Soja!$M$22</f>
        <v>0</v>
      </c>
      <c r="BC10" s="1445"/>
      <c r="BD10" s="1445">
        <f>FE!$M$22</f>
        <v>0</v>
      </c>
      <c r="BE10" s="1445">
        <f>AB!$M$22</f>
        <v>0</v>
      </c>
      <c r="BF10" s="1445">
        <f>Lu!$M$22</f>
        <v>0</v>
      </c>
      <c r="BG10" s="1445">
        <f>ZR!$M$22</f>
        <v>0</v>
      </c>
      <c r="BH10" s="1445">
        <f>FrühKa!$M$22</f>
        <v>0</v>
      </c>
      <c r="BI10" s="1445">
        <f>FrühKaFolieBer!$M$22</f>
        <v>0</v>
      </c>
      <c r="BJ10" s="1445">
        <f>SpKa!$M$22</f>
        <v>0</v>
      </c>
      <c r="BK10" s="1445">
        <f>SpKaBer!$M$22</f>
        <v>0</v>
      </c>
      <c r="BL10" s="1445">
        <v>0</v>
      </c>
      <c r="BM10" s="1445">
        <f>'FAKT-Brachebegrünung'!$M$22</f>
        <v>0</v>
      </c>
      <c r="BN10" s="1445">
        <f>Begr!$M$22</f>
        <v>0</v>
      </c>
      <c r="BO10" s="1442"/>
      <c r="BP10" s="1443">
        <f>'WW1'!$P$22</f>
        <v>0</v>
      </c>
      <c r="BQ10" s="1445">
        <f>'WW2'!$P$22</f>
        <v>0</v>
      </c>
      <c r="BR10" s="1445">
        <f>'WW3'!$P$22</f>
        <v>0</v>
      </c>
      <c r="BS10" s="1445">
        <f>'WW4'!$P$22</f>
        <v>0</v>
      </c>
      <c r="BT10" s="1445">
        <f>WRo!$P$22</f>
        <v>0</v>
      </c>
      <c r="BU10" s="1445">
        <f>Tr!$P$22</f>
        <v>0</v>
      </c>
      <c r="BV10" s="1445">
        <f>WG!$P$22</f>
        <v>0</v>
      </c>
      <c r="BW10" s="1445">
        <f>Di!$P$22</f>
        <v>0</v>
      </c>
      <c r="BX10" s="1445">
        <f>SW!$P$22</f>
        <v>0</v>
      </c>
      <c r="BY10" s="1445">
        <f>'SG-Fu'!$P$22</f>
        <v>0</v>
      </c>
      <c r="BZ10" s="1445">
        <f>BG!$P$22</f>
        <v>0</v>
      </c>
      <c r="CA10" s="1445">
        <f>Ha!$P$22</f>
        <v>0</v>
      </c>
      <c r="CB10" s="1445">
        <f>Du!$P$22</f>
        <v>0</v>
      </c>
      <c r="CC10" s="1445">
        <f>KöM!$P$22</f>
        <v>0</v>
      </c>
      <c r="CD10" s="1445"/>
      <c r="CE10" s="1445">
        <f>WR!$P$22</f>
        <v>0</v>
      </c>
      <c r="CF10" s="1445">
        <f>SR!$P$22</f>
        <v>0</v>
      </c>
      <c r="CG10" s="1445">
        <f>SoBl!$P$22</f>
        <v>0</v>
      </c>
      <c r="CH10" s="1445">
        <f>Soja!$P$22</f>
        <v>0</v>
      </c>
      <c r="CI10" s="1445"/>
      <c r="CJ10" s="1445">
        <f>FE!$P$22</f>
        <v>0</v>
      </c>
      <c r="CK10" s="1445">
        <f>AB!$P$22</f>
        <v>0</v>
      </c>
      <c r="CL10" s="1445">
        <f>Lu!$P$22</f>
        <v>0</v>
      </c>
      <c r="CM10" s="1445">
        <f>ZR!$P$22</f>
        <v>0</v>
      </c>
      <c r="CN10" s="1445">
        <f>FrühKa!$P$22</f>
        <v>0</v>
      </c>
      <c r="CO10" s="1445">
        <f>FrühKaFolieBer!$P$22</f>
        <v>0</v>
      </c>
      <c r="CP10" s="1445">
        <f>SpKa!$P$22</f>
        <v>0</v>
      </c>
      <c r="CQ10" s="1445">
        <f>SpKaBer!$P$22</f>
        <v>0</v>
      </c>
      <c r="CR10" s="1445">
        <f>'Kultur A'!$P$22</f>
        <v>0</v>
      </c>
      <c r="CS10" s="1445">
        <f>'FAKT-Brachebegrünung'!$P$22</f>
        <v>0</v>
      </c>
      <c r="CT10" s="1445">
        <f>Begr!$P$22</f>
        <v>0</v>
      </c>
      <c r="CV10" s="1444" t="s">
        <v>1146</v>
      </c>
      <c r="CW10" s="1443"/>
      <c r="CX10" s="3610">
        <f>'Öko-KG1'!$J$22</f>
        <v>0</v>
      </c>
      <c r="CY10" s="1445">
        <f>'Öko-KG2'!$J$22</f>
        <v>0</v>
      </c>
      <c r="CZ10" s="1445">
        <f>'Öko-LU1'!$J$22</f>
        <v>0</v>
      </c>
      <c r="DA10" s="1445">
        <f>'Öko-LU2'!$J$22</f>
        <v>0</v>
      </c>
      <c r="DB10" s="1445">
        <f>'Öko-WW-Futter'!$J$22</f>
        <v>0</v>
      </c>
      <c r="DC10" s="1445">
        <f>'Öko-WW-Brot'!$J$22</f>
        <v>0</v>
      </c>
      <c r="DD10" s="1445">
        <f>'Öko-Dinkel'!$J$22</f>
        <v>0</v>
      </c>
      <c r="DE10" s="1445">
        <f>'Öko-Dinkel,gegerbt'!$J$22</f>
        <v>0</v>
      </c>
      <c r="DF10" s="1445">
        <f>'Öko-Roggen'!$J$22</f>
        <v>0</v>
      </c>
      <c r="DG10" s="1445">
        <f>'Öko-Hafer'!$J$22</f>
        <v>0</v>
      </c>
      <c r="DH10" s="1445">
        <f>'Öko-Wintergerste'!$J$22</f>
        <v>0</v>
      </c>
      <c r="DI10" s="1445">
        <f>'Öko-Braugerste'!$J$22</f>
        <v>0</v>
      </c>
      <c r="DJ10" s="1445">
        <f>'Öko-Körnermais'!$J$22</f>
        <v>0</v>
      </c>
      <c r="DK10" s="1445">
        <f>'Öko-Ackerbohnen'!$J$22</f>
        <v>0</v>
      </c>
      <c r="DL10" s="1445">
        <f>'Öko-Erbsen'!$J$22</f>
        <v>0</v>
      </c>
      <c r="DM10" s="1445">
        <f>'Öko-Sojabohnen'!$J$22</f>
        <v>0</v>
      </c>
      <c r="DN10" s="1445">
        <f>'Öko-Soblu'!$J$22</f>
        <v>0</v>
      </c>
      <c r="DO10" s="1445">
        <f>'Öko-Raps'!$J$22</f>
        <v>0</v>
      </c>
      <c r="DP10" s="1445">
        <f>'Öko-Kartoffel'!$J$22</f>
        <v>0</v>
      </c>
      <c r="DQ10" s="1445"/>
      <c r="DR10" s="1445">
        <f>Begrün.!$J$22</f>
        <v>0</v>
      </c>
      <c r="DS10" s="1445">
        <f>Blühm.!$J$22</f>
        <v>0</v>
      </c>
      <c r="DT10" s="1434"/>
      <c r="DU10" s="1445">
        <f>'Öko-KG1'!$M$22</f>
        <v>0</v>
      </c>
      <c r="DV10" s="1445">
        <f>'Öko-KG2'!$M$22</f>
        <v>0</v>
      </c>
      <c r="DW10" s="1445">
        <f>'Öko-LU1'!$M$22</f>
        <v>0</v>
      </c>
      <c r="DX10" s="1445">
        <f>'Öko-LU2'!$M$22</f>
        <v>0</v>
      </c>
      <c r="DY10" s="1443">
        <f>'Öko-WW-Futter'!$M$22</f>
        <v>0</v>
      </c>
      <c r="DZ10" s="1445">
        <f>'Öko-WW-Brot'!$M$22</f>
        <v>0</v>
      </c>
      <c r="EA10" s="1445">
        <f>'Öko-Dinkel'!$M$22</f>
        <v>0</v>
      </c>
      <c r="EB10" s="1445">
        <f>'Öko-Dinkel,gegerbt'!$M$22</f>
        <v>0</v>
      </c>
      <c r="EC10" s="1445">
        <f>'Öko-Roggen'!$M$22</f>
        <v>0</v>
      </c>
      <c r="ED10" s="1445">
        <f>'Öko-Hafer'!$M$22</f>
        <v>0</v>
      </c>
      <c r="EE10" s="1445">
        <f>'Öko-Wintergerste'!$M$22</f>
        <v>0</v>
      </c>
      <c r="EF10" s="1445">
        <f>'Öko-Braugerste'!$M$22</f>
        <v>0</v>
      </c>
      <c r="EG10" s="1445">
        <f>'Öko-Körnermais'!$M$22</f>
        <v>0</v>
      </c>
      <c r="EH10" s="1445">
        <f>'Öko-Ackerbohnen'!$M$22</f>
        <v>0</v>
      </c>
      <c r="EI10" s="1445">
        <f>'Öko-Erbsen'!$M$22</f>
        <v>0</v>
      </c>
      <c r="EJ10" s="1445">
        <f>'Öko-Sojabohnen'!$M$22</f>
        <v>0</v>
      </c>
      <c r="EK10" s="1445">
        <f>'Öko-Soblu'!$M$22</f>
        <v>0</v>
      </c>
      <c r="EL10" s="1445">
        <f>'Öko-Raps'!$M$22</f>
        <v>0</v>
      </c>
      <c r="EM10" s="1445">
        <f>'Öko-Kartoffel'!$M$22</f>
        <v>0</v>
      </c>
      <c r="EN10" s="1445"/>
      <c r="EO10" s="1445">
        <f>Begrün.!$M$22</f>
        <v>0</v>
      </c>
      <c r="EP10" s="1445">
        <f>Blühm.!$M$22</f>
        <v>0</v>
      </c>
      <c r="EQ10" s="1434"/>
      <c r="ER10" s="1445">
        <f>'Öko-KG1'!$P$22</f>
        <v>0</v>
      </c>
      <c r="ES10" s="1445">
        <f>'Öko-KG2'!$P$22</f>
        <v>0</v>
      </c>
      <c r="ET10" s="1445">
        <f>'Öko-LU1'!$P$22</f>
        <v>0</v>
      </c>
      <c r="EU10" s="1445">
        <f>'Öko-LU2'!$P$22</f>
        <v>0</v>
      </c>
      <c r="EV10" s="1443">
        <f>'Öko-WW-Futter'!$P$22</f>
        <v>0</v>
      </c>
      <c r="EW10" s="1445">
        <f>'Öko-WW-Brot'!$P$22</f>
        <v>0</v>
      </c>
      <c r="EX10" s="1445">
        <f>'Öko-Dinkel'!$P$22</f>
        <v>0</v>
      </c>
      <c r="EY10" s="1445">
        <f>'Öko-Dinkel,gegerbt'!$P$22</f>
        <v>0</v>
      </c>
      <c r="EZ10" s="1445">
        <f>'Öko-Roggen'!$P$22</f>
        <v>0</v>
      </c>
      <c r="FA10" s="1445">
        <f>'Öko-Hafer'!$P$22</f>
        <v>0</v>
      </c>
      <c r="FB10" s="1445">
        <f>'Öko-Wintergerste'!$P$22</f>
        <v>0</v>
      </c>
      <c r="FC10" s="1445">
        <f>'Öko-Braugerste'!$P$22</f>
        <v>0</v>
      </c>
      <c r="FD10" s="1445">
        <f>'Öko-Körnermais'!$P$22</f>
        <v>0</v>
      </c>
      <c r="FE10" s="1445">
        <f>'Öko-Ackerbohnen'!$P$22</f>
        <v>0</v>
      </c>
      <c r="FF10" s="1445">
        <f>'Öko-Erbsen'!$P$22</f>
        <v>0</v>
      </c>
      <c r="FG10" s="1445">
        <f>'Öko-Sojabohnen'!$P$22</f>
        <v>0</v>
      </c>
      <c r="FH10" s="1445">
        <f>'Öko-Soblu'!$P$22</f>
        <v>0</v>
      </c>
      <c r="FI10" s="1445">
        <f>'Öko-Raps'!$P$22</f>
        <v>0</v>
      </c>
      <c r="FJ10" s="1445">
        <f>'Öko-Kartoffel'!$P$22</f>
        <v>0</v>
      </c>
      <c r="FK10" s="1445"/>
      <c r="FL10" s="1445">
        <f>Begrün.!$P$22</f>
        <v>0</v>
      </c>
      <c r="FM10" s="1445">
        <f>Blühm.!$P$22</f>
        <v>0</v>
      </c>
    </row>
    <row r="11" spans="1:169" ht="18" customHeight="1">
      <c r="A11" s="1440">
        <f>ROWS($A$1:A11)</f>
        <v>11</v>
      </c>
      <c r="B11" s="1530" t="s">
        <v>1145</v>
      </c>
      <c r="C11" s="1529"/>
      <c r="D11" s="1503">
        <f t="shared" ref="D11:AH11" si="18">SUM(D8:D10)</f>
        <v>1921.8333333333335</v>
      </c>
      <c r="E11" s="1503">
        <f>SUM(E8:E10)</f>
        <v>1412</v>
      </c>
      <c r="F11" s="1503">
        <f t="shared" si="18"/>
        <v>1364</v>
      </c>
      <c r="G11" s="1503">
        <f t="shared" si="18"/>
        <v>1481.4066666666668</v>
      </c>
      <c r="H11" s="1503">
        <f t="shared" si="18"/>
        <v>1180.6666666666667</v>
      </c>
      <c r="I11" s="1503">
        <f t="shared" si="18"/>
        <v>1232</v>
      </c>
      <c r="J11" s="1503">
        <f t="shared" si="18"/>
        <v>1094.5000000000002</v>
      </c>
      <c r="K11" s="1503">
        <f t="shared" si="18"/>
        <v>1050</v>
      </c>
      <c r="L11" s="1503">
        <f t="shared" si="18"/>
        <v>1292.5</v>
      </c>
      <c r="M11" s="1503">
        <f t="shared" si="18"/>
        <v>995.00000000000011</v>
      </c>
      <c r="N11" s="1503">
        <f t="shared" si="18"/>
        <v>1307.5</v>
      </c>
      <c r="O11" s="1503">
        <f t="shared" si="18"/>
        <v>959.99999999999977</v>
      </c>
      <c r="P11" s="1503">
        <f t="shared" si="18"/>
        <v>1320</v>
      </c>
      <c r="Q11" s="1503">
        <f t="shared" si="18"/>
        <v>1970.666666666667</v>
      </c>
      <c r="R11" s="1503"/>
      <c r="S11" s="1503">
        <f t="shared" si="18"/>
        <v>1564.9999999999998</v>
      </c>
      <c r="T11" s="1503">
        <f t="shared" si="18"/>
        <v>1043.333333333333</v>
      </c>
      <c r="U11" s="1503">
        <f t="shared" si="18"/>
        <v>1129.1666666666665</v>
      </c>
      <c r="V11" s="1503">
        <f t="shared" si="18"/>
        <v>1046.666666666667</v>
      </c>
      <c r="W11" s="1503"/>
      <c r="X11" s="1503">
        <f t="shared" si="18"/>
        <v>599.33333333333337</v>
      </c>
      <c r="Y11" s="1503">
        <f t="shared" si="18"/>
        <v>606</v>
      </c>
      <c r="Z11" s="1503">
        <f t="shared" si="18"/>
        <v>266.33333333333337</v>
      </c>
      <c r="AA11" s="1503">
        <f t="shared" si="18"/>
        <v>1685.166666666667</v>
      </c>
      <c r="AB11" s="1503">
        <f t="shared" si="18"/>
        <v>14233.333333333334</v>
      </c>
      <c r="AC11" s="1503">
        <f t="shared" si="18"/>
        <v>17080</v>
      </c>
      <c r="AD11" s="1503">
        <f t="shared" si="18"/>
        <v>10267.166666666666</v>
      </c>
      <c r="AE11" s="1503">
        <f t="shared" si="18"/>
        <v>10803.766666666666</v>
      </c>
      <c r="AF11" s="1503">
        <f t="shared" si="18"/>
        <v>0</v>
      </c>
      <c r="AG11" s="1503">
        <f t="shared" si="18"/>
        <v>0</v>
      </c>
      <c r="AH11" s="1503">
        <f t="shared" si="18"/>
        <v>0</v>
      </c>
      <c r="AI11" s="1489"/>
      <c r="AJ11" s="1504">
        <f t="shared" ref="AJ11:BN11" si="19">SUM(AJ8:AJ10)</f>
        <v>2365.3333333333335</v>
      </c>
      <c r="AK11" s="1503">
        <f t="shared" si="19"/>
        <v>1764.9999999999998</v>
      </c>
      <c r="AL11" s="1503">
        <f t="shared" si="19"/>
        <v>1736</v>
      </c>
      <c r="AM11" s="1503">
        <f t="shared" si="19"/>
        <v>1750.7533333333336</v>
      </c>
      <c r="AN11" s="1503">
        <f t="shared" si="19"/>
        <v>1395.3333333333335</v>
      </c>
      <c r="AO11" s="1503">
        <f t="shared" si="19"/>
        <v>1539.9999999999998</v>
      </c>
      <c r="AP11" s="1503">
        <f t="shared" si="19"/>
        <v>1393.0000000000002</v>
      </c>
      <c r="AQ11" s="1503">
        <f t="shared" si="19"/>
        <v>1260</v>
      </c>
      <c r="AR11" s="1503">
        <f t="shared" si="19"/>
        <v>1527.5</v>
      </c>
      <c r="AS11" s="1503">
        <f t="shared" si="19"/>
        <v>1194.0000000000002</v>
      </c>
      <c r="AT11" s="1503">
        <f t="shared" si="19"/>
        <v>1599.2</v>
      </c>
      <c r="AU11" s="1503">
        <f t="shared" si="19"/>
        <v>1173.333333333333</v>
      </c>
      <c r="AV11" s="1503">
        <f t="shared" si="19"/>
        <v>1815</v>
      </c>
      <c r="AW11" s="1503">
        <f t="shared" si="19"/>
        <v>2463.3333333333335</v>
      </c>
      <c r="AX11" s="1503"/>
      <c r="AY11" s="1503">
        <f t="shared" si="19"/>
        <v>2086.6666666666661</v>
      </c>
      <c r="AZ11" s="1503">
        <f>SUM(AZ8:AZ10)</f>
        <v>1304.1666666666665</v>
      </c>
      <c r="BA11" s="1503">
        <f t="shared" si="19"/>
        <v>1354.9999999999998</v>
      </c>
      <c r="BB11" s="1503">
        <f t="shared" si="19"/>
        <v>1413.0000000000002</v>
      </c>
      <c r="BC11" s="1503"/>
      <c r="BD11" s="1503">
        <f t="shared" si="19"/>
        <v>1048.8333333333335</v>
      </c>
      <c r="BE11" s="1503">
        <f t="shared" si="19"/>
        <v>1060.5</v>
      </c>
      <c r="BF11" s="1503">
        <f t="shared" si="19"/>
        <v>665.83333333333337</v>
      </c>
      <c r="BG11" s="1503">
        <f t="shared" si="19"/>
        <v>2192.2999999999997</v>
      </c>
      <c r="BH11" s="1503">
        <f t="shared" si="19"/>
        <v>17080</v>
      </c>
      <c r="BI11" s="1503">
        <f t="shared" si="19"/>
        <v>19926.666666666668</v>
      </c>
      <c r="BJ11" s="1503">
        <f t="shared" si="19"/>
        <v>10344.199999999999</v>
      </c>
      <c r="BK11" s="1503">
        <f t="shared" si="19"/>
        <v>11989.166666666666</v>
      </c>
      <c r="BL11" s="1503">
        <f t="shared" si="19"/>
        <v>0</v>
      </c>
      <c r="BM11" s="1503">
        <f t="shared" si="19"/>
        <v>0</v>
      </c>
      <c r="BN11" s="1503">
        <f t="shared" si="19"/>
        <v>0</v>
      </c>
      <c r="BO11" s="1489"/>
      <c r="BP11" s="1504">
        <f t="shared" ref="BP11:CT11" si="20">SUM(BP8:BP10)</f>
        <v>2808.8333333333335</v>
      </c>
      <c r="BQ11" s="1503">
        <f t="shared" si="20"/>
        <v>2118</v>
      </c>
      <c r="BR11" s="1503">
        <f t="shared" si="20"/>
        <v>2108</v>
      </c>
      <c r="BS11" s="1503">
        <f t="shared" si="20"/>
        <v>2020.1000000000001</v>
      </c>
      <c r="BT11" s="1503">
        <f t="shared" si="20"/>
        <v>1610.0000000000002</v>
      </c>
      <c r="BU11" s="1503">
        <f t="shared" si="20"/>
        <v>1847.9999999999998</v>
      </c>
      <c r="BV11" s="1503">
        <f t="shared" si="20"/>
        <v>1691.5000000000002</v>
      </c>
      <c r="BW11" s="1503">
        <f t="shared" si="20"/>
        <v>1470</v>
      </c>
      <c r="BX11" s="1503">
        <f t="shared" si="20"/>
        <v>1762.5</v>
      </c>
      <c r="BY11" s="1503">
        <f t="shared" si="20"/>
        <v>1393.0000000000002</v>
      </c>
      <c r="BZ11" s="1503">
        <f t="shared" si="20"/>
        <v>1890.8999999999999</v>
      </c>
      <c r="CA11" s="1503">
        <f t="shared" si="20"/>
        <v>1386.6666666666663</v>
      </c>
      <c r="CB11" s="1503">
        <f t="shared" si="20"/>
        <v>1980</v>
      </c>
      <c r="CC11" s="1503">
        <f t="shared" si="20"/>
        <v>2956.0000000000005</v>
      </c>
      <c r="CD11" s="1503"/>
      <c r="CE11" s="1503">
        <f t="shared" si="20"/>
        <v>2608.333333333333</v>
      </c>
      <c r="CF11" s="1503">
        <f t="shared" si="20"/>
        <v>1564.9999999999998</v>
      </c>
      <c r="CG11" s="1503">
        <f t="shared" si="20"/>
        <v>1580.833333333333</v>
      </c>
      <c r="CH11" s="1503">
        <f t="shared" si="20"/>
        <v>1779.3333333333337</v>
      </c>
      <c r="CI11" s="1503"/>
      <c r="CJ11" s="1503">
        <f t="shared" si="20"/>
        <v>1498.3333333333335</v>
      </c>
      <c r="CK11" s="1503">
        <f t="shared" si="20"/>
        <v>1515</v>
      </c>
      <c r="CL11" s="1503">
        <f t="shared" si="20"/>
        <v>1065.3333333333335</v>
      </c>
      <c r="CM11" s="1503">
        <f t="shared" si="20"/>
        <v>2501.8333333333335</v>
      </c>
      <c r="CN11" s="1503">
        <f t="shared" si="20"/>
        <v>19926.666666666668</v>
      </c>
      <c r="CO11" s="1503">
        <f t="shared" si="20"/>
        <v>22773.333333333336</v>
      </c>
      <c r="CP11" s="1503">
        <f t="shared" si="20"/>
        <v>11313.333333333332</v>
      </c>
      <c r="CQ11" s="1503">
        <f t="shared" si="20"/>
        <v>13147.533333333333</v>
      </c>
      <c r="CR11" s="1503">
        <f>SUM(CR8:CR10)</f>
        <v>0</v>
      </c>
      <c r="CS11" s="1503">
        <f t="shared" si="20"/>
        <v>0</v>
      </c>
      <c r="CT11" s="1503">
        <f t="shared" si="20"/>
        <v>0</v>
      </c>
      <c r="CV11" s="1530" t="s">
        <v>1145</v>
      </c>
      <c r="CW11" s="1529"/>
      <c r="CX11" s="1503">
        <f t="shared" ref="CX11:DK11" si="21">SUM(CX8:CX10)</f>
        <v>0</v>
      </c>
      <c r="CY11" s="1503">
        <f t="shared" si="21"/>
        <v>0</v>
      </c>
      <c r="CZ11" s="1503">
        <f t="shared" si="21"/>
        <v>0</v>
      </c>
      <c r="DA11" s="1503">
        <f t="shared" si="21"/>
        <v>0</v>
      </c>
      <c r="DB11" s="1503">
        <f t="shared" si="21"/>
        <v>1414.0000000000002</v>
      </c>
      <c r="DC11" s="1503">
        <f t="shared" si="21"/>
        <v>1818</v>
      </c>
      <c r="DD11" s="1503">
        <f t="shared" si="21"/>
        <v>1407</v>
      </c>
      <c r="DE11" s="1503">
        <f t="shared" si="21"/>
        <v>1876.1487500000001</v>
      </c>
      <c r="DF11" s="1503">
        <f t="shared" si="21"/>
        <v>1413.0000000000002</v>
      </c>
      <c r="DG11" s="1503">
        <f t="shared" si="21"/>
        <v>1511</v>
      </c>
      <c r="DH11" s="1503">
        <f>SUM(DH8:DH10)</f>
        <v>1401.0000000000002</v>
      </c>
      <c r="DI11" s="1503">
        <f t="shared" si="21"/>
        <v>1566.4687499999998</v>
      </c>
      <c r="DJ11" s="1503">
        <f t="shared" si="21"/>
        <v>2356.0000000000005</v>
      </c>
      <c r="DK11" s="1503">
        <f t="shared" si="21"/>
        <v>1462.9999999999998</v>
      </c>
      <c r="DL11" s="1503">
        <f t="shared" ref="DL11:DS11" si="22">SUM(DL8:DL10)</f>
        <v>1224</v>
      </c>
      <c r="DM11" s="1503">
        <f t="shared" si="22"/>
        <v>2246.5499999999997</v>
      </c>
      <c r="DN11" s="1503">
        <f t="shared" si="22"/>
        <v>1550.4</v>
      </c>
      <c r="DO11" s="1503">
        <f t="shared" si="22"/>
        <v>909.33333333333337</v>
      </c>
      <c r="DP11" s="1503">
        <f t="shared" si="22"/>
        <v>9518.9999999999982</v>
      </c>
      <c r="DQ11" s="1503"/>
      <c r="DR11" s="1503">
        <f t="shared" si="22"/>
        <v>0</v>
      </c>
      <c r="DS11" s="1503">
        <f t="shared" si="22"/>
        <v>0</v>
      </c>
      <c r="DT11" s="1434"/>
      <c r="DU11" s="1503">
        <f t="shared" ref="DU11:EM11" si="23">SUM(DU8:DU10)</f>
        <v>0</v>
      </c>
      <c r="DV11" s="1504">
        <f t="shared" si="23"/>
        <v>0</v>
      </c>
      <c r="DW11" s="1504">
        <f t="shared" si="23"/>
        <v>0</v>
      </c>
      <c r="DX11" s="1504">
        <f t="shared" si="23"/>
        <v>0</v>
      </c>
      <c r="DY11" s="1504">
        <f t="shared" si="23"/>
        <v>1885.3333333333335</v>
      </c>
      <c r="DZ11" s="1503">
        <f t="shared" si="23"/>
        <v>2424</v>
      </c>
      <c r="EA11" s="1503">
        <f t="shared" si="23"/>
        <v>1876</v>
      </c>
      <c r="EB11" s="1503">
        <f t="shared" si="23"/>
        <v>2501.5316666666668</v>
      </c>
      <c r="EC11" s="1503">
        <f t="shared" si="23"/>
        <v>1884.0000000000002</v>
      </c>
      <c r="ED11" s="1503">
        <f t="shared" si="23"/>
        <v>2014.6666666666667</v>
      </c>
      <c r="EE11" s="1503">
        <f>SUM(EE8:EE10)</f>
        <v>1868.0000000000002</v>
      </c>
      <c r="EF11" s="1503">
        <f t="shared" si="23"/>
        <v>2088.625</v>
      </c>
      <c r="EG11" s="1503">
        <f t="shared" si="23"/>
        <v>3141.3333333333339</v>
      </c>
      <c r="EH11" s="1503">
        <f t="shared" si="23"/>
        <v>1950.6666666666665</v>
      </c>
      <c r="EI11" s="1503">
        <f t="shared" si="23"/>
        <v>1632</v>
      </c>
      <c r="EJ11" s="1503">
        <f t="shared" si="23"/>
        <v>2643</v>
      </c>
      <c r="EK11" s="1503">
        <f t="shared" si="23"/>
        <v>2325.6000000000004</v>
      </c>
      <c r="EL11" s="1503">
        <f t="shared" si="23"/>
        <v>1727.7333333333333</v>
      </c>
      <c r="EM11" s="1503">
        <f t="shared" si="23"/>
        <v>11898.749999999998</v>
      </c>
      <c r="EN11" s="1503"/>
      <c r="EO11" s="1503">
        <f>SUM(EO8:EO10)</f>
        <v>0</v>
      </c>
      <c r="EP11" s="1503">
        <f>SUM(EP8:EP10)</f>
        <v>0</v>
      </c>
      <c r="EQ11" s="1434"/>
      <c r="ER11" s="1503">
        <f t="shared" ref="ER11:FJ11" si="24">SUM(ER8:ER10)</f>
        <v>0</v>
      </c>
      <c r="ES11" s="1504">
        <f t="shared" si="24"/>
        <v>0</v>
      </c>
      <c r="ET11" s="1504">
        <f t="shared" si="24"/>
        <v>0</v>
      </c>
      <c r="EU11" s="1504">
        <f t="shared" si="24"/>
        <v>0</v>
      </c>
      <c r="EV11" s="1504">
        <f t="shared" si="24"/>
        <v>3252.2000000000003</v>
      </c>
      <c r="EW11" s="1503">
        <f t="shared" si="24"/>
        <v>3636</v>
      </c>
      <c r="EX11" s="1503">
        <f t="shared" si="24"/>
        <v>2412</v>
      </c>
      <c r="EY11" s="1503">
        <f t="shared" si="24"/>
        <v>3126.9145833333332</v>
      </c>
      <c r="EZ11" s="1503">
        <f t="shared" si="24"/>
        <v>2355</v>
      </c>
      <c r="FA11" s="1503">
        <f t="shared" si="24"/>
        <v>2518.3333333333335</v>
      </c>
      <c r="FB11" s="1503">
        <f>SUM(FB8:FB10)</f>
        <v>2335</v>
      </c>
      <c r="FC11" s="1503">
        <f t="shared" si="24"/>
        <v>2610.78125</v>
      </c>
      <c r="FD11" s="1503">
        <f t="shared" si="24"/>
        <v>3926.6666666666674</v>
      </c>
      <c r="FE11" s="1503">
        <f t="shared" si="24"/>
        <v>2438.333333333333</v>
      </c>
      <c r="FF11" s="1503">
        <f t="shared" si="24"/>
        <v>2040</v>
      </c>
      <c r="FG11" s="1503">
        <f t="shared" si="24"/>
        <v>3039.45</v>
      </c>
      <c r="FH11" s="1503">
        <f t="shared" si="24"/>
        <v>3100.8</v>
      </c>
      <c r="FI11" s="1503">
        <f t="shared" si="24"/>
        <v>2364.2666666666669</v>
      </c>
      <c r="FJ11" s="1503">
        <f t="shared" si="24"/>
        <v>14278.499999999998</v>
      </c>
      <c r="FK11" s="1503"/>
      <c r="FL11" s="1503">
        <f>SUM(FL8:FL10)</f>
        <v>0</v>
      </c>
      <c r="FM11" s="1503">
        <f>SUM(FM8:FM10)</f>
        <v>0</v>
      </c>
    </row>
    <row r="12" spans="1:169" ht="16.149999999999999" customHeight="1">
      <c r="A12" s="1440">
        <f>ROWS($A$1:A12)</f>
        <v>12</v>
      </c>
      <c r="B12" s="1509" t="s">
        <v>1144</v>
      </c>
      <c r="C12" s="1528" t="s">
        <v>171</v>
      </c>
      <c r="D12" s="3611">
        <f>'WW1'!$J$23</f>
        <v>158</v>
      </c>
      <c r="E12" s="1490">
        <f>'WW2'!$J$23</f>
        <v>161.5</v>
      </c>
      <c r="F12" s="1490">
        <f>'WW3'!$J$23</f>
        <v>158.4</v>
      </c>
      <c r="G12" s="1490">
        <f>'WW4'!$J$23</f>
        <v>153</v>
      </c>
      <c r="H12" s="1490">
        <f>WRo!$J$23</f>
        <v>82.5</v>
      </c>
      <c r="I12" s="1490">
        <f>Tr!$J$23</f>
        <v>126</v>
      </c>
      <c r="J12" s="1490">
        <f>WG!$J$23</f>
        <v>145.25</v>
      </c>
      <c r="K12" s="1490">
        <f>Di!$J$23</f>
        <v>202.29999999999998</v>
      </c>
      <c r="L12" s="1490">
        <f>SW!$J$23</f>
        <v>153</v>
      </c>
      <c r="M12" s="1490">
        <f>'SG-Fu'!$J$23</f>
        <v>153.6</v>
      </c>
      <c r="N12" s="1490">
        <f>BG!$J$23</f>
        <v>152</v>
      </c>
      <c r="O12" s="1490">
        <f>Ha!$J$23</f>
        <v>117.6</v>
      </c>
      <c r="P12" s="1490">
        <f>Du!$J$23</f>
        <v>262</v>
      </c>
      <c r="Q12" s="1490">
        <f>KöM!$J$23</f>
        <v>243</v>
      </c>
      <c r="R12" s="1490"/>
      <c r="S12" s="1490">
        <f>WR!$J$23</f>
        <v>105</v>
      </c>
      <c r="T12" s="1490">
        <f>SR!$J$23</f>
        <v>168</v>
      </c>
      <c r="U12" s="1490">
        <f>SoBl!$J$23</f>
        <v>175</v>
      </c>
      <c r="V12" s="1490">
        <f>Soja!$J$23</f>
        <v>340</v>
      </c>
      <c r="W12" s="1490"/>
      <c r="X12" s="1490">
        <f>FE!$J$23</f>
        <v>153.6</v>
      </c>
      <c r="Y12" s="1490">
        <f>AB!$J$23</f>
        <v>151.19999999999999</v>
      </c>
      <c r="Z12" s="1490">
        <f>Lu!$J$23</f>
        <v>222.2</v>
      </c>
      <c r="AA12" s="1490">
        <f>ZR!$J$23</f>
        <v>275</v>
      </c>
      <c r="AB12" s="1490">
        <f>FrühKa!$J$23</f>
        <v>4995</v>
      </c>
      <c r="AC12" s="1490">
        <f>FrühKaFolieBer!$J$23</f>
        <v>4995</v>
      </c>
      <c r="AD12" s="1490">
        <f>SpKa!$J$23</f>
        <v>4425</v>
      </c>
      <c r="AE12" s="1490">
        <f>SpKaBer!$J$23</f>
        <v>4425</v>
      </c>
      <c r="AF12" s="1490">
        <f>'Kultur A'!$J$23</f>
        <v>0</v>
      </c>
      <c r="AG12" s="1490">
        <f>'FAKT-Brachebegrünung'!$J$23</f>
        <v>68.400000000000006</v>
      </c>
      <c r="AH12" s="1490">
        <f>Begr!$J$23</f>
        <v>62.5</v>
      </c>
      <c r="AI12" s="1442"/>
      <c r="AJ12" s="1491">
        <f>'WW1'!$M$23</f>
        <v>158</v>
      </c>
      <c r="AK12" s="1490">
        <f>'WW2'!$M$23</f>
        <v>161.5</v>
      </c>
      <c r="AL12" s="1490">
        <f>'WW3'!$M$23</f>
        <v>158.4</v>
      </c>
      <c r="AM12" s="1490">
        <f>'WW4'!$M$23</f>
        <v>153</v>
      </c>
      <c r="AN12" s="1490">
        <f>WRo!$M$23</f>
        <v>82.5</v>
      </c>
      <c r="AO12" s="1490">
        <f>Tr!$M$23</f>
        <v>126</v>
      </c>
      <c r="AP12" s="1490">
        <f>WG!$M$23</f>
        <v>145.25</v>
      </c>
      <c r="AQ12" s="1490">
        <f>Di!$M$23</f>
        <v>202.29999999999998</v>
      </c>
      <c r="AR12" s="1490">
        <f>SW!$M$23</f>
        <v>153</v>
      </c>
      <c r="AS12" s="1490">
        <f>'SG-Fu'!$M$23</f>
        <v>153.6</v>
      </c>
      <c r="AT12" s="1490">
        <f>BG!$M$23</f>
        <v>152</v>
      </c>
      <c r="AU12" s="1490">
        <f>Ha!$M$23</f>
        <v>117.6</v>
      </c>
      <c r="AV12" s="1490">
        <f>Du!$M$23</f>
        <v>262</v>
      </c>
      <c r="AW12" s="1490">
        <f>KöM!$M$23</f>
        <v>243</v>
      </c>
      <c r="AX12" s="1490"/>
      <c r="AY12" s="1490">
        <f>WR!$M$23</f>
        <v>105</v>
      </c>
      <c r="AZ12" s="1490">
        <f>SR!$M$23</f>
        <v>168</v>
      </c>
      <c r="BA12" s="1490">
        <f>SoBl!$M$23</f>
        <v>175</v>
      </c>
      <c r="BB12" s="1490">
        <f>Soja!$M$23</f>
        <v>340</v>
      </c>
      <c r="BC12" s="1490"/>
      <c r="BD12" s="1490">
        <f>FE!$M$23</f>
        <v>168</v>
      </c>
      <c r="BE12" s="1490">
        <f>AB!$M$23</f>
        <v>176.4</v>
      </c>
      <c r="BF12" s="1490">
        <f>Lu!$M$23</f>
        <v>222.2</v>
      </c>
      <c r="BG12" s="1490">
        <f>ZR!$M$23</f>
        <v>275</v>
      </c>
      <c r="BH12" s="1490">
        <f>FrühKa!$M$23</f>
        <v>4995</v>
      </c>
      <c r="BI12" s="1490">
        <f>FrühKaFolieBer!$M$23</f>
        <v>4995</v>
      </c>
      <c r="BJ12" s="1490">
        <f>SpKa!$M$23</f>
        <v>4425</v>
      </c>
      <c r="BK12" s="1490">
        <f>SpKaBer!$M$23</f>
        <v>4425</v>
      </c>
      <c r="BL12" s="1490">
        <v>0</v>
      </c>
      <c r="BM12" s="1490">
        <f>'FAKT-Brachebegrünung'!$M$23</f>
        <v>68.400000000000006</v>
      </c>
      <c r="BN12" s="1490">
        <f>Begr!$M$23</f>
        <v>62.5</v>
      </c>
      <c r="BO12" s="1442"/>
      <c r="BP12" s="1491">
        <f>'WW1'!$P$23</f>
        <v>158</v>
      </c>
      <c r="BQ12" s="1490">
        <f>'WW2'!$P$23</f>
        <v>161.5</v>
      </c>
      <c r="BR12" s="1490">
        <f>'WW3'!$P$23</f>
        <v>158.4</v>
      </c>
      <c r="BS12" s="1490">
        <f>'WW4'!$P$23</f>
        <v>153</v>
      </c>
      <c r="BT12" s="1490">
        <f>WRo!$P$23</f>
        <v>62.099999999999994</v>
      </c>
      <c r="BU12" s="1490">
        <f>Tr!$P$23</f>
        <v>126</v>
      </c>
      <c r="BV12" s="1490">
        <f>WG!$P$23</f>
        <v>145.25</v>
      </c>
      <c r="BW12" s="1490">
        <f>Di!$P$23</f>
        <v>202.29999999999998</v>
      </c>
      <c r="BX12" s="1490">
        <f>SW!$P$23</f>
        <v>153</v>
      </c>
      <c r="BY12" s="1490">
        <f>'SG-Fu'!$P$23</f>
        <v>153.6</v>
      </c>
      <c r="BZ12" s="1490">
        <f>BG!$P$23</f>
        <v>152</v>
      </c>
      <c r="CA12" s="1490">
        <f>Ha!$P$23</f>
        <v>117.6</v>
      </c>
      <c r="CB12" s="1490">
        <f>Du!$P$23</f>
        <v>262</v>
      </c>
      <c r="CC12" s="1490">
        <f>KöM!$P$23</f>
        <v>243</v>
      </c>
      <c r="CD12" s="1490"/>
      <c r="CE12" s="1490">
        <f>WR!$P$23</f>
        <v>105</v>
      </c>
      <c r="CF12" s="1490">
        <f>SR!$P$23</f>
        <v>168</v>
      </c>
      <c r="CG12" s="1490">
        <f>SoBl!$P$23</f>
        <v>175</v>
      </c>
      <c r="CH12" s="1490">
        <f>Soja!$P$23</f>
        <v>340</v>
      </c>
      <c r="CI12" s="1490"/>
      <c r="CJ12" s="1490">
        <f>FE!$P$23</f>
        <v>182.4</v>
      </c>
      <c r="CK12" s="1490">
        <f>AB!$P$23</f>
        <v>201.6</v>
      </c>
      <c r="CL12" s="1490">
        <f>Lu!$P$23</f>
        <v>222.2</v>
      </c>
      <c r="CM12" s="1490">
        <f>ZR!$P$23</f>
        <v>275</v>
      </c>
      <c r="CN12" s="1490">
        <f>FrühKa!$P$23</f>
        <v>4995</v>
      </c>
      <c r="CO12" s="1490">
        <f>FrühKaFolieBer!$P$23</f>
        <v>4995</v>
      </c>
      <c r="CP12" s="1490">
        <f>SpKa!$P$23</f>
        <v>4425</v>
      </c>
      <c r="CQ12" s="1490">
        <f>SpKaBer!$P$23</f>
        <v>4425</v>
      </c>
      <c r="CR12" s="1490">
        <f>'Kultur A'!$P$23</f>
        <v>0</v>
      </c>
      <c r="CS12" s="1490">
        <f>'FAKT-Brachebegrünung'!$P$23</f>
        <v>68.400000000000006</v>
      </c>
      <c r="CT12" s="1490">
        <f>Begr!$P$23</f>
        <v>62.5</v>
      </c>
      <c r="CV12" s="1509" t="s">
        <v>1144</v>
      </c>
      <c r="CW12" s="1528" t="s">
        <v>171</v>
      </c>
      <c r="CX12" s="3611">
        <f>'Öko-KG1'!$J$23</f>
        <v>200</v>
      </c>
      <c r="CY12" s="1445">
        <f>'Öko-KG2'!$J$23</f>
        <v>90</v>
      </c>
      <c r="CZ12" s="1445">
        <f>'Öko-LU1'!$J$23</f>
        <v>165</v>
      </c>
      <c r="DA12" s="1445">
        <f>'Öko-LU2'!$J$23</f>
        <v>82.5</v>
      </c>
      <c r="DB12" s="1443">
        <f>'Öko-WW-Futter'!$J$23</f>
        <v>147.6</v>
      </c>
      <c r="DC12" s="1445">
        <f>'Öko-WW-Brot'!$J$23</f>
        <v>174.8</v>
      </c>
      <c r="DD12" s="1445">
        <f>'Öko-Dinkel'!$J$23</f>
        <v>260</v>
      </c>
      <c r="DE12" s="1445">
        <f>'Öko-Dinkel,gegerbt'!$J$23</f>
        <v>260</v>
      </c>
      <c r="DF12" s="1445">
        <f>'Öko-Roggen'!$J$23</f>
        <v>122.99999999999999</v>
      </c>
      <c r="DG12" s="1445">
        <f>'Öko-Hafer'!$J$23</f>
        <v>119</v>
      </c>
      <c r="DH12" s="1445">
        <f>'Öko-Wintergerste'!$J$23</f>
        <v>117.6</v>
      </c>
      <c r="DI12" s="1445">
        <f>'Öko-Braugerste'!$J$23</f>
        <v>117.6</v>
      </c>
      <c r="DJ12" s="1445">
        <f>'Öko-Körnermais'!$J$23</f>
        <v>210</v>
      </c>
      <c r="DK12" s="1445">
        <f>'Öko-Ackerbohnen'!$J$23</f>
        <v>250</v>
      </c>
      <c r="DL12" s="1445">
        <f>'Öko-Erbsen'!$J$23</f>
        <v>240</v>
      </c>
      <c r="DM12" s="1445">
        <f>'Öko-Sojabohnen'!$J$23</f>
        <v>272</v>
      </c>
      <c r="DN12" s="1445">
        <f>'Öko-Soblu'!$J$23</f>
        <v>225</v>
      </c>
      <c r="DO12" s="1445">
        <f>'Öko-Raps'!$J$23</f>
        <v>57.749999999999993</v>
      </c>
      <c r="DP12" s="1445">
        <f>'Öko-Kartoffel'!$J$23</f>
        <v>2250</v>
      </c>
      <c r="DQ12" s="1445"/>
      <c r="DR12" s="1445">
        <f>Begrün.!$J$23</f>
        <v>245</v>
      </c>
      <c r="DS12" s="1445">
        <f>Blühm.!$J$23</f>
        <v>135</v>
      </c>
      <c r="DT12" s="1434"/>
      <c r="DU12" s="1490">
        <f>'Öko-KG1'!$M$23</f>
        <v>200</v>
      </c>
      <c r="DV12" s="1490">
        <f>'Öko-KG2'!$M$23</f>
        <v>90</v>
      </c>
      <c r="DW12" s="1490">
        <f>'Öko-LU1'!$M$23</f>
        <v>165</v>
      </c>
      <c r="DX12" s="1490">
        <f>'Öko-LU2'!$M$23</f>
        <v>82.5</v>
      </c>
      <c r="DY12" s="1491">
        <f>'Öko-WW-Futter'!$M$23</f>
        <v>147.6</v>
      </c>
      <c r="DZ12" s="1490">
        <f>'Öko-WW-Brot'!$M$23</f>
        <v>174.8</v>
      </c>
      <c r="EA12" s="1490">
        <f>'Öko-Dinkel'!$M$23</f>
        <v>260</v>
      </c>
      <c r="EB12" s="1490">
        <f>'Öko-Dinkel,gegerbt'!$M$23</f>
        <v>260</v>
      </c>
      <c r="EC12" s="1490">
        <f>'Öko-Roggen'!$M$23</f>
        <v>122.99999999999999</v>
      </c>
      <c r="ED12" s="1490">
        <f>'Öko-Hafer'!$M$23</f>
        <v>119</v>
      </c>
      <c r="EE12" s="1490">
        <f>'Öko-Wintergerste'!$M$23</f>
        <v>117.6</v>
      </c>
      <c r="EF12" s="1490">
        <f>'Öko-Braugerste'!$M$23</f>
        <v>117.6</v>
      </c>
      <c r="EG12" s="1490">
        <f>'Öko-Körnermais'!$M$23</f>
        <v>210</v>
      </c>
      <c r="EH12" s="1490">
        <f>'Öko-Ackerbohnen'!$M$23</f>
        <v>250</v>
      </c>
      <c r="EI12" s="1490">
        <f>'Öko-Erbsen'!$M$23</f>
        <v>240</v>
      </c>
      <c r="EJ12" s="1490">
        <f>'Öko-Sojabohnen'!$M$23</f>
        <v>272</v>
      </c>
      <c r="EK12" s="1490">
        <f>'Öko-Soblu'!$M$23</f>
        <v>225</v>
      </c>
      <c r="EL12" s="1490">
        <f>'Öko-Raps'!$M$23</f>
        <v>57.749999999999993</v>
      </c>
      <c r="EM12" s="1490">
        <f>'Öko-Kartoffel'!$M$23</f>
        <v>2250</v>
      </c>
      <c r="EN12" s="1490"/>
      <c r="EO12" s="1490">
        <f>Begrün.!$M$23</f>
        <v>245</v>
      </c>
      <c r="EP12" s="1490">
        <f>Blühm.!$M$23</f>
        <v>135</v>
      </c>
      <c r="EQ12" s="1434"/>
      <c r="ER12" s="1490">
        <f>'Öko-KG1'!$P$23</f>
        <v>200</v>
      </c>
      <c r="ES12" s="1490">
        <f>'Öko-KG2'!$P$23</f>
        <v>90</v>
      </c>
      <c r="ET12" s="1490">
        <f>'Öko-LU1'!$P$23</f>
        <v>165</v>
      </c>
      <c r="EU12" s="1490">
        <f>'Öko-LU2'!$P$23</f>
        <v>82.5</v>
      </c>
      <c r="EV12" s="1491">
        <f>'Öko-WW-Futter'!$P$23</f>
        <v>147.6</v>
      </c>
      <c r="EW12" s="1490">
        <f>'Öko-WW-Brot'!$P$23</f>
        <v>174.8</v>
      </c>
      <c r="EX12" s="1490">
        <f>'Öko-Dinkel'!$P$23</f>
        <v>260</v>
      </c>
      <c r="EY12" s="1490">
        <f>'Öko-Dinkel,gegerbt'!$P$23</f>
        <v>260</v>
      </c>
      <c r="EZ12" s="1490">
        <f>'Öko-Roggen'!$P$23</f>
        <v>122.99999999999999</v>
      </c>
      <c r="FA12" s="1490">
        <f>'Öko-Hafer'!$P$23</f>
        <v>119</v>
      </c>
      <c r="FB12" s="1490">
        <f>'Öko-Wintergerste'!$P$23</f>
        <v>117.6</v>
      </c>
      <c r="FC12" s="1490">
        <f>'Öko-Braugerste'!$P$23</f>
        <v>117.6</v>
      </c>
      <c r="FD12" s="1490">
        <f>'Öko-Körnermais'!$P$23</f>
        <v>210</v>
      </c>
      <c r="FE12" s="1490">
        <f>'Öko-Ackerbohnen'!$P$23</f>
        <v>250</v>
      </c>
      <c r="FF12" s="1490">
        <f>'Öko-Erbsen'!$P$23</f>
        <v>240</v>
      </c>
      <c r="FG12" s="1490">
        <f>'Öko-Sojabohnen'!$P$23</f>
        <v>272</v>
      </c>
      <c r="FH12" s="1490">
        <f>'Öko-Soblu'!$P$23</f>
        <v>225</v>
      </c>
      <c r="FI12" s="1490">
        <f>'Öko-Raps'!$P$23</f>
        <v>57.749999999999993</v>
      </c>
      <c r="FJ12" s="1490">
        <f>'Öko-Kartoffel'!$P$23</f>
        <v>2250</v>
      </c>
      <c r="FK12" s="1490"/>
      <c r="FL12" s="1490">
        <f>Begrün.!$P$23</f>
        <v>245</v>
      </c>
      <c r="FM12" s="1490">
        <f>Blühm.!$P$23</f>
        <v>135</v>
      </c>
    </row>
    <row r="13" spans="1:169" ht="16.149999999999999" customHeight="1">
      <c r="A13" s="1440">
        <f>ROWS($A$1:A13)</f>
        <v>13</v>
      </c>
      <c r="B13" s="1527" t="s">
        <v>1143</v>
      </c>
      <c r="C13" s="1526"/>
      <c r="D13" s="3610">
        <f>'WW1'!$J$27</f>
        <v>402.73423999999994</v>
      </c>
      <c r="E13" s="1445">
        <f>'WW2'!$J$27</f>
        <v>302.83519999999993</v>
      </c>
      <c r="F13" s="1445">
        <f>'WW3'!$J$27</f>
        <v>279.98560000000003</v>
      </c>
      <c r="G13" s="1445">
        <f>'WW4'!$J$27</f>
        <v>303.61360000000008</v>
      </c>
      <c r="H13" s="1445">
        <f>WRo!$J$27</f>
        <v>232.72960000000003</v>
      </c>
      <c r="I13" s="1445">
        <f>Tr!$J$27</f>
        <v>275.3408</v>
      </c>
      <c r="J13" s="1445">
        <f>WG!$J$27</f>
        <v>254.78240000000002</v>
      </c>
      <c r="K13" s="1445">
        <f>Di!$J$27</f>
        <v>230.42</v>
      </c>
      <c r="L13" s="1445">
        <f>SW!$J$27</f>
        <v>279.98560000000003</v>
      </c>
      <c r="M13" s="1445">
        <f>'SG-Fu'!$J$27</f>
        <v>234.22400000000002</v>
      </c>
      <c r="N13" s="1445">
        <f>BG!$J$27</f>
        <v>187.24520000000001</v>
      </c>
      <c r="O13" s="1445">
        <f>Ha!$J$27</f>
        <v>195.62240000000003</v>
      </c>
      <c r="P13" s="1445">
        <f>Du!$J$27</f>
        <v>220.02879999999999</v>
      </c>
      <c r="Q13" s="1445">
        <f>KöM!$J$27</f>
        <v>302.76479999999998</v>
      </c>
      <c r="R13" s="1445"/>
      <c r="S13" s="1445">
        <f>WR!$J$27</f>
        <v>310.64599999999996</v>
      </c>
      <c r="T13" s="1445">
        <f>SR!$J$27</f>
        <v>230.964</v>
      </c>
      <c r="U13" s="1445">
        <f>SoBl!$J$27</f>
        <v>215.51300000000001</v>
      </c>
      <c r="V13" s="1445">
        <f>Soja!$J$27</f>
        <v>47.281600000000026</v>
      </c>
      <c r="W13" s="1445"/>
      <c r="X13" s="1445">
        <f>FE!$J$27</f>
        <v>30.035999999999994</v>
      </c>
      <c r="Y13" s="1445">
        <f>AB!$J$27</f>
        <v>29.271999999999995</v>
      </c>
      <c r="Z13" s="1445">
        <f>Lu!$J$27</f>
        <v>20.735600000000005</v>
      </c>
      <c r="AA13" s="1445">
        <f>ZR!$J$27</f>
        <v>426.34800000000001</v>
      </c>
      <c r="AB13" s="1445">
        <f>FrühKa!$J$27</f>
        <v>486.07000000000005</v>
      </c>
      <c r="AC13" s="1445">
        <f>FrühKaFolieBer!$J$27</f>
        <v>577.72400000000005</v>
      </c>
      <c r="AD13" s="1445">
        <f>SpKa!$J$27</f>
        <v>532.75199999999995</v>
      </c>
      <c r="AE13" s="1445">
        <f>SpKaBer!$J$27</f>
        <v>595.76600000000008</v>
      </c>
      <c r="AF13" s="1445">
        <f>'Kultur A'!$J$27</f>
        <v>0</v>
      </c>
      <c r="AG13" s="1445">
        <f>'FAKT-Brachebegrünung'!$J$27</f>
        <v>0</v>
      </c>
      <c r="AH13" s="1445">
        <f>Begr!$J$27</f>
        <v>0</v>
      </c>
      <c r="AI13" s="1442"/>
      <c r="AJ13" s="1443">
        <f>'WW1'!$M$27</f>
        <v>489.06368000000003</v>
      </c>
      <c r="AK13" s="1445">
        <f>'WW2'!$M$27</f>
        <v>371.38400000000001</v>
      </c>
      <c r="AL13" s="1445">
        <f>'WW3'!$M$27</f>
        <v>348.53440000000001</v>
      </c>
      <c r="AM13" s="1445">
        <f>'WW4'!$M$27</f>
        <v>353.60880000000003</v>
      </c>
      <c r="AN13" s="1445">
        <f>WRo!$M$27</f>
        <v>269.83680000000004</v>
      </c>
      <c r="AO13" s="1445">
        <f>Tr!$M$27</f>
        <v>337.01599999999996</v>
      </c>
      <c r="AP13" s="1445">
        <f>WG!$M$27</f>
        <v>316.45760000000001</v>
      </c>
      <c r="AQ13" s="1445">
        <f>Di!$M$27</f>
        <v>270.77600000000001</v>
      </c>
      <c r="AR13" s="1445">
        <f>SW!$M$27</f>
        <v>325.68480000000005</v>
      </c>
      <c r="AS13" s="1445">
        <f>'SG-Fu'!$M$27</f>
        <v>275.3408</v>
      </c>
      <c r="AT13" s="1445">
        <f>BG!$M$27</f>
        <v>222.49080000000001</v>
      </c>
      <c r="AU13" s="1445">
        <f>Ha!$M$27</f>
        <v>232.72960000000003</v>
      </c>
      <c r="AV13" s="1445">
        <f>Du!$M$27</f>
        <v>291.7996</v>
      </c>
      <c r="AW13" s="1445">
        <f>KöM!$M$27</f>
        <v>371.29599999999999</v>
      </c>
      <c r="AX13" s="1445"/>
      <c r="AY13" s="1445">
        <f>WR!$M$27</f>
        <v>390.32800000000003</v>
      </c>
      <c r="AZ13" s="1445">
        <f>SR!$M$27</f>
        <v>270.80500000000001</v>
      </c>
      <c r="BA13" s="1445">
        <f>SoBl!$M$27</f>
        <v>258.61560000000003</v>
      </c>
      <c r="BB13" s="1445">
        <f>Soja!$M$27</f>
        <v>63.830160000000021</v>
      </c>
      <c r="BC13" s="1445"/>
      <c r="BD13" s="1445">
        <f>FE!$M$27</f>
        <v>52.562999999999995</v>
      </c>
      <c r="BE13" s="1445">
        <f>AB!$M$27</f>
        <v>51.225999999999985</v>
      </c>
      <c r="BF13" s="1445">
        <f>Lu!$M$27</f>
        <v>51.83900000000002</v>
      </c>
      <c r="BG13" s="1445">
        <f>ZR!$M$27</f>
        <v>491.94000000000005</v>
      </c>
      <c r="BH13" s="1445">
        <f>FrühKa!$M$27</f>
        <v>549.08400000000006</v>
      </c>
      <c r="BI13" s="1445">
        <f>FrühKaFolieBer!$M$27</f>
        <v>640.73799999999994</v>
      </c>
      <c r="BJ13" s="1445">
        <f>SpKa!$M$27</f>
        <v>595.76600000000008</v>
      </c>
      <c r="BK13" s="1445">
        <f>SpKaBer!$M$27</f>
        <v>658.78</v>
      </c>
      <c r="BL13" s="1445">
        <v>0</v>
      </c>
      <c r="BM13" s="1445">
        <f>'FAKT-Brachebegrünung'!$M$27</f>
        <v>0</v>
      </c>
      <c r="BN13" s="1445">
        <f>Begr!$M$27</f>
        <v>0</v>
      </c>
      <c r="BO13" s="1442"/>
      <c r="BP13" s="1443">
        <f>'WW1'!$P$27</f>
        <v>575.39312000000007</v>
      </c>
      <c r="BQ13" s="1445">
        <f>'WW2'!$P$27</f>
        <v>439.93279999999999</v>
      </c>
      <c r="BR13" s="1445">
        <f>'WW3'!$P$27</f>
        <v>417.08319999999998</v>
      </c>
      <c r="BS13" s="1445">
        <f>'WW4'!$P$27</f>
        <v>403.60400000000004</v>
      </c>
      <c r="BT13" s="1445">
        <f>WRo!$P$27</f>
        <v>306.94399999999996</v>
      </c>
      <c r="BU13" s="1445">
        <f>Tr!$P$27</f>
        <v>398.69120000000004</v>
      </c>
      <c r="BV13" s="1445">
        <f>WG!$P$27</f>
        <v>378.13280000000003</v>
      </c>
      <c r="BW13" s="1445">
        <f>Di!$P$27</f>
        <v>311.13200000000001</v>
      </c>
      <c r="BX13" s="1445">
        <f>SW!$P$27</f>
        <v>371.38400000000001</v>
      </c>
      <c r="BY13" s="1445">
        <f>'SG-Fu'!$P$27</f>
        <v>316.45760000000001</v>
      </c>
      <c r="BZ13" s="1445">
        <f>BG!$P$27</f>
        <v>257.7364</v>
      </c>
      <c r="CA13" s="1445">
        <f>Ha!$P$27</f>
        <v>269.83680000000004</v>
      </c>
      <c r="CB13" s="1445">
        <f>Du!$P$27</f>
        <v>315.72319999999996</v>
      </c>
      <c r="CC13" s="1445">
        <f>KöM!$P$27</f>
        <v>439.8272</v>
      </c>
      <c r="CD13" s="1445"/>
      <c r="CE13" s="1445">
        <f>WR!$P$27</f>
        <v>470.01</v>
      </c>
      <c r="CF13" s="1445">
        <f>SR!$P$27</f>
        <v>310.64599999999996</v>
      </c>
      <c r="CG13" s="1445">
        <f>SoBl!$P$27</f>
        <v>301.71820000000002</v>
      </c>
      <c r="CH13" s="1445">
        <f>Soja!$P$27</f>
        <v>80.378720000000044</v>
      </c>
      <c r="CI13" s="1445"/>
      <c r="CJ13" s="1445">
        <f>FE!$P$27</f>
        <v>75.089999999999989</v>
      </c>
      <c r="CK13" s="1445">
        <f>AB!$P$27</f>
        <v>73.179999999999993</v>
      </c>
      <c r="CL13" s="1445">
        <f>Lu!$P$27</f>
        <v>82.942400000000021</v>
      </c>
      <c r="CM13" s="1445">
        <f>ZR!$P$27</f>
        <v>557.53200000000004</v>
      </c>
      <c r="CN13" s="1445">
        <f>FrühKa!$P$27</f>
        <v>612.09800000000007</v>
      </c>
      <c r="CO13" s="1445">
        <f>FrühKaFolieBer!$P$27</f>
        <v>703.75199999999995</v>
      </c>
      <c r="CP13" s="1445">
        <f>SpKa!$P$27</f>
        <v>658.78</v>
      </c>
      <c r="CQ13" s="1445">
        <f>SpKaBer!$P$27</f>
        <v>721.7940000000001</v>
      </c>
      <c r="CR13" s="1445">
        <f>'Kultur A'!$P$27</f>
        <v>0</v>
      </c>
      <c r="CS13" s="1445">
        <f>'FAKT-Brachebegrünung'!$P$27</f>
        <v>0</v>
      </c>
      <c r="CT13" s="1445">
        <f>Begr!$P$27</f>
        <v>0</v>
      </c>
      <c r="CV13" s="1527" t="s">
        <v>1143</v>
      </c>
      <c r="CW13" s="1526"/>
      <c r="CX13" s="3610">
        <f>'Öko-KG1'!$J$27</f>
        <v>-437</v>
      </c>
      <c r="CY13" s="1445">
        <f>'Öko-KG2'!$J$27</f>
        <v>-393.3</v>
      </c>
      <c r="CZ13" s="1445">
        <f>'Öko-LU1'!$J$27</f>
        <v>-437</v>
      </c>
      <c r="DA13" s="1445">
        <f>'Öko-LU2'!$J$27</f>
        <v>-333.21250000000003</v>
      </c>
      <c r="DB13" s="1443">
        <f>'Öko-WW-Futter'!$J$27</f>
        <v>363.99100000000004</v>
      </c>
      <c r="DC13" s="1445">
        <f>'Öko-WW-Brot'!$J$27</f>
        <v>424.29700000000003</v>
      </c>
      <c r="DD13" s="1445">
        <f>'Öko-Dinkel'!$J$27</f>
        <v>323.68149999999997</v>
      </c>
      <c r="DE13" s="1445">
        <f>'Öko-Dinkel,gegerbt'!$J$27</f>
        <v>323.68149999999997</v>
      </c>
      <c r="DF13" s="1445">
        <f>'Öko-Roggen'!$J$27</f>
        <v>345.637</v>
      </c>
      <c r="DG13" s="1445">
        <f>'Öko-Hafer'!$J$27</f>
        <v>345.637</v>
      </c>
      <c r="DH13" s="1445">
        <f>'Öko-Wintergerste'!$J$27</f>
        <v>382.34500000000003</v>
      </c>
      <c r="DI13" s="1445">
        <f>'Öko-Braugerste'!$J$27</f>
        <v>298.44474999999994</v>
      </c>
      <c r="DJ13" s="1445">
        <f>'Öko-Körnermais'!$J$27</f>
        <v>561.68799999999999</v>
      </c>
      <c r="DK13" s="1445">
        <f>'Öko-Ackerbohnen'!$J$27</f>
        <v>-7.7227500000000404</v>
      </c>
      <c r="DL13" s="1445">
        <f>'Öko-Erbsen'!$J$27</f>
        <v>0.12149999999996908</v>
      </c>
      <c r="DM13" s="1445">
        <f>'Öko-Sojabohnen'!$J$27</f>
        <v>22.735800000000058</v>
      </c>
      <c r="DN13" s="1445">
        <f>'Öko-Soblu'!$J$27</f>
        <v>290.56800000000004</v>
      </c>
      <c r="DO13" s="1445">
        <f>'Öko-Raps'!$J$27</f>
        <v>274.52700000000004</v>
      </c>
      <c r="DP13" s="1445">
        <f>'Öko-Kartoffel'!$J$27</f>
        <v>597.77200000000005</v>
      </c>
      <c r="DQ13" s="1445"/>
      <c r="DR13" s="1445">
        <f>Begrün.!$J$27</f>
        <v>0</v>
      </c>
      <c r="DS13" s="1445">
        <f>Blühm.!$J$27</f>
        <v>0</v>
      </c>
      <c r="DT13" s="1434"/>
      <c r="DU13" s="1445">
        <f>'Öko-KG1'!$M$27</f>
        <v>-611.80000000000007</v>
      </c>
      <c r="DV13" s="1445">
        <f>'Öko-KG2'!$M$27</f>
        <v>-513.47500000000002</v>
      </c>
      <c r="DW13" s="1445">
        <f>'Öko-LU1'!$M$27</f>
        <v>-611.80000000000007</v>
      </c>
      <c r="DX13" s="1445">
        <f>'Öko-LU2'!$M$27</f>
        <v>-453.38749999999999</v>
      </c>
      <c r="DY13" s="1443">
        <f>'Öko-WW-Futter'!$M$27</f>
        <v>456.18799999999999</v>
      </c>
      <c r="DZ13" s="1445">
        <f>'Öko-WW-Brot'!$M$27</f>
        <v>536.596</v>
      </c>
      <c r="EA13" s="1445">
        <f>'Öko-Dinkel'!$M$27</f>
        <v>402.44200000000001</v>
      </c>
      <c r="EB13" s="1445">
        <f>'Öko-Dinkel,gegerbt'!$M$27</f>
        <v>402.44200000000001</v>
      </c>
      <c r="EC13" s="1445">
        <f>'Öko-Roggen'!$M$27</f>
        <v>431.71600000000001</v>
      </c>
      <c r="ED13" s="1445">
        <f>'Öko-Hafer'!$M$27</f>
        <v>431.71600000000001</v>
      </c>
      <c r="EE13" s="1445">
        <f>'Öko-Wintergerste'!$M$27</f>
        <v>480.65999999999997</v>
      </c>
      <c r="EF13" s="1445">
        <f>'Öko-Braugerste'!$M$27</f>
        <v>368.79300000000001</v>
      </c>
      <c r="EG13" s="1445">
        <f>'Öko-Körnermais'!$M$27</f>
        <v>719.78399999999999</v>
      </c>
      <c r="EH13" s="1445">
        <f>'Öko-Ackerbohnen'!$M$27</f>
        <v>-10.297000000000054</v>
      </c>
      <c r="EI13" s="1445">
        <f>'Öko-Erbsen'!$M$27</f>
        <v>0.16199999999997061</v>
      </c>
      <c r="EJ13" s="1445">
        <f>'Öko-Sojabohnen'!$M$27</f>
        <v>26.748000000000069</v>
      </c>
      <c r="EK13" s="1445">
        <f>'Öko-Soblu'!$M$27</f>
        <v>435.85199999999998</v>
      </c>
      <c r="EL13" s="1445">
        <f>'Öko-Raps'!$M$27</f>
        <v>442.94130000000007</v>
      </c>
      <c r="EM13" s="1445">
        <f>'Öko-Kartoffel'!$M$27</f>
        <v>725.36500000000001</v>
      </c>
      <c r="EN13" s="1445"/>
      <c r="EO13" s="1445">
        <f>Begrün.!$M$27</f>
        <v>0</v>
      </c>
      <c r="EP13" s="1445">
        <f>Blühm.!$M$27</f>
        <v>0</v>
      </c>
      <c r="EQ13" s="1434"/>
      <c r="ER13" s="1445">
        <f>'Öko-KG1'!$P$27</f>
        <v>-786.6</v>
      </c>
      <c r="ES13" s="1445">
        <f>'Öko-KG2'!$P$27</f>
        <v>-633.65</v>
      </c>
      <c r="ET13" s="1445">
        <f>'Öko-LU1'!$P$27</f>
        <v>-786.6</v>
      </c>
      <c r="EU13" s="1445">
        <f>'Öko-LU2'!$P$27</f>
        <v>-573.5625</v>
      </c>
      <c r="EV13" s="1443">
        <f>'Öko-WW-Futter'!$P$27</f>
        <v>723.55929999999989</v>
      </c>
      <c r="EW13" s="1445">
        <f>'Öko-WW-Brot'!$P$27</f>
        <v>761.19399999999996</v>
      </c>
      <c r="EX13" s="1445">
        <f>'Öko-Dinkel'!$P$27</f>
        <v>492.45400000000001</v>
      </c>
      <c r="EY13" s="1445">
        <f>'Öko-Dinkel,gegerbt'!$P$27</f>
        <v>481.20249999999999</v>
      </c>
      <c r="EZ13" s="1445">
        <f>'Öko-Roggen'!$P$27</f>
        <v>517.79500000000007</v>
      </c>
      <c r="FA13" s="1445">
        <f>'Öko-Hafer'!$P$27</f>
        <v>517.79500000000007</v>
      </c>
      <c r="FB13" s="1445">
        <f>'Öko-Wintergerste'!$P$27</f>
        <v>578.97500000000002</v>
      </c>
      <c r="FC13" s="1445">
        <f>'Öko-Braugerste'!$P$27</f>
        <v>439.14125000000001</v>
      </c>
      <c r="FD13" s="1445">
        <f>'Öko-Körnermais'!$P$27</f>
        <v>877.88000000000011</v>
      </c>
      <c r="FE13" s="1445">
        <f>'Öko-Ackerbohnen'!$P$27</f>
        <v>-12.871250000000074</v>
      </c>
      <c r="FF13" s="1445">
        <f>'Öko-Erbsen'!$P$27</f>
        <v>0.20249999999995794</v>
      </c>
      <c r="FG13" s="1445">
        <f>'Öko-Sojabohnen'!$P$27</f>
        <v>30.760200000000086</v>
      </c>
      <c r="FH13" s="1445">
        <f>'Öko-Soblu'!$P$27</f>
        <v>581.13600000000008</v>
      </c>
      <c r="FI13" s="1445">
        <f>'Öko-Raps'!$P$27</f>
        <v>573.93020000000013</v>
      </c>
      <c r="FJ13" s="1445">
        <f>'Öko-Kartoffel'!$P$27</f>
        <v>852.95799999999997</v>
      </c>
      <c r="FK13" s="1445"/>
      <c r="FL13" s="1445">
        <f>Begrün.!$P$27</f>
        <v>0</v>
      </c>
      <c r="FM13" s="1445">
        <f>Blühm.!$P$27</f>
        <v>0</v>
      </c>
    </row>
    <row r="14" spans="1:169" ht="16.149999999999999" customHeight="1">
      <c r="A14" s="1440">
        <f>ROWS($A$1:A14)</f>
        <v>14</v>
      </c>
      <c r="B14" s="1486" t="s">
        <v>1142</v>
      </c>
      <c r="C14" s="1526"/>
      <c r="D14" s="3610">
        <f>'WW1'!$J$34</f>
        <v>55.08</v>
      </c>
      <c r="E14" s="1445">
        <f>'WW2'!$J$34</f>
        <v>203.22000000000003</v>
      </c>
      <c r="F14" s="1445">
        <f>'WW3'!$J$34</f>
        <v>236.01999999999998</v>
      </c>
      <c r="G14" s="1445">
        <f>'WW4'!$J$34</f>
        <v>265.94</v>
      </c>
      <c r="H14" s="1445">
        <f>WRo!$J$34</f>
        <v>147.32</v>
      </c>
      <c r="I14" s="1445">
        <f>Tr!$J$34</f>
        <v>155.48000000000002</v>
      </c>
      <c r="J14" s="1445">
        <f>WG!$J$34</f>
        <v>212.20000000000002</v>
      </c>
      <c r="K14" s="1445">
        <f>Di!$J$34</f>
        <v>192.35</v>
      </c>
      <c r="L14" s="1445">
        <f>SW!$J$34</f>
        <v>111.88500000000001</v>
      </c>
      <c r="M14" s="1445">
        <f>'SG-Fu'!$J$34</f>
        <v>149.16</v>
      </c>
      <c r="N14" s="1445">
        <f>BG!$J$34</f>
        <v>162.4</v>
      </c>
      <c r="O14" s="1445">
        <f>Ha!$J$34</f>
        <v>31.885000000000005</v>
      </c>
      <c r="P14" s="1445">
        <f>Du!$J$34</f>
        <v>143.142</v>
      </c>
      <c r="Q14" s="1445">
        <f>KöM!$J$34</f>
        <v>83.25</v>
      </c>
      <c r="R14" s="1445"/>
      <c r="S14" s="1445">
        <f>WR!$J$34</f>
        <v>170.39</v>
      </c>
      <c r="T14" s="1445">
        <f>SR!$J$34</f>
        <v>205.95999999999998</v>
      </c>
      <c r="U14" s="1445">
        <f>SoBl!$J$34</f>
        <v>81.2</v>
      </c>
      <c r="V14" s="1445">
        <f>Soja!$J$34</f>
        <v>92.425000000000011</v>
      </c>
      <c r="W14" s="1445"/>
      <c r="X14" s="1445">
        <f>FE!$J$34</f>
        <v>91.800000000000011</v>
      </c>
      <c r="Y14" s="1445">
        <f>AB!$J$34</f>
        <v>91.800000000000011</v>
      </c>
      <c r="Z14" s="1445">
        <f>Lu!$J$34</f>
        <v>91.800000000000011</v>
      </c>
      <c r="AA14" s="1445">
        <f>ZR!$J$34</f>
        <v>374.4</v>
      </c>
      <c r="AB14" s="1445">
        <f>FrühKa!$J$34</f>
        <v>279.01600000000002</v>
      </c>
      <c r="AC14" s="1445">
        <f>FrühKaFolieBer!$J$34</f>
        <v>416.71600000000001</v>
      </c>
      <c r="AD14" s="1445">
        <f>SpKa!$J$34</f>
        <v>335.21600000000001</v>
      </c>
      <c r="AE14" s="1445">
        <f>SpKaBer!$J$34</f>
        <v>328.36400000000003</v>
      </c>
      <c r="AF14" s="1445">
        <f>'Kultur A'!$J$34</f>
        <v>0</v>
      </c>
      <c r="AG14" s="1445">
        <f>'FAKT-Brachebegrünung'!$J$34</f>
        <v>0</v>
      </c>
      <c r="AH14" s="1445">
        <f>Begr!$J$34</f>
        <v>0</v>
      </c>
      <c r="AI14" s="1442"/>
      <c r="AJ14" s="1443">
        <f>'WW1'!$M$34</f>
        <v>55.08</v>
      </c>
      <c r="AK14" s="1445">
        <f>'WW2'!$M$34</f>
        <v>203.22000000000003</v>
      </c>
      <c r="AL14" s="1445">
        <f>'WW3'!$M$34</f>
        <v>241.45999999999998</v>
      </c>
      <c r="AM14" s="1445">
        <f>'WW4'!$M$34</f>
        <v>265.94</v>
      </c>
      <c r="AN14" s="1445">
        <f>WRo!$M$34</f>
        <v>147.32</v>
      </c>
      <c r="AO14" s="1445">
        <f>Tr!$M$34</f>
        <v>155.48000000000002</v>
      </c>
      <c r="AP14" s="1445">
        <f>WG!$M$34</f>
        <v>212.20000000000002</v>
      </c>
      <c r="AQ14" s="1445">
        <f>Di!$M$34</f>
        <v>212.95999999999998</v>
      </c>
      <c r="AR14" s="1445">
        <f>SW!$M$34</f>
        <v>111.88500000000001</v>
      </c>
      <c r="AS14" s="1445">
        <f>'SG-Fu'!$M$34</f>
        <v>149.16</v>
      </c>
      <c r="AT14" s="1445">
        <f>BG!$M$34</f>
        <v>162.4</v>
      </c>
      <c r="AU14" s="1445">
        <f>Ha!$M$34</f>
        <v>42.085000000000008</v>
      </c>
      <c r="AV14" s="1445">
        <f>Du!$M$34</f>
        <v>143.142</v>
      </c>
      <c r="AW14" s="1445">
        <f>KöM!$M$34</f>
        <v>83.25</v>
      </c>
      <c r="AX14" s="1445"/>
      <c r="AY14" s="1445">
        <f>WR!$M$34</f>
        <v>191.17</v>
      </c>
      <c r="AZ14" s="1445">
        <f>SR!$M$34</f>
        <v>226.73999999999998</v>
      </c>
      <c r="BA14" s="1445">
        <f>SoBl!$M$34</f>
        <v>81.2</v>
      </c>
      <c r="BB14" s="1445">
        <f>Soja!$M$34</f>
        <v>92.425000000000011</v>
      </c>
      <c r="BC14" s="1445"/>
      <c r="BD14" s="1445">
        <f>FE!$M$34</f>
        <v>91.800000000000011</v>
      </c>
      <c r="BE14" s="1445">
        <f>AB!$M$34</f>
        <v>91.800000000000011</v>
      </c>
      <c r="BF14" s="1445">
        <f>Lu!$M$34</f>
        <v>91.800000000000011</v>
      </c>
      <c r="BG14" s="1445">
        <f>ZR!$M$34</f>
        <v>374.4</v>
      </c>
      <c r="BH14" s="1445">
        <f>FrühKa!$M$34</f>
        <v>279.01600000000002</v>
      </c>
      <c r="BI14" s="1445">
        <f>FrühKaFolieBer!$M$34</f>
        <v>416.71600000000001</v>
      </c>
      <c r="BJ14" s="1445">
        <f>SpKa!$M$34</f>
        <v>335.21600000000001</v>
      </c>
      <c r="BK14" s="1445">
        <f>SpKaBer!$M$34</f>
        <v>328.36400000000003</v>
      </c>
      <c r="BL14" s="1445">
        <v>0</v>
      </c>
      <c r="BM14" s="1445">
        <f>'FAKT-Brachebegrünung'!$M$34</f>
        <v>0</v>
      </c>
      <c r="BN14" s="1445">
        <f>Begr!$M$34</f>
        <v>0</v>
      </c>
      <c r="BO14" s="1442"/>
      <c r="BP14" s="1443">
        <f>'WW1'!$P$34</f>
        <v>126.18</v>
      </c>
      <c r="BQ14" s="1445">
        <f>'WW2'!$P$34</f>
        <v>207.98000000000002</v>
      </c>
      <c r="BR14" s="1445">
        <f>'WW3'!$P$34</f>
        <v>241.45999999999998</v>
      </c>
      <c r="BS14" s="1445">
        <f>'WW4'!$P$34</f>
        <v>265.94</v>
      </c>
      <c r="BT14" s="1445">
        <f>WRo!$P$34</f>
        <v>167.86</v>
      </c>
      <c r="BU14" s="1445">
        <f>Tr!$P$34</f>
        <v>155.48000000000002</v>
      </c>
      <c r="BV14" s="1445">
        <f>WG!$P$34</f>
        <v>232.32</v>
      </c>
      <c r="BW14" s="1445">
        <f>Di!$P$34</f>
        <v>212.95999999999998</v>
      </c>
      <c r="BX14" s="1445">
        <f>SW!$P$34</f>
        <v>111.88500000000001</v>
      </c>
      <c r="BY14" s="1445">
        <f>'SG-Fu'!$P$34</f>
        <v>149.16</v>
      </c>
      <c r="BZ14" s="1445">
        <f>BG!$P$34</f>
        <v>162.4</v>
      </c>
      <c r="CA14" s="1445">
        <f>Ha!$P$34</f>
        <v>42.085000000000008</v>
      </c>
      <c r="CB14" s="1445">
        <f>Du!$P$34</f>
        <v>143.142</v>
      </c>
      <c r="CC14" s="1445">
        <f>KöM!$P$34</f>
        <v>83.25</v>
      </c>
      <c r="CD14" s="1445"/>
      <c r="CE14" s="1445">
        <f>WR!$P$34</f>
        <v>191.17</v>
      </c>
      <c r="CF14" s="1445">
        <f>SR!$P$34</f>
        <v>226.73999999999998</v>
      </c>
      <c r="CG14" s="1445">
        <f>SoBl!$P$34</f>
        <v>81.2</v>
      </c>
      <c r="CH14" s="1445">
        <f>Soja!$P$34</f>
        <v>92.425000000000011</v>
      </c>
      <c r="CI14" s="1445"/>
      <c r="CJ14" s="1445">
        <f>FE!$P$34</f>
        <v>91.800000000000011</v>
      </c>
      <c r="CK14" s="1445">
        <f>AB!$P$34</f>
        <v>91.800000000000011</v>
      </c>
      <c r="CL14" s="1445">
        <f>Lu!$P$34</f>
        <v>91.800000000000011</v>
      </c>
      <c r="CM14" s="1445">
        <f>ZR!$P$34</f>
        <v>420.8</v>
      </c>
      <c r="CN14" s="1445">
        <f>FrühKa!$P$34</f>
        <v>279.01600000000002</v>
      </c>
      <c r="CO14" s="1445">
        <f>FrühKaFolieBer!$P$34</f>
        <v>416.71600000000001</v>
      </c>
      <c r="CP14" s="1445">
        <f>SpKa!$P$34</f>
        <v>335.21600000000001</v>
      </c>
      <c r="CQ14" s="1445">
        <f>SpKaBer!$P$34</f>
        <v>328.36400000000003</v>
      </c>
      <c r="CR14" s="1445">
        <f>'Kultur A'!$P$34</f>
        <v>0</v>
      </c>
      <c r="CS14" s="1445">
        <f>'FAKT-Brachebegrünung'!$P$34</f>
        <v>0</v>
      </c>
      <c r="CT14" s="1445">
        <f>Begr!$P$34</f>
        <v>0</v>
      </c>
      <c r="CV14" s="1486" t="s">
        <v>1142</v>
      </c>
      <c r="CW14" s="1526"/>
      <c r="CX14" s="3610">
        <f>'Öko-KG1'!$J$34</f>
        <v>0</v>
      </c>
      <c r="CY14" s="1445">
        <f>'Öko-KG2'!$J$34</f>
        <v>0</v>
      </c>
      <c r="CZ14" s="1445">
        <f>'Öko-LU1'!$J$34</f>
        <v>0</v>
      </c>
      <c r="DA14" s="1445">
        <f>'Öko-LU2'!$J$34</f>
        <v>0</v>
      </c>
      <c r="DB14" s="1443">
        <f>'Öko-WW-Futter'!$J$34</f>
        <v>0</v>
      </c>
      <c r="DC14" s="1445">
        <f>'Öko-WW-Brot'!$J$34</f>
        <v>0</v>
      </c>
      <c r="DD14" s="1445">
        <f>'Öko-Dinkel'!$J$34</f>
        <v>0</v>
      </c>
      <c r="DE14" s="1445">
        <f>'Öko-Dinkel,gegerbt'!$J$34</f>
        <v>0</v>
      </c>
      <c r="DF14" s="1445">
        <f>'Öko-Roggen'!$J$34</f>
        <v>0</v>
      </c>
      <c r="DG14" s="1445">
        <f>'Öko-Hafer'!$J$34</f>
        <v>0</v>
      </c>
      <c r="DH14" s="1445">
        <f>'Öko-Wintergerste'!$J$34</f>
        <v>0</v>
      </c>
      <c r="DI14" s="1445">
        <f>'Öko-Braugerste'!$J$34</f>
        <v>0</v>
      </c>
      <c r="DJ14" s="1445">
        <f>'Öko-Körnermais'!$J$34</f>
        <v>0</v>
      </c>
      <c r="DK14" s="1445">
        <f>'Öko-Ackerbohnen'!$J$34</f>
        <v>0</v>
      </c>
      <c r="DL14" s="1445">
        <f>'Öko-Erbsen'!$J$34</f>
        <v>0</v>
      </c>
      <c r="DM14" s="1445">
        <f>'Öko-Sojabohnen'!$J$34</f>
        <v>0</v>
      </c>
      <c r="DN14" s="1445">
        <f>'Öko-Soblu'!$J$34</f>
        <v>0</v>
      </c>
      <c r="DO14" s="1445">
        <f>'Öko-Raps'!$J$34</f>
        <v>0</v>
      </c>
      <c r="DP14" s="1445">
        <f>'Öko-Kartoffel'!$J$34</f>
        <v>0</v>
      </c>
      <c r="DQ14" s="1445"/>
      <c r="DR14" s="1445">
        <f>Begrün.!$J$34</f>
        <v>0</v>
      </c>
      <c r="DS14" s="1445">
        <f>Blühm.!$J$34</f>
        <v>0</v>
      </c>
      <c r="DT14" s="1434"/>
      <c r="DU14" s="1445">
        <f>'Öko-KG1'!$M$34</f>
        <v>0</v>
      </c>
      <c r="DV14" s="1445">
        <f>'Öko-KG2'!$M$34</f>
        <v>0</v>
      </c>
      <c r="DW14" s="1445">
        <f>'Öko-LU1'!$M$34</f>
        <v>0</v>
      </c>
      <c r="DX14" s="1445">
        <f>'Öko-LU2'!$M$34</f>
        <v>0</v>
      </c>
      <c r="DY14" s="1443">
        <f>'Öko-WW-Futter'!$M$34</f>
        <v>0</v>
      </c>
      <c r="DZ14" s="1445">
        <f>'Öko-WW-Brot'!$M$34</f>
        <v>0</v>
      </c>
      <c r="EA14" s="1445">
        <f>'Öko-Dinkel'!$M$34</f>
        <v>0</v>
      </c>
      <c r="EB14" s="1445">
        <f>'Öko-Dinkel,gegerbt'!$M$34</f>
        <v>0</v>
      </c>
      <c r="EC14" s="1445">
        <f>'Öko-Roggen'!$M$34</f>
        <v>0</v>
      </c>
      <c r="ED14" s="1445">
        <f>'Öko-Hafer'!$M$34</f>
        <v>0</v>
      </c>
      <c r="EE14" s="1445">
        <f>'Öko-Wintergerste'!$M$34</f>
        <v>0</v>
      </c>
      <c r="EF14" s="1445">
        <f>'Öko-Braugerste'!$M$34</f>
        <v>0</v>
      </c>
      <c r="EG14" s="1445">
        <f>'Öko-Körnermais'!$M$34</f>
        <v>0</v>
      </c>
      <c r="EH14" s="1445">
        <f>'Öko-Ackerbohnen'!$M$34</f>
        <v>0</v>
      </c>
      <c r="EI14" s="1445">
        <f>'Öko-Erbsen'!$M$34</f>
        <v>0</v>
      </c>
      <c r="EJ14" s="1445">
        <f>'Öko-Sojabohnen'!$M$34</f>
        <v>0</v>
      </c>
      <c r="EK14" s="1445">
        <f>'Öko-Soblu'!$M$34</f>
        <v>0</v>
      </c>
      <c r="EL14" s="1445">
        <f>'Öko-Raps'!$M$34</f>
        <v>0</v>
      </c>
      <c r="EM14" s="1445">
        <f>'Öko-Kartoffel'!$M$34</f>
        <v>0</v>
      </c>
      <c r="EN14" s="1445"/>
      <c r="EO14" s="1445">
        <f>Begrün.!$M$34</f>
        <v>0</v>
      </c>
      <c r="EP14" s="1445">
        <f>Blühm.!$M$34</f>
        <v>0</v>
      </c>
      <c r="EQ14" s="1434"/>
      <c r="ER14" s="1445">
        <f>'Öko-KG1'!$P$34</f>
        <v>0</v>
      </c>
      <c r="ES14" s="1445">
        <f>'Öko-KG2'!$P$34</f>
        <v>0</v>
      </c>
      <c r="ET14" s="1445">
        <f>'Öko-LU1'!$P$34</f>
        <v>0</v>
      </c>
      <c r="EU14" s="1445">
        <f>'Öko-LU2'!$P$34</f>
        <v>0</v>
      </c>
      <c r="EV14" s="1443">
        <f>'Öko-WW-Futter'!$P$34</f>
        <v>0</v>
      </c>
      <c r="EW14" s="1445">
        <f>'Öko-WW-Brot'!$P$34</f>
        <v>0</v>
      </c>
      <c r="EX14" s="1445">
        <f>'Öko-Dinkel'!$P$34</f>
        <v>0</v>
      </c>
      <c r="EY14" s="1445">
        <f>'Öko-Dinkel,gegerbt'!$P$34</f>
        <v>0</v>
      </c>
      <c r="EZ14" s="1445">
        <f>'Öko-Roggen'!$P$34</f>
        <v>0</v>
      </c>
      <c r="FA14" s="1445">
        <f>'Öko-Hafer'!$P$34</f>
        <v>0</v>
      </c>
      <c r="FB14" s="1445">
        <f>'Öko-Wintergerste'!$P$34</f>
        <v>0</v>
      </c>
      <c r="FC14" s="1445">
        <f>'Öko-Braugerste'!$P$34</f>
        <v>0</v>
      </c>
      <c r="FD14" s="1445">
        <f>'Öko-Körnermais'!$P$34</f>
        <v>0</v>
      </c>
      <c r="FE14" s="1445">
        <f>'Öko-Ackerbohnen'!$P$34</f>
        <v>0</v>
      </c>
      <c r="FF14" s="1445">
        <f>'Öko-Erbsen'!$P$34</f>
        <v>0</v>
      </c>
      <c r="FG14" s="1445">
        <f>'Öko-Sojabohnen'!$P$34</f>
        <v>0</v>
      </c>
      <c r="FH14" s="1445">
        <f>'Öko-Soblu'!$P$34</f>
        <v>0</v>
      </c>
      <c r="FI14" s="1445">
        <f>'Öko-Raps'!$P$34</f>
        <v>0</v>
      </c>
      <c r="FJ14" s="1445">
        <f>'Öko-Kartoffel'!$P$34</f>
        <v>0</v>
      </c>
      <c r="FK14" s="1445"/>
      <c r="FL14" s="1445">
        <f>Begrün.!$P$34</f>
        <v>0</v>
      </c>
      <c r="FM14" s="1445">
        <f>Blühm.!$P$34</f>
        <v>0</v>
      </c>
    </row>
    <row r="15" spans="1:169" ht="16.149999999999999" customHeight="1">
      <c r="A15" s="1440">
        <f>ROWS($A$1:A15)</f>
        <v>15</v>
      </c>
      <c r="B15" s="1486" t="s">
        <v>1141</v>
      </c>
      <c r="C15" s="1526"/>
      <c r="D15" s="3610">
        <f>'WW1'!$J$43</f>
        <v>157.87551062141173</v>
      </c>
      <c r="E15" s="1445">
        <f>'WW2'!$J$43</f>
        <v>154.88789563176468</v>
      </c>
      <c r="F15" s="1445">
        <f>'WW3'!$J$43</f>
        <v>154.08677594470586</v>
      </c>
      <c r="G15" s="1445">
        <f>'WW4'!$J$43</f>
        <v>154.08677594470586</v>
      </c>
      <c r="H15" s="1445">
        <f>WRo!$J$43</f>
        <v>147.57741855999996</v>
      </c>
      <c r="I15" s="1445">
        <f>Tr!$J$43</f>
        <v>147.57741855999996</v>
      </c>
      <c r="J15" s="1445">
        <f>WG!$J$43</f>
        <v>154.08677594470586</v>
      </c>
      <c r="K15" s="1445">
        <f>Di!$J$43</f>
        <v>153.28565625764705</v>
      </c>
      <c r="L15" s="1445">
        <f>SW!$J$43</f>
        <v>148.3785382470588</v>
      </c>
      <c r="M15" s="1445">
        <f>'SG-Fu'!$J$43</f>
        <v>146.77629887294114</v>
      </c>
      <c r="N15" s="1445">
        <f>BG!$J$43</f>
        <v>145.97517918588235</v>
      </c>
      <c r="O15" s="1445">
        <f>Ha!$J$43</f>
        <v>139.46582180117645</v>
      </c>
      <c r="P15" s="1445">
        <f>Du!$J$43</f>
        <v>161.56510127647056</v>
      </c>
      <c r="Q15" s="1445">
        <f>KöM!$J$43</f>
        <v>132.49566567529411</v>
      </c>
      <c r="R15" s="1445"/>
      <c r="S15" s="1445">
        <f>WR!$J$43</f>
        <v>154.35926290823528</v>
      </c>
      <c r="T15" s="1445">
        <f>SR!$J$43</f>
        <v>148.15849026047056</v>
      </c>
      <c r="U15" s="1445">
        <f>SoBl!$J$43</f>
        <v>145.30874217529413</v>
      </c>
      <c r="V15" s="1445">
        <f>Soja!$J$43</f>
        <v>130.86169009223528</v>
      </c>
      <c r="W15" s="1445"/>
      <c r="X15" s="1445">
        <f>FE!$J$43</f>
        <v>133.74572096564705</v>
      </c>
      <c r="Y15" s="1445">
        <f>AB!$J$43</f>
        <v>132.78437734117645</v>
      </c>
      <c r="Z15" s="1445">
        <f>Lu!$J$43</f>
        <v>129.57989859294116</v>
      </c>
      <c r="AA15" s="1445">
        <f>ZR!$J$43</f>
        <v>152.25292936218486</v>
      </c>
      <c r="AB15" s="1445">
        <f>FrühKa!$J$43</f>
        <v>297.18959828386556</v>
      </c>
      <c r="AC15" s="1445">
        <f>FrühKaFolieBer!$J$43</f>
        <v>537.84186802840327</v>
      </c>
      <c r="AD15" s="1445">
        <f>SpKa!$J$43</f>
        <v>357.14729746218484</v>
      </c>
      <c r="AE15" s="1445">
        <f>SpKaBer!$J$43</f>
        <v>500.84010960598312</v>
      </c>
      <c r="AF15" s="1445">
        <f>'Kultur A'!$J$43</f>
        <v>0</v>
      </c>
      <c r="AG15" s="1445">
        <f>'FAKT-Brachebegrünung'!$J$43</f>
        <v>119.70379359831931</v>
      </c>
      <c r="AH15" s="1445">
        <f>Begr!$J$43</f>
        <v>93.566991052436961</v>
      </c>
      <c r="AI15" s="1442"/>
      <c r="AJ15" s="1443">
        <f>'WW1'!$M$43</f>
        <v>165.66249065223528</v>
      </c>
      <c r="AK15" s="1445">
        <f>'WW2'!$M$43</f>
        <v>161.56934009176467</v>
      </c>
      <c r="AL15" s="1445">
        <f>'WW3'!$M$43</f>
        <v>160.76822040470586</v>
      </c>
      <c r="AM15" s="1445">
        <f>'WW4'!$M$43</f>
        <v>159.96710071764704</v>
      </c>
      <c r="AN15" s="1445">
        <f>WRo!$M$43</f>
        <v>149.17965793411761</v>
      </c>
      <c r="AO15" s="1445">
        <f>Tr!$M$43</f>
        <v>149.98077762117646</v>
      </c>
      <c r="AP15" s="1445">
        <f>WG!$M$43</f>
        <v>156.49013500588234</v>
      </c>
      <c r="AQ15" s="1445">
        <f>Di!$M$43</f>
        <v>159.1659810305882</v>
      </c>
      <c r="AR15" s="1445">
        <f>SW!$M$43</f>
        <v>148.3785382470588</v>
      </c>
      <c r="AS15" s="1445">
        <f>'SG-Fu'!$M$43</f>
        <v>148.3785382470588</v>
      </c>
      <c r="AT15" s="1445">
        <f>BG!$M$43</f>
        <v>147.57741855999998</v>
      </c>
      <c r="AU15" s="1445">
        <f>Ha!$M$43</f>
        <v>147.57741855999996</v>
      </c>
      <c r="AV15" s="1445">
        <f>Du!$M$43</f>
        <v>163.96846033764703</v>
      </c>
      <c r="AW15" s="1445">
        <f>KöM!$M$43</f>
        <v>135.70014442352939</v>
      </c>
      <c r="AX15" s="1445"/>
      <c r="AY15" s="1445">
        <f>WR!$M$43</f>
        <v>162.47085966705879</v>
      </c>
      <c r="AZ15" s="1445">
        <f>SR!$M$43</f>
        <v>155.62919126964704</v>
      </c>
      <c r="BA15" s="1445">
        <f>SoBl!$M$43</f>
        <v>146.10986186235294</v>
      </c>
      <c r="BB15" s="1445">
        <f>Soja!$M$43</f>
        <v>132.78437734117645</v>
      </c>
      <c r="BC15" s="1445"/>
      <c r="BD15" s="1445">
        <f>FE!$M$43</f>
        <v>133.74572096564705</v>
      </c>
      <c r="BE15" s="1445">
        <f>AB!$M$43</f>
        <v>133.74572096564705</v>
      </c>
      <c r="BF15" s="1445">
        <f>Lu!$M$43</f>
        <v>131.98325765411764</v>
      </c>
      <c r="BG15" s="1445">
        <f>ZR!$M$43</f>
        <v>152.25292936218486</v>
      </c>
      <c r="BH15" s="1445">
        <f>FrühKa!$M$43</f>
        <v>315.25968536957987</v>
      </c>
      <c r="BI15" s="1445">
        <f>FrühKaFolieBer!$M$43</f>
        <v>549.40259772941158</v>
      </c>
      <c r="BJ15" s="1445">
        <f>SpKa!$M$43</f>
        <v>375.21738454789914</v>
      </c>
      <c r="BK15" s="1445">
        <f>SpKaBer!$M$43</f>
        <v>516.01898275798317</v>
      </c>
      <c r="BL15" s="1445">
        <v>0</v>
      </c>
      <c r="BM15" s="1445">
        <f>'FAKT-Brachebegrünung'!$M$43</f>
        <v>119.70379359831931</v>
      </c>
      <c r="BN15" s="1445">
        <f>Begr!$M$43</f>
        <v>93.566991052436961</v>
      </c>
      <c r="BO15" s="1442"/>
      <c r="BP15" s="1443">
        <f>'WW1'!$P$43</f>
        <v>179.95882806776467</v>
      </c>
      <c r="BQ15" s="1445">
        <f>'WW2'!$P$43</f>
        <v>168.25078455176467</v>
      </c>
      <c r="BR15" s="1445">
        <f>'WW3'!$P$43</f>
        <v>167.44966486470585</v>
      </c>
      <c r="BS15" s="1445">
        <f>'WW4'!$P$43</f>
        <v>165.84742549058819</v>
      </c>
      <c r="BT15" s="1445">
        <f>WRo!$P$43</f>
        <v>161.56934009176467</v>
      </c>
      <c r="BU15" s="1445">
        <f>Tr!$P$43</f>
        <v>157.46334176823527</v>
      </c>
      <c r="BV15" s="1445">
        <f>WG!$P$43</f>
        <v>163.17157946588233</v>
      </c>
      <c r="BW15" s="1445">
        <f>Di!$P$43</f>
        <v>160.76822040470586</v>
      </c>
      <c r="BX15" s="1445">
        <f>SW!$P$43</f>
        <v>148.3785382470588</v>
      </c>
      <c r="BY15" s="1445">
        <f>'SG-Fu'!$P$43</f>
        <v>149.98077762117646</v>
      </c>
      <c r="BZ15" s="1445">
        <f>BG!$P$43</f>
        <v>149.17965793411764</v>
      </c>
      <c r="CA15" s="1445">
        <f>Ha!$P$43</f>
        <v>149.17965793411761</v>
      </c>
      <c r="CB15" s="1445">
        <f>Du!$P$43</f>
        <v>164.76958002470585</v>
      </c>
      <c r="CC15" s="1445">
        <f>KöM!$P$43</f>
        <v>138.90462317176468</v>
      </c>
      <c r="CD15" s="1445"/>
      <c r="CE15" s="1445">
        <f>WR!$P$43</f>
        <v>164.07309904117645</v>
      </c>
      <c r="CF15" s="1445">
        <f>SR!$P$43</f>
        <v>156.59053489411764</v>
      </c>
      <c r="CG15" s="1445">
        <f>SoBl!$P$43</f>
        <v>146.91098154941176</v>
      </c>
      <c r="CH15" s="1445">
        <f>Soja!$P$43</f>
        <v>134.70706459011762</v>
      </c>
      <c r="CI15" s="1445"/>
      <c r="CJ15" s="1445">
        <f>FE!$P$43</f>
        <v>135.66840821458823</v>
      </c>
      <c r="CK15" s="1445">
        <f>AB!$P$43</f>
        <v>135.66840821458823</v>
      </c>
      <c r="CL15" s="1445">
        <f>Lu!$P$43</f>
        <v>134.38661671529411</v>
      </c>
      <c r="CM15" s="1445">
        <f>ZR!$P$43</f>
        <v>158.76228674689077</v>
      </c>
      <c r="CN15" s="1445">
        <f>FrühKa!$P$43</f>
        <v>333.32977245529412</v>
      </c>
      <c r="CO15" s="1445">
        <f>FrühKaFolieBer!$P$43</f>
        <v>573.98204219983177</v>
      </c>
      <c r="CP15" s="1445">
        <f>SpKa!$P$43</f>
        <v>393.28747163361345</v>
      </c>
      <c r="CQ15" s="1445">
        <f>SpKaBer!$P$43</f>
        <v>530.8364541682688</v>
      </c>
      <c r="CR15" s="1445">
        <f>'Kultur A'!$P$43</f>
        <v>0</v>
      </c>
      <c r="CS15" s="1445">
        <f>'FAKT-Brachebegrünung'!$P$43</f>
        <v>119.70379359831931</v>
      </c>
      <c r="CT15" s="1445">
        <f>Begr!$P$43</f>
        <v>93.566991052436961</v>
      </c>
      <c r="CV15" s="1486" t="s">
        <v>1141</v>
      </c>
      <c r="CW15" s="1526"/>
      <c r="CX15" s="3610">
        <f>'Öko-KG1'!$J$43</f>
        <v>177.62672700369745</v>
      </c>
      <c r="CY15" s="1445">
        <f>'Öko-KG2'!$J$43</f>
        <v>119.03161878605039</v>
      </c>
      <c r="CZ15" s="1445">
        <f>'Öko-LU1'!$J$43</f>
        <v>177.62672700369745</v>
      </c>
      <c r="DA15" s="1445">
        <f>'Öko-LU2'!$J$43</f>
        <v>119.03161878605039</v>
      </c>
      <c r="DB15" s="1443">
        <f>'Öko-WW-Futter'!$J$43</f>
        <v>147.41761145848736</v>
      </c>
      <c r="DC15" s="1445">
        <f>'Öko-WW-Brot'!$J$43</f>
        <v>147.41761145848736</v>
      </c>
      <c r="DD15" s="1445">
        <f>'Öko-Dinkel'!$J$43</f>
        <v>145.51381048711761</v>
      </c>
      <c r="DE15" s="1445">
        <f>'Öko-Dinkel,gegerbt'!$J$43</f>
        <v>145.51381048711761</v>
      </c>
      <c r="DF15" s="1445">
        <f>'Öko-Roggen'!$J$43</f>
        <v>148.42015278191593</v>
      </c>
      <c r="DG15" s="1445">
        <f>'Öko-Hafer'!$J$43</f>
        <v>148.05964892273948</v>
      </c>
      <c r="DH15" s="1445">
        <f>'Öko-Wintergerste'!$J$43</f>
        <v>142.3636745925042</v>
      </c>
      <c r="DI15" s="1445">
        <f>'Öko-Braugerste'!$J$43</f>
        <v>145.48977449717646</v>
      </c>
      <c r="DJ15" s="1445">
        <f>'Öko-Körnermais'!$J$43</f>
        <v>164.98526592397477</v>
      </c>
      <c r="DK15" s="1445">
        <f>'Öko-Ackerbohnen'!$J$43</f>
        <v>162.07189922176468</v>
      </c>
      <c r="DL15" s="1445">
        <f>'Öko-Erbsen'!$J$43</f>
        <v>149.73881177517643</v>
      </c>
      <c r="DM15" s="1445">
        <f>'Öko-Sojabohnen'!$J$43</f>
        <v>190.24533434036465</v>
      </c>
      <c r="DN15" s="1445">
        <f>'Öko-Soblu'!$J$43</f>
        <v>175.36167312147899</v>
      </c>
      <c r="DO15" s="1445">
        <f>'Öko-Raps'!$J$43</f>
        <v>180.61604736988235</v>
      </c>
      <c r="DP15" s="1445">
        <f>'Öko-Kartoffel'!$J$43</f>
        <v>240.79607341932768</v>
      </c>
      <c r="DQ15" s="1445"/>
      <c r="DR15" s="1445">
        <f>Begrün.!$J$43</f>
        <v>77.455520210084018</v>
      </c>
      <c r="DS15" s="1445">
        <f>Blühm.!$J$43</f>
        <v>89.390396052436969</v>
      </c>
      <c r="DT15" s="1434"/>
      <c r="DU15" s="1445">
        <f>'Öko-KG1'!$M$43</f>
        <v>177.62672700369745</v>
      </c>
      <c r="DV15" s="1445">
        <f>'Öko-KG2'!$M$43</f>
        <v>119.03161878605039</v>
      </c>
      <c r="DW15" s="1445">
        <f>'Öko-LU1'!$M$43</f>
        <v>177.62672700369745</v>
      </c>
      <c r="DX15" s="1445">
        <f>'Öko-LU2'!$M$43</f>
        <v>119.03161878605039</v>
      </c>
      <c r="DY15" s="1443">
        <f>'Öko-WW-Futter'!$M$43</f>
        <v>152.4944140488067</v>
      </c>
      <c r="DZ15" s="1445">
        <f>'Öko-WW-Brot'!$M$43</f>
        <v>150.09105498763023</v>
      </c>
      <c r="EA15" s="1445">
        <f>'Öko-Dinkel'!$M$43</f>
        <v>149.95601275364706</v>
      </c>
      <c r="EB15" s="1445">
        <f>'Öko-Dinkel,gegerbt'!$M$43</f>
        <v>149.95601275364706</v>
      </c>
      <c r="EC15" s="1445">
        <f>'Öko-Roggen'!$M$43</f>
        <v>153.83113581337813</v>
      </c>
      <c r="ED15" s="1445">
        <f>'Öko-Hafer'!$M$43</f>
        <v>153.35046400114285</v>
      </c>
      <c r="EE15" s="1445">
        <f>'Öko-Wintergerste'!$M$43</f>
        <v>153.83113581337813</v>
      </c>
      <c r="EF15" s="1445">
        <f>'Öko-Braugerste'!$M$43</f>
        <v>149.92396476705881</v>
      </c>
      <c r="EG15" s="1445">
        <f>'Öko-Körnermais'!$M$43</f>
        <v>168.41005258615124</v>
      </c>
      <c r="EH15" s="1445">
        <f>'Öko-Ackerbohnen'!$M$43</f>
        <v>164.11475442376468</v>
      </c>
      <c r="EI15" s="1445">
        <f>'Öko-Erbsen'!$M$43</f>
        <v>151.54133107105881</v>
      </c>
      <c r="EJ15" s="1445">
        <f>'Öko-Sojabohnen'!$M$43</f>
        <v>191.07449321647056</v>
      </c>
      <c r="EK15" s="1445">
        <f>'Öko-Soblu'!$M$43</f>
        <v>177.76503218265546</v>
      </c>
      <c r="EL15" s="1445">
        <f>'Öko-Raps'!$M$43</f>
        <v>182.77907052494115</v>
      </c>
      <c r="EM15" s="1445">
        <f>'Öko-Kartoffel'!$M$43</f>
        <v>247.2586730546218</v>
      </c>
      <c r="EN15" s="1445"/>
      <c r="EO15" s="1445">
        <f>Begrün.!$M$43</f>
        <v>77.455520210084018</v>
      </c>
      <c r="EP15" s="1445">
        <f>Blühm.!$M$43</f>
        <v>89.390396052436969</v>
      </c>
      <c r="EQ15" s="1434"/>
      <c r="ER15" s="1445">
        <f>'Öko-KG1'!$P$43</f>
        <v>177.62672700369745</v>
      </c>
      <c r="ES15" s="1445">
        <f>'Öko-KG2'!$P$43</f>
        <v>119.03161878605039</v>
      </c>
      <c r="ET15" s="1445">
        <f>'Öko-LU1'!$P$43</f>
        <v>177.62672700369745</v>
      </c>
      <c r="EU15" s="1445">
        <f>'Öko-LU2'!$P$43</f>
        <v>119.03161878605039</v>
      </c>
      <c r="EV15" s="1443">
        <f>'Öko-WW-Futter'!$P$43</f>
        <v>167.21714156073276</v>
      </c>
      <c r="EW15" s="1445">
        <f>'Öko-WW-Brot'!$P$43</f>
        <v>155.43794204591595</v>
      </c>
      <c r="EX15" s="1445">
        <f>'Öko-Dinkel'!$P$43</f>
        <v>155.03281534396638</v>
      </c>
      <c r="EY15" s="1445">
        <f>'Öko-Dinkel,gegerbt'!$P$43</f>
        <v>154.39821502017645</v>
      </c>
      <c r="EZ15" s="1445">
        <f>'Öko-Roggen'!$P$43</f>
        <v>144.34129266554621</v>
      </c>
      <c r="FA15" s="1445">
        <f>'Öko-Hafer'!$P$43</f>
        <v>158.64127907954622</v>
      </c>
      <c r="FB15" s="1445">
        <f>'Öko-Wintergerste'!$P$43</f>
        <v>159.24211884484032</v>
      </c>
      <c r="FC15" s="1445">
        <f>'Öko-Braugerste'!$P$43</f>
        <v>154.35815503694116</v>
      </c>
      <c r="FD15" s="1445">
        <f>'Öko-Körnermais'!$P$43</f>
        <v>171.83483924832771</v>
      </c>
      <c r="FE15" s="1445">
        <f>'Öko-Ackerbohnen'!$P$43</f>
        <v>166.15760962576468</v>
      </c>
      <c r="FF15" s="1445">
        <f>'Öko-Erbsen'!$P$43</f>
        <v>171.01240828458822</v>
      </c>
      <c r="FG15" s="1445">
        <f>'Öko-Sojabohnen'!$P$43</f>
        <v>197.9601302819882</v>
      </c>
      <c r="FH15" s="1445">
        <f>'Öko-Soblu'!$P$43</f>
        <v>176.80368855818489</v>
      </c>
      <c r="FI15" s="1445">
        <f>'Öko-Raps'!$P$43</f>
        <v>184.4614218677647</v>
      </c>
      <c r="FJ15" s="1445">
        <f>'Öko-Kartoffel'!$P$43</f>
        <v>253.72127268991591</v>
      </c>
      <c r="FK15" s="1445"/>
      <c r="FL15" s="1445">
        <f>Begrün.!$P$43</f>
        <v>77.455520210084018</v>
      </c>
      <c r="FM15" s="1445">
        <f>Blühm.!$P$43</f>
        <v>89.390396052436969</v>
      </c>
    </row>
    <row r="16" spans="1:169" ht="16.149999999999999" customHeight="1">
      <c r="A16" s="1440">
        <f>ROWS($A$1:A16)</f>
        <v>16</v>
      </c>
      <c r="B16" s="1486" t="s">
        <v>1140</v>
      </c>
      <c r="C16" s="1526"/>
      <c r="D16" s="3610">
        <f>'WW1'!$J$60</f>
        <v>312.7</v>
      </c>
      <c r="E16" s="1445">
        <f>'WW2'!$J$60</f>
        <v>167.1</v>
      </c>
      <c r="F16" s="1445">
        <f>'WW3'!$J$60</f>
        <v>167.1</v>
      </c>
      <c r="G16" s="1445">
        <f>'WW4'!$J$60</f>
        <v>167.1</v>
      </c>
      <c r="H16" s="1445">
        <f>WRo!$J$60</f>
        <v>167.1</v>
      </c>
      <c r="I16" s="1445">
        <f>Tr!$J$60</f>
        <v>167.1</v>
      </c>
      <c r="J16" s="1445">
        <f>WG!$J$60</f>
        <v>167.1</v>
      </c>
      <c r="K16" s="1445">
        <f>Di!$J$60</f>
        <v>167.1</v>
      </c>
      <c r="L16" s="1445">
        <f>SW!$J$60</f>
        <v>167.1</v>
      </c>
      <c r="M16" s="1445">
        <f>'SG-Fu'!$J$60</f>
        <v>167.1</v>
      </c>
      <c r="N16" s="1445">
        <f>BG!$J$60</f>
        <v>167.1</v>
      </c>
      <c r="O16" s="1445">
        <f>Ha!$J$60</f>
        <v>167.1</v>
      </c>
      <c r="P16" s="1445">
        <f>Du!$J$60</f>
        <v>167.1</v>
      </c>
      <c r="Q16" s="1445">
        <f>KöM!$J$60</f>
        <v>190.4</v>
      </c>
      <c r="R16" s="1445"/>
      <c r="S16" s="1445">
        <f>WR!$J$60</f>
        <v>184.6</v>
      </c>
      <c r="T16" s="1445">
        <f>SR!$J$60</f>
        <v>184.6</v>
      </c>
      <c r="U16" s="1445">
        <f>SoBl!$J$60</f>
        <v>184.6</v>
      </c>
      <c r="V16" s="1445">
        <f>Soja!$J$60</f>
        <v>194.5</v>
      </c>
      <c r="W16" s="1445"/>
      <c r="X16" s="1445">
        <f>FE!$J$60</f>
        <v>194.5</v>
      </c>
      <c r="Y16" s="1445">
        <f>AB!$J$60</f>
        <v>194.5</v>
      </c>
      <c r="Z16" s="1445">
        <f>Lu!$J$60</f>
        <v>194.5</v>
      </c>
      <c r="AA16" s="1445">
        <f>ZR!$J$60</f>
        <v>397.5</v>
      </c>
      <c r="AB16" s="1445">
        <f>FrühKa!$J$60</f>
        <v>600</v>
      </c>
      <c r="AC16" s="1445">
        <f>FrühKaFolieBer!$J$60</f>
        <v>600</v>
      </c>
      <c r="AD16" s="1445">
        <f>SpKa!$J$60</f>
        <v>600</v>
      </c>
      <c r="AE16" s="1445">
        <f>SpKaBer!$J$60</f>
        <v>600</v>
      </c>
      <c r="AF16" s="1445">
        <f>'Kultur A'!$J$60</f>
        <v>0</v>
      </c>
      <c r="AG16" s="1445">
        <f>'FAKT-Brachebegrünung'!$J$60</f>
        <v>0</v>
      </c>
      <c r="AH16" s="1445">
        <f>Begr!$J$60</f>
        <v>0</v>
      </c>
      <c r="AI16" s="1442"/>
      <c r="AJ16" s="1443">
        <f>'WW1'!$M$60</f>
        <v>346.29999999999995</v>
      </c>
      <c r="AK16" s="1445">
        <f>'WW2'!$M$60</f>
        <v>167.1</v>
      </c>
      <c r="AL16" s="1445">
        <f>'WW3'!$M$60</f>
        <v>167.1</v>
      </c>
      <c r="AM16" s="1445">
        <f>'WW4'!$M$60</f>
        <v>167.1</v>
      </c>
      <c r="AN16" s="1445">
        <f>WRo!$M$60</f>
        <v>167.1</v>
      </c>
      <c r="AO16" s="1445">
        <f>Tr!$M$60</f>
        <v>167.1</v>
      </c>
      <c r="AP16" s="1445">
        <f>WG!$M$60</f>
        <v>167.1</v>
      </c>
      <c r="AQ16" s="1445">
        <f>Di!$M$60</f>
        <v>167.1</v>
      </c>
      <c r="AR16" s="1445">
        <f>SW!$M$60</f>
        <v>167.1</v>
      </c>
      <c r="AS16" s="1445">
        <f>'SG-Fu'!$M$60</f>
        <v>167.1</v>
      </c>
      <c r="AT16" s="1445">
        <f>BG!$M$60</f>
        <v>167.1</v>
      </c>
      <c r="AU16" s="1445">
        <f>Ha!$M$60</f>
        <v>167.1</v>
      </c>
      <c r="AV16" s="1445">
        <f>Du!$M$60</f>
        <v>167.1</v>
      </c>
      <c r="AW16" s="1445">
        <f>KöM!$M$60</f>
        <v>190.4</v>
      </c>
      <c r="AX16" s="1445"/>
      <c r="AY16" s="1445">
        <f>WR!$M$60</f>
        <v>184.6</v>
      </c>
      <c r="AZ16" s="1445">
        <f>SR!$M$60</f>
        <v>184.6</v>
      </c>
      <c r="BA16" s="1445">
        <f>SoBl!$M$60</f>
        <v>184.6</v>
      </c>
      <c r="BB16" s="1445">
        <f>Soja!$M$60</f>
        <v>194.5</v>
      </c>
      <c r="BC16" s="1445"/>
      <c r="BD16" s="1445">
        <f>FE!$M$60</f>
        <v>194.5</v>
      </c>
      <c r="BE16" s="1445">
        <f>AB!$M$60</f>
        <v>194.5</v>
      </c>
      <c r="BF16" s="1445">
        <f>Lu!$M$60</f>
        <v>194.5</v>
      </c>
      <c r="BG16" s="1445">
        <f>ZR!$M$60</f>
        <v>397.5</v>
      </c>
      <c r="BH16" s="1445">
        <f>FrühKa!$M$60</f>
        <v>600</v>
      </c>
      <c r="BI16" s="1445">
        <f>FrühKaFolieBer!$M$60</f>
        <v>600</v>
      </c>
      <c r="BJ16" s="1445">
        <f>SpKa!$M$60</f>
        <v>600</v>
      </c>
      <c r="BK16" s="1445">
        <f>SpKaBer!$M$60</f>
        <v>600</v>
      </c>
      <c r="BL16" s="1445">
        <v>0</v>
      </c>
      <c r="BM16" s="1445">
        <f>'FAKT-Brachebegrünung'!$M$60</f>
        <v>0</v>
      </c>
      <c r="BN16" s="1445">
        <f>Begr!$M$60</f>
        <v>0</v>
      </c>
      <c r="BO16" s="1442"/>
      <c r="BP16" s="1443">
        <f>'WW1'!$P$60</f>
        <v>379.9</v>
      </c>
      <c r="BQ16" s="1445">
        <f>'WW2'!$P$60</f>
        <v>167.1</v>
      </c>
      <c r="BR16" s="1445">
        <f>'WW3'!$P$60</f>
        <v>167.1</v>
      </c>
      <c r="BS16" s="1445">
        <f>'WW4'!$P$60</f>
        <v>167.1</v>
      </c>
      <c r="BT16" s="1445">
        <f>WRo!$P$60</f>
        <v>167.1</v>
      </c>
      <c r="BU16" s="1445">
        <f>Tr!$P$60</f>
        <v>167.1</v>
      </c>
      <c r="BV16" s="1445">
        <f>WG!$P$60</f>
        <v>167.1</v>
      </c>
      <c r="BW16" s="1445">
        <f>Di!$P$60</f>
        <v>167.1</v>
      </c>
      <c r="BX16" s="1445">
        <f>SW!$P$60</f>
        <v>167.1</v>
      </c>
      <c r="BY16" s="1445">
        <f>'SG-Fu'!$P$60</f>
        <v>167.1</v>
      </c>
      <c r="BZ16" s="1445">
        <f>BG!$P$60</f>
        <v>167.1</v>
      </c>
      <c r="CA16" s="1445">
        <f>Ha!$P$60</f>
        <v>167.1</v>
      </c>
      <c r="CB16" s="1445">
        <f>Du!$P$60</f>
        <v>167.1</v>
      </c>
      <c r="CC16" s="1445">
        <f>KöM!$P$60</f>
        <v>190.4</v>
      </c>
      <c r="CD16" s="1445"/>
      <c r="CE16" s="1445">
        <f>WR!$P$60</f>
        <v>184.6</v>
      </c>
      <c r="CF16" s="1445">
        <f>SR!$P$60</f>
        <v>184.6</v>
      </c>
      <c r="CG16" s="1445">
        <f>SoBl!$P$60</f>
        <v>184.6</v>
      </c>
      <c r="CH16" s="1445">
        <f>Soja!$P$60</f>
        <v>194.5</v>
      </c>
      <c r="CI16" s="1445"/>
      <c r="CJ16" s="1445">
        <f>FE!$P$60</f>
        <v>194.5</v>
      </c>
      <c r="CK16" s="1445">
        <f>AB!$P$60</f>
        <v>194.5</v>
      </c>
      <c r="CL16" s="1445">
        <f>Lu!$P$60</f>
        <v>194.5</v>
      </c>
      <c r="CM16" s="1445">
        <f>ZR!$P$60</f>
        <v>397.5</v>
      </c>
      <c r="CN16" s="1445">
        <f>FrühKa!$P$60</f>
        <v>600</v>
      </c>
      <c r="CO16" s="1445">
        <f>FrühKaFolieBer!$P$60</f>
        <v>600</v>
      </c>
      <c r="CP16" s="1445">
        <f>SpKa!$P$60</f>
        <v>600</v>
      </c>
      <c r="CQ16" s="1445">
        <f>SpKaBer!$P$60</f>
        <v>600</v>
      </c>
      <c r="CR16" s="1445">
        <f>'Kultur A'!$P$60</f>
        <v>0</v>
      </c>
      <c r="CS16" s="1445">
        <f>'FAKT-Brachebegrünung'!$P$60</f>
        <v>0</v>
      </c>
      <c r="CT16" s="1445">
        <f>Begr!$P$60</f>
        <v>0</v>
      </c>
      <c r="CV16" s="1486" t="s">
        <v>1140</v>
      </c>
      <c r="CW16" s="1526"/>
      <c r="CX16" s="3610">
        <f>'Öko-KG1'!$J$60</f>
        <v>0</v>
      </c>
      <c r="CY16" s="1445">
        <f>'Öko-KG2'!$J$60</f>
        <v>0</v>
      </c>
      <c r="CZ16" s="1445">
        <f>'Öko-LU1'!$J$60</f>
        <v>0</v>
      </c>
      <c r="DA16" s="1445">
        <f>'Öko-LU2'!$J$60</f>
        <v>0</v>
      </c>
      <c r="DB16" s="1443">
        <f>'Öko-WW-Futter'!$J$60</f>
        <v>216.79999999999998</v>
      </c>
      <c r="DC16" s="1445">
        <f>'Öko-WW-Brot'!$J$60</f>
        <v>216.79999999999998</v>
      </c>
      <c r="DD16" s="1445">
        <f>'Öko-Dinkel'!$J$60</f>
        <v>208.39999999999998</v>
      </c>
      <c r="DE16" s="1445">
        <f>'Öko-Dinkel,gegerbt'!$J$60</f>
        <v>208.39999999999998</v>
      </c>
      <c r="DF16" s="1445">
        <f>'Öko-Roggen'!$J$60</f>
        <v>225.2</v>
      </c>
      <c r="DG16" s="1445">
        <f>'Öko-Hafer'!$J$60</f>
        <v>225.2</v>
      </c>
      <c r="DH16" s="1445">
        <f>'Öko-Wintergerste'!$J$60</f>
        <v>225.2</v>
      </c>
      <c r="DI16" s="1445">
        <f>'Öko-Braugerste'!$J$60</f>
        <v>233.25</v>
      </c>
      <c r="DJ16" s="1445">
        <f>'Öko-Körnermais'!$J$60</f>
        <v>190.4</v>
      </c>
      <c r="DK16" s="1445">
        <f>'Öko-Ackerbohnen'!$J$60</f>
        <v>194.5</v>
      </c>
      <c r="DL16" s="1445">
        <f>'Öko-Erbsen'!$J$60</f>
        <v>194.5</v>
      </c>
      <c r="DM16" s="1445">
        <f>'Öko-Sojabohnen'!$J$60</f>
        <v>194.5</v>
      </c>
      <c r="DN16" s="1445">
        <f>'Öko-Soblu'!$J$60</f>
        <v>167.1</v>
      </c>
      <c r="DO16" s="1445">
        <f>'Öko-Raps'!$J$60</f>
        <v>198.84899999999999</v>
      </c>
      <c r="DP16" s="1445">
        <f>'Öko-Kartoffel'!$J$60</f>
        <v>600</v>
      </c>
      <c r="DQ16" s="1445"/>
      <c r="DR16" s="1445">
        <f>Begrün.!$J$60</f>
        <v>0</v>
      </c>
      <c r="DS16" s="1445">
        <f>Blühm.!$J$60</f>
        <v>0</v>
      </c>
      <c r="DT16" s="1434"/>
      <c r="DU16" s="1445">
        <f>'Öko-KG1'!$M$60</f>
        <v>0</v>
      </c>
      <c r="DV16" s="1445">
        <f>'Öko-KG2'!$M$60</f>
        <v>0</v>
      </c>
      <c r="DW16" s="1445">
        <f>'Öko-LU1'!$M$60</f>
        <v>0</v>
      </c>
      <c r="DX16" s="1445">
        <f>'Öko-LU2'!$M$60</f>
        <v>0</v>
      </c>
      <c r="DY16" s="1443">
        <f>'Öko-WW-Futter'!$M$60</f>
        <v>239.2</v>
      </c>
      <c r="DZ16" s="1445">
        <f>'Öko-WW-Brot'!$M$60</f>
        <v>239.2</v>
      </c>
      <c r="EA16" s="1445">
        <f>'Öko-Dinkel'!$M$60</f>
        <v>228</v>
      </c>
      <c r="EB16" s="1445">
        <f>'Öko-Dinkel,gegerbt'!$M$60</f>
        <v>228</v>
      </c>
      <c r="EC16" s="1445">
        <f>'Öko-Roggen'!$M$60</f>
        <v>250.39999999999998</v>
      </c>
      <c r="ED16" s="1445">
        <f>'Öko-Hafer'!$M$60</f>
        <v>250.39999999999998</v>
      </c>
      <c r="EE16" s="1445">
        <f>'Öko-Wintergerste'!$M$60</f>
        <v>250.39999999999998</v>
      </c>
      <c r="EF16" s="1445">
        <f>'Öko-Braugerste'!$M$60</f>
        <v>255.29999999999998</v>
      </c>
      <c r="EG16" s="1445">
        <f>'Öko-Körnermais'!$M$60</f>
        <v>190.4</v>
      </c>
      <c r="EH16" s="1445">
        <f>'Öko-Ackerbohnen'!$M$60</f>
        <v>194.5</v>
      </c>
      <c r="EI16" s="1445">
        <f>'Öko-Erbsen'!$M$60</f>
        <v>194.5</v>
      </c>
      <c r="EJ16" s="1445">
        <f>'Öko-Sojabohnen'!$M$60</f>
        <v>194.5</v>
      </c>
      <c r="EK16" s="1445">
        <f>'Öko-Soblu'!$M$60</f>
        <v>167.1</v>
      </c>
      <c r="EL16" s="1445">
        <f>'Öko-Raps'!$M$60</f>
        <v>198.84899999999999</v>
      </c>
      <c r="EM16" s="1445">
        <f>'Öko-Kartoffel'!$M$60</f>
        <v>600</v>
      </c>
      <c r="EN16" s="1445"/>
      <c r="EO16" s="1445">
        <f>Begrün.!$M$60</f>
        <v>0</v>
      </c>
      <c r="EP16" s="1445">
        <f>Blühm.!$M$60</f>
        <v>0</v>
      </c>
      <c r="EQ16" s="1434"/>
      <c r="ER16" s="1445">
        <f>'Öko-KG1'!$P$60</f>
        <v>0</v>
      </c>
      <c r="ES16" s="1445">
        <f>'Öko-KG2'!$P$60</f>
        <v>0</v>
      </c>
      <c r="ET16" s="1445">
        <f>'Öko-LU1'!$P$60</f>
        <v>0</v>
      </c>
      <c r="EU16" s="1445">
        <f>'Öko-LU2'!$P$60</f>
        <v>0</v>
      </c>
      <c r="EV16" s="1443">
        <f>'Öko-WW-Futter'!$P$60</f>
        <v>304.15999999999997</v>
      </c>
      <c r="EW16" s="1445">
        <f>'Öko-WW-Brot'!$P$60</f>
        <v>284</v>
      </c>
      <c r="EX16" s="1445">
        <f>'Öko-Dinkel'!$P$60</f>
        <v>250.39999999999998</v>
      </c>
      <c r="EY16" s="1445">
        <f>'Öko-Dinkel,gegerbt'!$P$60</f>
        <v>247.6</v>
      </c>
      <c r="EZ16" s="1445">
        <f>'Öko-Roggen'!$P$60</f>
        <v>275.59999999999997</v>
      </c>
      <c r="FA16" s="1445">
        <f>'Öko-Hafer'!$P$60</f>
        <v>275.59999999999997</v>
      </c>
      <c r="FB16" s="1445">
        <f>'Öko-Wintergerste'!$P$60</f>
        <v>275.59999999999997</v>
      </c>
      <c r="FC16" s="1445">
        <f>'Öko-Braugerste'!$P$60</f>
        <v>277.35000000000002</v>
      </c>
      <c r="FD16" s="1445">
        <f>'Öko-Körnermais'!$P$60</f>
        <v>190.4</v>
      </c>
      <c r="FE16" s="1445">
        <f>'Öko-Ackerbohnen'!$P$60</f>
        <v>194.5</v>
      </c>
      <c r="FF16" s="1445">
        <f>'Öko-Erbsen'!$P$60</f>
        <v>194.5</v>
      </c>
      <c r="FG16" s="1445">
        <f>'Öko-Sojabohnen'!$P$60</f>
        <v>194.5</v>
      </c>
      <c r="FH16" s="1445">
        <f>'Öko-Soblu'!$P$60</f>
        <v>167.1</v>
      </c>
      <c r="FI16" s="1445">
        <f>'Öko-Raps'!$P$60</f>
        <v>198.84899999999999</v>
      </c>
      <c r="FJ16" s="1445">
        <f>'Öko-Kartoffel'!$P$60</f>
        <v>600</v>
      </c>
      <c r="FK16" s="1445"/>
      <c r="FL16" s="1445">
        <f>Begrün.!$P$60</f>
        <v>0</v>
      </c>
      <c r="FM16" s="1445">
        <f>Blühm.!$P$60</f>
        <v>0</v>
      </c>
    </row>
    <row r="17" spans="1:169" ht="16.149999999999999" customHeight="1">
      <c r="A17" s="1440">
        <f>ROWS($A$1:A17)</f>
        <v>17</v>
      </c>
      <c r="B17" s="1486" t="s">
        <v>1139</v>
      </c>
      <c r="C17" s="1526"/>
      <c r="D17" s="3610">
        <f>'WW1'!$J$65</f>
        <v>0</v>
      </c>
      <c r="E17" s="1445">
        <f>'WW2'!$J$65</f>
        <v>0</v>
      </c>
      <c r="F17" s="1445">
        <f>'WW3'!$J$65</f>
        <v>0</v>
      </c>
      <c r="G17" s="1445">
        <f>'WW4'!$J$65</f>
        <v>0</v>
      </c>
      <c r="H17" s="1445">
        <f>WRo!$J$65</f>
        <v>0</v>
      </c>
      <c r="I17" s="1445">
        <f>Tr!$J$65</f>
        <v>0</v>
      </c>
      <c r="J17" s="1445">
        <f>WG!$J$65</f>
        <v>0</v>
      </c>
      <c r="K17" s="1445">
        <f>Di!$J$65</f>
        <v>0</v>
      </c>
      <c r="L17" s="1445">
        <f>SW!$J$65</f>
        <v>0</v>
      </c>
      <c r="M17" s="1445">
        <f>'SG-Fu'!$J$65</f>
        <v>0</v>
      </c>
      <c r="N17" s="1445">
        <f>BG!$J$65</f>
        <v>0</v>
      </c>
      <c r="O17" s="1445">
        <f>Ha!$J$65</f>
        <v>0</v>
      </c>
      <c r="P17" s="1445">
        <f>Du!$J$65</f>
        <v>0</v>
      </c>
      <c r="Q17" s="1445">
        <f>KöM!$J$65</f>
        <v>0</v>
      </c>
      <c r="R17" s="1445"/>
      <c r="S17" s="1445">
        <f>WR!$J$65</f>
        <v>0</v>
      </c>
      <c r="T17" s="1445">
        <f>SR!$J$65</f>
        <v>0</v>
      </c>
      <c r="U17" s="1445">
        <f>SoBl!$J$65</f>
        <v>0</v>
      </c>
      <c r="V17" s="1445">
        <f>Soja!$J$65</f>
        <v>0</v>
      </c>
      <c r="W17" s="1445"/>
      <c r="X17" s="1445">
        <f>FE!$J$65</f>
        <v>0</v>
      </c>
      <c r="Y17" s="1445">
        <f>AB!$J$65</f>
        <v>0</v>
      </c>
      <c r="Z17" s="1445">
        <f>Lu!$J$65</f>
        <v>0</v>
      </c>
      <c r="AA17" s="1445">
        <f>ZR!$J$65</f>
        <v>0</v>
      </c>
      <c r="AB17" s="1445">
        <f>FrühKa!$J$65</f>
        <v>212.5</v>
      </c>
      <c r="AC17" s="1445">
        <f>FrühKaFolieBer!$J$65</f>
        <v>1190</v>
      </c>
      <c r="AD17" s="1445">
        <f>SpKa!$J$65</f>
        <v>425</v>
      </c>
      <c r="AE17" s="1445">
        <f>SpKaBer!$J$65</f>
        <v>510</v>
      </c>
      <c r="AF17" s="1445">
        <f>'Kultur A'!$J$65</f>
        <v>0</v>
      </c>
      <c r="AG17" s="1445">
        <f>'FAKT-Brachebegrünung'!$J$65</f>
        <v>0</v>
      </c>
      <c r="AH17" s="1445">
        <f>Begr!$J$65</f>
        <v>0</v>
      </c>
      <c r="AI17" s="1442"/>
      <c r="AJ17" s="1443">
        <f>'WW1'!$M$65</f>
        <v>0</v>
      </c>
      <c r="AK17" s="1445">
        <f>'WW2'!$M$65</f>
        <v>0</v>
      </c>
      <c r="AL17" s="1445">
        <f>'WW3'!$M$65</f>
        <v>0</v>
      </c>
      <c r="AM17" s="1445">
        <f>'WW4'!$M$65</f>
        <v>0</v>
      </c>
      <c r="AN17" s="1445">
        <f>WRo!$M$65</f>
        <v>0</v>
      </c>
      <c r="AO17" s="1445">
        <f>Tr!$M$65</f>
        <v>0</v>
      </c>
      <c r="AP17" s="1445">
        <f>WG!$M$65</f>
        <v>0</v>
      </c>
      <c r="AQ17" s="1445">
        <f>Di!$M$65</f>
        <v>0</v>
      </c>
      <c r="AR17" s="1445">
        <f>SW!$M$65</f>
        <v>0</v>
      </c>
      <c r="AS17" s="1445">
        <f>'SG-Fu'!$M$65</f>
        <v>0</v>
      </c>
      <c r="AT17" s="1445">
        <f>BG!$M$65</f>
        <v>0</v>
      </c>
      <c r="AU17" s="1445">
        <f>Ha!$M$65</f>
        <v>0</v>
      </c>
      <c r="AV17" s="1445">
        <f>Du!$M$65</f>
        <v>0</v>
      </c>
      <c r="AW17" s="1445">
        <f>KöM!$M$65</f>
        <v>0</v>
      </c>
      <c r="AX17" s="1445"/>
      <c r="AY17" s="1445">
        <f>WR!$M$65</f>
        <v>0</v>
      </c>
      <c r="AZ17" s="1445">
        <f>SR!$M$65</f>
        <v>0</v>
      </c>
      <c r="BA17" s="1445">
        <f>SoBl!$M$65</f>
        <v>0</v>
      </c>
      <c r="BB17" s="1445">
        <f>Soja!$M$65</f>
        <v>0</v>
      </c>
      <c r="BC17" s="1445"/>
      <c r="BD17" s="1445">
        <f>FE!$M$65</f>
        <v>0</v>
      </c>
      <c r="BE17" s="1445">
        <f>AB!$M$65</f>
        <v>0</v>
      </c>
      <c r="BF17" s="1445">
        <f>Lu!$M$65</f>
        <v>0</v>
      </c>
      <c r="BG17" s="1445">
        <f>ZR!$M$65</f>
        <v>0</v>
      </c>
      <c r="BH17" s="1445">
        <f>FrühKa!$M$65</f>
        <v>212.5</v>
      </c>
      <c r="BI17" s="1445">
        <f>FrühKaFolieBer!$M$65</f>
        <v>1190</v>
      </c>
      <c r="BJ17" s="1445">
        <f>SpKa!$M$65</f>
        <v>425</v>
      </c>
      <c r="BK17" s="1445">
        <f>SpKaBer!$M$65</f>
        <v>510</v>
      </c>
      <c r="BL17" s="1445">
        <v>0</v>
      </c>
      <c r="BM17" s="1445">
        <f>'FAKT-Brachebegrünung'!$M$65</f>
        <v>0</v>
      </c>
      <c r="BN17" s="1445">
        <f>Begr!$M$65</f>
        <v>0</v>
      </c>
      <c r="BO17" s="1442"/>
      <c r="BP17" s="1443">
        <f>'WW1'!$P$65</f>
        <v>0</v>
      </c>
      <c r="BQ17" s="1445">
        <f>'WW2'!$P$65</f>
        <v>0</v>
      </c>
      <c r="BR17" s="1445">
        <f>'WW3'!$P$65</f>
        <v>0</v>
      </c>
      <c r="BS17" s="1445">
        <f>'WW4'!$P$65</f>
        <v>0</v>
      </c>
      <c r="BT17" s="1445">
        <f>WRo!$P$65</f>
        <v>0</v>
      </c>
      <c r="BU17" s="1445">
        <f>Tr!$P$65</f>
        <v>0</v>
      </c>
      <c r="BV17" s="1445">
        <f>WG!$P$65</f>
        <v>0</v>
      </c>
      <c r="BW17" s="1445">
        <f>Di!$P$65</f>
        <v>0</v>
      </c>
      <c r="BX17" s="1445">
        <f>SW!$P$65</f>
        <v>0</v>
      </c>
      <c r="BY17" s="1445">
        <f>'SG-Fu'!$P$65</f>
        <v>0</v>
      </c>
      <c r="BZ17" s="1445">
        <f>BG!$P$65</f>
        <v>0</v>
      </c>
      <c r="CA17" s="1445">
        <f>Ha!$P$65</f>
        <v>0</v>
      </c>
      <c r="CB17" s="1445">
        <f>Du!$P$65</f>
        <v>0</v>
      </c>
      <c r="CC17" s="1445">
        <f>KöM!$P$65</f>
        <v>0</v>
      </c>
      <c r="CD17" s="1445"/>
      <c r="CE17" s="1445">
        <f>WR!$P$65</f>
        <v>0</v>
      </c>
      <c r="CF17" s="1445">
        <f>SR!$P$65</f>
        <v>0</v>
      </c>
      <c r="CG17" s="1445">
        <f>SoBl!$P$65</f>
        <v>0</v>
      </c>
      <c r="CH17" s="1445">
        <f>Soja!$P$65</f>
        <v>0</v>
      </c>
      <c r="CI17" s="1445"/>
      <c r="CJ17" s="1445">
        <f>FE!$P$65</f>
        <v>0</v>
      </c>
      <c r="CK17" s="1445">
        <f>AB!$P$65</f>
        <v>0</v>
      </c>
      <c r="CL17" s="1445">
        <f>Lu!$P$65</f>
        <v>0</v>
      </c>
      <c r="CM17" s="1445">
        <f>ZR!$P$65</f>
        <v>0</v>
      </c>
      <c r="CN17" s="1445">
        <f>FrühKa!$P$65</f>
        <v>212.5</v>
      </c>
      <c r="CO17" s="1445">
        <f>FrühKaFolieBer!$P$65</f>
        <v>1190</v>
      </c>
      <c r="CP17" s="1445">
        <f>SpKa!$P$65</f>
        <v>425</v>
      </c>
      <c r="CQ17" s="1445">
        <f>SpKaBer!$P$65</f>
        <v>510</v>
      </c>
      <c r="CR17" s="1445">
        <f>'Kultur A'!$P$65</f>
        <v>0</v>
      </c>
      <c r="CS17" s="1445">
        <f>'FAKT-Brachebegrünung'!$P$65</f>
        <v>0</v>
      </c>
      <c r="CT17" s="1445">
        <f>Begr!$P$65</f>
        <v>0</v>
      </c>
      <c r="CV17" s="1486" t="s">
        <v>1139</v>
      </c>
      <c r="CW17" s="1526"/>
      <c r="CX17" s="3610">
        <f>'Öko-KG1'!$J$65</f>
        <v>0</v>
      </c>
      <c r="CY17" s="1445">
        <f>'Öko-KG2'!$J$65</f>
        <v>0</v>
      </c>
      <c r="CZ17" s="1445">
        <f>'Öko-LU1'!$J$65</f>
        <v>0</v>
      </c>
      <c r="DA17" s="1445">
        <f>'Öko-LU2'!$J$65</f>
        <v>0</v>
      </c>
      <c r="DB17" s="1443">
        <f>'Öko-WW-Futter'!$J$65</f>
        <v>0</v>
      </c>
      <c r="DC17" s="1445">
        <f>'Öko-WW-Brot'!$J$65</f>
        <v>0</v>
      </c>
      <c r="DD17" s="1445">
        <f>'Öko-Dinkel'!$J$65</f>
        <v>0</v>
      </c>
      <c r="DE17" s="1445">
        <f>'Öko-Dinkel,gegerbt'!$J$65</f>
        <v>0</v>
      </c>
      <c r="DF17" s="1445">
        <f>'Öko-Roggen'!$J$65</f>
        <v>0</v>
      </c>
      <c r="DG17" s="1445">
        <f>'Öko-Hafer'!$J$65</f>
        <v>0</v>
      </c>
      <c r="DH17" s="1445">
        <f>'Öko-Wintergerste'!$J$65</f>
        <v>0</v>
      </c>
      <c r="DI17" s="1445">
        <f>'Öko-Braugerste'!$J$65</f>
        <v>0</v>
      </c>
      <c r="DJ17" s="1445">
        <f>'Öko-Körnermais'!$J$65</f>
        <v>0</v>
      </c>
      <c r="DK17" s="1445">
        <f>'Öko-Ackerbohnen'!$J$65</f>
        <v>0</v>
      </c>
      <c r="DL17" s="1445">
        <f>'Öko-Erbsen'!$J$65</f>
        <v>0</v>
      </c>
      <c r="DM17" s="1445">
        <f>'Öko-Sojabohnen'!$J$65</f>
        <v>0</v>
      </c>
      <c r="DN17" s="1445">
        <f>'Öko-Soblu'!$J$65</f>
        <v>0</v>
      </c>
      <c r="DO17" s="1445">
        <f>'Öko-Raps'!$J$65</f>
        <v>0</v>
      </c>
      <c r="DP17" s="1445">
        <f>'Öko-Kartoffel'!$J$65</f>
        <v>0</v>
      </c>
      <c r="DQ17" s="1445"/>
      <c r="DR17" s="1445">
        <f>Begrün.!$J$65</f>
        <v>0</v>
      </c>
      <c r="DS17" s="1445">
        <f>Blühm.!$J$65</f>
        <v>0</v>
      </c>
      <c r="DT17" s="1434"/>
      <c r="DU17" s="1445">
        <f>'Öko-KG1'!$M$65</f>
        <v>0</v>
      </c>
      <c r="DV17" s="1445">
        <f>'Öko-KG2'!$M$65</f>
        <v>0</v>
      </c>
      <c r="DW17" s="1445">
        <f>'Öko-LU1'!$M$65</f>
        <v>0</v>
      </c>
      <c r="DX17" s="1445">
        <f>'Öko-LU2'!$M$65</f>
        <v>0</v>
      </c>
      <c r="DY17" s="1443">
        <f>'Öko-WW-Futter'!$M$65</f>
        <v>0</v>
      </c>
      <c r="DZ17" s="1445">
        <f>'Öko-WW-Brot'!$M$65</f>
        <v>0</v>
      </c>
      <c r="EA17" s="1445">
        <f>'Öko-Dinkel'!$M$65</f>
        <v>0</v>
      </c>
      <c r="EB17" s="1445">
        <f>'Öko-Dinkel,gegerbt'!$M$65</f>
        <v>0</v>
      </c>
      <c r="EC17" s="1445">
        <f>'Öko-Roggen'!$M$65</f>
        <v>0</v>
      </c>
      <c r="ED17" s="1445">
        <f>'Öko-Hafer'!$M$65</f>
        <v>0</v>
      </c>
      <c r="EE17" s="1445">
        <f>'Öko-Wintergerste'!$M$65</f>
        <v>0</v>
      </c>
      <c r="EF17" s="1445">
        <f>'Öko-Braugerste'!$M$65</f>
        <v>0</v>
      </c>
      <c r="EG17" s="1445">
        <f>'Öko-Körnermais'!$M$65</f>
        <v>0</v>
      </c>
      <c r="EH17" s="1445">
        <f>'Öko-Ackerbohnen'!$M$65</f>
        <v>0</v>
      </c>
      <c r="EI17" s="1445">
        <f>'Öko-Erbsen'!$M$65</f>
        <v>0</v>
      </c>
      <c r="EJ17" s="1445">
        <f>'Öko-Sojabohnen'!$M$65</f>
        <v>0</v>
      </c>
      <c r="EK17" s="1445">
        <f>'Öko-Soblu'!$M$65</f>
        <v>0</v>
      </c>
      <c r="EL17" s="1445">
        <f>'Öko-Raps'!$M$65</f>
        <v>0</v>
      </c>
      <c r="EM17" s="1445">
        <f>'Öko-Kartoffel'!$M$65</f>
        <v>0</v>
      </c>
      <c r="EN17" s="1445"/>
      <c r="EO17" s="1445">
        <f>Begrün.!$M$65</f>
        <v>0</v>
      </c>
      <c r="EP17" s="1445">
        <f>Blühm.!$M$65</f>
        <v>0</v>
      </c>
      <c r="EQ17" s="1434"/>
      <c r="ER17" s="1445">
        <f>'Öko-KG1'!$P$65</f>
        <v>0</v>
      </c>
      <c r="ES17" s="1445">
        <f>'Öko-KG2'!$P$65</f>
        <v>0</v>
      </c>
      <c r="ET17" s="1445">
        <f>'Öko-LU1'!$P$65</f>
        <v>0</v>
      </c>
      <c r="EU17" s="1445">
        <f>'Öko-LU2'!$P$65</f>
        <v>0</v>
      </c>
      <c r="EV17" s="1443">
        <f>'Öko-WW-Futter'!$P$65</f>
        <v>0</v>
      </c>
      <c r="EW17" s="1445">
        <f>'Öko-WW-Brot'!$P$65</f>
        <v>0</v>
      </c>
      <c r="EX17" s="1445">
        <f>'Öko-Dinkel'!$P$65</f>
        <v>0</v>
      </c>
      <c r="EY17" s="1445">
        <f>'Öko-Dinkel,gegerbt'!$P$65</f>
        <v>0</v>
      </c>
      <c r="EZ17" s="1445">
        <f>'Öko-Roggen'!$P$65</f>
        <v>0</v>
      </c>
      <c r="FA17" s="1445">
        <f>'Öko-Hafer'!$P$65</f>
        <v>0</v>
      </c>
      <c r="FB17" s="1445">
        <f>'Öko-Wintergerste'!$P$65</f>
        <v>0</v>
      </c>
      <c r="FC17" s="1445">
        <f>'Öko-Braugerste'!$P$65</f>
        <v>0</v>
      </c>
      <c r="FD17" s="1445">
        <f>'Öko-Körnermais'!$P$65</f>
        <v>0</v>
      </c>
      <c r="FE17" s="1445">
        <f>'Öko-Ackerbohnen'!$P$65</f>
        <v>0</v>
      </c>
      <c r="FF17" s="1445">
        <f>'Öko-Erbsen'!$P$65</f>
        <v>0</v>
      </c>
      <c r="FG17" s="1445">
        <f>'Öko-Sojabohnen'!$P$65</f>
        <v>0</v>
      </c>
      <c r="FH17" s="1445">
        <f>'Öko-Soblu'!$P$65</f>
        <v>0</v>
      </c>
      <c r="FI17" s="1445">
        <f>'Öko-Raps'!$P$65</f>
        <v>0</v>
      </c>
      <c r="FJ17" s="1445">
        <f>'Öko-Kartoffel'!$P$65</f>
        <v>0</v>
      </c>
      <c r="FK17" s="1445"/>
      <c r="FL17" s="1445">
        <f>Begrün.!$P$65</f>
        <v>0</v>
      </c>
      <c r="FM17" s="1445">
        <f>Blühm.!$P$65</f>
        <v>0</v>
      </c>
    </row>
    <row r="18" spans="1:169" ht="16.149999999999999" customHeight="1">
      <c r="A18" s="1440">
        <f>ROWS($A$1:A18)</f>
        <v>18</v>
      </c>
      <c r="B18" s="1527" t="s">
        <v>1138</v>
      </c>
      <c r="C18" s="1526"/>
      <c r="D18" s="3610">
        <f>'WW1'!$J$67</f>
        <v>117.32500000000002</v>
      </c>
      <c r="E18" s="1445">
        <f>'WW2'!$J$67</f>
        <v>84</v>
      </c>
      <c r="F18" s="1445">
        <f>'WW3'!$J$67</f>
        <v>99.275000000000006</v>
      </c>
      <c r="G18" s="1445">
        <f>'WW4'!$J$67</f>
        <v>99.275000000000006</v>
      </c>
      <c r="H18" s="1445">
        <f>WRo!$J$67</f>
        <v>99.275000000000006</v>
      </c>
      <c r="I18" s="1445">
        <f>Tr!$J$67</f>
        <v>108.30000000000001</v>
      </c>
      <c r="J18" s="1445">
        <f>WG!$J$67</f>
        <v>99.275000000000006</v>
      </c>
      <c r="K18" s="1445">
        <f>Di!$J$67</f>
        <v>90.250000000000014</v>
      </c>
      <c r="L18" s="1445">
        <f>SW!$J$67</f>
        <v>0</v>
      </c>
      <c r="M18" s="1445">
        <f>'SG-Fu'!$J$67</f>
        <v>90.250000000000014</v>
      </c>
      <c r="N18" s="1445">
        <f>BG!$J$67</f>
        <v>81.225000000000009</v>
      </c>
      <c r="O18" s="1445">
        <f>Ha!$J$67</f>
        <v>81.225000000000009</v>
      </c>
      <c r="P18" s="1445">
        <f>Du!$J$67</f>
        <v>72.2</v>
      </c>
      <c r="Q18" s="1445">
        <f>KöM!$J$67</f>
        <v>440</v>
      </c>
      <c r="R18" s="1445"/>
      <c r="S18" s="1445">
        <f>WR!$J$67</f>
        <v>77.616000000000014</v>
      </c>
      <c r="T18" s="1445">
        <f>SR!$J$67</f>
        <v>78.400000000000006</v>
      </c>
      <c r="U18" s="1445">
        <f>SoBl!$J$67</f>
        <v>172.5</v>
      </c>
      <c r="V18" s="1445">
        <f>Soja!$J$67</f>
        <v>83.424000000000007</v>
      </c>
      <c r="W18" s="1445"/>
      <c r="X18" s="1445">
        <f>FE!$J$67</f>
        <v>57.816000000000003</v>
      </c>
      <c r="Y18" s="1445">
        <f>AB!$J$67</f>
        <v>57.816000000000003</v>
      </c>
      <c r="Z18" s="1445">
        <f>Lu!$J$67</f>
        <v>12.264000000000001</v>
      </c>
      <c r="AA18" s="1445">
        <f>ZR!$J$67</f>
        <v>0</v>
      </c>
      <c r="AB18" s="1445">
        <f>FrühKa!$J$67</f>
        <v>0</v>
      </c>
      <c r="AC18" s="1445">
        <f>FrühKaFolieBer!$J$67</f>
        <v>0</v>
      </c>
      <c r="AD18" s="1445">
        <f>SpKa!$J$67</f>
        <v>0</v>
      </c>
      <c r="AE18" s="1445">
        <f>SpKaBer!$J$67</f>
        <v>0</v>
      </c>
      <c r="AF18" s="1445">
        <f>'Kultur A'!$J$67</f>
        <v>0</v>
      </c>
      <c r="AG18" s="1445">
        <f>'FAKT-Brachebegrünung'!$J$67</f>
        <v>0</v>
      </c>
      <c r="AH18" s="1445">
        <f>Begr!$J$67</f>
        <v>0</v>
      </c>
      <c r="AI18" s="1442"/>
      <c r="AJ18" s="1443">
        <f>'WW1'!$M$67</f>
        <v>288.39999999999998</v>
      </c>
      <c r="AK18" s="1445">
        <f>'WW2'!$M$67</f>
        <v>135.375</v>
      </c>
      <c r="AL18" s="1445">
        <f>'WW3'!$M$67</f>
        <v>126.35000000000001</v>
      </c>
      <c r="AM18" s="1445">
        <f>'WW4'!$M$67</f>
        <v>117.32500000000002</v>
      </c>
      <c r="AN18" s="1445">
        <f>WRo!$M$67</f>
        <v>117.32500000000002</v>
      </c>
      <c r="AO18" s="1445">
        <f>Tr!$M$67</f>
        <v>135.375</v>
      </c>
      <c r="AP18" s="1445">
        <f>WG!$M$67</f>
        <v>126.35000000000001</v>
      </c>
      <c r="AQ18" s="1445">
        <f>Di!$M$67</f>
        <v>108.30000000000001</v>
      </c>
      <c r="AR18" s="1445">
        <f>SW!$M$67</f>
        <v>117.32500000000002</v>
      </c>
      <c r="AS18" s="1445">
        <f>'SG-Fu'!$M$67</f>
        <v>108.30000000000001</v>
      </c>
      <c r="AT18" s="1445">
        <f>BG!$M$67</f>
        <v>99.275000000000006</v>
      </c>
      <c r="AU18" s="1445">
        <f>Ha!$M$67</f>
        <v>99.275000000000006</v>
      </c>
      <c r="AV18" s="1445">
        <f>Du!$M$67</f>
        <v>99.275000000000006</v>
      </c>
      <c r="AW18" s="1445">
        <f>KöM!$M$67</f>
        <v>550</v>
      </c>
      <c r="AX18" s="1445"/>
      <c r="AY18" s="1445">
        <f>WR!$M$67</f>
        <v>103.48800000000001</v>
      </c>
      <c r="AZ18" s="1445">
        <f>SR!$M$67</f>
        <v>98.000000000000014</v>
      </c>
      <c r="BA18" s="1445">
        <f>SoBl!$M$67</f>
        <v>207</v>
      </c>
      <c r="BB18" s="1445">
        <f>Soja!$M$67</f>
        <v>112.62240000000001</v>
      </c>
      <c r="BC18" s="1445"/>
      <c r="BD18" s="1445">
        <f>FE!$M$67</f>
        <v>101.178</v>
      </c>
      <c r="BE18" s="1445">
        <f>AB!$M$67</f>
        <v>101.178</v>
      </c>
      <c r="BF18" s="1445">
        <f>Lu!$M$67</f>
        <v>30.660000000000004</v>
      </c>
      <c r="BG18" s="1445">
        <f>ZR!$M$67</f>
        <v>0</v>
      </c>
      <c r="BH18" s="1445">
        <f>FrühKa!$M$67</f>
        <v>0</v>
      </c>
      <c r="BI18" s="1445">
        <f>FrühKaFolieBer!$M$67</f>
        <v>0</v>
      </c>
      <c r="BJ18" s="1445">
        <f>SpKa!$M$67</f>
        <v>0</v>
      </c>
      <c r="BK18" s="1445">
        <f>SpKaBer!$M$67</f>
        <v>0</v>
      </c>
      <c r="BL18" s="1445">
        <v>0</v>
      </c>
      <c r="BM18" s="1445">
        <f>'FAKT-Brachebegrünung'!$M$67</f>
        <v>0</v>
      </c>
      <c r="BN18" s="1445">
        <f>Begr!$M$67</f>
        <v>0</v>
      </c>
      <c r="BO18" s="1442"/>
      <c r="BP18" s="1443">
        <f>'WW1'!$P$67</f>
        <v>256.97500000000002</v>
      </c>
      <c r="BQ18" s="1445">
        <f>'WW2'!$P$67</f>
        <v>162.45000000000002</v>
      </c>
      <c r="BR18" s="1445">
        <f>'WW3'!$P$67</f>
        <v>153.42500000000001</v>
      </c>
      <c r="BS18" s="1445">
        <f>'WW4'!$P$67</f>
        <v>135.375</v>
      </c>
      <c r="BT18" s="1445">
        <f>WRo!$P$67</f>
        <v>135.375</v>
      </c>
      <c r="BU18" s="1445">
        <f>Tr!$P$67</f>
        <v>162.45000000000002</v>
      </c>
      <c r="BV18" s="1445">
        <f>WG!$P$67</f>
        <v>153.42500000000001</v>
      </c>
      <c r="BW18" s="1445">
        <f>Di!$P$67</f>
        <v>126.35000000000001</v>
      </c>
      <c r="BX18" s="1445">
        <f>SW!$P$67</f>
        <v>0</v>
      </c>
      <c r="BY18" s="1445">
        <f>'SG-Fu'!$P$67</f>
        <v>126.35000000000001</v>
      </c>
      <c r="BZ18" s="1445">
        <f>BG!$P$67</f>
        <v>117.32500000000002</v>
      </c>
      <c r="CA18" s="1445">
        <f>Ha!$P$67</f>
        <v>117.32500000000002</v>
      </c>
      <c r="CB18" s="1445">
        <f>Du!$P$67</f>
        <v>108.30000000000001</v>
      </c>
      <c r="CC18" s="1445">
        <f>KöM!$P$67</f>
        <v>660</v>
      </c>
      <c r="CD18" s="1445"/>
      <c r="CE18" s="1445">
        <f>WR!$P$67</f>
        <v>129.36000000000001</v>
      </c>
      <c r="CF18" s="1445">
        <f>SR!$P$67</f>
        <v>117.60000000000001</v>
      </c>
      <c r="CG18" s="1445">
        <f>SoBl!$P$67</f>
        <v>241.5</v>
      </c>
      <c r="CH18" s="1445">
        <f>Soja!$P$67</f>
        <v>141.82079999999999</v>
      </c>
      <c r="CI18" s="1445"/>
      <c r="CJ18" s="1445">
        <f>FE!$P$67</f>
        <v>144.54000000000002</v>
      </c>
      <c r="CK18" s="1445">
        <f>AB!$P$67</f>
        <v>144.54000000000002</v>
      </c>
      <c r="CL18" s="1445">
        <f>Lu!$P$67</f>
        <v>49.056000000000004</v>
      </c>
      <c r="CM18" s="1445">
        <f>ZR!$P$67</f>
        <v>0</v>
      </c>
      <c r="CN18" s="1445">
        <f>FrühKa!$P$67</f>
        <v>0</v>
      </c>
      <c r="CO18" s="1445">
        <f>FrühKaFolieBer!$P$67</f>
        <v>0</v>
      </c>
      <c r="CP18" s="1445">
        <f>SpKa!$P$67</f>
        <v>0</v>
      </c>
      <c r="CQ18" s="1445">
        <f>SpKaBer!$P$67</f>
        <v>0</v>
      </c>
      <c r="CR18" s="1445">
        <f>'Kultur A'!$P$67</f>
        <v>0</v>
      </c>
      <c r="CS18" s="1445">
        <f>'FAKT-Brachebegrünung'!$P$67</f>
        <v>0</v>
      </c>
      <c r="CT18" s="1445">
        <f>Begr!$P$67</f>
        <v>0</v>
      </c>
      <c r="CV18" s="1527" t="s">
        <v>1138</v>
      </c>
      <c r="CW18" s="1526"/>
      <c r="CX18" s="3610">
        <f>'Öko-KG1'!$J$67</f>
        <v>0</v>
      </c>
      <c r="CY18" s="1445">
        <f>'Öko-KG2'!$J$67</f>
        <v>0</v>
      </c>
      <c r="CZ18" s="1445">
        <f>'Öko-LU1'!$J$67</f>
        <v>0</v>
      </c>
      <c r="DA18" s="1445">
        <f>'Öko-LU2'!$J$67</f>
        <v>0</v>
      </c>
      <c r="DB18" s="1443">
        <f>'Öko-WW-Futter'!$J$67</f>
        <v>54.150000000000006</v>
      </c>
      <c r="DC18" s="1445">
        <f>'Öko-WW-Brot'!$J$67</f>
        <v>54.150000000000006</v>
      </c>
      <c r="DD18" s="1445">
        <f>'Öko-Dinkel'!$J$67</f>
        <v>47.381250000000001</v>
      </c>
      <c r="DE18" s="1445">
        <f>'Öko-Dinkel,gegerbt'!$J$67</f>
        <v>47.381250000000001</v>
      </c>
      <c r="DF18" s="1445">
        <f>'Öko-Roggen'!$J$67</f>
        <v>54.150000000000006</v>
      </c>
      <c r="DG18" s="1445">
        <f>'Öko-Hafer'!$J$67</f>
        <v>54.150000000000006</v>
      </c>
      <c r="DH18" s="1445">
        <f>'Öko-Wintergerste'!$J$67</f>
        <v>54.150000000000006</v>
      </c>
      <c r="DI18" s="1445">
        <f>'Öko-Braugerste'!$J$67</f>
        <v>47.381250000000001</v>
      </c>
      <c r="DJ18" s="1445">
        <f>'Öko-Körnermais'!$J$67</f>
        <v>330</v>
      </c>
      <c r="DK18" s="1445">
        <f>'Öko-Ackerbohnen'!$J$67</f>
        <v>57.487499999999997</v>
      </c>
      <c r="DL18" s="1445">
        <f>'Öko-Erbsen'!$J$67</f>
        <v>49.274999999999999</v>
      </c>
      <c r="DM18" s="1445">
        <f>'Öko-Sojabohnen'!$J$67</f>
        <v>201.96</v>
      </c>
      <c r="DN18" s="1445">
        <f>'Öko-Soblu'!$J$67</f>
        <v>278</v>
      </c>
      <c r="DO18" s="1445">
        <f>'Öko-Raps'!$J$67</f>
        <v>40.700000000000003</v>
      </c>
      <c r="DP18" s="1445">
        <f>'Öko-Kartoffel'!$J$67</f>
        <v>0</v>
      </c>
      <c r="DQ18" s="1445"/>
      <c r="DR18" s="1445">
        <f>Begrün.!$J$67</f>
        <v>0</v>
      </c>
      <c r="DS18" s="1445">
        <f>Blühm.!$J$67</f>
        <v>0</v>
      </c>
      <c r="DT18" s="1434"/>
      <c r="DU18" s="1445">
        <f>'Öko-KG1'!$M$67</f>
        <v>0</v>
      </c>
      <c r="DV18" s="1445">
        <f>'Öko-KG2'!$M$67</f>
        <v>0</v>
      </c>
      <c r="DW18" s="1445">
        <f>'Öko-LU1'!$M$67</f>
        <v>0</v>
      </c>
      <c r="DX18" s="1445">
        <f>'Öko-LU2'!$M$67</f>
        <v>0</v>
      </c>
      <c r="DY18" s="1443">
        <f>'Öko-WW-Futter'!$M$67</f>
        <v>72.2</v>
      </c>
      <c r="DZ18" s="1445">
        <f>'Öko-WW-Brot'!$M$67</f>
        <v>72.2</v>
      </c>
      <c r="EA18" s="1445">
        <f>'Öko-Dinkel'!$M$67</f>
        <v>63.175000000000004</v>
      </c>
      <c r="EB18" s="1445">
        <f>'Öko-Dinkel,gegerbt'!$M$67</f>
        <v>63.175000000000004</v>
      </c>
      <c r="EC18" s="1445">
        <f>'Öko-Roggen'!$M$67</f>
        <v>72.2</v>
      </c>
      <c r="ED18" s="1445">
        <f>'Öko-Hafer'!$M$67</f>
        <v>72.2</v>
      </c>
      <c r="EE18" s="1445">
        <f>'Öko-Wintergerste'!$M$67</f>
        <v>144.19999999999999</v>
      </c>
      <c r="EF18" s="1445">
        <f>'Öko-Braugerste'!$M$67</f>
        <v>63.175000000000004</v>
      </c>
      <c r="EG18" s="1445">
        <f>'Öko-Körnermais'!$M$67</f>
        <v>440</v>
      </c>
      <c r="EH18" s="1445">
        <f>'Öko-Ackerbohnen'!$M$67</f>
        <v>153.29999999999998</v>
      </c>
      <c r="EI18" s="1445">
        <f>'Öko-Erbsen'!$M$67</f>
        <v>65.7</v>
      </c>
      <c r="EJ18" s="1445">
        <f>'Öko-Sojabohnen'!$M$67</f>
        <v>237.6</v>
      </c>
      <c r="EK18" s="1445">
        <f>'Öko-Soblu'!$M$67</f>
        <v>474</v>
      </c>
      <c r="EL18" s="1445">
        <f>'Öko-Raps'!$M$67</f>
        <v>96.330000000000013</v>
      </c>
      <c r="EM18" s="1445">
        <f>'Öko-Kartoffel'!$M$67</f>
        <v>0</v>
      </c>
      <c r="EN18" s="1445"/>
      <c r="EO18" s="1445">
        <f>Begrün.!$M$67</f>
        <v>0</v>
      </c>
      <c r="EP18" s="1445">
        <f>Blühm.!$M$67</f>
        <v>0</v>
      </c>
      <c r="EQ18" s="1434"/>
      <c r="ER18" s="1445">
        <f>'Öko-KG1'!$P$67</f>
        <v>0</v>
      </c>
      <c r="ES18" s="1445">
        <f>'Öko-KG2'!$P$67</f>
        <v>0</v>
      </c>
      <c r="ET18" s="1445">
        <f>'Öko-LU1'!$P$67</f>
        <v>0</v>
      </c>
      <c r="EU18" s="1445">
        <f>'Öko-LU2'!$P$67</f>
        <v>0</v>
      </c>
      <c r="EV18" s="1443">
        <f>'Öko-WW-Futter'!$P$67</f>
        <v>124.54500000000002</v>
      </c>
      <c r="EW18" s="1445">
        <f>'Öko-WW-Brot'!$P$67</f>
        <v>108.30000000000001</v>
      </c>
      <c r="EX18" s="1445">
        <f>'Öko-Dinkel'!$P$67</f>
        <v>81.225000000000009</v>
      </c>
      <c r="EY18" s="1445">
        <f>'Öko-Dinkel,gegerbt'!$P$67</f>
        <v>78.96875</v>
      </c>
      <c r="EZ18" s="1445">
        <f>'Öko-Roggen'!$P$67</f>
        <v>90.250000000000014</v>
      </c>
      <c r="FA18" s="1445">
        <f>'Öko-Hafer'!$P$67</f>
        <v>90.250000000000014</v>
      </c>
      <c r="FB18" s="1445">
        <f>'Öko-Wintergerste'!$P$67</f>
        <v>135.25</v>
      </c>
      <c r="FC18" s="1445">
        <f>'Öko-Braugerste'!$P$67</f>
        <v>118.34375</v>
      </c>
      <c r="FD18" s="1445">
        <f>'Öko-Körnermais'!$P$67</f>
        <v>610</v>
      </c>
      <c r="FE18" s="1445">
        <f>'Öko-Ackerbohnen'!$P$67</f>
        <v>95.8125</v>
      </c>
      <c r="FF18" s="1445">
        <f>'Öko-Erbsen'!$P$67</f>
        <v>82.125</v>
      </c>
      <c r="FG18" s="1445">
        <f>'Öko-Sojabohnen'!$P$67</f>
        <v>328.44</v>
      </c>
      <c r="FH18" s="1445">
        <f>'Öko-Soblu'!$P$67</f>
        <v>708</v>
      </c>
      <c r="FI18" s="1445">
        <f>'Öko-Raps'!$P$67</f>
        <v>157.82</v>
      </c>
      <c r="FJ18" s="1445">
        <f>'Öko-Kartoffel'!$P$67</f>
        <v>0</v>
      </c>
      <c r="FK18" s="1445"/>
      <c r="FL18" s="1445">
        <f>Begrün.!$P$67</f>
        <v>0</v>
      </c>
      <c r="FM18" s="1445">
        <f>Blühm.!$P$67</f>
        <v>0</v>
      </c>
    </row>
    <row r="19" spans="1:169" ht="16.149999999999999" customHeight="1">
      <c r="A19" s="1440">
        <f>ROWS($A$1:A19)</f>
        <v>19</v>
      </c>
      <c r="B19" s="1486" t="s">
        <v>1137</v>
      </c>
      <c r="C19" s="1526"/>
      <c r="D19" s="3610">
        <f>'WW1'!$J$69</f>
        <v>23.122666666666667</v>
      </c>
      <c r="E19" s="1445">
        <f>'WW2'!$J$69</f>
        <v>22.591999999999999</v>
      </c>
      <c r="F19" s="1445">
        <f>'WW3'!$J$69</f>
        <v>21.824000000000002</v>
      </c>
      <c r="G19" s="1445">
        <f>'WW4'!$J$69</f>
        <v>23.702506666666668</v>
      </c>
      <c r="H19" s="1445">
        <f>WRo!$J$69</f>
        <v>18.890666666666668</v>
      </c>
      <c r="I19" s="1445">
        <f>Tr!$J$69</f>
        <v>19.712</v>
      </c>
      <c r="J19" s="1445">
        <f>WG!$J$69</f>
        <v>17.512000000000004</v>
      </c>
      <c r="K19" s="1445">
        <f>Di!$J$69</f>
        <v>16.8</v>
      </c>
      <c r="L19" s="1445">
        <f>SW!$J$69</f>
        <v>20.68</v>
      </c>
      <c r="M19" s="1445">
        <f>'SG-Fu'!$J$69</f>
        <v>15.920000000000002</v>
      </c>
      <c r="N19" s="1445">
        <f>BG!$J$69</f>
        <v>20.92</v>
      </c>
      <c r="O19" s="1445">
        <f>Ha!$J$69</f>
        <v>15.359999999999996</v>
      </c>
      <c r="P19" s="1445">
        <f>Du!$J$69</f>
        <v>21.12</v>
      </c>
      <c r="Q19" s="1445">
        <f>KöM!$J$69</f>
        <v>27.589333333333336</v>
      </c>
      <c r="R19" s="1445"/>
      <c r="S19" s="1445">
        <f>WR!$J$69</f>
        <v>67.294999999999987</v>
      </c>
      <c r="T19" s="1445">
        <f>SR!$J$69</f>
        <v>44.863333333333323</v>
      </c>
      <c r="U19" s="1445">
        <f>SoBl!$J$69</f>
        <v>47.42499999999999</v>
      </c>
      <c r="V19" s="1445">
        <f>Soja!$J$69</f>
        <v>29.306666666666676</v>
      </c>
      <c r="W19" s="1445"/>
      <c r="X19" s="1445">
        <f>FE!$J$69</f>
        <v>16.781333333333336</v>
      </c>
      <c r="Y19" s="1445">
        <f>AB!$J$69</f>
        <v>16.968</v>
      </c>
      <c r="Z19" s="1445">
        <f>Lu!$J$69</f>
        <v>7.4573333333333336</v>
      </c>
      <c r="AA19" s="1445">
        <f>ZR!$J$69</f>
        <v>18.536833333333337</v>
      </c>
      <c r="AB19" s="1445">
        <f>FrühKa!$J$69</f>
        <v>213.5</v>
      </c>
      <c r="AC19" s="1445">
        <f>FrühKaFolieBer!$J$69</f>
        <v>256.2</v>
      </c>
      <c r="AD19" s="1445">
        <f>SpKa!$J$69</f>
        <v>154.00749999999999</v>
      </c>
      <c r="AE19" s="1445">
        <f>SpKaBer!$J$69</f>
        <v>162.0565</v>
      </c>
      <c r="AF19" s="1445">
        <f>'Kultur A'!$J$69</f>
        <v>0</v>
      </c>
      <c r="AG19" s="1445">
        <f>'FAKT-Brachebegrünung'!$J$69</f>
        <v>0</v>
      </c>
      <c r="AH19" s="1445">
        <f>Begr!$J$69</f>
        <v>0</v>
      </c>
      <c r="AI19" s="1442"/>
      <c r="AJ19" s="1443">
        <f>'WW1'!$M$69</f>
        <v>28.458666666666669</v>
      </c>
      <c r="AK19" s="1445">
        <f>'WW2'!$M$69</f>
        <v>28.239999999999995</v>
      </c>
      <c r="AL19" s="1445">
        <f>'WW3'!$M$69</f>
        <v>27.776</v>
      </c>
      <c r="AM19" s="1445">
        <f>'WW4'!$M$69</f>
        <v>28.012053333333338</v>
      </c>
      <c r="AN19" s="1445">
        <f>WRo!$M$69</f>
        <v>22.325333333333337</v>
      </c>
      <c r="AO19" s="1445">
        <f>Tr!$M$69</f>
        <v>24.639999999999997</v>
      </c>
      <c r="AP19" s="1445">
        <f>WG!$M$69</f>
        <v>22.288000000000004</v>
      </c>
      <c r="AQ19" s="1445">
        <f>Di!$M$69</f>
        <v>20.16</v>
      </c>
      <c r="AR19" s="1445">
        <f>SW!$M$69</f>
        <v>24.44</v>
      </c>
      <c r="AS19" s="1445">
        <f>'SG-Fu'!$M$69</f>
        <v>19.104000000000003</v>
      </c>
      <c r="AT19" s="1445">
        <f>BG!$M$69</f>
        <v>25.587199999999999</v>
      </c>
      <c r="AU19" s="1445">
        <f>Ha!$M$69</f>
        <v>18.77333333333333</v>
      </c>
      <c r="AV19" s="1445">
        <f>Du!$M$69</f>
        <v>29.04</v>
      </c>
      <c r="AW19" s="1445">
        <f>KöM!$M$69</f>
        <v>34.486666666666672</v>
      </c>
      <c r="AX19" s="1445"/>
      <c r="AY19" s="1445">
        <f>WR!$M$69</f>
        <v>89.726666666666645</v>
      </c>
      <c r="AZ19" s="1445">
        <f>SR!$M$69</f>
        <v>56.079166666666659</v>
      </c>
      <c r="BA19" s="1445">
        <f>SoBl!$M$69</f>
        <v>56.909999999999989</v>
      </c>
      <c r="BB19" s="1445">
        <f>Soja!$M$69</f>
        <v>39.564000000000007</v>
      </c>
      <c r="BC19" s="1445"/>
      <c r="BD19" s="1445">
        <f>FE!$M$69</f>
        <v>29.367333333333335</v>
      </c>
      <c r="BE19" s="1445">
        <f>AB!$M$69</f>
        <v>29.693999999999999</v>
      </c>
      <c r="BF19" s="1445">
        <f>Lu!$M$69</f>
        <v>18.643333333333334</v>
      </c>
      <c r="BG19" s="1445">
        <f>ZR!$M$69</f>
        <v>24.115299999999994</v>
      </c>
      <c r="BH19" s="1445">
        <f>FrühKa!$M$69</f>
        <v>256.2</v>
      </c>
      <c r="BI19" s="1445">
        <f>FrühKaFolieBer!$M$69</f>
        <v>298.89999999999998</v>
      </c>
      <c r="BJ19" s="1445">
        <f>SpKa!$M$69</f>
        <v>155.16299999999998</v>
      </c>
      <c r="BK19" s="1445">
        <f>SpKaBer!$M$69</f>
        <v>179.83750000000001</v>
      </c>
      <c r="BL19" s="1445">
        <v>0</v>
      </c>
      <c r="BM19" s="1445">
        <f>'FAKT-Brachebegrünung'!$M$69</f>
        <v>0</v>
      </c>
      <c r="BN19" s="1445">
        <f>Begr!$M$69</f>
        <v>0</v>
      </c>
      <c r="BO19" s="1442"/>
      <c r="BP19" s="1443">
        <f>'WW1'!$P$69</f>
        <v>33.794666666666672</v>
      </c>
      <c r="BQ19" s="1445">
        <f>'WW2'!$P$69</f>
        <v>33.887999999999998</v>
      </c>
      <c r="BR19" s="1445">
        <f>'WW3'!$P$69</f>
        <v>33.728000000000002</v>
      </c>
      <c r="BS19" s="1445">
        <f>'WW4'!$P$69</f>
        <v>32.321600000000004</v>
      </c>
      <c r="BT19" s="1445">
        <f>WRo!$P$69</f>
        <v>25.760000000000005</v>
      </c>
      <c r="BU19" s="1445">
        <f>Tr!$P$69</f>
        <v>29.567999999999998</v>
      </c>
      <c r="BV19" s="1445">
        <f>WG!$P$69</f>
        <v>27.064000000000004</v>
      </c>
      <c r="BW19" s="1445">
        <f>Di!$P$69</f>
        <v>23.52</v>
      </c>
      <c r="BX19" s="1445">
        <f>SW!$P$69</f>
        <v>28.2</v>
      </c>
      <c r="BY19" s="1445">
        <f>'SG-Fu'!$P$69</f>
        <v>22.288000000000004</v>
      </c>
      <c r="BZ19" s="1445">
        <f>BG!$P$69</f>
        <v>30.254399999999997</v>
      </c>
      <c r="CA19" s="1445">
        <f>Ha!$P$69</f>
        <v>22.18666666666666</v>
      </c>
      <c r="CB19" s="1445">
        <f>Du!$P$69</f>
        <v>31.68</v>
      </c>
      <c r="CC19" s="1445">
        <f>KöM!$P$69</f>
        <v>41.384000000000007</v>
      </c>
      <c r="CD19" s="1445"/>
      <c r="CE19" s="1445">
        <f>WR!$P$69</f>
        <v>112.15833333333332</v>
      </c>
      <c r="CF19" s="1445">
        <f>SR!$P$69</f>
        <v>67.294999999999987</v>
      </c>
      <c r="CG19" s="1445">
        <f>SoBl!$P$69</f>
        <v>66.394999999999982</v>
      </c>
      <c r="CH19" s="1445">
        <f>Soja!$P$69</f>
        <v>49.821333333333342</v>
      </c>
      <c r="CI19" s="1445"/>
      <c r="CJ19" s="1445">
        <f>FE!$P$69</f>
        <v>41.953333333333333</v>
      </c>
      <c r="CK19" s="1445">
        <f>AB!$P$69</f>
        <v>42.42</v>
      </c>
      <c r="CL19" s="1445">
        <f>Lu!$P$69</f>
        <v>29.829333333333334</v>
      </c>
      <c r="CM19" s="1445">
        <f>ZR!$P$69</f>
        <v>27.520166666666668</v>
      </c>
      <c r="CN19" s="1445">
        <f>FrühKa!$P$69</f>
        <v>298.89999999999998</v>
      </c>
      <c r="CO19" s="1445">
        <f>FrühKaFolieBer!$P$69</f>
        <v>341.60000000000008</v>
      </c>
      <c r="CP19" s="1445">
        <f>SpKa!$P$69</f>
        <v>169.69999999999996</v>
      </c>
      <c r="CQ19" s="1445">
        <f>SpKaBer!$P$69</f>
        <v>197.21299999999999</v>
      </c>
      <c r="CR19" s="1445">
        <f>'Kultur A'!$P$69</f>
        <v>0</v>
      </c>
      <c r="CS19" s="1445">
        <f>'FAKT-Brachebegrünung'!$P$69</f>
        <v>0</v>
      </c>
      <c r="CT19" s="1445">
        <f>Begr!$P$69</f>
        <v>0</v>
      </c>
      <c r="CV19" s="1486" t="s">
        <v>1137</v>
      </c>
      <c r="CW19" s="1526"/>
      <c r="CX19" s="3610">
        <f>'Öko-KG1'!$J$69</f>
        <v>0</v>
      </c>
      <c r="CY19" s="1445">
        <f>'Öko-KG2'!$J$69</f>
        <v>0</v>
      </c>
      <c r="CZ19" s="1445">
        <f>'Öko-LU1'!$J$69</f>
        <v>0</v>
      </c>
      <c r="DA19" s="1445">
        <f>'Öko-LU2'!$J$69</f>
        <v>0</v>
      </c>
      <c r="DB19" s="1443">
        <f>'Öko-WW-Futter'!$J$69</f>
        <v>18.016000000000005</v>
      </c>
      <c r="DC19" s="1445">
        <f>'Öko-WW-Brot'!$J$69</f>
        <v>24.48</v>
      </c>
      <c r="DD19" s="1445">
        <f>'Öko-Dinkel'!$J$69</f>
        <v>18.48</v>
      </c>
      <c r="DE19" s="1445">
        <f>'Öko-Dinkel,gegerbt'!$J$69</f>
        <v>25.98638</v>
      </c>
      <c r="DF19" s="1445">
        <f>'Öko-Roggen'!$J$69</f>
        <v>17.424000000000003</v>
      </c>
      <c r="DG19" s="1445">
        <f>'Öko-Hafer'!$J$69</f>
        <v>18.992000000000001</v>
      </c>
      <c r="DH19" s="1445">
        <f>'Öko-Wintergerste'!$J$69</f>
        <v>17.232000000000003</v>
      </c>
      <c r="DI19" s="1445">
        <f>'Öko-Braugerste'!$J$69</f>
        <v>20.527499999999996</v>
      </c>
      <c r="DJ19" s="1445">
        <f>'Öko-Körnermais'!$J$69</f>
        <v>37.696000000000005</v>
      </c>
      <c r="DK19" s="1445">
        <f>'Öko-Ackerbohnen'!$J$69</f>
        <v>23.407999999999998</v>
      </c>
      <c r="DL19" s="1445">
        <f>'Öko-Erbsen'!$J$69</f>
        <v>19.584</v>
      </c>
      <c r="DM19" s="1445">
        <f>'Öko-Sojabohnen'!$J$69</f>
        <v>35.944799999999994</v>
      </c>
      <c r="DN19" s="1445">
        <f>'Öko-Soblu'!$J$69</f>
        <v>24.8064</v>
      </c>
      <c r="DO19" s="1445">
        <f>'Öko-Raps'!$J$69</f>
        <v>14.549333333333333</v>
      </c>
      <c r="DP19" s="1445">
        <f>'Öko-Kartoffel'!$J$69</f>
        <v>152.30399999999997</v>
      </c>
      <c r="DQ19" s="1445"/>
      <c r="DR19" s="1445">
        <f>Begrün.!$J$69</f>
        <v>0</v>
      </c>
      <c r="DS19" s="1445">
        <f>Blühm.!$J$69</f>
        <v>0</v>
      </c>
      <c r="DT19" s="1434"/>
      <c r="DU19" s="1445">
        <f>'Öko-KG1'!$M$69</f>
        <v>0</v>
      </c>
      <c r="DV19" s="1445">
        <f>'Öko-KG2'!$M$69</f>
        <v>0</v>
      </c>
      <c r="DW19" s="1445">
        <f>'Öko-LU1'!$M$69</f>
        <v>0</v>
      </c>
      <c r="DX19" s="1445">
        <f>'Öko-LU2'!$M$69</f>
        <v>0</v>
      </c>
      <c r="DY19" s="1443">
        <f>'Öko-WW-Futter'!$M$69</f>
        <v>24.021333333333335</v>
      </c>
      <c r="DZ19" s="1445">
        <f>'Öko-WW-Brot'!$M$69</f>
        <v>32.64</v>
      </c>
      <c r="EA19" s="1445">
        <f>'Öko-Dinkel'!$M$69</f>
        <v>24.64</v>
      </c>
      <c r="EB19" s="1445">
        <f>'Öko-Dinkel,gegerbt'!$M$69</f>
        <v>34.64850666666667</v>
      </c>
      <c r="EC19" s="1445">
        <f>'Öko-Roggen'!$M$69</f>
        <v>23.232000000000003</v>
      </c>
      <c r="ED19" s="1445">
        <f>'Öko-Hafer'!$M$69</f>
        <v>25.322666666666667</v>
      </c>
      <c r="EE19" s="1445">
        <f>'Öko-Wintergerste'!$M$69</f>
        <v>22.976000000000003</v>
      </c>
      <c r="EF19" s="1445">
        <f>'Öko-Braugerste'!$M$69</f>
        <v>27.37</v>
      </c>
      <c r="EG19" s="1445">
        <f>'Öko-Körnermais'!$M$69</f>
        <v>50.26133333333334</v>
      </c>
      <c r="EH19" s="1445">
        <f>'Öko-Ackerbohnen'!$M$69</f>
        <v>31.210666666666665</v>
      </c>
      <c r="EI19" s="1445">
        <f>'Öko-Erbsen'!$M$69</f>
        <v>26.111999999999998</v>
      </c>
      <c r="EJ19" s="1445">
        <f>'Öko-Sojabohnen'!$M$69</f>
        <v>42.287999999999997</v>
      </c>
      <c r="EK19" s="1445">
        <f>'Öko-Soblu'!$M$69</f>
        <v>37.209600000000009</v>
      </c>
      <c r="EL19" s="1445">
        <f>'Öko-Raps'!$M$69</f>
        <v>27.643733333333333</v>
      </c>
      <c r="EM19" s="1445">
        <f>'Öko-Kartoffel'!$M$69</f>
        <v>190.37999999999997</v>
      </c>
      <c r="EN19" s="1445"/>
      <c r="EO19" s="1445">
        <f>Begrün.!$M$69</f>
        <v>0</v>
      </c>
      <c r="EP19" s="1445">
        <f>Blühm.!$M$69</f>
        <v>0</v>
      </c>
      <c r="EQ19" s="1434"/>
      <c r="ER19" s="1445">
        <f>'Öko-KG1'!$P$69</f>
        <v>0</v>
      </c>
      <c r="ES19" s="1445">
        <f>'Öko-KG2'!$P$69</f>
        <v>0</v>
      </c>
      <c r="ET19" s="1445">
        <f>'Öko-LU1'!$P$69</f>
        <v>0</v>
      </c>
      <c r="EU19" s="1445">
        <f>'Öko-LU2'!$P$69</f>
        <v>0</v>
      </c>
      <c r="EV19" s="1443">
        <f>'Öko-WW-Futter'!$P$69</f>
        <v>41.436800000000005</v>
      </c>
      <c r="EW19" s="1445">
        <f>'Öko-WW-Brot'!$P$69</f>
        <v>48.96</v>
      </c>
      <c r="EX19" s="1445">
        <f>'Öko-Dinkel'!$P$69</f>
        <v>31.68</v>
      </c>
      <c r="EY19" s="1445">
        <f>'Öko-Dinkel,gegerbt'!$P$69</f>
        <v>43.310633333333328</v>
      </c>
      <c r="EZ19" s="1445">
        <f>'Öko-Roggen'!$P$69</f>
        <v>29.040000000000003</v>
      </c>
      <c r="FA19" s="1445">
        <f>'Öko-Hafer'!$P$69</f>
        <v>31.653333333333336</v>
      </c>
      <c r="FB19" s="1445">
        <f>'Öko-Wintergerste'!$P$69</f>
        <v>28.720000000000002</v>
      </c>
      <c r="FC19" s="1445">
        <f>'Öko-Braugerste'!$P$69</f>
        <v>34.212499999999999</v>
      </c>
      <c r="FD19" s="1445">
        <f>'Öko-Körnermais'!$P$69</f>
        <v>62.826666666666682</v>
      </c>
      <c r="FE19" s="1445">
        <f>'Öko-Ackerbohnen'!$P$69</f>
        <v>39.013333333333328</v>
      </c>
      <c r="FF19" s="1445">
        <f>'Öko-Erbsen'!$P$69</f>
        <v>32.64</v>
      </c>
      <c r="FG19" s="1445">
        <f>'Öko-Sojabohnen'!$P$69</f>
        <v>48.6312</v>
      </c>
      <c r="FH19" s="1445">
        <f>'Öko-Soblu'!$P$69</f>
        <v>49.6128</v>
      </c>
      <c r="FI19" s="1445">
        <f>'Öko-Raps'!$P$69</f>
        <v>37.828266666666671</v>
      </c>
      <c r="FJ19" s="1445">
        <f>'Öko-Kartoffel'!$P$69</f>
        <v>228.45599999999996</v>
      </c>
      <c r="FK19" s="1445"/>
      <c r="FL19" s="1445">
        <f>Begrün.!$P$69</f>
        <v>0</v>
      </c>
      <c r="FM19" s="1445">
        <f>Blühm.!$P$69</f>
        <v>0</v>
      </c>
    </row>
    <row r="20" spans="1:169" ht="16.149999999999999" customHeight="1">
      <c r="A20" s="1440">
        <f>ROWS($A$1:A20)</f>
        <v>20</v>
      </c>
      <c r="B20" s="1486" t="s">
        <v>1136</v>
      </c>
      <c r="C20" s="1456"/>
      <c r="D20" s="3610">
        <f>'WW1'!$J$71</f>
        <v>0</v>
      </c>
      <c r="E20" s="1445">
        <f>'WW2'!$J$71</f>
        <v>0</v>
      </c>
      <c r="F20" s="1445">
        <f>'WW3'!$J$71</f>
        <v>0</v>
      </c>
      <c r="G20" s="1445">
        <f>'WW4'!$J$71</f>
        <v>0</v>
      </c>
      <c r="H20" s="1445">
        <f>WRo!$J$71</f>
        <v>0</v>
      </c>
      <c r="I20" s="1445">
        <f>Tr!$J$71</f>
        <v>0</v>
      </c>
      <c r="J20" s="1445">
        <f>WG!$J$71</f>
        <v>0</v>
      </c>
      <c r="K20" s="1445">
        <f>Di!$J$71</f>
        <v>0</v>
      </c>
      <c r="L20" s="1445">
        <f>SW!$J$71</f>
        <v>0</v>
      </c>
      <c r="M20" s="1445">
        <f>'SG-Fu'!$J$71</f>
        <v>0</v>
      </c>
      <c r="N20" s="1445">
        <f>BG!$J$71</f>
        <v>0</v>
      </c>
      <c r="O20" s="1445">
        <f>Ha!$J$71</f>
        <v>0</v>
      </c>
      <c r="P20" s="1445">
        <f>Du!$J$71</f>
        <v>0</v>
      </c>
      <c r="Q20" s="1445">
        <f>KöM!$J$71</f>
        <v>0</v>
      </c>
      <c r="R20" s="1445"/>
      <c r="S20" s="1445">
        <f>WR!$J$71</f>
        <v>0</v>
      </c>
      <c r="T20" s="1445">
        <f>SR!$J$71</f>
        <v>0</v>
      </c>
      <c r="U20" s="1445">
        <f>SoBl!$J$71</f>
        <v>0</v>
      </c>
      <c r="V20" s="1445">
        <f>Soja!$J$71</f>
        <v>30</v>
      </c>
      <c r="W20" s="1445"/>
      <c r="X20" s="1445">
        <f>FE!$J$71</f>
        <v>0</v>
      </c>
      <c r="Y20" s="1445">
        <f>AB!$J$71</f>
        <v>0</v>
      </c>
      <c r="Z20" s="1445">
        <f>Lu!$J$71</f>
        <v>0</v>
      </c>
      <c r="AA20" s="1445">
        <f>ZR!$J$71</f>
        <v>97.5</v>
      </c>
      <c r="AB20" s="1445">
        <f>FrühKa!$J$71</f>
        <v>0</v>
      </c>
      <c r="AC20" s="1445">
        <f>FrühKaFolieBer!$J$71</f>
        <v>346</v>
      </c>
      <c r="AD20" s="1445">
        <f>SpKa!$J$71</f>
        <v>0</v>
      </c>
      <c r="AE20" s="1445">
        <f>SpKaBer!$J$71</f>
        <v>270</v>
      </c>
      <c r="AF20" s="1445">
        <f>'Kultur A'!$J$71</f>
        <v>0</v>
      </c>
      <c r="AG20" s="1445">
        <f>'FAKT-Brachebegrünung'!$J$71</f>
        <v>0</v>
      </c>
      <c r="AH20" s="1445">
        <f>Begr!$J$71</f>
        <v>0</v>
      </c>
      <c r="AI20" s="1442"/>
      <c r="AJ20" s="1443">
        <f>'WW1'!$M$71</f>
        <v>0</v>
      </c>
      <c r="AK20" s="1445">
        <f>'WW2'!$M$71</f>
        <v>0</v>
      </c>
      <c r="AL20" s="1445">
        <f>'WW3'!$M$71</f>
        <v>0</v>
      </c>
      <c r="AM20" s="1445">
        <f>'WW4'!$M$71</f>
        <v>0</v>
      </c>
      <c r="AN20" s="1445">
        <f>WRo!$M$71</f>
        <v>0</v>
      </c>
      <c r="AO20" s="1445">
        <f>Tr!$M$71</f>
        <v>0</v>
      </c>
      <c r="AP20" s="1445">
        <f>WG!$M$71</f>
        <v>0</v>
      </c>
      <c r="AQ20" s="1445">
        <f>Di!$M$71</f>
        <v>0</v>
      </c>
      <c r="AR20" s="1445">
        <f>SW!$M$71</f>
        <v>0</v>
      </c>
      <c r="AS20" s="1445">
        <f>'SG-Fu'!$M$71</f>
        <v>0</v>
      </c>
      <c r="AT20" s="1445">
        <f>BG!$M$71</f>
        <v>0</v>
      </c>
      <c r="AU20" s="1445">
        <f>Ha!$M$71</f>
        <v>0</v>
      </c>
      <c r="AV20" s="1445">
        <f>Du!$M$71</f>
        <v>0</v>
      </c>
      <c r="AW20" s="1445">
        <f>KöM!$M$71</f>
        <v>0</v>
      </c>
      <c r="AX20" s="1445"/>
      <c r="AY20" s="1445">
        <f>WR!$M$71</f>
        <v>0</v>
      </c>
      <c r="AZ20" s="1445">
        <f>SR!$M$71</f>
        <v>0</v>
      </c>
      <c r="BA20" s="1445">
        <f>SoBl!$M$71</f>
        <v>0</v>
      </c>
      <c r="BB20" s="1445">
        <f>Soja!$M$71</f>
        <v>30</v>
      </c>
      <c r="BC20" s="1445"/>
      <c r="BD20" s="1445">
        <f>FE!$M$71</f>
        <v>0</v>
      </c>
      <c r="BE20" s="1445">
        <f>AB!$M$71</f>
        <v>0</v>
      </c>
      <c r="BF20" s="1445">
        <f>Lu!$M$71</f>
        <v>0</v>
      </c>
      <c r="BG20" s="1445">
        <f>ZR!$M$71</f>
        <v>112.5</v>
      </c>
      <c r="BH20" s="1445">
        <f>FrühKa!$M$71</f>
        <v>0</v>
      </c>
      <c r="BI20" s="1445">
        <f>FrühKaFolieBer!$M$71</f>
        <v>346</v>
      </c>
      <c r="BJ20" s="1445">
        <f>SpKa!$M$71</f>
        <v>0</v>
      </c>
      <c r="BK20" s="1445">
        <f>SpKaBer!$M$71</f>
        <v>270</v>
      </c>
      <c r="BL20" s="1445">
        <v>0</v>
      </c>
      <c r="BM20" s="1445">
        <f>'FAKT-Brachebegrünung'!$M$71</f>
        <v>0</v>
      </c>
      <c r="BN20" s="1445">
        <f>Begr!$M$71</f>
        <v>0</v>
      </c>
      <c r="BO20" s="1442"/>
      <c r="BP20" s="1443">
        <f>'WW1'!$P$71</f>
        <v>0</v>
      </c>
      <c r="BQ20" s="1445">
        <f>'WW2'!$P$71</f>
        <v>0</v>
      </c>
      <c r="BR20" s="1445">
        <f>'WW3'!$P$71</f>
        <v>0</v>
      </c>
      <c r="BS20" s="1445">
        <f>'WW4'!$P$71</f>
        <v>0</v>
      </c>
      <c r="BT20" s="1445">
        <f>WRo!$P$71</f>
        <v>0</v>
      </c>
      <c r="BU20" s="1445">
        <f>Tr!$P$71</f>
        <v>0</v>
      </c>
      <c r="BV20" s="1445">
        <f>WG!$P$71</f>
        <v>0</v>
      </c>
      <c r="BW20" s="1445">
        <f>Di!$P$71</f>
        <v>0</v>
      </c>
      <c r="BX20" s="1445">
        <f>SW!$P$71</f>
        <v>0</v>
      </c>
      <c r="BY20" s="1445">
        <f>'SG-Fu'!$P$71</f>
        <v>0</v>
      </c>
      <c r="BZ20" s="1445">
        <f>BG!$P$71</f>
        <v>0</v>
      </c>
      <c r="CA20" s="1445">
        <f>Ha!$P$71</f>
        <v>0</v>
      </c>
      <c r="CB20" s="1445">
        <f>Du!$P$71</f>
        <v>0</v>
      </c>
      <c r="CC20" s="1445">
        <f>KöM!$P$71</f>
        <v>0</v>
      </c>
      <c r="CD20" s="1445"/>
      <c r="CE20" s="1445">
        <f>WR!$P$71</f>
        <v>0</v>
      </c>
      <c r="CF20" s="1445">
        <f>SR!$P$71</f>
        <v>0</v>
      </c>
      <c r="CG20" s="1445">
        <f>SoBl!$P$71</f>
        <v>0</v>
      </c>
      <c r="CH20" s="1445">
        <f>Soja!$P$71</f>
        <v>30</v>
      </c>
      <c r="CI20" s="1445"/>
      <c r="CJ20" s="1445">
        <f>FE!$P$71</f>
        <v>0</v>
      </c>
      <c r="CK20" s="1445">
        <f>AB!$P$71</f>
        <v>0</v>
      </c>
      <c r="CL20" s="1445">
        <f>Lu!$P$71</f>
        <v>0</v>
      </c>
      <c r="CM20" s="1445">
        <f>ZR!$P$71</f>
        <v>127.5</v>
      </c>
      <c r="CN20" s="1445">
        <f>FrühKa!$P$71</f>
        <v>0</v>
      </c>
      <c r="CO20" s="1445">
        <f>FrühKaFolieBer!$P$71</f>
        <v>346</v>
      </c>
      <c r="CP20" s="1445">
        <f>SpKa!$P$71</f>
        <v>0</v>
      </c>
      <c r="CQ20" s="1445">
        <f>SpKaBer!$P$71</f>
        <v>270</v>
      </c>
      <c r="CR20" s="1445">
        <f>'Kultur A'!$P$71</f>
        <v>0</v>
      </c>
      <c r="CS20" s="1445">
        <f>'FAKT-Brachebegrünung'!$P$71</f>
        <v>0</v>
      </c>
      <c r="CT20" s="1445">
        <f>Begr!$P$71</f>
        <v>0</v>
      </c>
      <c r="CV20" s="1486" t="s">
        <v>1136</v>
      </c>
      <c r="CW20" s="1456"/>
      <c r="CX20" s="3610">
        <f>'Öko-KG1'!$J$71</f>
        <v>0</v>
      </c>
      <c r="CY20" s="1445">
        <f>'Öko-KG2'!$J$71</f>
        <v>0</v>
      </c>
      <c r="CZ20" s="1445">
        <f>'Öko-LU1'!$J$71</f>
        <v>0</v>
      </c>
      <c r="DA20" s="1445">
        <f>'Öko-LU2'!$J$71</f>
        <v>0</v>
      </c>
      <c r="DB20" s="1443">
        <f>'Öko-WW-Futter'!$J$71</f>
        <v>0</v>
      </c>
      <c r="DC20" s="1445">
        <f>'Öko-WW-Brot'!$J$71</f>
        <v>0</v>
      </c>
      <c r="DD20" s="1445">
        <f>'Öko-Dinkel'!$J$71</f>
        <v>0</v>
      </c>
      <c r="DE20" s="1445">
        <f>'Öko-Dinkel,gegerbt'!$J$71</f>
        <v>211.05</v>
      </c>
      <c r="DF20" s="1445">
        <f>'Öko-Roggen'!$J$71</f>
        <v>0</v>
      </c>
      <c r="DG20" s="1445">
        <f>'Öko-Hafer'!$J$71</f>
        <v>0</v>
      </c>
      <c r="DH20" s="1445">
        <f>'Öko-Wintergerste'!$J$71</f>
        <v>0</v>
      </c>
      <c r="DI20" s="1445">
        <f>'Öko-Braugerste'!$J$71</f>
        <v>0</v>
      </c>
      <c r="DJ20" s="1445">
        <f>'Öko-Körnermais'!$J$71</f>
        <v>0</v>
      </c>
      <c r="DK20" s="1445">
        <f>'Öko-Ackerbohnen'!$J$71</f>
        <v>0</v>
      </c>
      <c r="DL20" s="1445">
        <f>'Öko-Erbsen'!$J$71</f>
        <v>0</v>
      </c>
      <c r="DM20" s="1445">
        <f>'Öko-Sojabohnen'!$J$71</f>
        <v>0</v>
      </c>
      <c r="DN20" s="1445">
        <f>'Öko-Soblu'!$J$71</f>
        <v>0</v>
      </c>
      <c r="DO20" s="1445">
        <f>'Öko-Raps'!$J$71</f>
        <v>0</v>
      </c>
      <c r="DP20" s="1445">
        <f>'Öko-Kartoffel'!$J$71</f>
        <v>0</v>
      </c>
      <c r="DQ20" s="1445"/>
      <c r="DR20" s="1445">
        <f>Begrün.!$J$71</f>
        <v>0</v>
      </c>
      <c r="DS20" s="1445">
        <f>Blühm.!$J$71</f>
        <v>0</v>
      </c>
      <c r="DT20" s="1434"/>
      <c r="DU20" s="1445">
        <f>'Öko-KG1'!$M$71</f>
        <v>0</v>
      </c>
      <c r="DV20" s="1445">
        <f>'Öko-KG2'!$M$71</f>
        <v>0</v>
      </c>
      <c r="DW20" s="1445">
        <f>'Öko-LU1'!$M$71</f>
        <v>0</v>
      </c>
      <c r="DX20" s="1445">
        <f>'Öko-LU2'!$M$71</f>
        <v>0</v>
      </c>
      <c r="DY20" s="1443">
        <f>'Öko-WW-Futter'!$M$71</f>
        <v>0</v>
      </c>
      <c r="DZ20" s="1445">
        <f>'Öko-WW-Brot'!$M$71</f>
        <v>0</v>
      </c>
      <c r="EA20" s="1445">
        <f>'Öko-Dinkel'!$M$71</f>
        <v>0</v>
      </c>
      <c r="EB20" s="1445">
        <f>'Öko-Dinkel,gegerbt'!$M$71</f>
        <v>281.40000000000003</v>
      </c>
      <c r="EC20" s="1445">
        <f>'Öko-Roggen'!$M$71</f>
        <v>0</v>
      </c>
      <c r="ED20" s="1445">
        <f>'Öko-Hafer'!$M$71</f>
        <v>0</v>
      </c>
      <c r="EE20" s="1445">
        <f>'Öko-Wintergerste'!$M$71</f>
        <v>0</v>
      </c>
      <c r="EF20" s="1445">
        <f>'Öko-Braugerste'!$M$71</f>
        <v>0</v>
      </c>
      <c r="EG20" s="1445">
        <f>'Öko-Körnermais'!$M$71</f>
        <v>0</v>
      </c>
      <c r="EH20" s="1445">
        <f>'Öko-Ackerbohnen'!$M$71</f>
        <v>0</v>
      </c>
      <c r="EI20" s="1445">
        <f>'Öko-Erbsen'!$M$71</f>
        <v>0</v>
      </c>
      <c r="EJ20" s="1445">
        <f>'Öko-Sojabohnen'!$M$71</f>
        <v>0</v>
      </c>
      <c r="EK20" s="1445">
        <f>'Öko-Soblu'!$M$71</f>
        <v>0</v>
      </c>
      <c r="EL20" s="1445">
        <f>'Öko-Raps'!$M$71</f>
        <v>0</v>
      </c>
      <c r="EM20" s="1445">
        <f>'Öko-Kartoffel'!$M$71</f>
        <v>0</v>
      </c>
      <c r="EN20" s="1445"/>
      <c r="EO20" s="1445">
        <f>Begrün.!$M$71</f>
        <v>0</v>
      </c>
      <c r="EP20" s="1445">
        <f>Blühm.!$M$71</f>
        <v>0</v>
      </c>
      <c r="EQ20" s="1434"/>
      <c r="ER20" s="1445">
        <f>'Öko-KG1'!$P$71</f>
        <v>0</v>
      </c>
      <c r="ES20" s="1445">
        <f>'Öko-KG2'!$P$71</f>
        <v>0</v>
      </c>
      <c r="ET20" s="1445">
        <f>'Öko-LU1'!$P$71</f>
        <v>0</v>
      </c>
      <c r="EU20" s="1445">
        <f>'Öko-LU2'!$P$71</f>
        <v>0</v>
      </c>
      <c r="EV20" s="1443">
        <f>'Öko-WW-Futter'!$P$71</f>
        <v>0</v>
      </c>
      <c r="EW20" s="1445">
        <f>'Öko-WW-Brot'!$P$71</f>
        <v>0</v>
      </c>
      <c r="EX20" s="1445">
        <f>'Öko-Dinkel'!$P$71</f>
        <v>0</v>
      </c>
      <c r="EY20" s="1445">
        <f>'Öko-Dinkel,gegerbt'!$P$71</f>
        <v>351.75</v>
      </c>
      <c r="EZ20" s="1445">
        <f>'Öko-Roggen'!$P$71</f>
        <v>0</v>
      </c>
      <c r="FA20" s="1445">
        <f>'Öko-Hafer'!$P$71</f>
        <v>0</v>
      </c>
      <c r="FB20" s="1445">
        <f>'Öko-Wintergerste'!$P$71</f>
        <v>0</v>
      </c>
      <c r="FC20" s="1445">
        <f>'Öko-Braugerste'!$P$71</f>
        <v>0</v>
      </c>
      <c r="FD20" s="1445">
        <f>'Öko-Körnermais'!$P$71</f>
        <v>0</v>
      </c>
      <c r="FE20" s="1445">
        <f>'Öko-Ackerbohnen'!$P$71</f>
        <v>0</v>
      </c>
      <c r="FF20" s="1445">
        <f>'Öko-Erbsen'!$P$71</f>
        <v>0</v>
      </c>
      <c r="FG20" s="1445">
        <f>'Öko-Sojabohnen'!$P$71</f>
        <v>0</v>
      </c>
      <c r="FH20" s="1445">
        <f>'Öko-Soblu'!$P$71</f>
        <v>0</v>
      </c>
      <c r="FI20" s="1445">
        <f>'Öko-Raps'!$P$71</f>
        <v>0</v>
      </c>
      <c r="FJ20" s="1445">
        <f>'Öko-Kartoffel'!$P$71</f>
        <v>0</v>
      </c>
      <c r="FK20" s="1445"/>
      <c r="FL20" s="1445">
        <f>Begrün.!$P$71</f>
        <v>0</v>
      </c>
      <c r="FM20" s="1445">
        <f>Blühm.!$P$71</f>
        <v>0</v>
      </c>
    </row>
    <row r="21" spans="1:169" ht="18" customHeight="1">
      <c r="A21" s="1440">
        <f>ROWS($A$1:A21)</f>
        <v>21</v>
      </c>
      <c r="B21" s="1457" t="s">
        <v>217</v>
      </c>
      <c r="D21" s="1523">
        <f t="shared" ref="D21:AH21" si="25">SUM(D12:D20)</f>
        <v>1226.8374172880785</v>
      </c>
      <c r="E21" s="1523">
        <f t="shared" si="25"/>
        <v>1096.1350956317647</v>
      </c>
      <c r="F21" s="1523">
        <f t="shared" si="25"/>
        <v>1116.6913759447061</v>
      </c>
      <c r="G21" s="1523">
        <f t="shared" si="25"/>
        <v>1166.7178826113727</v>
      </c>
      <c r="H21" s="1523">
        <f t="shared" si="25"/>
        <v>895.39268522666657</v>
      </c>
      <c r="I21" s="1523">
        <f t="shared" si="25"/>
        <v>999.51021855999988</v>
      </c>
      <c r="J21" s="1523">
        <f t="shared" si="25"/>
        <v>1050.206175944706</v>
      </c>
      <c r="K21" s="1523">
        <f t="shared" si="25"/>
        <v>1052.5056562576469</v>
      </c>
      <c r="L21" s="1523">
        <f t="shared" si="25"/>
        <v>881.02913824705888</v>
      </c>
      <c r="M21" s="1523">
        <f t="shared" si="25"/>
        <v>957.0302988729411</v>
      </c>
      <c r="N21" s="1523">
        <f t="shared" si="25"/>
        <v>916.86537918588238</v>
      </c>
      <c r="O21" s="1523">
        <f t="shared" si="25"/>
        <v>748.25822180117643</v>
      </c>
      <c r="P21" s="1523">
        <f t="shared" si="25"/>
        <v>1047.1559012764703</v>
      </c>
      <c r="Q21" s="1523">
        <f t="shared" si="25"/>
        <v>1419.4997990086272</v>
      </c>
      <c r="R21" s="1523"/>
      <c r="S21" s="1523">
        <f t="shared" si="25"/>
        <v>1069.9062629082352</v>
      </c>
      <c r="T21" s="1523">
        <f t="shared" si="25"/>
        <v>1060.9458235938039</v>
      </c>
      <c r="U21" s="1523">
        <f t="shared" si="25"/>
        <v>1021.5467421752941</v>
      </c>
      <c r="V21" s="1523">
        <f t="shared" si="25"/>
        <v>947.79895675890202</v>
      </c>
      <c r="W21" s="1523"/>
      <c r="X21" s="1523">
        <f t="shared" si="25"/>
        <v>678.27905429898044</v>
      </c>
      <c r="Y21" s="1523">
        <f t="shared" si="25"/>
        <v>674.34037734117646</v>
      </c>
      <c r="Z21" s="1523">
        <f t="shared" si="25"/>
        <v>678.53683192627443</v>
      </c>
      <c r="AA21" s="1523">
        <f t="shared" si="25"/>
        <v>1741.5377626955183</v>
      </c>
      <c r="AB21" s="1523">
        <f t="shared" si="25"/>
        <v>7083.2755982838653</v>
      </c>
      <c r="AC21" s="1523">
        <f>SUM(AC12:AC20)</f>
        <v>8919.4818680284043</v>
      </c>
      <c r="AD21" s="1523">
        <f t="shared" si="25"/>
        <v>6829.1227974621852</v>
      </c>
      <c r="AE21" s="1523">
        <f t="shared" si="25"/>
        <v>7392.0266096059822</v>
      </c>
      <c r="AF21" s="1523">
        <f t="shared" si="25"/>
        <v>0</v>
      </c>
      <c r="AG21" s="1523">
        <f t="shared" si="25"/>
        <v>188.10379359831933</v>
      </c>
      <c r="AH21" s="1523">
        <f t="shared" si="25"/>
        <v>156.06699105243695</v>
      </c>
      <c r="AI21" s="1525"/>
      <c r="AJ21" s="1524">
        <f t="shared" ref="AJ21:BN21" si="26">SUM(AJ12:AJ20)</f>
        <v>1530.9648373189018</v>
      </c>
      <c r="AK21" s="1523">
        <f>SUM(AK12:AK20)</f>
        <v>1228.3883400917646</v>
      </c>
      <c r="AL21" s="1523">
        <f t="shared" si="26"/>
        <v>1230.3886204047058</v>
      </c>
      <c r="AM21" s="1523">
        <f t="shared" si="26"/>
        <v>1244.9529540509805</v>
      </c>
      <c r="AN21" s="1523">
        <f t="shared" si="26"/>
        <v>955.58679126745108</v>
      </c>
      <c r="AO21" s="1523">
        <f t="shared" si="26"/>
        <v>1095.5917776211766</v>
      </c>
      <c r="AP21" s="1523">
        <f t="shared" si="26"/>
        <v>1146.1357350058825</v>
      </c>
      <c r="AQ21" s="1523">
        <f t="shared" si="26"/>
        <v>1140.7619810305885</v>
      </c>
      <c r="AR21" s="1523">
        <f t="shared" si="26"/>
        <v>1047.8133382470589</v>
      </c>
      <c r="AS21" s="1523">
        <f t="shared" si="26"/>
        <v>1020.9833382470588</v>
      </c>
      <c r="AT21" s="1523">
        <f t="shared" si="26"/>
        <v>976.43041856000002</v>
      </c>
      <c r="AU21" s="1523">
        <f t="shared" si="26"/>
        <v>825.14035189333333</v>
      </c>
      <c r="AV21" s="1523">
        <f t="shared" si="26"/>
        <v>1156.3250603376471</v>
      </c>
      <c r="AW21" s="1523">
        <f t="shared" si="26"/>
        <v>1608.1328110901961</v>
      </c>
      <c r="AX21" s="1523"/>
      <c r="AY21" s="1523">
        <f t="shared" si="26"/>
        <v>1226.7835263337256</v>
      </c>
      <c r="AZ21" s="1523">
        <f>SUM(AZ12:AZ20)</f>
        <v>1159.8533579363138</v>
      </c>
      <c r="BA21" s="1523">
        <f t="shared" si="26"/>
        <v>1109.4354618623531</v>
      </c>
      <c r="BB21" s="1523">
        <f t="shared" si="26"/>
        <v>1005.7259373411764</v>
      </c>
      <c r="BC21" s="1523"/>
      <c r="BD21" s="1523">
        <f t="shared" si="26"/>
        <v>771.15405429898044</v>
      </c>
      <c r="BE21" s="1523">
        <f t="shared" si="26"/>
        <v>778.54372096564703</v>
      </c>
      <c r="BF21" s="1523">
        <f t="shared" si="26"/>
        <v>741.62559098745089</v>
      </c>
      <c r="BG21" s="1523">
        <f t="shared" si="26"/>
        <v>1827.708229362185</v>
      </c>
      <c r="BH21" s="1523">
        <f t="shared" si="26"/>
        <v>7207.0596853695788</v>
      </c>
      <c r="BI21" s="1523">
        <f t="shared" si="26"/>
        <v>9036.7565977294125</v>
      </c>
      <c r="BJ21" s="1523">
        <f t="shared" si="26"/>
        <v>6911.3623845478987</v>
      </c>
      <c r="BK21" s="1523">
        <f t="shared" si="26"/>
        <v>7488.0004827579833</v>
      </c>
      <c r="BL21" s="1523">
        <f t="shared" si="26"/>
        <v>0</v>
      </c>
      <c r="BM21" s="1523">
        <f t="shared" si="26"/>
        <v>188.10379359831933</v>
      </c>
      <c r="BN21" s="1523">
        <f t="shared" si="26"/>
        <v>156.06699105243695</v>
      </c>
      <c r="BO21" s="1525"/>
      <c r="BP21" s="1524">
        <f t="shared" ref="BP21:CT21" si="27">SUM(BP12:BP20)</f>
        <v>1710.2016147344311</v>
      </c>
      <c r="BQ21" s="1523">
        <f t="shared" si="27"/>
        <v>1341.1015845517647</v>
      </c>
      <c r="BR21" s="1523">
        <f t="shared" si="27"/>
        <v>1338.6458648647058</v>
      </c>
      <c r="BS21" s="1523">
        <f t="shared" si="27"/>
        <v>1323.1880254905882</v>
      </c>
      <c r="BT21" s="1523">
        <f t="shared" si="27"/>
        <v>1026.7083400917647</v>
      </c>
      <c r="BU21" s="1523">
        <f t="shared" si="27"/>
        <v>1196.7525417682352</v>
      </c>
      <c r="BV21" s="1523">
        <f t="shared" si="27"/>
        <v>1266.4633794658823</v>
      </c>
      <c r="BW21" s="1523">
        <f t="shared" si="27"/>
        <v>1204.1302204047058</v>
      </c>
      <c r="BX21" s="1523">
        <f t="shared" si="27"/>
        <v>979.9475382470589</v>
      </c>
      <c r="BY21" s="1523">
        <f t="shared" si="27"/>
        <v>1084.9363776211765</v>
      </c>
      <c r="BZ21" s="1523">
        <f t="shared" si="27"/>
        <v>1035.9954579341177</v>
      </c>
      <c r="CA21" s="1523">
        <f t="shared" si="27"/>
        <v>885.31312460078436</v>
      </c>
      <c r="CB21" s="1523">
        <f t="shared" si="27"/>
        <v>1192.7147800247058</v>
      </c>
      <c r="CC21" s="1523">
        <f t="shared" si="27"/>
        <v>1796.7658231717646</v>
      </c>
      <c r="CD21" s="1523"/>
      <c r="CE21" s="1523">
        <f t="shared" si="27"/>
        <v>1356.3714323745098</v>
      </c>
      <c r="CF21" s="1523">
        <f t="shared" si="27"/>
        <v>1231.4715348941174</v>
      </c>
      <c r="CG21" s="1523">
        <f t="shared" si="27"/>
        <v>1197.3241815494118</v>
      </c>
      <c r="CH21" s="1523">
        <f t="shared" si="27"/>
        <v>1063.652917923451</v>
      </c>
      <c r="CI21" s="1523"/>
      <c r="CJ21" s="1523">
        <f t="shared" si="27"/>
        <v>865.95174154792153</v>
      </c>
      <c r="CK21" s="1523">
        <f t="shared" si="27"/>
        <v>883.70840821458808</v>
      </c>
      <c r="CL21" s="1523">
        <f t="shared" si="27"/>
        <v>804.71435004862747</v>
      </c>
      <c r="CM21" s="1523">
        <f t="shared" si="27"/>
        <v>1964.6144534135576</v>
      </c>
      <c r="CN21" s="1523">
        <f t="shared" si="27"/>
        <v>7330.8437724552932</v>
      </c>
      <c r="CO21" s="1523">
        <f t="shared" si="27"/>
        <v>9167.0500421998331</v>
      </c>
      <c r="CP21" s="1523">
        <f t="shared" si="27"/>
        <v>7006.9834716336136</v>
      </c>
      <c r="CQ21" s="1523">
        <f t="shared" si="27"/>
        <v>7583.2074541682678</v>
      </c>
      <c r="CR21" s="1523">
        <f>SUM(CR12:CR20)</f>
        <v>0</v>
      </c>
      <c r="CS21" s="1523">
        <f t="shared" si="27"/>
        <v>188.10379359831933</v>
      </c>
      <c r="CT21" s="1523">
        <f t="shared" si="27"/>
        <v>156.06699105243695</v>
      </c>
      <c r="CV21" s="1457" t="s">
        <v>217</v>
      </c>
      <c r="CW21" s="1434"/>
      <c r="CX21" s="1523">
        <f>SUM(CX12:CX20)</f>
        <v>-59.373272996302546</v>
      </c>
      <c r="CY21" s="1523">
        <f t="shared" ref="CY21:DS21" si="28">SUM(CY12:CY20)</f>
        <v>-184.26838121394962</v>
      </c>
      <c r="CZ21" s="1523">
        <f t="shared" si="28"/>
        <v>-94.373272996302546</v>
      </c>
      <c r="DA21" s="1523">
        <f t="shared" si="28"/>
        <v>-131.68088121394965</v>
      </c>
      <c r="DB21" s="1523">
        <f t="shared" si="28"/>
        <v>947.97461145848729</v>
      </c>
      <c r="DC21" s="1523">
        <f t="shared" si="28"/>
        <v>1041.9446114584873</v>
      </c>
      <c r="DD21" s="1523">
        <f t="shared" si="28"/>
        <v>1003.4565604871175</v>
      </c>
      <c r="DE21" s="1523">
        <f t="shared" si="28"/>
        <v>1222.0129404871175</v>
      </c>
      <c r="DF21" s="1523">
        <f t="shared" si="28"/>
        <v>913.83115278191588</v>
      </c>
      <c r="DG21" s="1523">
        <f t="shared" si="28"/>
        <v>911.03864892273953</v>
      </c>
      <c r="DH21" s="1523">
        <f>SUM(DH12:DH20)</f>
        <v>938.8906745925043</v>
      </c>
      <c r="DI21" s="1523">
        <f t="shared" si="28"/>
        <v>862.69327449717639</v>
      </c>
      <c r="DJ21" s="1523">
        <f t="shared" si="28"/>
        <v>1494.7692659239747</v>
      </c>
      <c r="DK21" s="1523">
        <f t="shared" si="28"/>
        <v>679.74464922176458</v>
      </c>
      <c r="DL21" s="1523">
        <f t="shared" si="28"/>
        <v>653.21931177517627</v>
      </c>
      <c r="DM21" s="1523">
        <f t="shared" si="28"/>
        <v>917.38593434036466</v>
      </c>
      <c r="DN21" s="1523">
        <f t="shared" si="28"/>
        <v>1160.8360731214789</v>
      </c>
      <c r="DO21" s="1523">
        <f t="shared" si="28"/>
        <v>766.99138070321578</v>
      </c>
      <c r="DP21" s="1523">
        <f t="shared" si="28"/>
        <v>3840.8720734193275</v>
      </c>
      <c r="DQ21" s="1523"/>
      <c r="DR21" s="1523">
        <f t="shared" si="28"/>
        <v>322.45552021008405</v>
      </c>
      <c r="DS21" s="1523">
        <f t="shared" si="28"/>
        <v>224.39039605243698</v>
      </c>
      <c r="DT21" s="1434"/>
      <c r="DU21" s="1523">
        <f>SUM(DU12:DU20)</f>
        <v>-234.17327299630261</v>
      </c>
      <c r="DV21" s="1523">
        <f>SUM(DV12:DV20)</f>
        <v>-304.44338121394964</v>
      </c>
      <c r="DW21" s="1523">
        <f>SUM(DW12:DW20)</f>
        <v>-269.17327299630261</v>
      </c>
      <c r="DX21" s="1523">
        <f>SUM(DX12:DX20)</f>
        <v>-251.8558812139496</v>
      </c>
      <c r="DY21" s="1524">
        <f t="shared" ref="DY21:EG21" si="29">SUM(DY12:DY20)</f>
        <v>1091.7037473821401</v>
      </c>
      <c r="DZ21" s="1523">
        <f t="shared" si="29"/>
        <v>1205.5270549876304</v>
      </c>
      <c r="EA21" s="1523">
        <f t="shared" si="29"/>
        <v>1128.213012753647</v>
      </c>
      <c r="EB21" s="1523">
        <f t="shared" si="29"/>
        <v>1419.6215194203137</v>
      </c>
      <c r="EC21" s="1523">
        <f t="shared" si="29"/>
        <v>1054.3791358133781</v>
      </c>
      <c r="ED21" s="1523">
        <f t="shared" si="29"/>
        <v>1051.9891306678096</v>
      </c>
      <c r="EE21" s="1523">
        <f>SUM(EE12:EE20)</f>
        <v>1169.6671358133781</v>
      </c>
      <c r="EF21" s="1523">
        <f t="shared" si="29"/>
        <v>982.16196476705875</v>
      </c>
      <c r="EG21" s="1523">
        <f t="shared" si="29"/>
        <v>1778.8553859194847</v>
      </c>
      <c r="EH21" s="1523">
        <f t="shared" ref="EH21:EM21" si="30">SUM(EH12:EH20)</f>
        <v>782.82842109043122</v>
      </c>
      <c r="EI21" s="1523">
        <f t="shared" si="30"/>
        <v>678.01533107105877</v>
      </c>
      <c r="EJ21" s="1523">
        <f t="shared" si="30"/>
        <v>964.21049321647058</v>
      </c>
      <c r="EK21" s="1523">
        <f t="shared" si="30"/>
        <v>1516.9266321826553</v>
      </c>
      <c r="EL21" s="1523">
        <f t="shared" si="30"/>
        <v>1006.2931038582745</v>
      </c>
      <c r="EM21" s="1523">
        <f t="shared" si="30"/>
        <v>4013.0036730546217</v>
      </c>
      <c r="EN21" s="1523"/>
      <c r="EO21" s="1523">
        <f>SUM(EO12:EO20)</f>
        <v>322.45552021008405</v>
      </c>
      <c r="EP21" s="1523">
        <f>SUM(EP12:EP20)</f>
        <v>224.39039605243698</v>
      </c>
      <c r="EQ21" s="1434"/>
      <c r="ER21" s="1523">
        <f>SUM(ER12:ER20)</f>
        <v>-408.97327299630257</v>
      </c>
      <c r="ES21" s="1523">
        <f>SUM(ES12:ES20)</f>
        <v>-424.61838121394959</v>
      </c>
      <c r="ET21" s="1523">
        <f>SUM(ET12:ET20)</f>
        <v>-443.97327299630257</v>
      </c>
      <c r="EU21" s="1523">
        <f>SUM(EU12:EU20)</f>
        <v>-372.03088121394961</v>
      </c>
      <c r="EV21" s="1524">
        <f t="shared" ref="EV21:FD21" si="31">SUM(EV12:EV20)</f>
        <v>1508.5182415607328</v>
      </c>
      <c r="EW21" s="1523">
        <f t="shared" si="31"/>
        <v>1532.6919420459158</v>
      </c>
      <c r="EX21" s="1523">
        <f t="shared" si="31"/>
        <v>1270.7918153439662</v>
      </c>
      <c r="EY21" s="1523">
        <f t="shared" si="31"/>
        <v>1617.2300983535097</v>
      </c>
      <c r="EZ21" s="1523">
        <f t="shared" si="31"/>
        <v>1180.0262926655462</v>
      </c>
      <c r="FA21" s="1523">
        <f t="shared" si="31"/>
        <v>1192.9396124128796</v>
      </c>
      <c r="FB21" s="1523">
        <f>SUM(FB12:FB20)</f>
        <v>1295.3871188448404</v>
      </c>
      <c r="FC21" s="1523">
        <f t="shared" si="31"/>
        <v>1141.0056550369413</v>
      </c>
      <c r="FD21" s="1523">
        <f t="shared" si="31"/>
        <v>2122.9415059149947</v>
      </c>
      <c r="FE21" s="1523">
        <f t="shared" ref="FE21:FJ21" si="32">SUM(FE12:FE20)</f>
        <v>732.61219295909791</v>
      </c>
      <c r="FF21" s="1523">
        <f t="shared" si="32"/>
        <v>720.47990828458819</v>
      </c>
      <c r="FG21" s="1523">
        <f t="shared" si="32"/>
        <v>1072.2915302819883</v>
      </c>
      <c r="FH21" s="1523">
        <f t="shared" si="32"/>
        <v>1907.652488558185</v>
      </c>
      <c r="FI21" s="1523">
        <f t="shared" si="32"/>
        <v>1210.6388885344313</v>
      </c>
      <c r="FJ21" s="1523">
        <f t="shared" si="32"/>
        <v>4185.1352726899158</v>
      </c>
      <c r="FK21" s="1523"/>
      <c r="FL21" s="1523">
        <f>SUM(FL12:FL20)</f>
        <v>322.45552021008405</v>
      </c>
      <c r="FM21" s="1523">
        <f>SUM(FM12:FM20)</f>
        <v>224.39039605243698</v>
      </c>
    </row>
    <row r="22" spans="1:169" ht="18" customHeight="1">
      <c r="A22" s="1440">
        <f>ROWS($A$1:A22)</f>
        <v>22</v>
      </c>
      <c r="B22" s="1483" t="s">
        <v>1135</v>
      </c>
      <c r="C22" s="1522"/>
      <c r="D22" s="1520">
        <f>D11-D21</f>
        <v>694.99591604525494</v>
      </c>
      <c r="E22" s="1520">
        <f t="shared" ref="E22:AH22" si="33">E11-E21</f>
        <v>315.86490436823533</v>
      </c>
      <c r="F22" s="1520">
        <f t="shared" si="33"/>
        <v>247.30862405529388</v>
      </c>
      <c r="G22" s="1520">
        <f t="shared" si="33"/>
        <v>314.68878405529404</v>
      </c>
      <c r="H22" s="1520">
        <f t="shared" si="33"/>
        <v>285.27398144000017</v>
      </c>
      <c r="I22" s="1520">
        <f t="shared" si="33"/>
        <v>232.48978144000012</v>
      </c>
      <c r="J22" s="1520">
        <f t="shared" si="33"/>
        <v>44.293824055294181</v>
      </c>
      <c r="K22" s="1520">
        <f t="shared" si="33"/>
        <v>-2.5056562576469332</v>
      </c>
      <c r="L22" s="1520">
        <f t="shared" si="33"/>
        <v>411.47086175294112</v>
      </c>
      <c r="M22" s="1520">
        <f t="shared" si="33"/>
        <v>37.969701127059011</v>
      </c>
      <c r="N22" s="1520">
        <f t="shared" si="33"/>
        <v>390.63462081411762</v>
      </c>
      <c r="O22" s="1520">
        <f t="shared" si="33"/>
        <v>211.74177819882334</v>
      </c>
      <c r="P22" s="1520">
        <f t="shared" si="33"/>
        <v>272.84409872352967</v>
      </c>
      <c r="Q22" s="1520">
        <f t="shared" si="33"/>
        <v>551.16686765803979</v>
      </c>
      <c r="R22" s="1520"/>
      <c r="S22" s="1520">
        <f t="shared" si="33"/>
        <v>495.09373709176452</v>
      </c>
      <c r="T22" s="1520">
        <f t="shared" si="33"/>
        <v>-17.61249026047085</v>
      </c>
      <c r="U22" s="1520">
        <f t="shared" si="33"/>
        <v>107.61992449137244</v>
      </c>
      <c r="V22" s="1520">
        <f t="shared" si="33"/>
        <v>98.867709907764947</v>
      </c>
      <c r="W22" s="1520"/>
      <c r="X22" s="1520">
        <f t="shared" si="33"/>
        <v>-78.94572096564707</v>
      </c>
      <c r="Y22" s="1520">
        <f t="shared" si="33"/>
        <v>-68.340377341176463</v>
      </c>
      <c r="Z22" s="1520">
        <f t="shared" si="33"/>
        <v>-412.20349859294106</v>
      </c>
      <c r="AA22" s="1520">
        <f t="shared" si="33"/>
        <v>-56.371096028851298</v>
      </c>
      <c r="AB22" s="1520">
        <f t="shared" si="33"/>
        <v>7150.0577350494686</v>
      </c>
      <c r="AC22" s="1520">
        <f t="shared" si="33"/>
        <v>8160.5181319715957</v>
      </c>
      <c r="AD22" s="1520">
        <f t="shared" si="33"/>
        <v>3438.0438692044809</v>
      </c>
      <c r="AE22" s="1520">
        <f t="shared" si="33"/>
        <v>3411.7400570606842</v>
      </c>
      <c r="AF22" s="1520">
        <f t="shared" si="33"/>
        <v>0</v>
      </c>
      <c r="AG22" s="1520">
        <f t="shared" si="33"/>
        <v>-188.10379359831933</v>
      </c>
      <c r="AH22" s="1520">
        <f t="shared" si="33"/>
        <v>-156.06699105243695</v>
      </c>
      <c r="AI22" s="1525"/>
      <c r="AJ22" s="1521">
        <f t="shared" ref="AJ22:BN22" si="34">AJ11-AJ21</f>
        <v>834.36849601443168</v>
      </c>
      <c r="AK22" s="1520">
        <f>AK11-AK21</f>
        <v>536.6116599082352</v>
      </c>
      <c r="AL22" s="1520">
        <f t="shared" si="34"/>
        <v>505.61137959529424</v>
      </c>
      <c r="AM22" s="1520">
        <f t="shared" si="34"/>
        <v>505.80037928235311</v>
      </c>
      <c r="AN22" s="1520">
        <f t="shared" si="34"/>
        <v>439.74654206588241</v>
      </c>
      <c r="AO22" s="1520">
        <f t="shared" si="34"/>
        <v>444.40822237882321</v>
      </c>
      <c r="AP22" s="1520">
        <f t="shared" si="34"/>
        <v>246.86426499411778</v>
      </c>
      <c r="AQ22" s="1520">
        <f t="shared" si="34"/>
        <v>119.23801896941154</v>
      </c>
      <c r="AR22" s="1520">
        <f t="shared" si="34"/>
        <v>479.68666175294106</v>
      </c>
      <c r="AS22" s="1520">
        <f t="shared" si="34"/>
        <v>173.01666175294145</v>
      </c>
      <c r="AT22" s="1520">
        <f t="shared" si="34"/>
        <v>622.76958144000002</v>
      </c>
      <c r="AU22" s="1520">
        <f t="shared" si="34"/>
        <v>348.1929814399997</v>
      </c>
      <c r="AV22" s="1520">
        <f t="shared" si="34"/>
        <v>658.67493966235293</v>
      </c>
      <c r="AW22" s="1520">
        <f t="shared" si="34"/>
        <v>855.20052224313736</v>
      </c>
      <c r="AX22" s="1520"/>
      <c r="AY22" s="1520">
        <f t="shared" si="34"/>
        <v>859.88314033294046</v>
      </c>
      <c r="AZ22" s="1520">
        <f>AZ11-AZ21</f>
        <v>144.31330873035267</v>
      </c>
      <c r="BA22" s="1520">
        <f t="shared" si="34"/>
        <v>245.56453813764665</v>
      </c>
      <c r="BB22" s="1520">
        <f t="shared" si="34"/>
        <v>407.27406265882382</v>
      </c>
      <c r="BC22" s="1520"/>
      <c r="BD22" s="1520">
        <f t="shared" si="34"/>
        <v>277.67927903435304</v>
      </c>
      <c r="BE22" s="1520">
        <f t="shared" si="34"/>
        <v>281.95627903435297</v>
      </c>
      <c r="BF22" s="1520">
        <f t="shared" si="34"/>
        <v>-75.79225765411752</v>
      </c>
      <c r="BG22" s="1520">
        <f t="shared" si="34"/>
        <v>364.59177063781476</v>
      </c>
      <c r="BH22" s="1520">
        <f t="shared" si="34"/>
        <v>9872.9403146304212</v>
      </c>
      <c r="BI22" s="1520">
        <f t="shared" si="34"/>
        <v>10889.910068937255</v>
      </c>
      <c r="BJ22" s="1520">
        <f>BJ11-BJ21</f>
        <v>3432.8376154521002</v>
      </c>
      <c r="BK22" s="1520">
        <f t="shared" si="34"/>
        <v>4501.1661839086828</v>
      </c>
      <c r="BL22" s="1520">
        <f t="shared" si="34"/>
        <v>0</v>
      </c>
      <c r="BM22" s="1520">
        <f t="shared" si="34"/>
        <v>-188.10379359831933</v>
      </c>
      <c r="BN22" s="1520">
        <f t="shared" si="34"/>
        <v>-156.06699105243695</v>
      </c>
      <c r="BO22" s="1525"/>
      <c r="BP22" s="1521">
        <f t="shared" ref="BP22:CT22" si="35">BP11-BP21</f>
        <v>1098.6317185989024</v>
      </c>
      <c r="BQ22" s="1520">
        <f t="shared" si="35"/>
        <v>776.89841544823526</v>
      </c>
      <c r="BR22" s="1520">
        <f t="shared" si="35"/>
        <v>769.3541351352942</v>
      </c>
      <c r="BS22" s="1520">
        <f t="shared" si="35"/>
        <v>696.91197450941195</v>
      </c>
      <c r="BT22" s="1520">
        <f t="shared" si="35"/>
        <v>583.29165990823549</v>
      </c>
      <c r="BU22" s="1520">
        <f t="shared" si="35"/>
        <v>651.24745823176454</v>
      </c>
      <c r="BV22" s="1520">
        <f t="shared" si="35"/>
        <v>425.0366205341179</v>
      </c>
      <c r="BW22" s="1520">
        <f t="shared" si="35"/>
        <v>265.86977959529418</v>
      </c>
      <c r="BX22" s="1520">
        <f t="shared" si="35"/>
        <v>782.5524617529411</v>
      </c>
      <c r="BY22" s="1520">
        <f t="shared" si="35"/>
        <v>308.06362237882377</v>
      </c>
      <c r="BZ22" s="1520">
        <f t="shared" si="35"/>
        <v>854.9045420658822</v>
      </c>
      <c r="CA22" s="1520">
        <f t="shared" si="35"/>
        <v>501.35354206588192</v>
      </c>
      <c r="CB22" s="1520">
        <f t="shared" si="35"/>
        <v>787.28521997529424</v>
      </c>
      <c r="CC22" s="1520">
        <f t="shared" si="35"/>
        <v>1159.2341768282358</v>
      </c>
      <c r="CD22" s="1520"/>
      <c r="CE22" s="1520">
        <f t="shared" si="35"/>
        <v>1251.9619009588232</v>
      </c>
      <c r="CF22" s="1520">
        <f t="shared" si="35"/>
        <v>333.52846510588233</v>
      </c>
      <c r="CG22" s="1520">
        <f t="shared" si="35"/>
        <v>383.5091517839212</v>
      </c>
      <c r="CH22" s="1520">
        <f t="shared" si="35"/>
        <v>715.6804154098827</v>
      </c>
      <c r="CI22" s="1520"/>
      <c r="CJ22" s="1520">
        <f t="shared" si="35"/>
        <v>632.38159178541196</v>
      </c>
      <c r="CK22" s="1520">
        <f t="shared" si="35"/>
        <v>631.29159178541192</v>
      </c>
      <c r="CL22" s="1520">
        <f t="shared" si="35"/>
        <v>260.61898328470602</v>
      </c>
      <c r="CM22" s="1520">
        <f t="shared" si="35"/>
        <v>537.21887991977587</v>
      </c>
      <c r="CN22" s="1520">
        <f t="shared" si="35"/>
        <v>12595.822894211375</v>
      </c>
      <c r="CO22" s="1520">
        <f t="shared" si="35"/>
        <v>13606.283291133503</v>
      </c>
      <c r="CP22" s="1520">
        <f t="shared" si="35"/>
        <v>4306.3498616997185</v>
      </c>
      <c r="CQ22" s="1520">
        <f t="shared" si="35"/>
        <v>5564.3258791650651</v>
      </c>
      <c r="CR22" s="1520">
        <f>CR11-CR21</f>
        <v>0</v>
      </c>
      <c r="CS22" s="1520">
        <f t="shared" si="35"/>
        <v>-188.10379359831933</v>
      </c>
      <c r="CT22" s="1520">
        <f t="shared" si="35"/>
        <v>-156.06699105243695</v>
      </c>
      <c r="CV22" s="1483" t="s">
        <v>1135</v>
      </c>
      <c r="CW22" s="1522"/>
      <c r="CX22" s="1520">
        <f>CX11-CX21</f>
        <v>59.373272996302546</v>
      </c>
      <c r="CY22" s="1520">
        <f>CY11-CY21</f>
        <v>184.26838121394962</v>
      </c>
      <c r="CZ22" s="1520">
        <f>CZ11-CZ21</f>
        <v>94.373272996302546</v>
      </c>
      <c r="DA22" s="1520">
        <f>DA11-DA21</f>
        <v>131.68088121394965</v>
      </c>
      <c r="DB22" s="1520">
        <f t="shared" ref="DB22:DJ22" si="36">DB11-DB21</f>
        <v>466.02538854151294</v>
      </c>
      <c r="DC22" s="1520">
        <f t="shared" si="36"/>
        <v>776.05538854151268</v>
      </c>
      <c r="DD22" s="1520">
        <f t="shared" si="36"/>
        <v>403.54343951288251</v>
      </c>
      <c r="DE22" s="1520">
        <f t="shared" si="36"/>
        <v>654.13580951288259</v>
      </c>
      <c r="DF22" s="1520">
        <f t="shared" si="36"/>
        <v>499.16884721808435</v>
      </c>
      <c r="DG22" s="1520">
        <f t="shared" si="36"/>
        <v>599.96135107726047</v>
      </c>
      <c r="DH22" s="1520">
        <f>DH11-DH21</f>
        <v>462.10932540749593</v>
      </c>
      <c r="DI22" s="1520">
        <f t="shared" si="36"/>
        <v>703.77547550282338</v>
      </c>
      <c r="DJ22" s="1520">
        <f t="shared" si="36"/>
        <v>861.23073407602578</v>
      </c>
      <c r="DK22" s="1520">
        <f>DK11-DK21</f>
        <v>783.2553507782352</v>
      </c>
      <c r="DL22" s="1520">
        <f t="shared" ref="DL22:DS22" si="37">DL11-DL21</f>
        <v>570.78068822482373</v>
      </c>
      <c r="DM22" s="1520">
        <f t="shared" si="37"/>
        <v>1329.1640656596351</v>
      </c>
      <c r="DN22" s="1520">
        <f t="shared" si="37"/>
        <v>389.56392687852122</v>
      </c>
      <c r="DO22" s="1520">
        <f t="shared" si="37"/>
        <v>142.34195263011759</v>
      </c>
      <c r="DP22" s="1520">
        <f t="shared" si="37"/>
        <v>5678.1279265806706</v>
      </c>
      <c r="DQ22" s="1520"/>
      <c r="DR22" s="1520">
        <f t="shared" si="37"/>
        <v>-322.45552021008405</v>
      </c>
      <c r="DS22" s="1520">
        <f t="shared" si="37"/>
        <v>-224.39039605243698</v>
      </c>
      <c r="DT22" s="1434"/>
      <c r="DU22" s="1520">
        <f>DU11-DU21</f>
        <v>234.17327299630261</v>
      </c>
      <c r="DV22" s="1520">
        <f>DV11-DV21</f>
        <v>304.44338121394964</v>
      </c>
      <c r="DW22" s="1520">
        <f>DW11-DW21</f>
        <v>269.17327299630261</v>
      </c>
      <c r="DX22" s="1520">
        <f>DX11-DX21</f>
        <v>251.8558812139496</v>
      </c>
      <c r="DY22" s="1521">
        <f t="shared" ref="DY22:EG22" si="38">DY11-DY21</f>
        <v>793.62958595119335</v>
      </c>
      <c r="DZ22" s="1520">
        <f t="shared" si="38"/>
        <v>1218.4729450123696</v>
      </c>
      <c r="EA22" s="1520">
        <f t="shared" si="38"/>
        <v>747.78698724635296</v>
      </c>
      <c r="EB22" s="1520">
        <f t="shared" si="38"/>
        <v>1081.9101472463531</v>
      </c>
      <c r="EC22" s="1520">
        <f t="shared" si="38"/>
        <v>829.62086418662216</v>
      </c>
      <c r="ED22" s="1520">
        <f t="shared" si="38"/>
        <v>962.67753599885714</v>
      </c>
      <c r="EE22" s="1520">
        <f>EE11-EE21</f>
        <v>698.33286418662215</v>
      </c>
      <c r="EF22" s="1520">
        <f t="shared" si="38"/>
        <v>1106.4630352329414</v>
      </c>
      <c r="EG22" s="1520">
        <f t="shared" si="38"/>
        <v>1362.4779474138493</v>
      </c>
      <c r="EH22" s="1520">
        <f t="shared" ref="EH22:EM22" si="39">EH11-EH21</f>
        <v>1167.8382455762353</v>
      </c>
      <c r="EI22" s="1520">
        <f t="shared" si="39"/>
        <v>953.98466892894123</v>
      </c>
      <c r="EJ22" s="1520">
        <f t="shared" si="39"/>
        <v>1678.7895067835293</v>
      </c>
      <c r="EK22" s="1520">
        <f t="shared" si="39"/>
        <v>808.67336781734502</v>
      </c>
      <c r="EL22" s="1520">
        <f t="shared" si="39"/>
        <v>721.4402294750588</v>
      </c>
      <c r="EM22" s="1520">
        <f t="shared" si="39"/>
        <v>7885.7463269453765</v>
      </c>
      <c r="EN22" s="1520"/>
      <c r="EO22" s="1520">
        <f>EO11-EO21</f>
        <v>-322.45552021008405</v>
      </c>
      <c r="EP22" s="1520">
        <f>EP11-EP21</f>
        <v>-224.39039605243698</v>
      </c>
      <c r="EQ22" s="1434"/>
      <c r="ER22" s="1520">
        <f>ER11-ER21</f>
        <v>408.97327299630257</v>
      </c>
      <c r="ES22" s="1520">
        <f>ES11-ES21</f>
        <v>424.61838121394959</v>
      </c>
      <c r="ET22" s="1520">
        <f>ET11-ET21</f>
        <v>443.97327299630257</v>
      </c>
      <c r="EU22" s="1520">
        <f>EU11-EU21</f>
        <v>372.03088121394961</v>
      </c>
      <c r="EV22" s="1521">
        <f t="shared" ref="EV22:FD22" si="40">EV11-EV21</f>
        <v>1743.6817584392675</v>
      </c>
      <c r="EW22" s="1520">
        <f t="shared" si="40"/>
        <v>2103.3080579540842</v>
      </c>
      <c r="EX22" s="1520">
        <f t="shared" si="40"/>
        <v>1141.2081846560338</v>
      </c>
      <c r="EY22" s="1520">
        <f t="shared" si="40"/>
        <v>1509.6844849798235</v>
      </c>
      <c r="EZ22" s="1520">
        <f t="shared" si="40"/>
        <v>1174.9737073344538</v>
      </c>
      <c r="FA22" s="1520">
        <f t="shared" si="40"/>
        <v>1325.3937209204539</v>
      </c>
      <c r="FB22" s="1520">
        <f>FB11-FB21</f>
        <v>1039.6128811551596</v>
      </c>
      <c r="FC22" s="1520">
        <f t="shared" si="40"/>
        <v>1469.7755949630587</v>
      </c>
      <c r="FD22" s="1520">
        <f t="shared" si="40"/>
        <v>1803.7251607516728</v>
      </c>
      <c r="FE22" s="1520">
        <f t="shared" ref="FE22:FJ22" si="41">FE11-FE21</f>
        <v>1705.7211403742351</v>
      </c>
      <c r="FF22" s="1520">
        <f t="shared" si="41"/>
        <v>1319.5200917154118</v>
      </c>
      <c r="FG22" s="1520">
        <f t="shared" si="41"/>
        <v>1967.1584697180115</v>
      </c>
      <c r="FH22" s="1520">
        <f t="shared" si="41"/>
        <v>1193.1475114418151</v>
      </c>
      <c r="FI22" s="1520">
        <f t="shared" si="41"/>
        <v>1153.6277781322356</v>
      </c>
      <c r="FJ22" s="1520">
        <f t="shared" si="41"/>
        <v>10093.364727310083</v>
      </c>
      <c r="FK22" s="1520"/>
      <c r="FL22" s="1520">
        <f>FL11-FL21</f>
        <v>-322.45552021008405</v>
      </c>
      <c r="FM22" s="1520">
        <f>FM11-FM21</f>
        <v>-224.39039605243698</v>
      </c>
    </row>
    <row r="23" spans="1:169" ht="16.149999999999999" customHeight="1">
      <c r="A23" s="1440">
        <f>ROWS($A$1:A23)</f>
        <v>23</v>
      </c>
      <c r="B23" s="1519" t="s">
        <v>1134</v>
      </c>
      <c r="D23" s="3613">
        <f>'WW1'!R19</f>
        <v>455.4</v>
      </c>
      <c r="E23" s="1516">
        <f>'WW2'!R19</f>
        <v>321.39999999999998</v>
      </c>
      <c r="F23" s="1516">
        <f>'WW3'!R19</f>
        <v>455.4</v>
      </c>
      <c r="G23" s="1516">
        <f>'WW4'!R19</f>
        <v>455.4</v>
      </c>
      <c r="H23" s="1516">
        <f>WRo!R19</f>
        <v>455.4</v>
      </c>
      <c r="I23" s="1516">
        <f>Tr!R19</f>
        <v>455.4</v>
      </c>
      <c r="J23" s="1516">
        <f>WG!R19</f>
        <v>455.4</v>
      </c>
      <c r="K23" s="1516">
        <f>Di!R19</f>
        <v>355.4</v>
      </c>
      <c r="L23" s="1516">
        <f>SW!R19</f>
        <v>455.4</v>
      </c>
      <c r="M23" s="1516">
        <f>'SG-Fu'!R19</f>
        <v>455.4</v>
      </c>
      <c r="N23" s="1516">
        <f>BG!R19</f>
        <v>455.4</v>
      </c>
      <c r="O23" s="1516">
        <f>Ha!R19</f>
        <v>455.4</v>
      </c>
      <c r="P23" s="1516">
        <f>Du!R19</f>
        <v>455.4</v>
      </c>
      <c r="Q23" s="1516">
        <f>KöM!R19</f>
        <v>355.4</v>
      </c>
      <c r="R23" s="1516"/>
      <c r="S23" s="1516">
        <f>WR!R19</f>
        <v>455.4</v>
      </c>
      <c r="T23" s="1516">
        <f>SR!R19</f>
        <v>455.4</v>
      </c>
      <c r="U23" s="1516">
        <f>SoBl!R19</f>
        <v>455.4</v>
      </c>
      <c r="V23" s="1516">
        <f>Soja!R19</f>
        <v>455.4</v>
      </c>
      <c r="W23" s="1516"/>
      <c r="X23" s="1516">
        <f>FE!R19</f>
        <v>555.4</v>
      </c>
      <c r="Y23" s="1516">
        <f>AB!R19</f>
        <v>455.4</v>
      </c>
      <c r="Z23" s="1516">
        <f>Lu!R19</f>
        <v>455.4</v>
      </c>
      <c r="AA23" s="1516">
        <f>ZR!R19</f>
        <v>455.4</v>
      </c>
      <c r="AB23" s="1516">
        <f>FrühKa!R19</f>
        <v>455.4</v>
      </c>
      <c r="AC23" s="1516">
        <f>FrühKaFolieBer!R19</f>
        <v>455.4</v>
      </c>
      <c r="AD23" s="1516">
        <f>SpKa!R19</f>
        <v>455.4</v>
      </c>
      <c r="AE23" s="1516">
        <f>SpKaBer!R19</f>
        <v>455.4</v>
      </c>
      <c r="AF23" s="1516">
        <f>'Kultur A'!S19</f>
        <v>0</v>
      </c>
      <c r="AG23" s="1516">
        <f>'FAKT-Brachebegrünung'!R19</f>
        <v>1085.4000000000001</v>
      </c>
      <c r="AH23" s="1516">
        <f>Begr!R19</f>
        <v>455.4</v>
      </c>
      <c r="AI23" s="1518"/>
      <c r="AJ23" s="1517">
        <f>'WW1'!S19</f>
        <v>455.4</v>
      </c>
      <c r="AK23" s="1516">
        <f>'WW2'!S19</f>
        <v>321.39999999999998</v>
      </c>
      <c r="AL23" s="1516">
        <f>'WW3'!S19</f>
        <v>455.4</v>
      </c>
      <c r="AM23" s="1516">
        <f>'WW4'!S19</f>
        <v>455.4</v>
      </c>
      <c r="AN23" s="1516">
        <f>WRo!S19</f>
        <v>455.4</v>
      </c>
      <c r="AO23" s="1516">
        <f>Tr!S19</f>
        <v>455.4</v>
      </c>
      <c r="AP23" s="1516">
        <f>WG!S19</f>
        <v>455.4</v>
      </c>
      <c r="AQ23" s="1516">
        <f>Di!S19</f>
        <v>355.4</v>
      </c>
      <c r="AR23" s="1516">
        <f>SW!S19</f>
        <v>455.4</v>
      </c>
      <c r="AS23" s="1516">
        <f>'SG-Fu'!S19</f>
        <v>455.4</v>
      </c>
      <c r="AT23" s="1516">
        <f>BG!S19</f>
        <v>455.4</v>
      </c>
      <c r="AU23" s="1516">
        <f>Ha!S19</f>
        <v>455.4</v>
      </c>
      <c r="AV23" s="1516">
        <f>Du!S19</f>
        <v>455.4</v>
      </c>
      <c r="AW23" s="1516">
        <f>KöM!S19</f>
        <v>355.4</v>
      </c>
      <c r="AX23" s="1516"/>
      <c r="AY23" s="1516">
        <f>WR!S19</f>
        <v>455.4</v>
      </c>
      <c r="AZ23" s="1516">
        <f>SR!S19</f>
        <v>455.4</v>
      </c>
      <c r="BA23" s="1516">
        <f>SoBl!S19</f>
        <v>455.4</v>
      </c>
      <c r="BB23" s="1516">
        <f>Soja!S19</f>
        <v>455.4</v>
      </c>
      <c r="BC23" s="1516"/>
      <c r="BD23" s="1516">
        <f>FE!S19</f>
        <v>555.4</v>
      </c>
      <c r="BE23" s="1516">
        <f>AB!S19</f>
        <v>455.4</v>
      </c>
      <c r="BF23" s="1516">
        <f>Lu!S19</f>
        <v>455.4</v>
      </c>
      <c r="BG23" s="1516">
        <f>ZR!S19</f>
        <v>355.4</v>
      </c>
      <c r="BH23" s="1516">
        <f>FrühKa!S19</f>
        <v>455.4</v>
      </c>
      <c r="BI23" s="1516">
        <f>FrühKaFolieBer!S19</f>
        <v>455.4</v>
      </c>
      <c r="BJ23" s="1516">
        <f>SpKa!S19</f>
        <v>455.4</v>
      </c>
      <c r="BK23" s="1516">
        <f>SpKaBer!S19</f>
        <v>455.4</v>
      </c>
      <c r="BL23" s="1516">
        <v>0</v>
      </c>
      <c r="BM23" s="1516">
        <f>'FAKT-Brachebegrünung'!S19</f>
        <v>1085.4000000000001</v>
      </c>
      <c r="BN23" s="1516">
        <f>Begr!S19</f>
        <v>455.4</v>
      </c>
      <c r="BO23" s="1518"/>
      <c r="BP23" s="1517">
        <f>'WW1'!T19</f>
        <v>455.4</v>
      </c>
      <c r="BQ23" s="1516">
        <f>'WW2'!T19</f>
        <v>321.39999999999998</v>
      </c>
      <c r="BR23" s="1516">
        <f>'WW3'!T19</f>
        <v>455.4</v>
      </c>
      <c r="BS23" s="1516">
        <f>'WW4'!T19</f>
        <v>455.4</v>
      </c>
      <c r="BT23" s="1516">
        <f>WRo!T19</f>
        <v>455.4</v>
      </c>
      <c r="BU23" s="1516">
        <f>Tr!T19</f>
        <v>455.4</v>
      </c>
      <c r="BV23" s="1516">
        <f>WG!T19</f>
        <v>455.4</v>
      </c>
      <c r="BW23" s="1516">
        <f>Di!T19</f>
        <v>355.4</v>
      </c>
      <c r="BX23" s="1516">
        <f>SW!T19</f>
        <v>455.4</v>
      </c>
      <c r="BY23" s="1516">
        <f>'SG-Fu'!T19</f>
        <v>455.4</v>
      </c>
      <c r="BZ23" s="1516">
        <f>BG!T19</f>
        <v>455.4</v>
      </c>
      <c r="CA23" s="1516">
        <f>Ha!T19</f>
        <v>455.4</v>
      </c>
      <c r="CB23" s="1516">
        <f>Du!T19</f>
        <v>455.4</v>
      </c>
      <c r="CC23" s="1516">
        <f>KöM!T19</f>
        <v>355.4</v>
      </c>
      <c r="CD23" s="1516"/>
      <c r="CE23" s="1516">
        <f>WR!T19</f>
        <v>455.4</v>
      </c>
      <c r="CF23" s="1516">
        <f>SR!T19</f>
        <v>455.4</v>
      </c>
      <c r="CG23" s="1516">
        <f>SoBl!T19</f>
        <v>455.4</v>
      </c>
      <c r="CH23" s="1516">
        <f>Soja!T19</f>
        <v>455.4</v>
      </c>
      <c r="CI23" s="1516"/>
      <c r="CJ23" s="1516">
        <f>FE!T19</f>
        <v>555.4</v>
      </c>
      <c r="CK23" s="1516">
        <f>AB!T19</f>
        <v>455.4</v>
      </c>
      <c r="CL23" s="1516">
        <f>Lu!T19</f>
        <v>455.4</v>
      </c>
      <c r="CM23" s="1516">
        <f>ZR!T19</f>
        <v>455.4</v>
      </c>
      <c r="CN23" s="1516">
        <f>FrühKa!T19</f>
        <v>455.4</v>
      </c>
      <c r="CO23" s="1516">
        <f>FrühKaFolieBer!T19</f>
        <v>455.4</v>
      </c>
      <c r="CP23" s="1516">
        <f>SpKa!T19</f>
        <v>455.4</v>
      </c>
      <c r="CQ23" s="1516">
        <f>SpKaBer!T19</f>
        <v>455.4</v>
      </c>
      <c r="CR23" s="1516">
        <f>'Kultur A'!U19</f>
        <v>0</v>
      </c>
      <c r="CS23" s="1516">
        <f>'FAKT-Brachebegrünung'!T19</f>
        <v>1085.4000000000001</v>
      </c>
      <c r="CT23" s="1516">
        <f>Begr!T19</f>
        <v>455.4</v>
      </c>
      <c r="CV23" s="1519" t="s">
        <v>1134</v>
      </c>
      <c r="CW23" s="1434"/>
      <c r="CX23" s="3613">
        <f>'Öko-KG1'!$R$19</f>
        <v>455.4</v>
      </c>
      <c r="CY23" s="1516">
        <f>'Öko-KG2'!$R$19</f>
        <v>695.4</v>
      </c>
      <c r="CZ23" s="1516">
        <f>'Öko-LU1'!$R$19</f>
        <v>695.4</v>
      </c>
      <c r="DA23" s="1516">
        <f>'Öko-LU2'!$R$19</f>
        <v>695.4</v>
      </c>
      <c r="DB23" s="1516">
        <f>'Öko-WW-Futter'!$R$19</f>
        <v>595.4</v>
      </c>
      <c r="DC23" s="1516">
        <f>'Öko-WW-Brot'!$R$19</f>
        <v>695.4</v>
      </c>
      <c r="DD23" s="1516">
        <f>'Öko-Dinkel'!$R$19</f>
        <v>595.4</v>
      </c>
      <c r="DE23" s="1516">
        <f>'Öko-Dinkel,gegerbt'!$R$19</f>
        <v>595.4</v>
      </c>
      <c r="DF23" s="1516">
        <f>'Öko-Roggen'!$R$19</f>
        <v>595.4</v>
      </c>
      <c r="DG23" s="1516">
        <f>'Öko-Hafer'!$R$19</f>
        <v>595.4</v>
      </c>
      <c r="DH23" s="1516">
        <f>'Öko-Wintergerste'!$R$19</f>
        <v>595.4</v>
      </c>
      <c r="DI23" s="1516">
        <f>'Öko-Braugerste'!$R$19</f>
        <v>595.4</v>
      </c>
      <c r="DJ23" s="1516">
        <f>'Öko-Körnermais'!$R$19</f>
        <v>595.4</v>
      </c>
      <c r="DK23" s="1516">
        <f>'Öko-Ackerbohnen'!$R$19</f>
        <v>595.4</v>
      </c>
      <c r="DL23" s="1516">
        <f>'Öko-Erbsen'!R19</f>
        <v>595.4</v>
      </c>
      <c r="DM23" s="1516">
        <f>'Öko-Sojabohnen'!R19</f>
        <v>595.4</v>
      </c>
      <c r="DN23" s="1516">
        <f>'Öko-Soblu'!$R$19</f>
        <v>595.4</v>
      </c>
      <c r="DO23" s="1516">
        <f>'Öko-Raps'!$R$19</f>
        <v>595.4</v>
      </c>
      <c r="DP23" s="1516">
        <f>'Öko-Kartoffel'!R19</f>
        <v>595.4</v>
      </c>
      <c r="DQ23" s="1516"/>
      <c r="DR23" s="1516">
        <f>Begrün.!R19</f>
        <v>0</v>
      </c>
      <c r="DS23" s="1516">
        <f>Blühm.!$R$19</f>
        <v>100</v>
      </c>
      <c r="DT23" s="1434"/>
      <c r="DU23" s="1516">
        <f>'Öko-KG1'!$S$19</f>
        <v>455.4</v>
      </c>
      <c r="DV23" s="1516">
        <f>'Öko-KG2'!$S$19</f>
        <v>695.4</v>
      </c>
      <c r="DW23" s="1516">
        <f>'Öko-LU1'!$S$19</f>
        <v>695.4</v>
      </c>
      <c r="DX23" s="1516">
        <f>'Öko-LU2'!$S$19</f>
        <v>695.4</v>
      </c>
      <c r="DY23" s="1517">
        <f>'Öko-WW-Futter'!S19</f>
        <v>595.4</v>
      </c>
      <c r="DZ23" s="1516">
        <f>'Öko-WW-Brot'!S19</f>
        <v>695.4</v>
      </c>
      <c r="EA23" s="1516">
        <f>'Öko-Dinkel'!S19</f>
        <v>595.4</v>
      </c>
      <c r="EB23" s="1516">
        <f>'Öko-Dinkel,gegerbt'!$S$19</f>
        <v>595.4</v>
      </c>
      <c r="EC23" s="1516">
        <f>'Öko-Roggen'!S19</f>
        <v>595.4</v>
      </c>
      <c r="ED23" s="1516">
        <f>'Öko-Hafer'!S19</f>
        <v>595.4</v>
      </c>
      <c r="EE23" s="1516">
        <f>'Öko-Wintergerste'!S19</f>
        <v>595.4</v>
      </c>
      <c r="EF23" s="1516">
        <f>'Öko-Braugerste'!S19</f>
        <v>595.4</v>
      </c>
      <c r="EG23" s="1516">
        <f>'Öko-Körnermais'!S19</f>
        <v>595.4</v>
      </c>
      <c r="EH23" s="1516">
        <f>'Öko-Ackerbohnen'!S19</f>
        <v>595.4</v>
      </c>
      <c r="EI23" s="1516">
        <f>'Öko-Erbsen'!S19</f>
        <v>595.4</v>
      </c>
      <c r="EJ23" s="1516">
        <f>'Öko-Sojabohnen'!S19</f>
        <v>595.4</v>
      </c>
      <c r="EK23" s="1516">
        <f>'Öko-Soblu'!$S$19</f>
        <v>595.4</v>
      </c>
      <c r="EL23" s="1516">
        <f>'Öko-Raps'!$S$19</f>
        <v>595.4</v>
      </c>
      <c r="EM23" s="1516">
        <f>'Öko-Kartoffel'!S19</f>
        <v>595.4</v>
      </c>
      <c r="EN23" s="1516"/>
      <c r="EO23" s="1516">
        <f>Begrün.!S19</f>
        <v>0</v>
      </c>
      <c r="EP23" s="1516">
        <f>Blühm.!$S$19</f>
        <v>100</v>
      </c>
      <c r="EQ23" s="1434"/>
      <c r="ER23" s="1516">
        <f>'Öko-KG1'!$T$19</f>
        <v>455.4</v>
      </c>
      <c r="ES23" s="1516">
        <f>'Öko-KG2'!$T$19</f>
        <v>695.4</v>
      </c>
      <c r="ET23" s="1516">
        <f>'Öko-LU1'!$T$19</f>
        <v>695.4</v>
      </c>
      <c r="EU23" s="1516">
        <f>'Öko-LU2'!$T$19</f>
        <v>695.4</v>
      </c>
      <c r="EV23" s="1517">
        <f>'Öko-WW-Futter'!T19</f>
        <v>595.4</v>
      </c>
      <c r="EW23" s="1516">
        <f>'Öko-WW-Brot'!T19</f>
        <v>695.4</v>
      </c>
      <c r="EX23" s="1516">
        <f>'Öko-Dinkel'!T19</f>
        <v>595.4</v>
      </c>
      <c r="EY23" s="1516">
        <f>'Öko-Dinkel,gegerbt'!$T$19</f>
        <v>595.4</v>
      </c>
      <c r="EZ23" s="1516">
        <f>'Öko-Roggen'!T19</f>
        <v>595.4</v>
      </c>
      <c r="FA23" s="1516">
        <f>'Öko-Hafer'!T19</f>
        <v>595.4</v>
      </c>
      <c r="FB23" s="1516">
        <f>'Öko-Wintergerste'!T19</f>
        <v>595.4</v>
      </c>
      <c r="FC23" s="1516">
        <f>'Öko-Braugerste'!T19</f>
        <v>595.4</v>
      </c>
      <c r="FD23" s="1516">
        <f>'Öko-Körnermais'!T19</f>
        <v>595.4</v>
      </c>
      <c r="FE23" s="1516">
        <f>'Öko-Ackerbohnen'!T19</f>
        <v>595.4</v>
      </c>
      <c r="FF23" s="1516">
        <f>'Öko-Erbsen'!T19</f>
        <v>595.4</v>
      </c>
      <c r="FG23" s="1516">
        <f>'Öko-Sojabohnen'!T19</f>
        <v>595.4</v>
      </c>
      <c r="FH23" s="1516">
        <f>'Öko-Soblu'!$T$19</f>
        <v>595.4</v>
      </c>
      <c r="FI23" s="1516">
        <f>'Öko-Raps'!$T$19</f>
        <v>595.4</v>
      </c>
      <c r="FJ23" s="1516">
        <f>'Öko-Kartoffel'!T19</f>
        <v>595.4</v>
      </c>
      <c r="FK23" s="1516"/>
      <c r="FL23" s="1516">
        <f>Begrün.!T19</f>
        <v>0</v>
      </c>
      <c r="FM23" s="1516">
        <f>Blühm.!$T$19</f>
        <v>100</v>
      </c>
    </row>
    <row r="24" spans="1:169" ht="16.149999999999999" customHeight="1">
      <c r="A24" s="1440">
        <f>ROWS($A$1:A24)</f>
        <v>24</v>
      </c>
      <c r="B24" s="1486" t="s">
        <v>1133</v>
      </c>
      <c r="C24" s="1456"/>
      <c r="D24" s="3617">
        <f>D21*'SDK1'!$O$59%*'WW1'!$G$75/12</f>
        <v>14.313103201694249</v>
      </c>
      <c r="E24" s="1445">
        <f>E21*'SDK1'!$O$59%*'WW2'!$G$75/12</f>
        <v>12.788242782370588</v>
      </c>
      <c r="F24" s="1445">
        <f>F21*'SDK1'!$O$59%*'WW3'!$G$75/12</f>
        <v>13.028066052688239</v>
      </c>
      <c r="G24" s="1445">
        <f>G21*'SDK1'!$O$59%*'WW4'!$G$75/12</f>
        <v>13.611708630466014</v>
      </c>
      <c r="H24" s="1445">
        <f>H21*'SDK1'!$O$59%*WRo!$G$75/12</f>
        <v>10.44624799431111</v>
      </c>
      <c r="I24" s="1445">
        <f>I21*'SDK1'!$O$59%*Tr!$G$75/12</f>
        <v>11.660952549866664</v>
      </c>
      <c r="J24" s="1445">
        <f>J21*'SDK1'!$O$59%*WG!$G$75/12</f>
        <v>12.252405386021572</v>
      </c>
      <c r="K24" s="1445">
        <f>K21*'SDK1'!$O$59%*Di!$G$75/12</f>
        <v>12.279232656339216</v>
      </c>
      <c r="L24" s="1445">
        <f>L21*'SDK1'!$O$59%*SW!$G$75/12</f>
        <v>7.3419094853921578</v>
      </c>
      <c r="M24" s="1445">
        <f>M21*'SDK1'!$O$59%*'SG-Fu'!$G$75/12</f>
        <v>7.9752524906078426</v>
      </c>
      <c r="N24" s="1445">
        <f>N21*'SDK1'!$O$59%*BG!$G$75/12</f>
        <v>7.6405448265490206</v>
      </c>
      <c r="O24" s="1445">
        <f>O21*'SDK1'!$O$59%*Ha!$G$75/12</f>
        <v>6.23548518167647</v>
      </c>
      <c r="P24" s="1445">
        <f>P21*'SDK1'!$O$59%*Du!$G$75/12</f>
        <v>8.72629917730392</v>
      </c>
      <c r="Q24" s="1445">
        <f>Q21*'SDK1'!$O$59%*KöM!$G$75/12</f>
        <v>11.82916499173856</v>
      </c>
      <c r="R24" s="1445"/>
      <c r="S24" s="1445">
        <f>S21*'SDK1'!$O$59%*WR!$G$75/12</f>
        <v>12.482239733929411</v>
      </c>
      <c r="T24" s="1445">
        <f>T21*'SDK1'!$O$59%*SR!$G$75/12</f>
        <v>8.8412151966150319</v>
      </c>
      <c r="U24" s="1445">
        <f>U21*'SDK1'!$O$59%*SoBl!$G$75/12</f>
        <v>8.5128895181274498</v>
      </c>
      <c r="V24" s="1445">
        <f>V21*'SDK1'!$O$59%*Soja!$G$75/12</f>
        <v>7.8983246396575169</v>
      </c>
      <c r="W24" s="1445"/>
      <c r="X24" s="1445">
        <f>X21*'SDK1'!$O$59%*FE!$G$75/12</f>
        <v>5.6523254524915032</v>
      </c>
      <c r="Y24" s="1445">
        <f>Y21*'SDK1'!$O$59%*AB!$G$75/12</f>
        <v>5.619503144509804</v>
      </c>
      <c r="Z24" s="1445">
        <f>Z21*'SDK1'!$O$59%*Lu!$G$75/12</f>
        <v>5.6544735993856206</v>
      </c>
      <c r="AA24" s="1445">
        <f>AA21*'SDK1'!$O$59%*ZR!$G$75/12</f>
        <v>14.512814689129319</v>
      </c>
      <c r="AB24" s="1445">
        <f>AB21*'SDK1'!$O$59%*FrühKa!$G$75/12</f>
        <v>59.027296652365543</v>
      </c>
      <c r="AC24" s="1445">
        <f>AC21*'SDK1'!$O$59%*FrühKaFolieBer!$G$75/12</f>
        <v>74.329015566903365</v>
      </c>
      <c r="AD24" s="1445">
        <f>AD21*'SDK1'!$O$59%*SpKa!$G$75/12</f>
        <v>56.909356645518208</v>
      </c>
      <c r="AE24" s="1445">
        <f>AE21*'SDK1'!$O$59%*SpKaBer!$G$75/12</f>
        <v>61.600221746716521</v>
      </c>
      <c r="AF24" s="1445">
        <f>AF21*'SDK1'!$O$59%*'Kultur A'!$G$75/12</f>
        <v>0</v>
      </c>
      <c r="AG24" s="1445">
        <f>AG21*'SDK1'!$O$59%*'FAKT-Brachebegrünung'!$G$75/12</f>
        <v>1.5675316133193278</v>
      </c>
      <c r="AH24" s="1445">
        <f>AH21*'SDK1'!$O$59%*Begr!$G$75/12</f>
        <v>1.300558258770308</v>
      </c>
      <c r="AI24" s="1442"/>
      <c r="AJ24" s="1443">
        <f>AJ21*'SDK1'!$O$59%*'WW1'!$G$75/12</f>
        <v>17.861256435387187</v>
      </c>
      <c r="AK24" s="1445">
        <f>AK21*'SDK1'!$O$59%*'WW2'!$G$75/12</f>
        <v>14.331197301070587</v>
      </c>
      <c r="AL24" s="1445">
        <f>AL21*'SDK1'!$O$59%*'WW3'!$G$75/12</f>
        <v>14.354533904721569</v>
      </c>
      <c r="AM24" s="1445">
        <f>AM21*'SDK1'!$O$59%*'WW4'!$G$75/12</f>
        <v>14.524451130594771</v>
      </c>
      <c r="AN24" s="1445">
        <f>AN21*'SDK1'!$O$59%*WRo!$G$75/12</f>
        <v>11.148512564786929</v>
      </c>
      <c r="AO24" s="1445">
        <f>AO21*'SDK1'!$O$59%*Tr!$G$75/12</f>
        <v>12.781904072247061</v>
      </c>
      <c r="AP24" s="1445">
        <f>AP21*'SDK1'!$O$59%*WG!$G$75/12</f>
        <v>13.371583575068628</v>
      </c>
      <c r="AQ24" s="1445">
        <f>AQ21*'SDK1'!$O$59%*Di!$G$75/12</f>
        <v>13.308889778690199</v>
      </c>
      <c r="AR24" s="1445">
        <f>AR21*'SDK1'!$O$59%*SW!$G$75/12</f>
        <v>8.731777818725492</v>
      </c>
      <c r="AS24" s="1445">
        <f>AS21*'SDK1'!$O$59%*'SG-Fu'!$G$75/12</f>
        <v>8.5081944853921581</v>
      </c>
      <c r="AT24" s="1445">
        <f>AT21*'SDK1'!$O$59%*BG!$G$75/12</f>
        <v>8.136920154666667</v>
      </c>
      <c r="AU24" s="1445">
        <f>AU21*'SDK1'!$O$59%*Ha!$G$75/12</f>
        <v>6.8761695991111109</v>
      </c>
      <c r="AV24" s="1445">
        <f>AV21*'SDK1'!$O$59%*Du!$G$75/12</f>
        <v>9.6360421694803922</v>
      </c>
      <c r="AW24" s="1445">
        <f>AW21*'SDK1'!$O$59%*KöM!$G$75/12</f>
        <v>13.401106759084968</v>
      </c>
      <c r="AX24" s="1445"/>
      <c r="AY24" s="1445">
        <f>AY21*'SDK1'!$O$59%*WR!$G$75/12</f>
        <v>14.312474473893465</v>
      </c>
      <c r="AZ24" s="1445">
        <f>AZ21*'SDK1'!$O$59%*SR!$G$75/12</f>
        <v>9.6654446494692809</v>
      </c>
      <c r="BA24" s="1445">
        <f>BA21*'SDK1'!$O$59%*SoBl!$G$75/12</f>
        <v>9.2452955155196097</v>
      </c>
      <c r="BB24" s="1445">
        <f>BB21*'SDK1'!$O$59%*Soja!$G$75/12</f>
        <v>8.3810494778431366</v>
      </c>
      <c r="BC24" s="1445"/>
      <c r="BD24" s="1445">
        <f>BD21*'SDK1'!$O$59%*FE!$G$75/12</f>
        <v>6.4262837858248369</v>
      </c>
      <c r="BE24" s="1445">
        <f>BE21*'SDK1'!$O$59%*AB!$G$75/12</f>
        <v>6.4878643413803916</v>
      </c>
      <c r="BF24" s="1445">
        <f>BF21*'SDK1'!$O$59%*Lu!$G$75/12</f>
        <v>6.1802132582287577</v>
      </c>
      <c r="BG24" s="1445">
        <f>BG21*'SDK1'!$O$59%*ZR!$G$75/12</f>
        <v>15.230901911351539</v>
      </c>
      <c r="BH24" s="1445">
        <f>BH21*'SDK1'!$O$59%*FrühKa!$G$75/12</f>
        <v>60.058830711413158</v>
      </c>
      <c r="BI24" s="1445">
        <f>BI21*'SDK1'!$O$59%*FrühKaFolieBer!$G$75/12</f>
        <v>75.306304981078441</v>
      </c>
      <c r="BJ24" s="1445">
        <f>BJ21*'SDK1'!$O$59%*SpKa!$G$75/12</f>
        <v>57.59468653789915</v>
      </c>
      <c r="BK24" s="1445">
        <f>BK21*'SDK1'!$O$59%*SpKaBer!$G$75/12</f>
        <v>62.400004022983204</v>
      </c>
      <c r="BL24" s="1445">
        <v>0</v>
      </c>
      <c r="BM24" s="1445">
        <f>BM21*'SDK1'!$O$59%*'FAKT-Brachebegrünung'!$G$75/12</f>
        <v>1.5675316133193278</v>
      </c>
      <c r="BN24" s="1445">
        <f>BN21*'SDK1'!$O$59%*Begr!$G$75/12</f>
        <v>1.300558258770308</v>
      </c>
      <c r="BO24" s="1442"/>
      <c r="BP24" s="1443">
        <f>BP21*'SDK1'!$O$59%*'WW1'!$G$75/12</f>
        <v>19.952352171901698</v>
      </c>
      <c r="BQ24" s="1445">
        <f>BQ21*'SDK1'!$O$59%*'WW2'!$G$75/12</f>
        <v>15.646185153103922</v>
      </c>
      <c r="BR24" s="1445">
        <f>BR21*'SDK1'!$O$59%*'WW3'!$G$75/12</f>
        <v>15.617535090088234</v>
      </c>
      <c r="BS24" s="1445">
        <f>BS21*'SDK1'!$O$59%*'WW4'!$G$75/12</f>
        <v>15.437193630723527</v>
      </c>
      <c r="BT24" s="1445">
        <f>BT21*'SDK1'!$O$59%*WRo!$G$75/12</f>
        <v>11.978263967737256</v>
      </c>
      <c r="BU24" s="1445">
        <f>BU21*'SDK1'!$O$59%*Tr!$G$75/12</f>
        <v>13.962112987296079</v>
      </c>
      <c r="BV24" s="1445">
        <f>BV21*'SDK1'!$O$59%*WG!$G$75/12</f>
        <v>14.775406093768629</v>
      </c>
      <c r="BW24" s="1445">
        <f>BW21*'SDK1'!$O$59%*Di!$G$75/12</f>
        <v>14.048185904721569</v>
      </c>
      <c r="BX24" s="1445">
        <f>BX21*'SDK1'!$O$59%*SW!$G$75/12</f>
        <v>8.166229485392158</v>
      </c>
      <c r="BY24" s="1445">
        <f>BY21*'SDK1'!$O$59%*'SG-Fu'!$G$75/12</f>
        <v>9.0411364801764709</v>
      </c>
      <c r="BZ24" s="1445">
        <f>BZ21*'SDK1'!$O$59%*BG!$G$75/12</f>
        <v>8.6332954827843142</v>
      </c>
      <c r="CA24" s="1445">
        <f>CA21*'SDK1'!$O$59%*Ha!$G$75/12</f>
        <v>7.3776093716732047</v>
      </c>
      <c r="CB24" s="1445">
        <f>CB21*'SDK1'!$O$59%*Du!$G$75/12</f>
        <v>9.939289833539215</v>
      </c>
      <c r="CC24" s="1445">
        <f>CC21*'SDK1'!$O$59%*KöM!$G$75/12</f>
        <v>14.973048526431372</v>
      </c>
      <c r="CD24" s="1445"/>
      <c r="CE24" s="1445">
        <f>CE21*'SDK1'!$O$59%*WR!$G$75/12</f>
        <v>15.824333377702615</v>
      </c>
      <c r="CF24" s="1445">
        <f>CF21*'SDK1'!$O$59%*SR!$G$75/12</f>
        <v>10.262262790784312</v>
      </c>
      <c r="CG24" s="1445">
        <f>CG21*'SDK1'!$O$59%*SoBl!$G$75/12</f>
        <v>9.9777015129117661</v>
      </c>
      <c r="CH24" s="1445">
        <f>CH21*'SDK1'!$O$59%*Soja!$G$75/12</f>
        <v>8.8637743160287599</v>
      </c>
      <c r="CI24" s="1445"/>
      <c r="CJ24" s="1445">
        <f>CJ21*'SDK1'!$O$59%*FE!$G$75/12</f>
        <v>7.2162645128993459</v>
      </c>
      <c r="CK24" s="1445">
        <f>CK21*'SDK1'!$O$59%*AB!$G$75/12</f>
        <v>7.3642367351215663</v>
      </c>
      <c r="CL24" s="1445">
        <f>CL21*'SDK1'!$O$59%*Lu!$G$75/12</f>
        <v>6.7059529170718948</v>
      </c>
      <c r="CM24" s="1445">
        <f>CM21*'SDK1'!$O$59%*ZR!$G$75/12</f>
        <v>16.371787111779646</v>
      </c>
      <c r="CN24" s="1445">
        <f>CN21*'SDK1'!$O$59%*FrühKa!$G$75/12</f>
        <v>61.090364770460781</v>
      </c>
      <c r="CO24" s="1445">
        <f>CO21*'SDK1'!$O$59%*FrühKaFolieBer!$G$75/12</f>
        <v>76.39208368499861</v>
      </c>
      <c r="CP24" s="1445">
        <f>CP21*'SDK1'!$O$59%*SpKa!$G$75/12</f>
        <v>58.39152893028011</v>
      </c>
      <c r="CQ24" s="1445">
        <f>CQ21*'SDK1'!$O$59%*SpKaBer!$G$75/12</f>
        <v>63.193395451402232</v>
      </c>
      <c r="CR24" s="1445">
        <f>CR21*'SDK1'!$O$59%*'Kultur A'!$G$75/12</f>
        <v>0</v>
      </c>
      <c r="CS24" s="1445">
        <f>CS21*'SDK1'!$O$59%*'FAKT-Brachebegrünung'!$G$75/12</f>
        <v>1.5675316133193278</v>
      </c>
      <c r="CT24" s="1445">
        <f>CT21*'SDK1'!$O$59%*Begr!$G$75/12</f>
        <v>1.300558258770308</v>
      </c>
      <c r="CV24" s="1486" t="s">
        <v>1133</v>
      </c>
      <c r="CW24" s="1456"/>
      <c r="CX24" s="3617">
        <f>CX21*SDÖ1!$O$71%*'Öko-KG1'!$G$75/12</f>
        <v>-0.69268818495686313</v>
      </c>
      <c r="CY24" s="1445">
        <f>CY21*SDÖ1!$O$71%*'Öko-KG2'!$G$75/12</f>
        <v>-2.1497977808294122</v>
      </c>
      <c r="CZ24" s="1445">
        <f>CZ21*SDÖ1!$O$71%*'Öko-LU1'!$G$75/12</f>
        <v>-1.1010215182901963</v>
      </c>
      <c r="DA24" s="1445">
        <f>DA21*SDÖ1!$O$71%*'Öko-LU2'!$G$75/12</f>
        <v>-1.5362769474960791</v>
      </c>
      <c r="DB24" s="1445">
        <f>DB21*SDÖ1!$O$71%*'Öko-WW-Futter'!$G$75/12</f>
        <v>11.05970380034902</v>
      </c>
      <c r="DC24" s="1445">
        <f>DC21*SDÖ1!$O$71%*'Öko-WW-Brot'!$G$75/12</f>
        <v>12.156020467015686</v>
      </c>
      <c r="DD24" s="1445">
        <f>DD21*SDÖ1!$O$71%*'Öko-Roggen'!$G$75/12</f>
        <v>11.706993205683036</v>
      </c>
      <c r="DE24" s="1445">
        <f>DE21*SDÖ1!$O$71%*'Öko-Dinkel,gegerbt'!$G$75/12</f>
        <v>14.25681763901637</v>
      </c>
      <c r="DF24" s="1445">
        <f>DF21*SDÖ1!$O$71%*'Öko-Roggen'!$G$75/12</f>
        <v>10.661363449122353</v>
      </c>
      <c r="DG24" s="1445">
        <f>DG21*SDÖ1!$O$71%*'Öko-Hafer'!$G$75/12</f>
        <v>10.62878423743196</v>
      </c>
      <c r="DH24" s="1445">
        <f>DH21*SDÖ1!$O$71%*'Öko-Wintergerste'!$G$75/12</f>
        <v>10.953724536912551</v>
      </c>
      <c r="DI24" s="1445">
        <f>DI21*SDÖ1!$O$71%*'Öko-Braugerste'!$G$75/12</f>
        <v>10.064754869133724</v>
      </c>
      <c r="DJ24" s="1445">
        <f>DJ21*SDÖ1!$O$71%*'Öko-Körnermais'!$G$75/12</f>
        <v>17.438974769113038</v>
      </c>
      <c r="DK24" s="1445">
        <f>DK21*SDÖ1!$O$71%*'Öko-Ackerbohnen'!$G$75/12</f>
        <v>7.9303542409205869</v>
      </c>
      <c r="DL24" s="1445">
        <f>DL21*SDÖ1!$O$71%*'Öko-Erbsen'!$G$75/12</f>
        <v>7.6208919707103897</v>
      </c>
      <c r="DM24" s="1445">
        <f>DM21*SDÖ1!$O$71%*'Öko-Erbsen'!$G$75/12</f>
        <v>10.702835900637588</v>
      </c>
      <c r="DN24" s="1445">
        <f>DN21*SDÖ1!$O$71%*'Öko-Soblu'!$G$75/12</f>
        <v>13.543087519750587</v>
      </c>
      <c r="DO24" s="1445">
        <f>DO21*SDÖ1!$O$71%*'Öko-Raps'!$G$75/12</f>
        <v>8.948232774870851</v>
      </c>
      <c r="DP24" s="1445">
        <f>DP21*SDÖ1!$O$71%*'Öko-Kartoffel'!$G$75/12</f>
        <v>44.810174189892159</v>
      </c>
      <c r="DQ24" s="1445"/>
      <c r="DR24" s="1445">
        <f>DR21*SDÖ1!$O$71%*Begrün.!$G$75/12</f>
        <v>3.7619810691176472</v>
      </c>
      <c r="DS24" s="1445">
        <f>DS21*SDÖ1!$O$71%*Blühm.!$G$75/12</f>
        <v>2.6178879539450981</v>
      </c>
      <c r="DT24" s="1434"/>
      <c r="DU24" s="1445">
        <f>DU21*SDÖ1!$O$71%*'Öko-KG1'!$G$75/12</f>
        <v>-2.7320215182901975</v>
      </c>
      <c r="DV24" s="1445">
        <f>DV21*SDÖ1!$O$71%*'Öko-KG2'!$G$75/12</f>
        <v>-3.551839447496079</v>
      </c>
      <c r="DW24" s="1445">
        <f>DW21*SDÖ1!$O$71%*'Öko-LU1'!$G$75/12</f>
        <v>-3.1403548516235307</v>
      </c>
      <c r="DX24" s="1445">
        <f>DX21*SDÖ1!$O$71%*'Öko-LU2'!$G$75/12</f>
        <v>-2.9383186141627458</v>
      </c>
      <c r="DY24" s="1443">
        <f>DY21*SDÖ1!$O$71%*'Öko-WW-Futter'!$G$75/12</f>
        <v>12.736543719458302</v>
      </c>
      <c r="DZ24" s="1445">
        <f>DZ21*SDÖ1!$O$71%*'Öko-WW-Brot'!$G$75/12</f>
        <v>14.064482308189023</v>
      </c>
      <c r="EA24" s="1445">
        <f>EA21*SDÖ1!$O$71%*'Öko-Dinkel'!$G$75/12</f>
        <v>13.162485148792548</v>
      </c>
      <c r="EB24" s="1445">
        <f>EB21*SDÖ1!$O$71%*'Öko-Dinkel,gegerbt'!$G$75/12</f>
        <v>16.562251059903662</v>
      </c>
      <c r="EC24" s="1445">
        <f>EC21*SDÖ1!$O$71%*'Öko-Roggen'!$G$75/12</f>
        <v>12.301089917822745</v>
      </c>
      <c r="ED24" s="1445">
        <f>ED21*SDÖ1!$O$71%*'Öko-Hafer'!$G$75/12</f>
        <v>12.273206524457779</v>
      </c>
      <c r="EE24" s="1445">
        <f>EE21*SDÖ1!$O$71%*'Öko-Wintergerste'!$G$75/12</f>
        <v>13.646116584489411</v>
      </c>
      <c r="EF24" s="1445">
        <f>EF21*SDÖ1!$O$71%*'Öko-Braugerste'!$G$75/12</f>
        <v>11.458556255615685</v>
      </c>
      <c r="EG24" s="1445">
        <f>EG21*SDÖ1!$O$71%*'Öko-Körnermais'!$G$75/12</f>
        <v>20.753312835727318</v>
      </c>
      <c r="EH24" s="1445">
        <f>EH21*SDÖ1!$O$71%*'Öko-Ackerbohnen'!$G$75/12</f>
        <v>9.1329982460550312</v>
      </c>
      <c r="EI24" s="1445">
        <f>EI21*SDÖ1!$O$71%*'Öko-Erbsen'!$G$75/12</f>
        <v>7.9101788624956866</v>
      </c>
      <c r="EJ24" s="1445">
        <f>EJ21*SDÖ1!$O$71%*'Öko-Sojabohnen'!$G$75/12</f>
        <v>11.249122420858825</v>
      </c>
      <c r="EK24" s="1445">
        <f>EK21*SDÖ1!$O$71%*'Öko-Soblu'!$G$75/12</f>
        <v>17.697477375464313</v>
      </c>
      <c r="EL24" s="1445">
        <f>EL21*SDÖ1!$O$71%*'Öko-Raps'!$G$75/12</f>
        <v>11.740086211679868</v>
      </c>
      <c r="EM24" s="1445">
        <f>EM21*SDÖ1!$O$71%*'Öko-Kartoffel'!$G$75/12</f>
        <v>46.818376185637248</v>
      </c>
      <c r="EN24" s="1445"/>
      <c r="EO24" s="1445">
        <f>EO21*SDÖ1!$O$71%*Begrün.!$G$75/12</f>
        <v>3.7619810691176472</v>
      </c>
      <c r="EP24" s="1445">
        <f>EP21*SDÖ1!$O$71%*Blühm.!$G$75/12</f>
        <v>2.6178879539450981</v>
      </c>
      <c r="EQ24" s="1434"/>
      <c r="ER24" s="1445">
        <f>ER21*SDÖ1!$O$71%*'Öko-KG1'!$G$75/12</f>
        <v>-4.7713548516235305</v>
      </c>
      <c r="ES24" s="1445">
        <f>ES21*SDÖ1!$O$71%*'Öko-KG2'!$G$75/12</f>
        <v>-4.9538811141627459</v>
      </c>
      <c r="ET24" s="1445">
        <f>ET21*SDÖ1!$O$71%*'Öko-LU1'!$G$75/12</f>
        <v>-5.1796881849568628</v>
      </c>
      <c r="EU24" s="1445">
        <f>EU21*SDÖ1!$O$71%*'Öko-LU2'!$G$75/12</f>
        <v>-4.3403602808294126</v>
      </c>
      <c r="EV24" s="1443">
        <f>EV21*SDÖ1!$O$71%*'Öko-WW-Futter'!$G$75/12</f>
        <v>17.599379484875215</v>
      </c>
      <c r="EW24" s="1445">
        <f>EW21*SDÖ1!$O$71%*'Öko-WW-Brot'!$G$75/12</f>
        <v>17.881405990535683</v>
      </c>
      <c r="EX24" s="1445">
        <f>EX21*SDÖ1!$O$71%*'Öko-Dinkel'!$G$75/12</f>
        <v>14.825904512346272</v>
      </c>
      <c r="EY24" s="1445">
        <f>EY21*SDÖ1!$O$71%*'Öko-Dinkel,gegerbt'!$G$75/12</f>
        <v>18.867684480790949</v>
      </c>
      <c r="EZ24" s="1445">
        <f>EZ21*SDÖ1!$O$71%*'Öko-Roggen'!$G$75/12</f>
        <v>13.766973414431371</v>
      </c>
      <c r="FA24" s="1445">
        <f>FA21*SDÖ1!$O$71%*'Öko-Hafer'!$G$75/12</f>
        <v>13.917628811483596</v>
      </c>
      <c r="FB24" s="1445">
        <f>FB21*SDÖ1!$O$71%*'Öko-Wintergerste'!$G$75/12</f>
        <v>15.112849719856472</v>
      </c>
      <c r="FC24" s="1445">
        <f>FC21*SDÖ1!$O$71%*'Öko-Braugerste'!$G$75/12</f>
        <v>13.311732642097647</v>
      </c>
      <c r="FD24" s="1445">
        <f>FD21*SDÖ1!$O$71%*'Öko-Körnermais'!$G$75/12</f>
        <v>24.767650902341604</v>
      </c>
      <c r="FE24" s="1445">
        <f>FE21*SDÖ1!$O$71%*'Öko-Ackerbohnen'!$G$75/12</f>
        <v>8.5471422511894755</v>
      </c>
      <c r="FF24" s="1445">
        <f>FF21*SDÖ1!$O$71%*'Öko-Erbsen'!$G$75/12</f>
        <v>8.4055989299868621</v>
      </c>
      <c r="FG24" s="1445">
        <f>FG21*SDÖ1!$O$71%*'Öko-Sojabohnen'!$G$75/12</f>
        <v>12.510067853289863</v>
      </c>
      <c r="FH24" s="1445">
        <f>FH21*SDÖ1!$O$71%*'Öko-Soblu'!$G$75/12</f>
        <v>22.255945699845494</v>
      </c>
      <c r="FI24" s="1445">
        <f>FI21*SDÖ1!$O$71%*'Öko-Raps'!$G$75/12</f>
        <v>14.124120366235033</v>
      </c>
      <c r="FJ24" s="1445">
        <f>FJ21*SDÖ1!$O$71%*'Öko-Kartoffel'!$G$75/12</f>
        <v>48.826578181382352</v>
      </c>
      <c r="FK24" s="1445"/>
      <c r="FL24" s="1445">
        <f>FL21*SDÖ1!$O$71%*Begrün.!$G$75/12</f>
        <v>3.7619810691176472</v>
      </c>
      <c r="FM24" s="1445">
        <f>FM21*SDÖ1!$O$71%*Blühm.!$G$75/12</f>
        <v>2.6178879539450981</v>
      </c>
    </row>
    <row r="25" spans="1:169" ht="18" customHeight="1">
      <c r="A25" s="1440">
        <f>ROWS($A$1:A25)</f>
        <v>25</v>
      </c>
      <c r="B25" s="1483" t="s">
        <v>1132</v>
      </c>
      <c r="C25" s="1482"/>
      <c r="D25" s="1480">
        <f t="shared" ref="D25:AH25" si="42">D22+D23-D24</f>
        <v>1136.0828128435608</v>
      </c>
      <c r="E25" s="1480">
        <f t="shared" si="42"/>
        <v>624.47666158586469</v>
      </c>
      <c r="F25" s="1480">
        <f t="shared" si="42"/>
        <v>689.68055800260561</v>
      </c>
      <c r="G25" s="1480">
        <f t="shared" si="42"/>
        <v>756.47707542482794</v>
      </c>
      <c r="H25" s="1480">
        <f t="shared" si="42"/>
        <v>730.22773344568907</v>
      </c>
      <c r="I25" s="1480">
        <f t="shared" si="42"/>
        <v>676.2288288901334</v>
      </c>
      <c r="J25" s="1480">
        <f t="shared" si="42"/>
        <v>487.44141866927259</v>
      </c>
      <c r="K25" s="1480">
        <f t="shared" si="42"/>
        <v>340.61511108601383</v>
      </c>
      <c r="L25" s="1480">
        <f t="shared" si="42"/>
        <v>859.5289522675489</v>
      </c>
      <c r="M25" s="1480">
        <f t="shared" si="42"/>
        <v>485.39444863645116</v>
      </c>
      <c r="N25" s="1480">
        <f t="shared" si="42"/>
        <v>838.39407598756861</v>
      </c>
      <c r="O25" s="1480">
        <f t="shared" si="42"/>
        <v>660.90629301714682</v>
      </c>
      <c r="P25" s="1480">
        <f t="shared" si="42"/>
        <v>719.51779954622577</v>
      </c>
      <c r="Q25" s="1480">
        <f t="shared" si="42"/>
        <v>894.73770266630117</v>
      </c>
      <c r="R25" s="1480"/>
      <c r="S25" s="1480">
        <f t="shared" si="42"/>
        <v>938.01149735783508</v>
      </c>
      <c r="T25" s="1480">
        <f t="shared" si="42"/>
        <v>428.94629454291407</v>
      </c>
      <c r="U25" s="1480">
        <f t="shared" si="42"/>
        <v>554.50703497324503</v>
      </c>
      <c r="V25" s="1480">
        <f t="shared" si="42"/>
        <v>546.36938526810741</v>
      </c>
      <c r="W25" s="1480"/>
      <c r="X25" s="1480">
        <f t="shared" si="42"/>
        <v>470.80195358186143</v>
      </c>
      <c r="Y25" s="1480">
        <f t="shared" si="42"/>
        <v>381.44011951431372</v>
      </c>
      <c r="Z25" s="1480">
        <f t="shared" si="42"/>
        <v>37.5420278076733</v>
      </c>
      <c r="AA25" s="1480">
        <f t="shared" si="42"/>
        <v>384.51608928201938</v>
      </c>
      <c r="AB25" s="1480">
        <f t="shared" si="42"/>
        <v>7546.430438397103</v>
      </c>
      <c r="AC25" s="1480">
        <f t="shared" si="42"/>
        <v>8541.5891164046916</v>
      </c>
      <c r="AD25" s="1480">
        <f t="shared" si="42"/>
        <v>3836.5345125589629</v>
      </c>
      <c r="AE25" s="1480">
        <f t="shared" si="42"/>
        <v>3805.5398353139676</v>
      </c>
      <c r="AF25" s="1480">
        <f t="shared" si="42"/>
        <v>0</v>
      </c>
      <c r="AG25" s="1480">
        <f t="shared" si="42"/>
        <v>895.72867478836145</v>
      </c>
      <c r="AH25" s="1480">
        <f t="shared" si="42"/>
        <v>298.03245068879272</v>
      </c>
      <c r="AI25" s="1489"/>
      <c r="AJ25" s="1481">
        <f t="shared" ref="AJ25:BN25" si="43">AJ22+AJ23-AJ24</f>
        <v>1271.9072395790445</v>
      </c>
      <c r="AK25" s="1480">
        <f t="shared" si="43"/>
        <v>843.6804626071646</v>
      </c>
      <c r="AL25" s="1480">
        <f t="shared" si="43"/>
        <v>946.6568456905726</v>
      </c>
      <c r="AM25" s="1480">
        <f t="shared" si="43"/>
        <v>946.67592815175828</v>
      </c>
      <c r="AN25" s="1480">
        <f t="shared" si="43"/>
        <v>883.9980295010954</v>
      </c>
      <c r="AO25" s="1480">
        <f t="shared" si="43"/>
        <v>887.02631830657617</v>
      </c>
      <c r="AP25" s="1480">
        <f t="shared" si="43"/>
        <v>688.89268141904915</v>
      </c>
      <c r="AQ25" s="1480">
        <f t="shared" si="43"/>
        <v>461.32912919072135</v>
      </c>
      <c r="AR25" s="1480">
        <f t="shared" si="43"/>
        <v>926.35488393421554</v>
      </c>
      <c r="AS25" s="1480">
        <f t="shared" si="43"/>
        <v>619.90846726754921</v>
      </c>
      <c r="AT25" s="1480">
        <f t="shared" si="43"/>
        <v>1070.0326612853332</v>
      </c>
      <c r="AU25" s="1480">
        <f t="shared" si="43"/>
        <v>796.71681184088857</v>
      </c>
      <c r="AV25" s="1480">
        <f t="shared" si="43"/>
        <v>1104.4388974928725</v>
      </c>
      <c r="AW25" s="1480">
        <f t="shared" si="43"/>
        <v>1197.1994154840522</v>
      </c>
      <c r="AX25" s="1480"/>
      <c r="AY25" s="1480">
        <f t="shared" si="43"/>
        <v>1300.9706658590471</v>
      </c>
      <c r="AZ25" s="1480">
        <f t="shared" si="43"/>
        <v>590.04786408088341</v>
      </c>
      <c r="BA25" s="1480">
        <f t="shared" si="43"/>
        <v>691.71924262212701</v>
      </c>
      <c r="BB25" s="1480">
        <f t="shared" si="43"/>
        <v>854.29301318098067</v>
      </c>
      <c r="BC25" s="1480"/>
      <c r="BD25" s="1480">
        <f t="shared" si="43"/>
        <v>826.65299524852821</v>
      </c>
      <c r="BE25" s="1480">
        <f t="shared" si="43"/>
        <v>730.86841469297258</v>
      </c>
      <c r="BF25" s="1480">
        <f t="shared" si="43"/>
        <v>373.42752908765368</v>
      </c>
      <c r="BG25" s="1480">
        <f t="shared" si="43"/>
        <v>704.76086872646317</v>
      </c>
      <c r="BH25" s="1480">
        <f t="shared" si="43"/>
        <v>10268.281483919007</v>
      </c>
      <c r="BI25" s="1480">
        <f t="shared" si="43"/>
        <v>11270.003763956176</v>
      </c>
      <c r="BJ25" s="1480">
        <f t="shared" si="43"/>
        <v>3830.6429289142011</v>
      </c>
      <c r="BK25" s="1480">
        <f t="shared" si="43"/>
        <v>4894.1661798856994</v>
      </c>
      <c r="BL25" s="1480">
        <f t="shared" si="43"/>
        <v>0</v>
      </c>
      <c r="BM25" s="1480">
        <f t="shared" si="43"/>
        <v>895.72867478836145</v>
      </c>
      <c r="BN25" s="1480">
        <f t="shared" si="43"/>
        <v>298.03245068879272</v>
      </c>
      <c r="BO25" s="1489"/>
      <c r="BP25" s="1481">
        <f t="shared" ref="BP25:CT25" si="44">BP22+BP23-BP24</f>
        <v>1534.0793664270007</v>
      </c>
      <c r="BQ25" s="1480">
        <f t="shared" si="44"/>
        <v>1082.6522302951312</v>
      </c>
      <c r="BR25" s="1480">
        <f t="shared" si="44"/>
        <v>1209.136600045206</v>
      </c>
      <c r="BS25" s="1480">
        <f t="shared" si="44"/>
        <v>1136.8747808786884</v>
      </c>
      <c r="BT25" s="1480">
        <f t="shared" si="44"/>
        <v>1026.7133959404982</v>
      </c>
      <c r="BU25" s="1480">
        <f t="shared" si="44"/>
        <v>1092.6853452444686</v>
      </c>
      <c r="BV25" s="1480">
        <f t="shared" si="44"/>
        <v>865.66121444034923</v>
      </c>
      <c r="BW25" s="1480">
        <f t="shared" si="44"/>
        <v>607.2215936905726</v>
      </c>
      <c r="BX25" s="1480">
        <f t="shared" si="44"/>
        <v>1229.7862322675487</v>
      </c>
      <c r="BY25" s="1480">
        <f t="shared" si="44"/>
        <v>754.42248589864732</v>
      </c>
      <c r="BZ25" s="1480">
        <f t="shared" si="44"/>
        <v>1301.6712465830981</v>
      </c>
      <c r="CA25" s="1480">
        <f t="shared" si="44"/>
        <v>949.3759326942087</v>
      </c>
      <c r="CB25" s="1480">
        <f t="shared" si="44"/>
        <v>1232.745930141755</v>
      </c>
      <c r="CC25" s="1480">
        <f t="shared" si="44"/>
        <v>1499.6611283018046</v>
      </c>
      <c r="CD25" s="1480"/>
      <c r="CE25" s="1480">
        <f t="shared" si="44"/>
        <v>1691.5375675811206</v>
      </c>
      <c r="CF25" s="1480">
        <f t="shared" si="44"/>
        <v>778.66620231509796</v>
      </c>
      <c r="CG25" s="1480">
        <f t="shared" si="44"/>
        <v>828.93145027100945</v>
      </c>
      <c r="CH25" s="1480">
        <f t="shared" si="44"/>
        <v>1162.2166410938539</v>
      </c>
      <c r="CI25" s="1480"/>
      <c r="CJ25" s="1480">
        <f t="shared" si="44"/>
        <v>1180.5653272725124</v>
      </c>
      <c r="CK25" s="1480">
        <f t="shared" si="44"/>
        <v>1079.3273550502904</v>
      </c>
      <c r="CL25" s="1480">
        <f t="shared" si="44"/>
        <v>709.31303036763416</v>
      </c>
      <c r="CM25" s="1480">
        <f t="shared" si="44"/>
        <v>976.24709280799618</v>
      </c>
      <c r="CN25" s="1480">
        <f t="shared" si="44"/>
        <v>12990.132529440914</v>
      </c>
      <c r="CO25" s="1480">
        <f t="shared" si="44"/>
        <v>13985.291207448503</v>
      </c>
      <c r="CP25" s="1480">
        <f t="shared" si="44"/>
        <v>4703.3583327694378</v>
      </c>
      <c r="CQ25" s="1480">
        <f t="shared" si="44"/>
        <v>5956.5324837136623</v>
      </c>
      <c r="CR25" s="1480">
        <f>CR22+CR23-CR24</f>
        <v>0</v>
      </c>
      <c r="CS25" s="1480">
        <f t="shared" si="44"/>
        <v>895.72867478836145</v>
      </c>
      <c r="CT25" s="1480">
        <f t="shared" si="44"/>
        <v>298.03245068879272</v>
      </c>
      <c r="CV25" s="1483" t="s">
        <v>1132</v>
      </c>
      <c r="CW25" s="1482"/>
      <c r="CX25" s="1480">
        <f>CX22+CX23-CX24</f>
        <v>515.46596118125933</v>
      </c>
      <c r="CY25" s="1480">
        <f>CY22+CY23-CY24</f>
        <v>881.81817899477903</v>
      </c>
      <c r="CZ25" s="1480">
        <f>CZ22+CZ23-CZ24</f>
        <v>790.87429451459263</v>
      </c>
      <c r="DA25" s="1480">
        <f>DA22+DA23-DA24</f>
        <v>828.61715816144567</v>
      </c>
      <c r="DB25" s="1480">
        <f t="shared" ref="DB25:DJ25" si="45">DB22+DB23-DB24</f>
        <v>1050.3656847411637</v>
      </c>
      <c r="DC25" s="1480">
        <f t="shared" si="45"/>
        <v>1459.2993680744969</v>
      </c>
      <c r="DD25" s="1480">
        <f>DD22+DD23-DD24</f>
        <v>987.23644630719946</v>
      </c>
      <c r="DE25" s="1480">
        <f t="shared" si="45"/>
        <v>1235.2789918738663</v>
      </c>
      <c r="DF25" s="1480">
        <f t="shared" si="45"/>
        <v>1083.907483768962</v>
      </c>
      <c r="DG25" s="1480">
        <f t="shared" si="45"/>
        <v>1184.7325668398285</v>
      </c>
      <c r="DH25" s="1480">
        <f>DH22+DH23-DH24</f>
        <v>1046.5556008705832</v>
      </c>
      <c r="DI25" s="1480">
        <f t="shared" si="45"/>
        <v>1289.1107206336894</v>
      </c>
      <c r="DJ25" s="1480">
        <f t="shared" si="45"/>
        <v>1439.1917593069129</v>
      </c>
      <c r="DK25" s="1480">
        <f>DK22+DK23-DK24</f>
        <v>1370.7249965373144</v>
      </c>
      <c r="DL25" s="1480">
        <f t="shared" ref="DL25:DS25" si="46">DL22+DL23-DL24</f>
        <v>1158.5597962541135</v>
      </c>
      <c r="DM25" s="1480">
        <f t="shared" si="46"/>
        <v>1913.8612297589975</v>
      </c>
      <c r="DN25" s="1480">
        <f t="shared" si="46"/>
        <v>971.42083935877065</v>
      </c>
      <c r="DO25" s="1480">
        <f t="shared" si="46"/>
        <v>728.79371985524676</v>
      </c>
      <c r="DP25" s="1480">
        <f t="shared" si="46"/>
        <v>6228.7177523907785</v>
      </c>
      <c r="DQ25" s="1480"/>
      <c r="DR25" s="1480">
        <f t="shared" si="46"/>
        <v>-326.21750127920171</v>
      </c>
      <c r="DS25" s="1480">
        <f t="shared" si="46"/>
        <v>-127.00828400638208</v>
      </c>
      <c r="DT25" s="1434"/>
      <c r="DU25" s="1480">
        <f>DU22+DU23-DU24</f>
        <v>692.3052945145929</v>
      </c>
      <c r="DV25" s="1480">
        <f>DV22+DV23-DV24</f>
        <v>1003.3952206614457</v>
      </c>
      <c r="DW25" s="1480">
        <f>DW22+DW23-DW24</f>
        <v>967.7136278479262</v>
      </c>
      <c r="DX25" s="1480">
        <f>DX22+DX23-DX24</f>
        <v>950.19419982811235</v>
      </c>
      <c r="DY25" s="1481">
        <f t="shared" ref="DY25:EG25" si="47">DY22+DY23-DY24</f>
        <v>1376.2930422317352</v>
      </c>
      <c r="DZ25" s="1480">
        <f t="shared" si="47"/>
        <v>1899.8084627041806</v>
      </c>
      <c r="EA25" s="1480">
        <f t="shared" si="47"/>
        <v>1330.0245020975606</v>
      </c>
      <c r="EB25" s="1480">
        <f t="shared" si="47"/>
        <v>1660.7478961864495</v>
      </c>
      <c r="EC25" s="1480">
        <f t="shared" si="47"/>
        <v>1412.7197742687993</v>
      </c>
      <c r="ED25" s="1480">
        <f t="shared" si="47"/>
        <v>1545.8043294743993</v>
      </c>
      <c r="EE25" s="1480">
        <f>EE22+EE23-EE24</f>
        <v>1280.0867476021326</v>
      </c>
      <c r="EF25" s="1480">
        <f t="shared" si="47"/>
        <v>1690.4044789773259</v>
      </c>
      <c r="EG25" s="1480">
        <f t="shared" si="47"/>
        <v>1937.1246345781219</v>
      </c>
      <c r="EH25" s="1480">
        <f t="shared" ref="EH25:EM25" si="48">EH22+EH23-EH24</f>
        <v>1754.1052473301804</v>
      </c>
      <c r="EI25" s="1480">
        <f t="shared" si="48"/>
        <v>1541.4744900664455</v>
      </c>
      <c r="EJ25" s="1480">
        <f t="shared" si="48"/>
        <v>2262.9403843626706</v>
      </c>
      <c r="EK25" s="1480">
        <f t="shared" si="48"/>
        <v>1386.3758904418808</v>
      </c>
      <c r="EL25" s="1480">
        <f t="shared" si="48"/>
        <v>1305.1001432633789</v>
      </c>
      <c r="EM25" s="1480">
        <f t="shared" si="48"/>
        <v>8434.3279507597381</v>
      </c>
      <c r="EN25" s="1480"/>
      <c r="EO25" s="1480">
        <f>EO22+EO23-EO24</f>
        <v>-326.21750127920171</v>
      </c>
      <c r="EP25" s="1480">
        <f>EP22+EP23-EP24</f>
        <v>-127.00828400638208</v>
      </c>
      <c r="EQ25" s="1434"/>
      <c r="ER25" s="1480">
        <f>ER22+ER23-ER24</f>
        <v>869.14462784792613</v>
      </c>
      <c r="ES25" s="1480">
        <f>ES22+ES23-ES24</f>
        <v>1124.9722623281123</v>
      </c>
      <c r="ET25" s="1480">
        <f>ET22+ET23-ET24</f>
        <v>1144.5529611812594</v>
      </c>
      <c r="EU25" s="1480">
        <f>EU22+EU23-EU24</f>
        <v>1071.7712414947789</v>
      </c>
      <c r="EV25" s="1481">
        <f t="shared" ref="EV25:FD25" si="49">EV22+EV23-EV24</f>
        <v>2321.4823789543925</v>
      </c>
      <c r="EW25" s="1480">
        <f t="shared" si="49"/>
        <v>2780.8266519635486</v>
      </c>
      <c r="EX25" s="1480">
        <f t="shared" si="49"/>
        <v>1721.7822801436873</v>
      </c>
      <c r="EY25" s="1480">
        <f t="shared" si="49"/>
        <v>2086.2168004990326</v>
      </c>
      <c r="EZ25" s="1480">
        <f t="shared" si="49"/>
        <v>1756.6067339200224</v>
      </c>
      <c r="FA25" s="1480">
        <f t="shared" si="49"/>
        <v>1906.8760921089702</v>
      </c>
      <c r="FB25" s="1480">
        <f>FB22+FB23-FB24</f>
        <v>1619.9000314353029</v>
      </c>
      <c r="FC25" s="1480">
        <f t="shared" si="49"/>
        <v>2051.8638623209613</v>
      </c>
      <c r="FD25" s="1480">
        <f t="shared" si="49"/>
        <v>2374.3575098493311</v>
      </c>
      <c r="FE25" s="1480">
        <f t="shared" ref="FE25:FJ25" si="50">FE22+FE23-FE24</f>
        <v>2292.5739981230454</v>
      </c>
      <c r="FF25" s="1480">
        <f t="shared" si="50"/>
        <v>1906.5144927854249</v>
      </c>
      <c r="FG25" s="1480">
        <f t="shared" si="50"/>
        <v>2550.0484018647217</v>
      </c>
      <c r="FH25" s="1480">
        <f t="shared" si="50"/>
        <v>1766.2915657419694</v>
      </c>
      <c r="FI25" s="1480">
        <f t="shared" si="50"/>
        <v>1734.9036577660006</v>
      </c>
      <c r="FJ25" s="1480">
        <f t="shared" si="50"/>
        <v>10639.9381491287</v>
      </c>
      <c r="FK25" s="1480"/>
      <c r="FL25" s="1480">
        <f>FL22+FL23-FL24</f>
        <v>-326.21750127920171</v>
      </c>
      <c r="FM25" s="1480">
        <f>FM22+FM23-FM24</f>
        <v>-127.00828400638208</v>
      </c>
    </row>
    <row r="26" spans="1:169" ht="18" customHeight="1">
      <c r="A26" s="1440">
        <f>ROWS($A$1:A26)</f>
        <v>26</v>
      </c>
      <c r="B26" s="1457"/>
      <c r="C26" s="1456"/>
      <c r="D26" s="1487"/>
      <c r="E26" s="1487"/>
      <c r="F26" s="1487"/>
      <c r="G26" s="1487"/>
      <c r="H26" s="1487"/>
      <c r="I26" s="1487"/>
      <c r="J26" s="1487"/>
      <c r="K26" s="1487"/>
      <c r="L26" s="1487"/>
      <c r="M26" s="1487"/>
      <c r="N26" s="1487"/>
      <c r="O26" s="1487"/>
      <c r="P26" s="1487"/>
      <c r="Q26" s="1487"/>
      <c r="R26" s="1487"/>
      <c r="S26" s="1487"/>
      <c r="T26" s="1487"/>
      <c r="U26" s="1487"/>
      <c r="V26" s="1487"/>
      <c r="W26" s="1487"/>
      <c r="X26" s="1487"/>
      <c r="Y26" s="1487"/>
      <c r="Z26" s="1487"/>
      <c r="AA26" s="1487"/>
      <c r="AB26" s="1487"/>
      <c r="AC26" s="1487"/>
      <c r="AD26" s="1487"/>
      <c r="AE26" s="1487"/>
      <c r="AF26" s="1487"/>
      <c r="AG26" s="1487"/>
      <c r="AH26" s="1487"/>
      <c r="AI26" s="1489"/>
      <c r="AJ26" s="1488"/>
      <c r="AK26" s="1487"/>
      <c r="AL26" s="1487"/>
      <c r="AM26" s="1487"/>
      <c r="AN26" s="1487"/>
      <c r="AO26" s="1487"/>
      <c r="AP26" s="1487"/>
      <c r="AQ26" s="1487"/>
      <c r="AR26" s="1487"/>
      <c r="AS26" s="1487"/>
      <c r="AT26" s="1487"/>
      <c r="AU26" s="1487"/>
      <c r="AV26" s="1487"/>
      <c r="AW26" s="1487"/>
      <c r="AX26" s="1487"/>
      <c r="AY26" s="1487"/>
      <c r="AZ26" s="1487"/>
      <c r="BA26" s="1487"/>
      <c r="BB26" s="1487"/>
      <c r="BC26" s="1487"/>
      <c r="BD26" s="1487"/>
      <c r="BE26" s="1487"/>
      <c r="BF26" s="1487"/>
      <c r="BG26" s="1487"/>
      <c r="BH26" s="1487"/>
      <c r="BI26" s="1487"/>
      <c r="BJ26" s="1487"/>
      <c r="BK26" s="1487"/>
      <c r="BL26" s="1487"/>
      <c r="BM26" s="1487"/>
      <c r="BN26" s="1487"/>
      <c r="BO26" s="1489"/>
      <c r="BP26" s="1488"/>
      <c r="BQ26" s="1487"/>
      <c r="BR26" s="1487"/>
      <c r="BS26" s="1487"/>
      <c r="BT26" s="1487"/>
      <c r="BU26" s="1487"/>
      <c r="BV26" s="1487"/>
      <c r="BW26" s="1487"/>
      <c r="BX26" s="1487"/>
      <c r="BY26" s="1487"/>
      <c r="BZ26" s="1487"/>
      <c r="CA26" s="1487"/>
      <c r="CB26" s="1487"/>
      <c r="CC26" s="1487"/>
      <c r="CD26" s="1487"/>
      <c r="CE26" s="1487"/>
      <c r="CF26" s="1487"/>
      <c r="CG26" s="1487"/>
      <c r="CH26" s="1487"/>
      <c r="CI26" s="1487"/>
      <c r="CJ26" s="1487"/>
      <c r="CK26" s="1487"/>
      <c r="CL26" s="1487"/>
      <c r="CM26" s="1487"/>
      <c r="CN26" s="1487"/>
      <c r="CO26" s="1487"/>
      <c r="CP26" s="1487"/>
      <c r="CQ26" s="1487"/>
      <c r="CR26" s="1487"/>
      <c r="CS26" s="1487"/>
      <c r="CT26" s="1487"/>
      <c r="CV26" s="1457"/>
      <c r="CW26" s="1456"/>
      <c r="CX26" s="1487"/>
      <c r="CY26" s="1487"/>
      <c r="CZ26" s="1487"/>
      <c r="DA26" s="1487"/>
      <c r="DB26" s="1487"/>
      <c r="DC26" s="1487"/>
      <c r="DD26" s="1487"/>
      <c r="DE26" s="1487"/>
      <c r="DF26" s="1487"/>
      <c r="DG26" s="1487"/>
      <c r="DH26" s="1487"/>
      <c r="DI26" s="1487"/>
      <c r="DJ26" s="1487"/>
      <c r="DK26" s="1487"/>
      <c r="DL26" s="1487"/>
      <c r="DM26" s="1487"/>
      <c r="DN26" s="1487"/>
      <c r="DO26" s="1487"/>
      <c r="DP26" s="1487"/>
      <c r="DQ26" s="1487"/>
      <c r="DR26" s="1487"/>
      <c r="DS26" s="1487"/>
      <c r="DT26" s="1434"/>
      <c r="DU26" s="1487"/>
      <c r="DV26" s="1487"/>
      <c r="DW26" s="1487"/>
      <c r="DX26" s="1487"/>
      <c r="DY26" s="1488"/>
      <c r="DZ26" s="1487"/>
      <c r="EA26" s="1487"/>
      <c r="EB26" s="1487"/>
      <c r="EC26" s="1487"/>
      <c r="ED26" s="1487"/>
      <c r="EE26" s="1487"/>
      <c r="EF26" s="1487"/>
      <c r="EG26" s="1487"/>
      <c r="EH26" s="1487"/>
      <c r="EI26" s="1487"/>
      <c r="EJ26" s="1487"/>
      <c r="EK26" s="1487"/>
      <c r="EL26" s="1487"/>
      <c r="EM26" s="1487"/>
      <c r="EN26" s="1487"/>
      <c r="EO26" s="1487"/>
      <c r="EP26" s="1487"/>
      <c r="EQ26" s="1434"/>
      <c r="ER26" s="1487"/>
      <c r="ES26" s="1487"/>
      <c r="ET26" s="1487"/>
      <c r="EU26" s="1487"/>
      <c r="EV26" s="1488"/>
      <c r="EW26" s="1487"/>
      <c r="EX26" s="1487"/>
      <c r="EY26" s="1487"/>
      <c r="EZ26" s="1487"/>
      <c r="FA26" s="1487"/>
      <c r="FB26" s="1487"/>
      <c r="FC26" s="1487"/>
      <c r="FD26" s="1487"/>
      <c r="FE26" s="1487"/>
      <c r="FF26" s="1487"/>
      <c r="FG26" s="1487"/>
      <c r="FH26" s="1487"/>
      <c r="FI26" s="1487"/>
      <c r="FJ26" s="1487"/>
      <c r="FK26" s="1487"/>
      <c r="FL26" s="1487"/>
      <c r="FM26" s="1487"/>
    </row>
    <row r="27" spans="1:169" s="1510" customFormat="1" ht="18" customHeight="1">
      <c r="A27" s="1440">
        <f>ROWS($A$1:A27)</f>
        <v>27</v>
      </c>
      <c r="B27" s="1515" t="s">
        <v>1131</v>
      </c>
      <c r="C27" s="1514" t="s">
        <v>463</v>
      </c>
      <c r="D27" s="3612">
        <f>'WW1'!$I$59</f>
        <v>10.621200000000002</v>
      </c>
      <c r="E27" s="1511">
        <f>'WW2'!$I$59</f>
        <v>10.350000000000001</v>
      </c>
      <c r="F27" s="1511">
        <f>'WW3'!$I$59</f>
        <v>10.266000000000002</v>
      </c>
      <c r="G27" s="1511">
        <f>'WW4'!$I$59</f>
        <v>10.266000000000002</v>
      </c>
      <c r="H27" s="1511">
        <f>WRo!$I$59</f>
        <v>9.5640000000000018</v>
      </c>
      <c r="I27" s="1511">
        <f>Tr!$I$59</f>
        <v>9.5640000000000018</v>
      </c>
      <c r="J27" s="1511">
        <f>WG!$I$59</f>
        <v>10.266000000000002</v>
      </c>
      <c r="K27" s="1511">
        <f>Di!$I$59</f>
        <v>10.182000000000002</v>
      </c>
      <c r="L27" s="1511">
        <f>SW!$I$59</f>
        <v>9.6479999999999997</v>
      </c>
      <c r="M27" s="1511">
        <f>'SG-Fu'!$I$59</f>
        <v>9.48</v>
      </c>
      <c r="N27" s="1511">
        <f>BG!$I$59</f>
        <v>9.3960000000000008</v>
      </c>
      <c r="O27" s="1511">
        <f>Ha!$I$59</f>
        <v>8.6940000000000026</v>
      </c>
      <c r="P27" s="1511">
        <f>Du!$I$59</f>
        <v>10.950000000000001</v>
      </c>
      <c r="Q27" s="1511">
        <f>KöM!$I$59</f>
        <v>8.7959999999999994</v>
      </c>
      <c r="R27" s="1511"/>
      <c r="S27" s="1511">
        <f>WR!$I$59</f>
        <v>10.512</v>
      </c>
      <c r="T27" s="1511">
        <f>SR!$I$59</f>
        <v>9.644400000000001</v>
      </c>
      <c r="U27" s="1511">
        <f>SoBl!$I$59</f>
        <v>9.0960000000000001</v>
      </c>
      <c r="V27" s="1511">
        <f>Soja!$I$59</f>
        <v>7.5744000000000007</v>
      </c>
      <c r="W27" s="1511"/>
      <c r="X27" s="1511">
        <f>FE!$I$59</f>
        <v>7.8768000000000011</v>
      </c>
      <c r="Y27" s="1511">
        <f>AB!$I$59</f>
        <v>7.7760000000000007</v>
      </c>
      <c r="Z27" s="1511">
        <f>Lu!$I$59</f>
        <v>7.4400000000000013</v>
      </c>
      <c r="AA27" s="1511">
        <f>ZR!$I$59</f>
        <v>11.286</v>
      </c>
      <c r="AB27" s="1511">
        <f>FrühKa!$I$59</f>
        <v>22.67</v>
      </c>
      <c r="AC27" s="1511">
        <f>FrühKaFolieBer!$I$59</f>
        <v>37.760000000000005</v>
      </c>
      <c r="AD27" s="1511">
        <f>SpKa!$I$59</f>
        <v>25.38</v>
      </c>
      <c r="AE27" s="1511">
        <f>SpKaBer!$I$59</f>
        <v>35.298000000000002</v>
      </c>
      <c r="AF27" s="1511">
        <f>'Kultur A'!$I$59</f>
        <v>0</v>
      </c>
      <c r="AG27" s="1511">
        <f>'FAKT-Brachebegrünung'!$I$59</f>
        <v>6.588000000000001</v>
      </c>
      <c r="AH27" s="1511">
        <f>Begr!$I$59</f>
        <v>6.5339999999999998</v>
      </c>
      <c r="AI27" s="1513"/>
      <c r="AJ27" s="1512">
        <f>'WW1'!$L$59</f>
        <v>11.654400000000001</v>
      </c>
      <c r="AK27" s="1511">
        <f>'WW2'!$L$59</f>
        <v>11.268000000000001</v>
      </c>
      <c r="AL27" s="1511">
        <f>'WW3'!$L$59</f>
        <v>11.183999999999999</v>
      </c>
      <c r="AM27" s="1511">
        <f>'WW4'!$L$59</f>
        <v>11.1</v>
      </c>
      <c r="AN27" s="1511">
        <f>WRo!$L$59</f>
        <v>9.7320000000000011</v>
      </c>
      <c r="AO27" s="1511">
        <f>Tr!$L$59</f>
        <v>9.8160000000000025</v>
      </c>
      <c r="AP27" s="1511">
        <f>WG!$L$59</f>
        <v>10.518000000000001</v>
      </c>
      <c r="AQ27" s="1511">
        <f>Di!$L$59</f>
        <v>11.016000000000002</v>
      </c>
      <c r="AR27" s="1511">
        <f>SW!$L$59</f>
        <v>9.6479999999999997</v>
      </c>
      <c r="AS27" s="1511">
        <f>'SG-Fu'!$L$59</f>
        <v>9.6479999999999997</v>
      </c>
      <c r="AT27" s="1511">
        <f>BG!$L$59</f>
        <v>9.5640000000000018</v>
      </c>
      <c r="AU27" s="1511">
        <f>Ha!$L$59</f>
        <v>9.5640000000000018</v>
      </c>
      <c r="AV27" s="1511">
        <f>Du!$L$59</f>
        <v>11.202000000000002</v>
      </c>
      <c r="AW27" s="1511">
        <f>KöM!$L$59</f>
        <v>9.1319999999999997</v>
      </c>
      <c r="AX27" s="1511"/>
      <c r="AY27" s="1511">
        <f>WR!$L$59</f>
        <v>11.382000000000001</v>
      </c>
      <c r="AZ27" s="1511">
        <f>SR!$L$59</f>
        <v>10.447200000000002</v>
      </c>
      <c r="BA27" s="1511">
        <f>SoBl!$L$59</f>
        <v>9.1800000000000015</v>
      </c>
      <c r="BB27" s="1511">
        <f>Soja!$L$59</f>
        <v>7.7760000000000007</v>
      </c>
      <c r="BC27" s="1511"/>
      <c r="BD27" s="1511">
        <f>FE!$L$59</f>
        <v>7.8768000000000011</v>
      </c>
      <c r="BE27" s="1511">
        <f>AB!$L$59</f>
        <v>7.8768000000000011</v>
      </c>
      <c r="BF27" s="1511">
        <f>Lu!$L$59</f>
        <v>7.6920000000000002</v>
      </c>
      <c r="BG27" s="1511">
        <f>ZR!$L$59</f>
        <v>11.286</v>
      </c>
      <c r="BH27" s="1511">
        <f>FrühKa!$L$59</f>
        <v>23.47</v>
      </c>
      <c r="BI27" s="1511">
        <f>FrühKaFolieBer!$L$59</f>
        <v>38.17</v>
      </c>
      <c r="BJ27" s="1511">
        <f>SpKa!$L$59</f>
        <v>26.18</v>
      </c>
      <c r="BK27" s="1511">
        <f>SpKaBer!$L$59</f>
        <v>35.97</v>
      </c>
      <c r="BL27" s="1511">
        <v>0</v>
      </c>
      <c r="BM27" s="1511">
        <f>'FAKT-Brachebegrünung'!$L$59</f>
        <v>6.588000000000001</v>
      </c>
      <c r="BN27" s="1511">
        <f>Begr!$L$59</f>
        <v>6.5339999999999998</v>
      </c>
      <c r="BO27" s="1513"/>
      <c r="BP27" s="1512">
        <f>'WW1'!$O$59</f>
        <v>13.3896</v>
      </c>
      <c r="BQ27" s="1511">
        <f>'WW2'!$O$59</f>
        <v>12.186</v>
      </c>
      <c r="BR27" s="1511">
        <f>'WW3'!$O$59</f>
        <v>12.102</v>
      </c>
      <c r="BS27" s="1511">
        <f>'WW4'!$O$59</f>
        <v>11.934000000000001</v>
      </c>
      <c r="BT27" s="1511">
        <f>WRo!$O$59</f>
        <v>11.268000000000001</v>
      </c>
      <c r="BU27" s="1511">
        <f>Tr!$O$59</f>
        <v>10.818</v>
      </c>
      <c r="BV27" s="1511">
        <f>WG!$O$59</f>
        <v>11.436</v>
      </c>
      <c r="BW27" s="1511">
        <f>Di!$O$59</f>
        <v>11.183999999999999</v>
      </c>
      <c r="BX27" s="1511">
        <f>SW!$O$59</f>
        <v>9.6479999999999997</v>
      </c>
      <c r="BY27" s="1511">
        <f>'SG-Fu'!$O$59</f>
        <v>9.8160000000000025</v>
      </c>
      <c r="BZ27" s="1511">
        <f>BG!$O$59</f>
        <v>9.7320000000000011</v>
      </c>
      <c r="CA27" s="1511">
        <f>Ha!$O$59</f>
        <v>9.7320000000000011</v>
      </c>
      <c r="CB27" s="1511">
        <f>Du!$O$59</f>
        <v>11.286000000000001</v>
      </c>
      <c r="CC27" s="1511">
        <f>KöM!$O$59</f>
        <v>9.468</v>
      </c>
      <c r="CD27" s="1511"/>
      <c r="CE27" s="1511">
        <f>WR!$O$59</f>
        <v>11.55</v>
      </c>
      <c r="CF27" s="1511">
        <f>SR!$O$59</f>
        <v>10.548000000000002</v>
      </c>
      <c r="CG27" s="1511">
        <f>SoBl!$O$59</f>
        <v>9.2640000000000011</v>
      </c>
      <c r="CH27" s="1511">
        <f>Soja!$O$59</f>
        <v>7.9776000000000007</v>
      </c>
      <c r="CI27" s="1511"/>
      <c r="CJ27" s="1511">
        <f>FE!$O$59</f>
        <v>8.078400000000002</v>
      </c>
      <c r="CK27" s="1511">
        <f>AB!$O$59</f>
        <v>8.078400000000002</v>
      </c>
      <c r="CL27" s="1511">
        <f>Lu!$O$59</f>
        <v>7.9440000000000008</v>
      </c>
      <c r="CM27" s="1511">
        <f>ZR!$O$59</f>
        <v>11.988</v>
      </c>
      <c r="CN27" s="1511">
        <f>FrühKa!$O$59</f>
        <v>24.27</v>
      </c>
      <c r="CO27" s="1511">
        <f>FrühKaFolieBer!$O$59</f>
        <v>39.36</v>
      </c>
      <c r="CP27" s="1511">
        <f>SpKa!$O$59</f>
        <v>26.98</v>
      </c>
      <c r="CQ27" s="1511">
        <f>SpKaBer!$O$59</f>
        <v>36.626000000000005</v>
      </c>
      <c r="CR27" s="1511">
        <f>'Kultur A'!$O$59</f>
        <v>0</v>
      </c>
      <c r="CS27" s="1511">
        <f>'FAKT-Brachebegrünung'!$O$59</f>
        <v>6.588000000000001</v>
      </c>
      <c r="CT27" s="1511">
        <f>Begr!$O$59</f>
        <v>6.5339999999999998</v>
      </c>
      <c r="CV27" s="1515" t="s">
        <v>1131</v>
      </c>
      <c r="CW27" s="1514" t="s">
        <v>463</v>
      </c>
      <c r="CX27" s="3612">
        <f>'Öko-KG1'!$I$59</f>
        <v>11.232000000000001</v>
      </c>
      <c r="CY27" s="1511">
        <f>'Öko-KG2'!$I$59</f>
        <v>8.2799999999999994</v>
      </c>
      <c r="CZ27" s="1511">
        <f>'Öko-LU1'!$I$59</f>
        <v>11.232000000000001</v>
      </c>
      <c r="DA27" s="1511">
        <f>'Öko-LU2'!$I$59</f>
        <v>8.2799999999999994</v>
      </c>
      <c r="DB27" s="1511">
        <f>'Öko-WW-Futter'!$I$59</f>
        <v>8.773714285714286</v>
      </c>
      <c r="DC27" s="1511">
        <f>'Öko-WW-Brot'!$I$59</f>
        <v>8.773714285714286</v>
      </c>
      <c r="DD27" s="1511">
        <f>'Öko-Dinkel'!$I$59</f>
        <v>8.5743000000000009</v>
      </c>
      <c r="DE27" s="1511">
        <f>'Öko-Dinkel,gegerbt'!$I$59</f>
        <v>8.5743000000000009</v>
      </c>
      <c r="DF27" s="1511">
        <f>'Öko-Roggen'!$I$59</f>
        <v>8.8786285714285729</v>
      </c>
      <c r="DG27" s="1511">
        <f>'Öko-Hafer'!$I$59</f>
        <v>8.8408285714285739</v>
      </c>
      <c r="DH27" s="1511">
        <f>'Öko-Wintergerste'!$I$59</f>
        <v>8.3926285714285722</v>
      </c>
      <c r="DI27" s="1511">
        <f>'Öko-Braugerste'!$I$59</f>
        <v>8.5716000000000001</v>
      </c>
      <c r="DJ27" s="1511">
        <f>'Öko-Körnermais'!$I$59</f>
        <v>11.963700000000001</v>
      </c>
      <c r="DK27" s="1511">
        <f>'Öko-Ackerbohnen'!$I$59</f>
        <v>9.891</v>
      </c>
      <c r="DL27" s="1511">
        <f>'Öko-Erbsen'!$I$59</f>
        <v>8.2674000000000003</v>
      </c>
      <c r="DM27" s="1511">
        <f>'Öko-Sojabohnen'!$I$59</f>
        <v>12.891060000000001</v>
      </c>
      <c r="DN27" s="1511">
        <f>'Öko-Soblu'!$I$59</f>
        <v>23.856000000000002</v>
      </c>
      <c r="DO27" s="1511">
        <f>'Öko-Raps'!$I$59</f>
        <v>24.335999999999999</v>
      </c>
      <c r="DP27" s="1511">
        <f>'Öko-Kartoffel'!$I$59</f>
        <v>34.089999999999996</v>
      </c>
      <c r="DQ27" s="1511"/>
      <c r="DR27" s="1511">
        <f>Begrün.!$I$59</f>
        <v>9.9359999999999999</v>
      </c>
      <c r="DS27" s="1511">
        <f>Blühm.!$I$59</f>
        <v>12.167999999999999</v>
      </c>
      <c r="DU27" s="1511">
        <f>'Öko-KG1'!$L$59</f>
        <v>11.232000000000001</v>
      </c>
      <c r="DV27" s="1511">
        <f>'Öko-KG2'!$L$59</f>
        <v>8.2799999999999994</v>
      </c>
      <c r="DW27" s="1511">
        <f>'Öko-LU1'!$L$59</f>
        <v>11.232000000000001</v>
      </c>
      <c r="DX27" s="1511">
        <f>'Öko-LU2'!$L$59</f>
        <v>8.2799999999999994</v>
      </c>
      <c r="DY27" s="1512">
        <f>'Öko-WW-Futter'!$L$59</f>
        <v>9.3054857142857159</v>
      </c>
      <c r="DZ27" s="1511">
        <f>'Öko-WW-Brot'!$L$59</f>
        <v>9.0534857142857152</v>
      </c>
      <c r="EA27" s="1511">
        <f>'Öko-Dinkel'!$L$59</f>
        <v>9.0396000000000001</v>
      </c>
      <c r="EB27" s="1511">
        <f>'Öko-Dinkel,gegerbt'!$L$59</f>
        <v>9.0396000000000001</v>
      </c>
      <c r="EC27" s="1511">
        <f>'Öko-Roggen'!$L$59</f>
        <v>9.4453714285714288</v>
      </c>
      <c r="ED27" s="1511">
        <f>'Öko-Hafer'!$L$59</f>
        <v>9.394971428571429</v>
      </c>
      <c r="EE27" s="1511">
        <f>'Öko-Wintergerste'!$L$59</f>
        <v>9.4453714285714288</v>
      </c>
      <c r="EF27" s="1511">
        <f>'Öko-Braugerste'!$L$59</f>
        <v>9.0360000000000014</v>
      </c>
      <c r="EG27" s="1511">
        <f>'Öko-Körnermais'!$L$59</f>
        <v>12.322800000000001</v>
      </c>
      <c r="EH27" s="1511">
        <f>'Öko-Ackerbohnen'!$L$59</f>
        <v>10.1052</v>
      </c>
      <c r="EI27" s="1511">
        <f>'Öko-Erbsen'!$L$59</f>
        <v>8.4564000000000004</v>
      </c>
      <c r="EJ27" s="1511">
        <f>'Öko-Sojabohnen'!$L$59</f>
        <v>12.978000000000002</v>
      </c>
      <c r="EK27" s="1511">
        <f>'Öko-Soblu'!$L$59</f>
        <v>24.135999999999999</v>
      </c>
      <c r="EL27" s="1511">
        <f>'Öko-Raps'!$L$59</f>
        <v>24.588000000000001</v>
      </c>
      <c r="EM27" s="1511">
        <f>'Öko-Kartoffel'!$L$59</f>
        <v>34.869999999999997</v>
      </c>
      <c r="EN27" s="1511"/>
      <c r="EO27" s="1511">
        <f>Begrün.!$L$59</f>
        <v>9.9359999999999999</v>
      </c>
      <c r="EP27" s="1511">
        <f>Blühm.!$L$59</f>
        <v>12.167999999999999</v>
      </c>
      <c r="ER27" s="1511">
        <f>'Öko-KG1'!$O$59</f>
        <v>11.232000000000001</v>
      </c>
      <c r="ES27" s="1511">
        <f>'Öko-KG2'!$O$59</f>
        <v>8.2799999999999994</v>
      </c>
      <c r="ET27" s="1511">
        <f>'Öko-LU1'!$O$59</f>
        <v>11.232000000000001</v>
      </c>
      <c r="EU27" s="1511">
        <f>'Öko-LU2'!$O$59</f>
        <v>8.2799999999999994</v>
      </c>
      <c r="EV27" s="1512">
        <f>'Öko-WW-Futter'!$O$59</f>
        <v>10.847622857142859</v>
      </c>
      <c r="EW27" s="1511">
        <f>'Öko-WW-Brot'!$O$59</f>
        <v>9.6130285714285719</v>
      </c>
      <c r="EX27" s="1511">
        <f>'Öko-Dinkel'!$O$59</f>
        <v>9.5713714285714282</v>
      </c>
      <c r="EY27" s="1511">
        <f>'Öko-Dinkel,gegerbt'!$O$59</f>
        <v>9.5048999999999992</v>
      </c>
      <c r="EZ27" s="1511">
        <f>'Öko-Roggen'!$O$59</f>
        <v>8.4497142857142862</v>
      </c>
      <c r="FA27" s="1511">
        <f>'Öko-Hafer'!$O$59</f>
        <v>9.9491142857142876</v>
      </c>
      <c r="FB27" s="1511">
        <f>'Öko-Wintergerste'!$O$59</f>
        <v>10.012114285714286</v>
      </c>
      <c r="FC27" s="1511">
        <f>'Öko-Braugerste'!$O$59</f>
        <v>9.5003999999999991</v>
      </c>
      <c r="FD27" s="1511">
        <f>'Öko-Körnermais'!$O$59</f>
        <v>12.681899999999999</v>
      </c>
      <c r="FE27" s="1511">
        <f>'Öko-Ackerbohnen'!$O$59</f>
        <v>10.319400000000002</v>
      </c>
      <c r="FF27" s="1511">
        <f>'Öko-Erbsen'!$O$59</f>
        <v>10.679400000000001</v>
      </c>
      <c r="FG27" s="1511">
        <f>'Öko-Sojabohnen'!$O$59</f>
        <v>13.550940000000001</v>
      </c>
      <c r="FH27" s="1511">
        <f>'Öko-Soblu'!$O$59</f>
        <v>24.024000000000001</v>
      </c>
      <c r="FI27" s="1511">
        <f>'Öko-Raps'!$O$59</f>
        <v>24.783999999999999</v>
      </c>
      <c r="FJ27" s="1511">
        <f>'Öko-Kartoffel'!$O$59</f>
        <v>36.081999999999994</v>
      </c>
      <c r="FK27" s="1511"/>
      <c r="FL27" s="1511">
        <f>Begrün.!$O$59</f>
        <v>9.9359999999999999</v>
      </c>
      <c r="FM27" s="1511">
        <f>Blühm.!$O$59</f>
        <v>12.167999999999999</v>
      </c>
    </row>
    <row r="28" spans="1:169" ht="16.149999999999999" customHeight="1">
      <c r="A28" s="1440">
        <f>ROWS($A$1:A28)</f>
        <v>28</v>
      </c>
      <c r="B28" s="1509" t="s">
        <v>1130</v>
      </c>
      <c r="C28" s="1492" t="s">
        <v>171</v>
      </c>
      <c r="D28" s="3618">
        <f>'SDK4'!N8</f>
        <v>209</v>
      </c>
      <c r="E28" s="1490">
        <f>'SDK4'!$N$8</f>
        <v>209</v>
      </c>
      <c r="F28" s="1490">
        <f>'SDK4'!$N$8</f>
        <v>209</v>
      </c>
      <c r="G28" s="1490">
        <f>'SDK4'!$N$8</f>
        <v>209</v>
      </c>
      <c r="H28" s="1490">
        <f>'SDK4'!$N$8</f>
        <v>209</v>
      </c>
      <c r="I28" s="1490">
        <f>'SDK4'!$N$8</f>
        <v>209</v>
      </c>
      <c r="J28" s="1490">
        <f>'SDK4'!$N$8</f>
        <v>209</v>
      </c>
      <c r="K28" s="1490">
        <f>'SDK4'!$N$8</f>
        <v>209</v>
      </c>
      <c r="L28" s="1490">
        <f>'SDK4'!$N$8</f>
        <v>209</v>
      </c>
      <c r="M28" s="1490">
        <f>'SDK4'!$N$8</f>
        <v>209</v>
      </c>
      <c r="N28" s="1490">
        <f>'SDK4'!$N$8</f>
        <v>209</v>
      </c>
      <c r="O28" s="1490">
        <f>'SDK4'!$N$8</f>
        <v>209</v>
      </c>
      <c r="P28" s="1490">
        <f>'SDK4'!$N$8</f>
        <v>209</v>
      </c>
      <c r="Q28" s="1490">
        <f>'SDK4'!$N$8</f>
        <v>209</v>
      </c>
      <c r="R28" s="1490"/>
      <c r="S28" s="1490">
        <f>'SDK4'!$N$8</f>
        <v>209</v>
      </c>
      <c r="T28" s="1490">
        <f>'SDK4'!$N$8</f>
        <v>209</v>
      </c>
      <c r="U28" s="1490">
        <f>'SDK4'!$N$8</f>
        <v>209</v>
      </c>
      <c r="V28" s="1490">
        <f>'SDK4'!$N$8</f>
        <v>209</v>
      </c>
      <c r="W28" s="1490"/>
      <c r="X28" s="1490">
        <f>'SDK4'!$N$8</f>
        <v>209</v>
      </c>
      <c r="Y28" s="1490">
        <f>'SDK4'!$N$8</f>
        <v>209</v>
      </c>
      <c r="Z28" s="1490">
        <f>'SDK4'!$N$8</f>
        <v>209</v>
      </c>
      <c r="AA28" s="1490">
        <f>'SDK4'!$N$8</f>
        <v>209</v>
      </c>
      <c r="AB28" s="1490">
        <f>'SDK4'!$N$8</f>
        <v>209</v>
      </c>
      <c r="AC28" s="1490">
        <f>'SDK4'!$N$8</f>
        <v>209</v>
      </c>
      <c r="AD28" s="1490">
        <f>'SDK4'!$N$8</f>
        <v>209</v>
      </c>
      <c r="AE28" s="1490">
        <f>'SDK4'!$N$8</f>
        <v>209</v>
      </c>
      <c r="AF28" s="1490">
        <f>'SDK4'!$N$8</f>
        <v>209</v>
      </c>
      <c r="AG28" s="1490">
        <f>'SDK4'!$N$8</f>
        <v>209</v>
      </c>
      <c r="AH28" s="1490"/>
      <c r="AI28" s="1442"/>
      <c r="AJ28" s="1491">
        <f>'SDK4'!N8</f>
        <v>209</v>
      </c>
      <c r="AK28" s="1490">
        <f>'SDK4'!$N$8</f>
        <v>209</v>
      </c>
      <c r="AL28" s="1490">
        <f>'SDK4'!$N$8</f>
        <v>209</v>
      </c>
      <c r="AM28" s="1490">
        <f>'SDK4'!$N$8</f>
        <v>209</v>
      </c>
      <c r="AN28" s="1490">
        <f>'SDK4'!$N$8</f>
        <v>209</v>
      </c>
      <c r="AO28" s="1490">
        <f>'SDK4'!$N$8</f>
        <v>209</v>
      </c>
      <c r="AP28" s="1490">
        <f>'SDK4'!$N$8</f>
        <v>209</v>
      </c>
      <c r="AQ28" s="1490">
        <f>'SDK4'!$N$8</f>
        <v>209</v>
      </c>
      <c r="AR28" s="1490">
        <f>'SDK4'!$N$8</f>
        <v>209</v>
      </c>
      <c r="AS28" s="1490">
        <f>'SDK4'!$N$8</f>
        <v>209</v>
      </c>
      <c r="AT28" s="1490">
        <f>'SDK4'!$N$8</f>
        <v>209</v>
      </c>
      <c r="AU28" s="1490">
        <f>'SDK4'!$N$8</f>
        <v>209</v>
      </c>
      <c r="AV28" s="1490">
        <f>'SDK4'!$N$8</f>
        <v>209</v>
      </c>
      <c r="AW28" s="1490">
        <f>'SDK4'!$N$8</f>
        <v>209</v>
      </c>
      <c r="AX28" s="1490"/>
      <c r="AY28" s="1490">
        <f>'SDK4'!$N$8</f>
        <v>209</v>
      </c>
      <c r="AZ28" s="1490">
        <f>'SDK4'!$N$8</f>
        <v>209</v>
      </c>
      <c r="BA28" s="1490">
        <f>'SDK4'!$N$8</f>
        <v>209</v>
      </c>
      <c r="BB28" s="1490">
        <f>'SDK4'!$N$8</f>
        <v>209</v>
      </c>
      <c r="BC28" s="1490"/>
      <c r="BD28" s="1490">
        <f>'SDK4'!$N$8</f>
        <v>209</v>
      </c>
      <c r="BE28" s="1490">
        <f>'SDK4'!$N$8</f>
        <v>209</v>
      </c>
      <c r="BF28" s="1490">
        <f>'SDK4'!$N$8</f>
        <v>209</v>
      </c>
      <c r="BG28" s="1490">
        <f>'SDK4'!$N$8</f>
        <v>209</v>
      </c>
      <c r="BH28" s="1490">
        <f>'SDK4'!$N$8</f>
        <v>209</v>
      </c>
      <c r="BI28" s="1490">
        <f>'SDK4'!$N$8</f>
        <v>209</v>
      </c>
      <c r="BJ28" s="1490">
        <f>'SDK4'!$N$8</f>
        <v>209</v>
      </c>
      <c r="BK28" s="1490">
        <f>'SDK4'!$N$8</f>
        <v>209</v>
      </c>
      <c r="BL28" s="1490">
        <f>'SDK4'!$N$8</f>
        <v>209</v>
      </c>
      <c r="BM28" s="1490">
        <f>'SDK4'!$N$8</f>
        <v>209</v>
      </c>
      <c r="BN28" s="1490"/>
      <c r="BO28" s="1442"/>
      <c r="BP28" s="1491">
        <f>'SDK4'!N8</f>
        <v>209</v>
      </c>
      <c r="BQ28" s="1490">
        <f>'SDK4'!$N$8</f>
        <v>209</v>
      </c>
      <c r="BR28" s="1490">
        <f>'SDK4'!$N$8</f>
        <v>209</v>
      </c>
      <c r="BS28" s="1490">
        <f>'SDK4'!$N$8</f>
        <v>209</v>
      </c>
      <c r="BT28" s="1490">
        <f>'SDK4'!$N$8</f>
        <v>209</v>
      </c>
      <c r="BU28" s="1490">
        <f>'SDK4'!$N$8</f>
        <v>209</v>
      </c>
      <c r="BV28" s="1490">
        <f>'SDK4'!$N$8</f>
        <v>209</v>
      </c>
      <c r="BW28" s="1490">
        <f>'SDK4'!$N$8</f>
        <v>209</v>
      </c>
      <c r="BX28" s="1490">
        <f>'SDK4'!$N$8</f>
        <v>209</v>
      </c>
      <c r="BY28" s="1490">
        <f>'SDK4'!$N$8</f>
        <v>209</v>
      </c>
      <c r="BZ28" s="1490">
        <f>'SDK4'!$N$8</f>
        <v>209</v>
      </c>
      <c r="CA28" s="1490">
        <f>'SDK4'!$N$8</f>
        <v>209</v>
      </c>
      <c r="CB28" s="1490">
        <f>'SDK4'!$N$8</f>
        <v>209</v>
      </c>
      <c r="CC28" s="1490">
        <f>'SDK4'!$N$8</f>
        <v>209</v>
      </c>
      <c r="CD28" s="1490"/>
      <c r="CE28" s="1490">
        <f>'SDK4'!$N$8</f>
        <v>209</v>
      </c>
      <c r="CF28" s="1490">
        <f>'SDK4'!$N$8</f>
        <v>209</v>
      </c>
      <c r="CG28" s="1490">
        <f>'SDK4'!$N$8</f>
        <v>209</v>
      </c>
      <c r="CH28" s="1490">
        <f>'SDK4'!$N$8</f>
        <v>209</v>
      </c>
      <c r="CI28" s="1490"/>
      <c r="CJ28" s="1490">
        <f>'SDK4'!$N$8</f>
        <v>209</v>
      </c>
      <c r="CK28" s="1490">
        <f>'SDK4'!$N$8</f>
        <v>209</v>
      </c>
      <c r="CL28" s="1490">
        <f>'SDK4'!$N$8</f>
        <v>209</v>
      </c>
      <c r="CM28" s="1490">
        <f>'SDK4'!$N$8</f>
        <v>209</v>
      </c>
      <c r="CN28" s="1490">
        <f>'SDK4'!$N$8</f>
        <v>209</v>
      </c>
      <c r="CO28" s="1490">
        <f>'SDK4'!$N$8</f>
        <v>209</v>
      </c>
      <c r="CP28" s="1490">
        <f>'SDK4'!$N$8</f>
        <v>209</v>
      </c>
      <c r="CQ28" s="1490">
        <f>'SDK4'!$N$8</f>
        <v>209</v>
      </c>
      <c r="CR28" s="1490">
        <f>'SDK4'!$N$8</f>
        <v>209</v>
      </c>
      <c r="CS28" s="1490">
        <f>'SDK4'!$N$8</f>
        <v>209</v>
      </c>
      <c r="CT28" s="1490"/>
      <c r="CV28" s="1509" t="s">
        <v>1130</v>
      </c>
      <c r="CW28" s="1492" t="s">
        <v>171</v>
      </c>
      <c r="CX28" s="3618">
        <f>SDÖ4!$O$8</f>
        <v>195</v>
      </c>
      <c r="CY28" s="1490">
        <f>SDÖ4!$O$8</f>
        <v>195</v>
      </c>
      <c r="CZ28" s="1490">
        <f>SDÖ4!$O$8</f>
        <v>195</v>
      </c>
      <c r="DA28" s="1490">
        <f>SDÖ4!$O$8</f>
        <v>195</v>
      </c>
      <c r="DB28" s="1490">
        <f>SDÖ4!O76</f>
        <v>0</v>
      </c>
      <c r="DC28" s="1490">
        <f>SDÖ4!$O$8</f>
        <v>195</v>
      </c>
      <c r="DD28" s="1490">
        <f>SDÖ4!$O$8</f>
        <v>195</v>
      </c>
      <c r="DE28" s="1490">
        <f>SDÖ4!$O$8</f>
        <v>195</v>
      </c>
      <c r="DF28" s="1490">
        <f>SDÖ4!$O$8</f>
        <v>195</v>
      </c>
      <c r="DG28" s="1490">
        <f>SDÖ4!$O$8</f>
        <v>195</v>
      </c>
      <c r="DH28" s="1490">
        <f>SDÖ4!$O$8</f>
        <v>195</v>
      </c>
      <c r="DI28" s="1490">
        <f>SDÖ4!$O$8</f>
        <v>195</v>
      </c>
      <c r="DJ28" s="1490">
        <f>SDÖ4!$O$8</f>
        <v>195</v>
      </c>
      <c r="DK28" s="1490">
        <f>SDÖ4!$O$8</f>
        <v>195</v>
      </c>
      <c r="DL28" s="1490">
        <f>SDÖ4!$O$8</f>
        <v>195</v>
      </c>
      <c r="DM28" s="1490">
        <f>SDÖ4!$O$8</f>
        <v>195</v>
      </c>
      <c r="DN28" s="1490">
        <f>SDÖ4!$O$8</f>
        <v>195</v>
      </c>
      <c r="DO28" s="1490">
        <f>SDÖ4!$O$8</f>
        <v>195</v>
      </c>
      <c r="DP28" s="1490">
        <f>SDÖ4!$O$8</f>
        <v>195</v>
      </c>
      <c r="DQ28" s="1490"/>
      <c r="DR28" s="1490">
        <f>SDÖ4!$O$8</f>
        <v>195</v>
      </c>
      <c r="DS28" s="1490">
        <f>SDÖ4!$O$8</f>
        <v>195</v>
      </c>
      <c r="DT28" s="1434"/>
      <c r="DU28" s="1490">
        <f>SDÖ4!$O$8</f>
        <v>195</v>
      </c>
      <c r="DV28" s="1490">
        <f>SDÖ4!$O$8</f>
        <v>195</v>
      </c>
      <c r="DW28" s="1490">
        <f>SDÖ4!$O$8</f>
        <v>195</v>
      </c>
      <c r="DX28" s="1490">
        <f>SDÖ4!$O$8</f>
        <v>195</v>
      </c>
      <c r="DY28" s="1490">
        <f>SDÖ4!$O$8</f>
        <v>195</v>
      </c>
      <c r="DZ28" s="1490">
        <f>SDÖ4!$O$8</f>
        <v>195</v>
      </c>
      <c r="EA28" s="1490">
        <f>SDÖ4!$O$8</f>
        <v>195</v>
      </c>
      <c r="EB28" s="1490">
        <f>SDÖ4!$O$8</f>
        <v>195</v>
      </c>
      <c r="EC28" s="1490">
        <f>SDÖ4!$O$8</f>
        <v>195</v>
      </c>
      <c r="ED28" s="1490">
        <f>SDÖ4!$O$8</f>
        <v>195</v>
      </c>
      <c r="EE28" s="1490">
        <f>SDÖ4!$O$8</f>
        <v>195</v>
      </c>
      <c r="EF28" s="1490">
        <f>SDÖ4!$O$8</f>
        <v>195</v>
      </c>
      <c r="EG28" s="1490">
        <f>SDÖ4!$O$8</f>
        <v>195</v>
      </c>
      <c r="EH28" s="1490">
        <f>SDÖ4!$O$8</f>
        <v>195</v>
      </c>
      <c r="EI28" s="1490">
        <f>SDÖ4!$O$8</f>
        <v>195</v>
      </c>
      <c r="EJ28" s="1490">
        <f>SDÖ4!$O$8</f>
        <v>195</v>
      </c>
      <c r="EK28" s="1490">
        <f>SDÖ4!$O$8</f>
        <v>195</v>
      </c>
      <c r="EL28" s="1490">
        <f>SDÖ4!$O$8</f>
        <v>195</v>
      </c>
      <c r="EM28" s="1490">
        <f>SDÖ4!$O$8</f>
        <v>195</v>
      </c>
      <c r="EN28" s="1490"/>
      <c r="EO28" s="1490">
        <f>SDÖ4!$O$8</f>
        <v>195</v>
      </c>
      <c r="EP28" s="1490">
        <f>SDÖ4!$O$8</f>
        <v>195</v>
      </c>
      <c r="EQ28" s="1434"/>
      <c r="ER28" s="1490">
        <f>SDÖ4!$O$8</f>
        <v>195</v>
      </c>
      <c r="ES28" s="1490">
        <f>SDÖ4!$O$8</f>
        <v>195</v>
      </c>
      <c r="ET28" s="1490">
        <f>SDÖ4!$O$8</f>
        <v>195</v>
      </c>
      <c r="EU28" s="1490">
        <f>SDÖ4!$O$8</f>
        <v>195</v>
      </c>
      <c r="EV28" s="1491">
        <f>SDÖ4!O76</f>
        <v>0</v>
      </c>
      <c r="EW28" s="1490">
        <f>SDÖ4!$O$8</f>
        <v>195</v>
      </c>
      <c r="EX28" s="1490">
        <f>SDÖ4!$O$8</f>
        <v>195</v>
      </c>
      <c r="EY28" s="1490">
        <f>SDÖ4!$O$8</f>
        <v>195</v>
      </c>
      <c r="EZ28" s="1490">
        <f>SDÖ4!$O$8</f>
        <v>195</v>
      </c>
      <c r="FA28" s="1490">
        <f>SDÖ4!$O$8</f>
        <v>195</v>
      </c>
      <c r="FB28" s="1490">
        <f>SDÖ4!$O$8</f>
        <v>195</v>
      </c>
      <c r="FC28" s="1490">
        <f>SDÖ4!$O$8</f>
        <v>195</v>
      </c>
      <c r="FD28" s="1490">
        <f>SDÖ4!$O$8</f>
        <v>195</v>
      </c>
      <c r="FE28" s="1490">
        <f>SDÖ4!$O$8</f>
        <v>195</v>
      </c>
      <c r="FF28" s="1490">
        <f>SDÖ4!$O$8</f>
        <v>195</v>
      </c>
      <c r="FG28" s="1490">
        <f>SDÖ4!$O$8</f>
        <v>195</v>
      </c>
      <c r="FH28" s="1490">
        <f>SDÖ4!$O$8</f>
        <v>195</v>
      </c>
      <c r="FI28" s="1490">
        <f>SDÖ4!$O$8</f>
        <v>195</v>
      </c>
      <c r="FJ28" s="1490">
        <f>SDÖ4!$O$8</f>
        <v>195</v>
      </c>
      <c r="FK28" s="1490"/>
      <c r="FL28" s="1490">
        <f>SDÖ4!$O$8</f>
        <v>195</v>
      </c>
      <c r="FM28" s="1490">
        <f>SDÖ4!$O$8</f>
        <v>195</v>
      </c>
    </row>
    <row r="29" spans="1:169" ht="16.149999999999999" customHeight="1">
      <c r="A29" s="1440">
        <f>ROWS($A$1:A29)</f>
        <v>29</v>
      </c>
      <c r="B29" s="1486" t="s">
        <v>1129</v>
      </c>
      <c r="C29" s="1456"/>
      <c r="D29" s="3617">
        <f>'SDK4'!N33</f>
        <v>41</v>
      </c>
      <c r="E29" s="1445">
        <f>'SDK4'!$N$33</f>
        <v>41</v>
      </c>
      <c r="F29" s="1445">
        <f>'SDK4'!$N$33</f>
        <v>41</v>
      </c>
      <c r="G29" s="1445">
        <f>'SDK4'!$N$33</f>
        <v>41</v>
      </c>
      <c r="H29" s="1445">
        <f>'SDK4'!$N$33</f>
        <v>41</v>
      </c>
      <c r="I29" s="1445">
        <f>'SDK4'!$N$33</f>
        <v>41</v>
      </c>
      <c r="J29" s="1445">
        <f>'SDK4'!$N$33</f>
        <v>41</v>
      </c>
      <c r="K29" s="1445">
        <f>'SDK4'!$N$33</f>
        <v>41</v>
      </c>
      <c r="L29" s="1445">
        <f>'SDK4'!$N$33</f>
        <v>41</v>
      </c>
      <c r="M29" s="1445">
        <f>'SDK4'!$N$33</f>
        <v>41</v>
      </c>
      <c r="N29" s="1445">
        <f>'SDK4'!$N$33</f>
        <v>41</v>
      </c>
      <c r="O29" s="1445">
        <f>'SDK4'!$N$33</f>
        <v>41</v>
      </c>
      <c r="P29" s="1445">
        <f>'SDK4'!$N$33</f>
        <v>41</v>
      </c>
      <c r="Q29" s="1445">
        <f>'SDK4'!$N$33</f>
        <v>41</v>
      </c>
      <c r="R29" s="1445"/>
      <c r="S29" s="1445">
        <f>'SDK4'!$N$33</f>
        <v>41</v>
      </c>
      <c r="T29" s="1445">
        <f>'SDK4'!$N$33</f>
        <v>41</v>
      </c>
      <c r="U29" s="1445">
        <f>'SDK4'!$N$33</f>
        <v>41</v>
      </c>
      <c r="V29" s="1445">
        <f>'SDK4'!$N$33</f>
        <v>41</v>
      </c>
      <c r="W29" s="1445"/>
      <c r="X29" s="1445">
        <f>'SDK4'!$N$33</f>
        <v>41</v>
      </c>
      <c r="Y29" s="1445">
        <f>'SDK4'!$N$33</f>
        <v>41</v>
      </c>
      <c r="Z29" s="1445">
        <f>'SDK4'!$N$33</f>
        <v>41</v>
      </c>
      <c r="AA29" s="1445">
        <f>'SDK4'!$N$33</f>
        <v>41</v>
      </c>
      <c r="AB29" s="1445">
        <f>'SDK4'!$N$33</f>
        <v>41</v>
      </c>
      <c r="AC29" s="1445">
        <f>'SDK4'!$N$33</f>
        <v>41</v>
      </c>
      <c r="AD29" s="1445">
        <f>'SDK4'!$N$33</f>
        <v>41</v>
      </c>
      <c r="AE29" s="1445">
        <f>'SDK4'!$N$33</f>
        <v>41</v>
      </c>
      <c r="AF29" s="1445">
        <f>'SDK4'!$N$33</f>
        <v>41</v>
      </c>
      <c r="AG29" s="1445">
        <f>'SDK4'!$N$33</f>
        <v>41</v>
      </c>
      <c r="AH29" s="1445"/>
      <c r="AI29" s="1442"/>
      <c r="AJ29" s="1443">
        <f>'SDK4'!N33</f>
        <v>41</v>
      </c>
      <c r="AK29" s="1445">
        <f>'SDK4'!$N$33</f>
        <v>41</v>
      </c>
      <c r="AL29" s="1445">
        <f>'SDK4'!$N$33</f>
        <v>41</v>
      </c>
      <c r="AM29" s="1445">
        <f>'SDK4'!$N$33</f>
        <v>41</v>
      </c>
      <c r="AN29" s="1445">
        <f>'SDK4'!$N$33</f>
        <v>41</v>
      </c>
      <c r="AO29" s="1445">
        <f>'SDK4'!$N$33</f>
        <v>41</v>
      </c>
      <c r="AP29" s="1445">
        <f>'SDK4'!$N$33</f>
        <v>41</v>
      </c>
      <c r="AQ29" s="1445">
        <f>'SDK4'!$N$33</f>
        <v>41</v>
      </c>
      <c r="AR29" s="1445">
        <f>'SDK4'!$N$33</f>
        <v>41</v>
      </c>
      <c r="AS29" s="1445">
        <f>'SDK4'!$N$33</f>
        <v>41</v>
      </c>
      <c r="AT29" s="1445">
        <f>'SDK4'!$N$33</f>
        <v>41</v>
      </c>
      <c r="AU29" s="1445">
        <f>'SDK4'!$N$33</f>
        <v>41</v>
      </c>
      <c r="AV29" s="1445">
        <f>'SDK4'!$N$33</f>
        <v>41</v>
      </c>
      <c r="AW29" s="1445">
        <f>'SDK4'!$N$33</f>
        <v>41</v>
      </c>
      <c r="AX29" s="1445"/>
      <c r="AY29" s="1445">
        <f>'SDK4'!$N$33</f>
        <v>41</v>
      </c>
      <c r="AZ29" s="1445">
        <f>'SDK4'!$N$33</f>
        <v>41</v>
      </c>
      <c r="BA29" s="1445">
        <f>'SDK4'!$N$33</f>
        <v>41</v>
      </c>
      <c r="BB29" s="1445">
        <f>'SDK4'!$N$33</f>
        <v>41</v>
      </c>
      <c r="BC29" s="1445"/>
      <c r="BD29" s="1445">
        <f>'SDK4'!$N$33</f>
        <v>41</v>
      </c>
      <c r="BE29" s="1445">
        <f>'SDK4'!$N$33</f>
        <v>41</v>
      </c>
      <c r="BF29" s="1445">
        <f>'SDK4'!$N$33</f>
        <v>41</v>
      </c>
      <c r="BG29" s="1445">
        <f>'SDK4'!$N$33</f>
        <v>41</v>
      </c>
      <c r="BH29" s="1445">
        <f>'SDK4'!$N$33</f>
        <v>41</v>
      </c>
      <c r="BI29" s="1445">
        <f>'SDK4'!$N$33</f>
        <v>41</v>
      </c>
      <c r="BJ29" s="1445">
        <f>'SDK4'!$N$33</f>
        <v>41</v>
      </c>
      <c r="BK29" s="1445">
        <f>'SDK4'!$N$33</f>
        <v>41</v>
      </c>
      <c r="BL29" s="1445">
        <f>'SDK4'!$N$33</f>
        <v>41</v>
      </c>
      <c r="BM29" s="1445">
        <f>'SDK4'!$N$33</f>
        <v>41</v>
      </c>
      <c r="BN29" s="1445"/>
      <c r="BO29" s="1442"/>
      <c r="BP29" s="1443">
        <f>'SDK4'!N33</f>
        <v>41</v>
      </c>
      <c r="BQ29" s="1445">
        <f>'SDK4'!$N$33</f>
        <v>41</v>
      </c>
      <c r="BR29" s="1445">
        <f>'SDK4'!$N$33</f>
        <v>41</v>
      </c>
      <c r="BS29" s="1445">
        <f>'SDK4'!$N$33</f>
        <v>41</v>
      </c>
      <c r="BT29" s="1445">
        <f>'SDK4'!$N$33</f>
        <v>41</v>
      </c>
      <c r="BU29" s="1445">
        <f>'SDK4'!$N$33</f>
        <v>41</v>
      </c>
      <c r="BV29" s="1445">
        <f>'SDK4'!$N$33</f>
        <v>41</v>
      </c>
      <c r="BW29" s="1445">
        <f>'SDK4'!$N$33</f>
        <v>41</v>
      </c>
      <c r="BX29" s="1445">
        <f>'SDK4'!$N$33</f>
        <v>41</v>
      </c>
      <c r="BY29" s="1445">
        <f>'SDK4'!$N$33</f>
        <v>41</v>
      </c>
      <c r="BZ29" s="1445">
        <f>'SDK4'!$N$33</f>
        <v>41</v>
      </c>
      <c r="CA29" s="1445">
        <f>'SDK4'!$N$33</f>
        <v>41</v>
      </c>
      <c r="CB29" s="1445">
        <f>'SDK4'!$N$33</f>
        <v>41</v>
      </c>
      <c r="CC29" s="1445">
        <f>'SDK4'!$N$33</f>
        <v>41</v>
      </c>
      <c r="CD29" s="1445"/>
      <c r="CE29" s="1445">
        <f>'SDK4'!$N$33</f>
        <v>41</v>
      </c>
      <c r="CF29" s="1445">
        <f>'SDK4'!$N$33</f>
        <v>41</v>
      </c>
      <c r="CG29" s="1445">
        <f>'SDK4'!$N$33</f>
        <v>41</v>
      </c>
      <c r="CH29" s="1445">
        <f>'SDK4'!$N$33</f>
        <v>41</v>
      </c>
      <c r="CI29" s="1445"/>
      <c r="CJ29" s="1445">
        <f>'SDK4'!$N$33</f>
        <v>41</v>
      </c>
      <c r="CK29" s="1445">
        <f>'SDK4'!$N$33</f>
        <v>41</v>
      </c>
      <c r="CL29" s="1445">
        <f>'SDK4'!$N$33</f>
        <v>41</v>
      </c>
      <c r="CM29" s="1445">
        <f>'SDK4'!$N$33</f>
        <v>41</v>
      </c>
      <c r="CN29" s="1445">
        <f>'SDK4'!$N$33</f>
        <v>41</v>
      </c>
      <c r="CO29" s="1445">
        <f>'SDK4'!$N$33</f>
        <v>41</v>
      </c>
      <c r="CP29" s="1445">
        <f>'SDK4'!$N$33</f>
        <v>41</v>
      </c>
      <c r="CQ29" s="1445">
        <f>'SDK4'!$N$33</f>
        <v>41</v>
      </c>
      <c r="CR29" s="1445">
        <f>'SDK4'!$N$33</f>
        <v>41</v>
      </c>
      <c r="CS29" s="1445">
        <f>'SDK4'!$N$33</f>
        <v>41</v>
      </c>
      <c r="CT29" s="1445"/>
      <c r="CV29" s="1486" t="s">
        <v>1129</v>
      </c>
      <c r="CW29" s="1456"/>
      <c r="CX29" s="3617">
        <f>SDÖ4!$O$19</f>
        <v>31</v>
      </c>
      <c r="CY29" s="1445">
        <f>SDÖ4!$O$19</f>
        <v>31</v>
      </c>
      <c r="CZ29" s="1445">
        <f>SDÖ4!$O$19</f>
        <v>31</v>
      </c>
      <c r="DA29" s="1445">
        <f>SDÖ4!$O$19</f>
        <v>31</v>
      </c>
      <c r="DB29" s="1445">
        <f>SDÖ4!$O$19</f>
        <v>31</v>
      </c>
      <c r="DC29" s="1445">
        <f>SDÖ4!$O$19</f>
        <v>31</v>
      </c>
      <c r="DD29" s="1445">
        <f>SDÖ4!$O$19</f>
        <v>31</v>
      </c>
      <c r="DE29" s="1445">
        <f>SDÖ4!$O$19</f>
        <v>31</v>
      </c>
      <c r="DF29" s="1445">
        <f>SDÖ4!$O$19</f>
        <v>31</v>
      </c>
      <c r="DG29" s="1445">
        <f>SDÖ4!$O$19</f>
        <v>31</v>
      </c>
      <c r="DH29" s="1445">
        <f>SDÖ4!$O$19</f>
        <v>31</v>
      </c>
      <c r="DI29" s="1445">
        <f>SDÖ4!$O$19</f>
        <v>31</v>
      </c>
      <c r="DJ29" s="1445">
        <f>SDÖ4!$O$19</f>
        <v>31</v>
      </c>
      <c r="DK29" s="1445">
        <f>SDÖ4!$O$19</f>
        <v>31</v>
      </c>
      <c r="DL29" s="1445">
        <f>SDÖ4!$O$19</f>
        <v>31</v>
      </c>
      <c r="DM29" s="1445">
        <f>SDÖ4!$O$19</f>
        <v>31</v>
      </c>
      <c r="DN29" s="1445">
        <f>SDÖ4!$O$19</f>
        <v>31</v>
      </c>
      <c r="DO29" s="1445">
        <f>SDÖ4!$O$19</f>
        <v>31</v>
      </c>
      <c r="DP29" s="1445">
        <f>SDÖ4!$O$19</f>
        <v>31</v>
      </c>
      <c r="DQ29" s="1445"/>
      <c r="DR29" s="1445"/>
      <c r="DS29" s="1445">
        <f>SDÖ4!$O$19</f>
        <v>31</v>
      </c>
      <c r="DT29" s="1434"/>
      <c r="DU29" s="1445">
        <f>SDÖ4!$O$19</f>
        <v>31</v>
      </c>
      <c r="DV29" s="1445">
        <f>SDÖ4!$O$19</f>
        <v>31</v>
      </c>
      <c r="DW29" s="1445">
        <f>SDÖ4!$O$19</f>
        <v>31</v>
      </c>
      <c r="DX29" s="1445">
        <f>SDÖ4!$O$19</f>
        <v>31</v>
      </c>
      <c r="DY29" s="1443">
        <f>SDÖ4!$O$19</f>
        <v>31</v>
      </c>
      <c r="DZ29" s="1445">
        <f>SDÖ4!$O$19</f>
        <v>31</v>
      </c>
      <c r="EA29" s="1445">
        <f>SDÖ4!$O$19</f>
        <v>31</v>
      </c>
      <c r="EB29" s="1445">
        <f>SDÖ4!$O$19</f>
        <v>31</v>
      </c>
      <c r="EC29" s="1445">
        <f>SDÖ4!$O$19</f>
        <v>31</v>
      </c>
      <c r="ED29" s="1445">
        <f>SDÖ4!$O$19</f>
        <v>31</v>
      </c>
      <c r="EE29" s="1445">
        <f>SDÖ4!$O$19</f>
        <v>31</v>
      </c>
      <c r="EF29" s="1445">
        <f>SDÖ4!$O$19</f>
        <v>31</v>
      </c>
      <c r="EG29" s="1445">
        <f>SDÖ4!$O$19</f>
        <v>31</v>
      </c>
      <c r="EH29" s="1445">
        <f>SDÖ4!$O$19</f>
        <v>31</v>
      </c>
      <c r="EI29" s="1445">
        <f>SDÖ4!$O$19</f>
        <v>31</v>
      </c>
      <c r="EJ29" s="1445">
        <f>SDÖ4!$O$19</f>
        <v>31</v>
      </c>
      <c r="EK29" s="1445">
        <f>SDÖ4!$O$19</f>
        <v>31</v>
      </c>
      <c r="EL29" s="1445">
        <f>SDÖ4!$O$19</f>
        <v>31</v>
      </c>
      <c r="EM29" s="1445">
        <f>SDÖ4!$O$19</f>
        <v>31</v>
      </c>
      <c r="EN29" s="1445"/>
      <c r="EO29" s="1445">
        <f>SDÖ4!$O$19</f>
        <v>31</v>
      </c>
      <c r="EP29" s="1445">
        <f>SDÖ4!$O$19</f>
        <v>31</v>
      </c>
      <c r="EQ29" s="1434"/>
      <c r="ER29" s="1445">
        <f>SDÖ4!$O$19</f>
        <v>31</v>
      </c>
      <c r="ES29" s="1445">
        <f>SDÖ4!$O$19</f>
        <v>31</v>
      </c>
      <c r="ET29" s="1445">
        <f>SDÖ4!$O$19</f>
        <v>31</v>
      </c>
      <c r="EU29" s="1445">
        <f>SDÖ4!$O$19</f>
        <v>31</v>
      </c>
      <c r="EV29" s="1443">
        <f>SDÖ4!$O$19</f>
        <v>31</v>
      </c>
      <c r="EW29" s="1445">
        <f>SDÖ4!$O$19</f>
        <v>31</v>
      </c>
      <c r="EX29" s="1445">
        <f>SDÖ4!$O$19</f>
        <v>31</v>
      </c>
      <c r="EY29" s="1445">
        <f>SDÖ4!$O$19</f>
        <v>31</v>
      </c>
      <c r="EZ29" s="1445">
        <f>SDÖ4!$O$19</f>
        <v>31</v>
      </c>
      <c r="FA29" s="1445">
        <f>SDÖ4!$O$19</f>
        <v>31</v>
      </c>
      <c r="FB29" s="1445">
        <f>SDÖ4!$O$19</f>
        <v>31</v>
      </c>
      <c r="FC29" s="1445">
        <f>SDÖ4!$O$19</f>
        <v>31</v>
      </c>
      <c r="FD29" s="1445">
        <f>SDÖ4!$O$19</f>
        <v>31</v>
      </c>
      <c r="FE29" s="1445">
        <f>SDÖ4!$O$19</f>
        <v>31</v>
      </c>
      <c r="FF29" s="1445">
        <f>SDÖ4!$O$19</f>
        <v>31</v>
      </c>
      <c r="FG29" s="1445">
        <f>SDÖ4!$O$19</f>
        <v>31</v>
      </c>
      <c r="FH29" s="1445">
        <f>SDÖ4!$O$19</f>
        <v>31</v>
      </c>
      <c r="FI29" s="1445">
        <f>SDÖ4!$O$19</f>
        <v>31</v>
      </c>
      <c r="FJ29" s="1445">
        <f>SDÖ4!$O$19</f>
        <v>31</v>
      </c>
      <c r="FK29" s="1445"/>
      <c r="FL29" s="1445">
        <f>SDÖ4!$O$19</f>
        <v>31</v>
      </c>
      <c r="FM29" s="1445">
        <f>SDÖ4!$O$19</f>
        <v>31</v>
      </c>
    </row>
    <row r="30" spans="1:169" ht="16.149999999999999" customHeight="1">
      <c r="A30" s="1440">
        <f>ROWS($A$1:A30)</f>
        <v>30</v>
      </c>
      <c r="B30" s="1486" t="s">
        <v>1128</v>
      </c>
      <c r="C30" s="1456"/>
      <c r="D30" s="3617">
        <f>'SDK4'!$Q$45</f>
        <v>256.66666666666669</v>
      </c>
      <c r="E30" s="1508">
        <f>'SDK4'!$Q$45</f>
        <v>256.66666666666669</v>
      </c>
      <c r="F30" s="1508">
        <f>'SDK4'!$Q$45</f>
        <v>256.66666666666669</v>
      </c>
      <c r="G30" s="1508">
        <f>'SDK4'!$Q$45</f>
        <v>256.66666666666669</v>
      </c>
      <c r="H30" s="1508">
        <f>'SDK4'!$Q$45</f>
        <v>256.66666666666669</v>
      </c>
      <c r="I30" s="1508">
        <f>'SDK4'!$Q$45</f>
        <v>256.66666666666669</v>
      </c>
      <c r="J30" s="1508">
        <f>'SDK4'!$Q$45</f>
        <v>256.66666666666669</v>
      </c>
      <c r="K30" s="1508">
        <f>'SDK4'!$Q$45</f>
        <v>256.66666666666669</v>
      </c>
      <c r="L30" s="1508">
        <f>'SDK4'!$Q$45</f>
        <v>256.66666666666669</v>
      </c>
      <c r="M30" s="1508">
        <f>'SDK4'!$Q$45</f>
        <v>256.66666666666669</v>
      </c>
      <c r="N30" s="1508">
        <f>'SDK4'!$Q$45</f>
        <v>256.66666666666669</v>
      </c>
      <c r="O30" s="1508">
        <f>'SDK4'!$Q$45</f>
        <v>256.66666666666669</v>
      </c>
      <c r="P30" s="1508">
        <f>'SDK4'!$Q$45</f>
        <v>256.66666666666669</v>
      </c>
      <c r="Q30" s="1508">
        <f>'SDK4'!$Q$45</f>
        <v>256.66666666666669</v>
      </c>
      <c r="R30" s="1508"/>
      <c r="S30" s="1508">
        <f>'SDK4'!$Q$45</f>
        <v>256.66666666666669</v>
      </c>
      <c r="T30" s="1508">
        <f>'SDK4'!$Q$45</f>
        <v>256.66666666666669</v>
      </c>
      <c r="U30" s="1508">
        <f>'SDK4'!$Q$45</f>
        <v>256.66666666666669</v>
      </c>
      <c r="V30" s="1508">
        <f>'SDK4'!$Q$45</f>
        <v>256.66666666666669</v>
      </c>
      <c r="W30" s="1508"/>
      <c r="X30" s="1508">
        <f>'SDK4'!$Q$45</f>
        <v>256.66666666666669</v>
      </c>
      <c r="Y30" s="1508">
        <f>'SDK4'!$Q$45</f>
        <v>256.66666666666669</v>
      </c>
      <c r="Z30" s="1508">
        <f>'SDK4'!$Q$45</f>
        <v>256.66666666666669</v>
      </c>
      <c r="AA30" s="1508">
        <f>'SDK4'!$Q$45</f>
        <v>256.66666666666669</v>
      </c>
      <c r="AB30" s="1508">
        <f>'SDK4'!$Q$45</f>
        <v>256.66666666666669</v>
      </c>
      <c r="AC30" s="1508">
        <f>'SDK4'!$Q$45</f>
        <v>256.66666666666669</v>
      </c>
      <c r="AD30" s="1508">
        <f>'SDK4'!$Q$45</f>
        <v>256.66666666666669</v>
      </c>
      <c r="AE30" s="1508">
        <f>'SDK4'!$Q$45</f>
        <v>256.66666666666669</v>
      </c>
      <c r="AF30" s="1508">
        <f>'SDK4'!$Q$45</f>
        <v>256.66666666666669</v>
      </c>
      <c r="AG30" s="1508">
        <f>'SDK4'!$Q$45</f>
        <v>256.66666666666669</v>
      </c>
      <c r="AH30" s="1445"/>
      <c r="AI30" s="1442"/>
      <c r="AJ30" s="1443">
        <f>'SDK4'!$Q$46</f>
        <v>306.66666666666669</v>
      </c>
      <c r="AK30" s="1443">
        <f>'SDK4'!$Q$46</f>
        <v>306.66666666666669</v>
      </c>
      <c r="AL30" s="1443">
        <f>'SDK4'!$Q$46</f>
        <v>306.66666666666669</v>
      </c>
      <c r="AM30" s="1443">
        <f>'SDK4'!$Q$46</f>
        <v>306.66666666666669</v>
      </c>
      <c r="AN30" s="1443">
        <f>'SDK4'!$Q$46</f>
        <v>306.66666666666669</v>
      </c>
      <c r="AO30" s="1443">
        <f>'SDK4'!$Q$46</f>
        <v>306.66666666666669</v>
      </c>
      <c r="AP30" s="1443">
        <f>'SDK4'!$Q$46</f>
        <v>306.66666666666669</v>
      </c>
      <c r="AQ30" s="1443">
        <f>'SDK4'!$Q$46</f>
        <v>306.66666666666669</v>
      </c>
      <c r="AR30" s="1443">
        <f>'SDK4'!$Q$46</f>
        <v>306.66666666666669</v>
      </c>
      <c r="AS30" s="1443">
        <f>'SDK4'!$Q$46</f>
        <v>306.66666666666669</v>
      </c>
      <c r="AT30" s="1443">
        <f>'SDK4'!$Q$46</f>
        <v>306.66666666666669</v>
      </c>
      <c r="AU30" s="1443">
        <f>'SDK4'!$Q$46</f>
        <v>306.66666666666669</v>
      </c>
      <c r="AV30" s="1443">
        <f>'SDK4'!$Q$46</f>
        <v>306.66666666666669</v>
      </c>
      <c r="AW30" s="1443">
        <f>'SDK4'!$Q$46</f>
        <v>306.66666666666669</v>
      </c>
      <c r="AX30" s="1443"/>
      <c r="AY30" s="1443">
        <f>'SDK4'!$Q$46</f>
        <v>306.66666666666669</v>
      </c>
      <c r="AZ30" s="1443">
        <f>'SDK4'!$Q$46</f>
        <v>306.66666666666669</v>
      </c>
      <c r="BA30" s="1443">
        <f>'SDK4'!$Q$46</f>
        <v>306.66666666666669</v>
      </c>
      <c r="BB30" s="1443">
        <f>'SDK4'!$Q$46</f>
        <v>306.66666666666669</v>
      </c>
      <c r="BC30" s="1443"/>
      <c r="BD30" s="1443">
        <f>'SDK4'!$Q$46</f>
        <v>306.66666666666669</v>
      </c>
      <c r="BE30" s="1443">
        <f>'SDK4'!$Q$46</f>
        <v>306.66666666666669</v>
      </c>
      <c r="BF30" s="1443">
        <f>'SDK4'!$Q$46</f>
        <v>306.66666666666669</v>
      </c>
      <c r="BG30" s="1443">
        <f>'SDK4'!$Q$46</f>
        <v>306.66666666666669</v>
      </c>
      <c r="BH30" s="1443">
        <f>'SDK4'!$Q$46</f>
        <v>306.66666666666669</v>
      </c>
      <c r="BI30" s="1443">
        <f>'SDK4'!$Q$46</f>
        <v>306.66666666666669</v>
      </c>
      <c r="BJ30" s="1443">
        <f>'SDK4'!$Q$46</f>
        <v>306.66666666666669</v>
      </c>
      <c r="BK30" s="1443">
        <f>'SDK4'!$Q$46</f>
        <v>306.66666666666669</v>
      </c>
      <c r="BL30" s="1443">
        <f>'SDK4'!$Q$46</f>
        <v>306.66666666666669</v>
      </c>
      <c r="BM30" s="1443">
        <f>'SDK4'!$Q$46</f>
        <v>306.66666666666669</v>
      </c>
      <c r="BN30" s="1443">
        <f>'SDK4'!$Q$46</f>
        <v>306.66666666666669</v>
      </c>
      <c r="BO30" s="1442"/>
      <c r="BP30" s="1443">
        <f>'SDK4'!$Q$47</f>
        <v>356.66666666666669</v>
      </c>
      <c r="BQ30" s="1443">
        <f>'SDK4'!$Q$47</f>
        <v>356.66666666666669</v>
      </c>
      <c r="BR30" s="1443">
        <f>'SDK4'!$Q$47</f>
        <v>356.66666666666669</v>
      </c>
      <c r="BS30" s="1443">
        <f>'SDK4'!$Q$47</f>
        <v>356.66666666666669</v>
      </c>
      <c r="BT30" s="1443">
        <f>'SDK4'!$Q$47</f>
        <v>356.66666666666669</v>
      </c>
      <c r="BU30" s="1443">
        <f>'SDK4'!$Q$47</f>
        <v>356.66666666666669</v>
      </c>
      <c r="BV30" s="1443">
        <f>'SDK4'!$Q$47</f>
        <v>356.66666666666669</v>
      </c>
      <c r="BW30" s="1443">
        <f>'SDK4'!$Q$47</f>
        <v>356.66666666666669</v>
      </c>
      <c r="BX30" s="1443">
        <f>'SDK4'!$Q$47</f>
        <v>356.66666666666669</v>
      </c>
      <c r="BY30" s="1443">
        <f>'SDK4'!$Q$47</f>
        <v>356.66666666666669</v>
      </c>
      <c r="BZ30" s="1443">
        <f>'SDK4'!$Q$47</f>
        <v>356.66666666666669</v>
      </c>
      <c r="CA30" s="1443">
        <f>'SDK4'!$Q$47</f>
        <v>356.66666666666669</v>
      </c>
      <c r="CB30" s="1443">
        <f>'SDK4'!$Q$47</f>
        <v>356.66666666666669</v>
      </c>
      <c r="CC30" s="1443">
        <f>'SDK4'!$Q$47</f>
        <v>356.66666666666669</v>
      </c>
      <c r="CD30" s="1443"/>
      <c r="CE30" s="1443">
        <f>'SDK4'!$Q$47</f>
        <v>356.66666666666669</v>
      </c>
      <c r="CF30" s="1443">
        <f>'SDK4'!$Q$47</f>
        <v>356.66666666666669</v>
      </c>
      <c r="CG30" s="1443">
        <f>'SDK4'!$Q$47</f>
        <v>356.66666666666669</v>
      </c>
      <c r="CH30" s="1443">
        <f>'SDK4'!$Q$47</f>
        <v>356.66666666666669</v>
      </c>
      <c r="CI30" s="1443"/>
      <c r="CJ30" s="1443">
        <f>'SDK4'!$Q$47</f>
        <v>356.66666666666669</v>
      </c>
      <c r="CK30" s="1443">
        <f>'SDK4'!$Q$47</f>
        <v>356.66666666666669</v>
      </c>
      <c r="CL30" s="1443">
        <f>'SDK4'!$Q$47</f>
        <v>356.66666666666669</v>
      </c>
      <c r="CM30" s="1443">
        <f>'SDK4'!$Q$47</f>
        <v>356.66666666666669</v>
      </c>
      <c r="CN30" s="1443">
        <f>'SDK4'!$Q$47</f>
        <v>356.66666666666669</v>
      </c>
      <c r="CO30" s="1443">
        <f>'SDK4'!$Q$47</f>
        <v>356.66666666666669</v>
      </c>
      <c r="CP30" s="1443">
        <f>'SDK4'!$Q$47</f>
        <v>356.66666666666669</v>
      </c>
      <c r="CQ30" s="1443">
        <f>'SDK4'!$Q$47</f>
        <v>356.66666666666669</v>
      </c>
      <c r="CR30" s="1443">
        <f>'SDK4'!$Q$47</f>
        <v>356.66666666666669</v>
      </c>
      <c r="CS30" s="1443">
        <f>'SDK4'!$Q$47</f>
        <v>356.66666666666669</v>
      </c>
      <c r="CT30" s="1443">
        <f>'SDK4'!$Q$47</f>
        <v>356.66666666666669</v>
      </c>
      <c r="CV30" s="1486" t="s">
        <v>1128</v>
      </c>
      <c r="CW30" s="1456"/>
      <c r="CX30" s="3617" t="e">
        <f>SDÖ4!$O$48</f>
        <v>#N/A</v>
      </c>
      <c r="CY30" s="1445" t="e">
        <f>SDÖ4!$O$48</f>
        <v>#N/A</v>
      </c>
      <c r="CZ30" s="1445" t="e">
        <f>SDÖ4!$O$48</f>
        <v>#N/A</v>
      </c>
      <c r="DA30" s="1445" t="e">
        <f>SDÖ4!$O$48</f>
        <v>#N/A</v>
      </c>
      <c r="DB30" s="1445" t="e">
        <f>SDÖ4!$O$48</f>
        <v>#N/A</v>
      </c>
      <c r="DC30" s="1445" t="e">
        <f>SDÖ4!$O$48</f>
        <v>#N/A</v>
      </c>
      <c r="DD30" s="1445" t="e">
        <f>SDÖ4!$O$48</f>
        <v>#N/A</v>
      </c>
      <c r="DE30" s="1445" t="e">
        <f>SDÖ4!$O$48</f>
        <v>#N/A</v>
      </c>
      <c r="DF30" s="1445" t="e">
        <f>SDÖ4!$O$48</f>
        <v>#N/A</v>
      </c>
      <c r="DG30" s="1445" t="e">
        <f>SDÖ4!$O$48</f>
        <v>#N/A</v>
      </c>
      <c r="DH30" s="1445" t="e">
        <f>SDÖ4!$O$48</f>
        <v>#N/A</v>
      </c>
      <c r="DI30" s="1445" t="e">
        <f>SDÖ4!$O$48</f>
        <v>#N/A</v>
      </c>
      <c r="DJ30" s="1445" t="e">
        <f>SDÖ4!$O$48</f>
        <v>#N/A</v>
      </c>
      <c r="DK30" s="1445" t="e">
        <f>SDÖ4!$O$48</f>
        <v>#N/A</v>
      </c>
      <c r="DL30" s="1445" t="e">
        <f>SDÖ4!$O$48</f>
        <v>#N/A</v>
      </c>
      <c r="DM30" s="1445" t="e">
        <f>SDÖ4!$O$48</f>
        <v>#N/A</v>
      </c>
      <c r="DN30" s="1445" t="e">
        <f>SDÖ4!$O$48</f>
        <v>#N/A</v>
      </c>
      <c r="DO30" s="1445" t="e">
        <f>SDÖ4!$O$48</f>
        <v>#N/A</v>
      </c>
      <c r="DP30" s="1445" t="e">
        <f>SDÖ4!$O$48</f>
        <v>#N/A</v>
      </c>
      <c r="DQ30" s="1445"/>
      <c r="DR30" s="1445" t="e">
        <f>SDÖ4!$O$49</f>
        <v>#N/A</v>
      </c>
      <c r="DS30" s="1445" t="e">
        <f>SDÖ4!$O$49</f>
        <v>#N/A</v>
      </c>
      <c r="DT30" s="1434"/>
      <c r="DU30" s="1445" t="e">
        <f>SDÖ4!$O$49</f>
        <v>#N/A</v>
      </c>
      <c r="DV30" s="1445" t="e">
        <f>SDÖ4!$O$49</f>
        <v>#N/A</v>
      </c>
      <c r="DW30" s="1445" t="e">
        <f>SDÖ4!$O$49</f>
        <v>#N/A</v>
      </c>
      <c r="DX30" s="1445" t="e">
        <f>SDÖ4!$O$49</f>
        <v>#N/A</v>
      </c>
      <c r="DY30" s="1443" t="e">
        <f>SDÖ4!$O$49</f>
        <v>#N/A</v>
      </c>
      <c r="DZ30" s="1445" t="e">
        <f>SDÖ4!$O$49</f>
        <v>#N/A</v>
      </c>
      <c r="EA30" s="1445" t="e">
        <f>SDÖ4!$O$49</f>
        <v>#N/A</v>
      </c>
      <c r="EB30" s="1445" t="e">
        <f>SDÖ4!$O$49</f>
        <v>#N/A</v>
      </c>
      <c r="EC30" s="1445" t="e">
        <f>SDÖ4!$O$49</f>
        <v>#N/A</v>
      </c>
      <c r="ED30" s="1445" t="e">
        <f>SDÖ4!$O$49</f>
        <v>#N/A</v>
      </c>
      <c r="EE30" s="1445" t="e">
        <f>SDÖ4!$O$49</f>
        <v>#N/A</v>
      </c>
      <c r="EF30" s="1445" t="e">
        <f>SDÖ4!$O$49</f>
        <v>#N/A</v>
      </c>
      <c r="EG30" s="1445" t="e">
        <f>SDÖ4!$O$49</f>
        <v>#N/A</v>
      </c>
      <c r="EH30" s="1445" t="e">
        <f>SDÖ4!$O$49</f>
        <v>#N/A</v>
      </c>
      <c r="EI30" s="1445" t="e">
        <f>SDÖ4!$O$49</f>
        <v>#N/A</v>
      </c>
      <c r="EJ30" s="1445" t="e">
        <f>SDÖ4!$O$49</f>
        <v>#N/A</v>
      </c>
      <c r="EK30" s="1445" t="e">
        <f>SDÖ4!$O$49</f>
        <v>#N/A</v>
      </c>
      <c r="EL30" s="1445" t="e">
        <f>SDÖ4!$O$49</f>
        <v>#N/A</v>
      </c>
      <c r="EM30" s="1445" t="e">
        <f>SDÖ4!$O$49</f>
        <v>#N/A</v>
      </c>
      <c r="EN30" s="1445"/>
      <c r="EO30" s="1445" t="e">
        <f>SDÖ4!$O$49</f>
        <v>#N/A</v>
      </c>
      <c r="EP30" s="1445" t="e">
        <f>SDÖ4!$O$49</f>
        <v>#N/A</v>
      </c>
      <c r="EQ30" s="1434"/>
      <c r="ER30" s="1445" t="e">
        <f>SDÖ4!$O$49</f>
        <v>#N/A</v>
      </c>
      <c r="ES30" s="1445" t="e">
        <f>SDÖ4!$O$49</f>
        <v>#N/A</v>
      </c>
      <c r="ET30" s="1445" t="e">
        <f>SDÖ4!$O$49</f>
        <v>#N/A</v>
      </c>
      <c r="EU30" s="1445" t="e">
        <f>SDÖ4!$O$49</f>
        <v>#N/A</v>
      </c>
      <c r="EV30" s="1443" t="e">
        <f>SDÖ4!$O$49</f>
        <v>#N/A</v>
      </c>
      <c r="EW30" s="1445" t="e">
        <f>SDÖ4!$O$49</f>
        <v>#N/A</v>
      </c>
      <c r="EX30" s="1445" t="e">
        <f>SDÖ4!$O$49</f>
        <v>#N/A</v>
      </c>
      <c r="EY30" s="1445" t="e">
        <f>SDÖ4!$O$49</f>
        <v>#N/A</v>
      </c>
      <c r="EZ30" s="1445" t="e">
        <f>SDÖ4!$O$49</f>
        <v>#N/A</v>
      </c>
      <c r="FA30" s="1445" t="e">
        <f>SDÖ4!$O$49</f>
        <v>#N/A</v>
      </c>
      <c r="FB30" s="1445" t="e">
        <f>SDÖ4!$O$49</f>
        <v>#N/A</v>
      </c>
      <c r="FC30" s="1445" t="e">
        <f>SDÖ4!$O$49</f>
        <v>#N/A</v>
      </c>
      <c r="FD30" s="1445" t="e">
        <f>SDÖ4!$O$49</f>
        <v>#N/A</v>
      </c>
      <c r="FE30" s="1445" t="e">
        <f>SDÖ4!$O$49</f>
        <v>#N/A</v>
      </c>
      <c r="FF30" s="1445" t="e">
        <f>SDÖ4!$O$49</f>
        <v>#N/A</v>
      </c>
      <c r="FG30" s="1445" t="e">
        <f>SDÖ4!$O$49</f>
        <v>#N/A</v>
      </c>
      <c r="FH30" s="1445" t="e">
        <f>SDÖ4!$O$49</f>
        <v>#N/A</v>
      </c>
      <c r="FI30" s="1445" t="e">
        <f>SDÖ4!$O$49</f>
        <v>#N/A</v>
      </c>
      <c r="FJ30" s="1445" t="e">
        <f>SDÖ4!$O$49</f>
        <v>#N/A</v>
      </c>
      <c r="FK30" s="1445"/>
      <c r="FL30" s="1445" t="e">
        <f>SDÖ4!$O$49</f>
        <v>#N/A</v>
      </c>
      <c r="FM30" s="1445" t="e">
        <f>SDÖ4!$O$49</f>
        <v>#N/A</v>
      </c>
    </row>
    <row r="31" spans="1:169" ht="16.149999999999999" customHeight="1">
      <c r="A31" s="1440">
        <f>ROWS($A$1:A31)</f>
        <v>31</v>
      </c>
      <c r="B31" s="1486" t="s">
        <v>1127</v>
      </c>
      <c r="C31" s="1456"/>
      <c r="D31" s="1445"/>
      <c r="E31" s="1445"/>
      <c r="F31" s="1445"/>
      <c r="G31" s="1445"/>
      <c r="H31" s="1445"/>
      <c r="I31" s="1445"/>
      <c r="J31" s="1445"/>
      <c r="K31" s="1445"/>
      <c r="L31" s="1445"/>
      <c r="M31" s="1445"/>
      <c r="N31" s="1445"/>
      <c r="O31" s="1445"/>
      <c r="P31" s="1445"/>
      <c r="Q31" s="1445"/>
      <c r="R31" s="1445"/>
      <c r="S31" s="1445"/>
      <c r="T31" s="1445"/>
      <c r="U31" s="1445"/>
      <c r="V31" s="1445"/>
      <c r="W31" s="1445"/>
      <c r="X31" s="1445"/>
      <c r="Y31" s="1445"/>
      <c r="Z31" s="1445"/>
      <c r="AA31" s="1445">
        <f>AA6*'SDK4'!$Q$52*'SDK1'!$L$62%</f>
        <v>0</v>
      </c>
      <c r="AB31" s="1445"/>
      <c r="AC31" s="1445"/>
      <c r="AD31" s="1445"/>
      <c r="AE31" s="1445"/>
      <c r="AF31" s="1445"/>
      <c r="AG31" s="1445"/>
      <c r="AH31" s="1445"/>
      <c r="AI31" s="1442"/>
      <c r="AJ31" s="1443"/>
      <c r="AK31" s="1445"/>
      <c r="AL31" s="1445"/>
      <c r="AM31" s="1445"/>
      <c r="AN31" s="1445"/>
      <c r="AO31" s="1445"/>
      <c r="AP31" s="1445"/>
      <c r="AQ31" s="1445"/>
      <c r="AR31" s="1445"/>
      <c r="AS31" s="1445"/>
      <c r="AT31" s="1445"/>
      <c r="AU31" s="1445"/>
      <c r="AV31" s="1445"/>
      <c r="AW31" s="1445"/>
      <c r="AX31" s="1445"/>
      <c r="AY31" s="1445"/>
      <c r="AZ31" s="1445"/>
      <c r="BA31" s="1445"/>
      <c r="BB31" s="1445"/>
      <c r="BC31" s="1445"/>
      <c r="BD31" s="1445"/>
      <c r="BE31" s="1445"/>
      <c r="BF31" s="1445"/>
      <c r="BG31" s="1445">
        <f>BG6*'SDK4'!$Q$52*'SDK1'!$L$62%</f>
        <v>0</v>
      </c>
      <c r="BH31" s="1445"/>
      <c r="BI31" s="1445"/>
      <c r="BJ31" s="1445"/>
      <c r="BK31" s="1445"/>
      <c r="BL31" s="1445"/>
      <c r="BM31" s="1445"/>
      <c r="BN31" s="1445"/>
      <c r="BO31" s="1442"/>
      <c r="BP31" s="1443"/>
      <c r="BQ31" s="1445"/>
      <c r="BR31" s="1445"/>
      <c r="BS31" s="1445"/>
      <c r="BT31" s="1445"/>
      <c r="BU31" s="1445"/>
      <c r="BV31" s="1445"/>
      <c r="BW31" s="1445"/>
      <c r="BX31" s="1445"/>
      <c r="BY31" s="1445"/>
      <c r="BZ31" s="1445"/>
      <c r="CA31" s="1445"/>
      <c r="CB31" s="1445"/>
      <c r="CC31" s="1445"/>
      <c r="CD31" s="1445"/>
      <c r="CE31" s="1445"/>
      <c r="CF31" s="1445"/>
      <c r="CG31" s="1445"/>
      <c r="CH31" s="1445"/>
      <c r="CI31" s="1445"/>
      <c r="CJ31" s="1445"/>
      <c r="CK31" s="1445"/>
      <c r="CL31" s="1445"/>
      <c r="CM31" s="1445">
        <f>CM6*'SDK4'!$Q$52*'SDK1'!$L$62%</f>
        <v>0</v>
      </c>
      <c r="CN31" s="1445"/>
      <c r="CO31" s="1445"/>
      <c r="CP31" s="1445"/>
      <c r="CQ31" s="1445"/>
      <c r="CR31" s="1445"/>
      <c r="CS31" s="1445"/>
      <c r="CT31" s="1445"/>
      <c r="CV31" s="4853" t="s">
        <v>1927</v>
      </c>
      <c r="CW31" s="4854"/>
      <c r="CX31" s="1445"/>
      <c r="CY31" s="1445"/>
      <c r="CZ31" s="1445"/>
      <c r="DA31" s="1445"/>
      <c r="DB31" s="1445"/>
      <c r="DC31" s="1445"/>
      <c r="DD31" s="1445"/>
      <c r="DE31" s="1445"/>
      <c r="DF31" s="1445"/>
      <c r="DG31" s="1445"/>
      <c r="DH31" s="1445"/>
      <c r="DI31" s="1445"/>
      <c r="DJ31" s="1445"/>
      <c r="DK31" s="1445"/>
      <c r="DL31" s="1445"/>
      <c r="DM31" s="1445"/>
      <c r="DN31" s="1445"/>
      <c r="DO31" s="1445"/>
      <c r="DP31" s="1445"/>
      <c r="DQ31" s="1445"/>
      <c r="DR31" s="1445"/>
      <c r="DS31" s="1445"/>
      <c r="DT31" s="1434"/>
      <c r="DU31" s="1445"/>
      <c r="DV31" s="1445"/>
      <c r="DW31" s="1445"/>
      <c r="DX31" s="1445"/>
      <c r="DY31" s="1443"/>
      <c r="DZ31" s="1445"/>
      <c r="EA31" s="1445"/>
      <c r="EB31" s="1445"/>
      <c r="EC31" s="1445"/>
      <c r="ED31" s="1445"/>
      <c r="EE31" s="1445"/>
      <c r="EF31" s="1445"/>
      <c r="EG31" s="1445"/>
      <c r="EH31" s="1445"/>
      <c r="EI31" s="1445"/>
      <c r="EJ31" s="1445"/>
      <c r="EK31" s="1445"/>
      <c r="EL31" s="1445"/>
      <c r="EM31" s="1445"/>
      <c r="EN31" s="1445"/>
      <c r="EO31" s="1445"/>
      <c r="EP31" s="1445"/>
      <c r="EQ31" s="1434"/>
      <c r="ER31" s="1445"/>
      <c r="ES31" s="1445"/>
      <c r="ET31" s="1445"/>
      <c r="EU31" s="1445"/>
      <c r="EV31" s="1443"/>
      <c r="EW31" s="1445"/>
      <c r="EX31" s="1445"/>
      <c r="EY31" s="1445"/>
      <c r="EZ31" s="1445"/>
      <c r="FA31" s="1445"/>
      <c r="FB31" s="1445"/>
      <c r="FC31" s="1445"/>
      <c r="FD31" s="1445"/>
      <c r="FE31" s="1445"/>
      <c r="FF31" s="1445"/>
      <c r="FG31" s="1445"/>
      <c r="FH31" s="1445"/>
      <c r="FI31" s="1445"/>
      <c r="FJ31" s="1445"/>
      <c r="FK31" s="1445"/>
      <c r="FL31" s="1445"/>
      <c r="FM31" s="1445"/>
    </row>
    <row r="32" spans="1:169" ht="16.149999999999999" customHeight="1">
      <c r="A32" s="1440">
        <f>ROWS($A$1:A32)</f>
        <v>32</v>
      </c>
      <c r="B32" s="1486" t="s">
        <v>1126</v>
      </c>
      <c r="C32" s="1507">
        <f>'SDK4'!Q50</f>
        <v>18</v>
      </c>
      <c r="D32" s="1445">
        <f>$C$32*D27</f>
        <v>191.18160000000003</v>
      </c>
      <c r="E32" s="1445">
        <f t="shared" ref="E32:AH32" si="51">$C$32*E27</f>
        <v>186.3</v>
      </c>
      <c r="F32" s="1445">
        <f t="shared" si="51"/>
        <v>184.78800000000004</v>
      </c>
      <c r="G32" s="1445">
        <f t="shared" si="51"/>
        <v>184.78800000000004</v>
      </c>
      <c r="H32" s="1445">
        <f t="shared" si="51"/>
        <v>172.15200000000004</v>
      </c>
      <c r="I32" s="1445">
        <f t="shared" si="51"/>
        <v>172.15200000000004</v>
      </c>
      <c r="J32" s="1445">
        <f t="shared" si="51"/>
        <v>184.78800000000004</v>
      </c>
      <c r="K32" s="1445">
        <f t="shared" si="51"/>
        <v>183.27600000000004</v>
      </c>
      <c r="L32" s="1445">
        <f t="shared" si="51"/>
        <v>173.66399999999999</v>
      </c>
      <c r="M32" s="1445">
        <f t="shared" si="51"/>
        <v>170.64000000000001</v>
      </c>
      <c r="N32" s="1445">
        <f t="shared" si="51"/>
        <v>169.12800000000001</v>
      </c>
      <c r="O32" s="1445">
        <f t="shared" si="51"/>
        <v>156.49200000000005</v>
      </c>
      <c r="P32" s="1445">
        <f t="shared" si="51"/>
        <v>197.10000000000002</v>
      </c>
      <c r="Q32" s="1445">
        <f t="shared" si="51"/>
        <v>158.32799999999997</v>
      </c>
      <c r="R32" s="1445"/>
      <c r="S32" s="1445">
        <f t="shared" si="51"/>
        <v>189.21600000000001</v>
      </c>
      <c r="T32" s="1445">
        <f t="shared" si="51"/>
        <v>173.59920000000002</v>
      </c>
      <c r="U32" s="1445">
        <f t="shared" si="51"/>
        <v>163.72800000000001</v>
      </c>
      <c r="V32" s="1445">
        <f t="shared" si="51"/>
        <v>136.33920000000001</v>
      </c>
      <c r="W32" s="1445"/>
      <c r="X32" s="1445">
        <f t="shared" si="51"/>
        <v>141.78240000000002</v>
      </c>
      <c r="Y32" s="1445">
        <f t="shared" si="51"/>
        <v>139.96800000000002</v>
      </c>
      <c r="Z32" s="1445">
        <f t="shared" si="51"/>
        <v>133.92000000000002</v>
      </c>
      <c r="AA32" s="1445">
        <f t="shared" si="51"/>
        <v>203.148</v>
      </c>
      <c r="AB32" s="1445">
        <f t="shared" si="51"/>
        <v>408.06000000000006</v>
      </c>
      <c r="AC32" s="1445">
        <f t="shared" si="51"/>
        <v>679.68000000000006</v>
      </c>
      <c r="AD32" s="1445">
        <f t="shared" si="51"/>
        <v>456.84</v>
      </c>
      <c r="AE32" s="1445">
        <f t="shared" si="51"/>
        <v>635.36400000000003</v>
      </c>
      <c r="AF32" s="1445">
        <f t="shared" si="51"/>
        <v>0</v>
      </c>
      <c r="AG32" s="1445">
        <f t="shared" si="51"/>
        <v>118.58400000000002</v>
      </c>
      <c r="AH32" s="1445">
        <f t="shared" si="51"/>
        <v>117.61199999999999</v>
      </c>
      <c r="AI32" s="1442"/>
      <c r="AJ32" s="1443">
        <f t="shared" ref="AJ32:BN32" si="52">$C$32*AJ27</f>
        <v>209.7792</v>
      </c>
      <c r="AK32" s="1445">
        <f t="shared" si="52"/>
        <v>202.82400000000001</v>
      </c>
      <c r="AL32" s="1445">
        <f t="shared" si="52"/>
        <v>201.31199999999998</v>
      </c>
      <c r="AM32" s="1445">
        <f t="shared" si="52"/>
        <v>199.79999999999998</v>
      </c>
      <c r="AN32" s="1445">
        <f t="shared" si="52"/>
        <v>175.17600000000002</v>
      </c>
      <c r="AO32" s="1445">
        <f t="shared" si="52"/>
        <v>176.68800000000005</v>
      </c>
      <c r="AP32" s="1445">
        <f t="shared" si="52"/>
        <v>189.32400000000001</v>
      </c>
      <c r="AQ32" s="1445">
        <f t="shared" si="52"/>
        <v>198.28800000000004</v>
      </c>
      <c r="AR32" s="1445">
        <f t="shared" si="52"/>
        <v>173.66399999999999</v>
      </c>
      <c r="AS32" s="1445">
        <f t="shared" si="52"/>
        <v>173.66399999999999</v>
      </c>
      <c r="AT32" s="1445">
        <f t="shared" si="52"/>
        <v>172.15200000000004</v>
      </c>
      <c r="AU32" s="1445">
        <f t="shared" si="52"/>
        <v>172.15200000000004</v>
      </c>
      <c r="AV32" s="1445">
        <f t="shared" si="52"/>
        <v>201.63600000000002</v>
      </c>
      <c r="AW32" s="1445">
        <f t="shared" si="52"/>
        <v>164.376</v>
      </c>
      <c r="AX32" s="1445"/>
      <c r="AY32" s="1445">
        <f t="shared" si="52"/>
        <v>204.87600000000003</v>
      </c>
      <c r="AZ32" s="1445">
        <f t="shared" si="52"/>
        <v>188.04960000000005</v>
      </c>
      <c r="BA32" s="1445">
        <f t="shared" si="52"/>
        <v>165.24000000000004</v>
      </c>
      <c r="BB32" s="1445">
        <f t="shared" si="52"/>
        <v>139.96800000000002</v>
      </c>
      <c r="BC32" s="1445"/>
      <c r="BD32" s="1445">
        <f t="shared" si="52"/>
        <v>141.78240000000002</v>
      </c>
      <c r="BE32" s="1445">
        <f t="shared" si="52"/>
        <v>141.78240000000002</v>
      </c>
      <c r="BF32" s="1445">
        <f t="shared" si="52"/>
        <v>138.45600000000002</v>
      </c>
      <c r="BG32" s="1445">
        <f t="shared" si="52"/>
        <v>203.148</v>
      </c>
      <c r="BH32" s="1445">
        <f t="shared" si="52"/>
        <v>422.46</v>
      </c>
      <c r="BI32" s="1445">
        <f t="shared" si="52"/>
        <v>687.06000000000006</v>
      </c>
      <c r="BJ32" s="1445">
        <f t="shared" si="52"/>
        <v>471.24</v>
      </c>
      <c r="BK32" s="1445">
        <f t="shared" si="52"/>
        <v>647.46</v>
      </c>
      <c r="BL32" s="1445">
        <f t="shared" si="52"/>
        <v>0</v>
      </c>
      <c r="BM32" s="1445">
        <f t="shared" si="52"/>
        <v>118.58400000000002</v>
      </c>
      <c r="BN32" s="1445">
        <f t="shared" si="52"/>
        <v>117.61199999999999</v>
      </c>
      <c r="BO32" s="1442"/>
      <c r="BP32" s="1443">
        <f t="shared" ref="BP32:CT32" si="53">$C$32*BP27</f>
        <v>241.0128</v>
      </c>
      <c r="BQ32" s="1445">
        <f t="shared" si="53"/>
        <v>219.34800000000001</v>
      </c>
      <c r="BR32" s="1445">
        <f t="shared" si="53"/>
        <v>217.83600000000001</v>
      </c>
      <c r="BS32" s="1445">
        <f t="shared" si="53"/>
        <v>214.81200000000001</v>
      </c>
      <c r="BT32" s="1445">
        <f t="shared" si="53"/>
        <v>202.82400000000001</v>
      </c>
      <c r="BU32" s="1445">
        <f t="shared" si="53"/>
        <v>194.72399999999999</v>
      </c>
      <c r="BV32" s="1445">
        <f t="shared" si="53"/>
        <v>205.84800000000001</v>
      </c>
      <c r="BW32" s="1445">
        <f t="shared" si="53"/>
        <v>201.31199999999998</v>
      </c>
      <c r="BX32" s="1445">
        <f t="shared" si="53"/>
        <v>173.66399999999999</v>
      </c>
      <c r="BY32" s="1445">
        <f t="shared" si="53"/>
        <v>176.68800000000005</v>
      </c>
      <c r="BZ32" s="1445">
        <f t="shared" si="53"/>
        <v>175.17600000000002</v>
      </c>
      <c r="CA32" s="1445">
        <f t="shared" si="53"/>
        <v>175.17600000000002</v>
      </c>
      <c r="CB32" s="1445">
        <f t="shared" si="53"/>
        <v>203.14800000000002</v>
      </c>
      <c r="CC32" s="1445">
        <f t="shared" si="53"/>
        <v>170.42400000000001</v>
      </c>
      <c r="CD32" s="1445"/>
      <c r="CE32" s="1445">
        <f t="shared" si="53"/>
        <v>207.9</v>
      </c>
      <c r="CF32" s="1445">
        <f t="shared" si="53"/>
        <v>189.86400000000003</v>
      </c>
      <c r="CG32" s="1445">
        <f t="shared" si="53"/>
        <v>166.75200000000001</v>
      </c>
      <c r="CH32" s="1445">
        <f t="shared" si="53"/>
        <v>143.5968</v>
      </c>
      <c r="CI32" s="1445"/>
      <c r="CJ32" s="1445">
        <f t="shared" si="53"/>
        <v>145.41120000000004</v>
      </c>
      <c r="CK32" s="1445">
        <f t="shared" si="53"/>
        <v>145.41120000000004</v>
      </c>
      <c r="CL32" s="1445">
        <f t="shared" si="53"/>
        <v>142.99200000000002</v>
      </c>
      <c r="CM32" s="1445">
        <f t="shared" si="53"/>
        <v>215.78399999999999</v>
      </c>
      <c r="CN32" s="1445">
        <f t="shared" si="53"/>
        <v>436.86</v>
      </c>
      <c r="CO32" s="1445">
        <f t="shared" si="53"/>
        <v>708.48</v>
      </c>
      <c r="CP32" s="1445">
        <f t="shared" si="53"/>
        <v>485.64</v>
      </c>
      <c r="CQ32" s="1445">
        <f t="shared" si="53"/>
        <v>659.26800000000003</v>
      </c>
      <c r="CR32" s="1445">
        <f>$C$32*CR27</f>
        <v>0</v>
      </c>
      <c r="CS32" s="1445">
        <f t="shared" si="53"/>
        <v>118.58400000000002</v>
      </c>
      <c r="CT32" s="1445">
        <f t="shared" si="53"/>
        <v>117.61199999999999</v>
      </c>
      <c r="CV32" s="1486" t="s">
        <v>1126</v>
      </c>
      <c r="CW32" s="1458">
        <f>SDÖ4!O121</f>
        <v>0</v>
      </c>
      <c r="CX32" s="1445">
        <f>$C$32*CX27</f>
        <v>202.17600000000002</v>
      </c>
      <c r="CY32" s="1445">
        <f>$C$32*CY27</f>
        <v>149.04</v>
      </c>
      <c r="CZ32" s="1445">
        <f>$C$32*CZ27</f>
        <v>202.17600000000002</v>
      </c>
      <c r="DA32" s="1445">
        <f>$C$32*DA27</f>
        <v>149.04</v>
      </c>
      <c r="DB32" s="1445">
        <f t="shared" ref="DB32:DJ32" si="54">$C$32*DB27</f>
        <v>157.92685714285716</v>
      </c>
      <c r="DC32" s="1445">
        <f t="shared" si="54"/>
        <v>157.92685714285716</v>
      </c>
      <c r="DD32" s="1445">
        <f>$C$32*DD27</f>
        <v>154.3374</v>
      </c>
      <c r="DE32" s="1445">
        <f t="shared" si="54"/>
        <v>154.3374</v>
      </c>
      <c r="DF32" s="1445">
        <f t="shared" si="54"/>
        <v>159.81531428571432</v>
      </c>
      <c r="DG32" s="1445">
        <f t="shared" si="54"/>
        <v>159.13491428571433</v>
      </c>
      <c r="DH32" s="1445">
        <f>$C$32*DH27</f>
        <v>151.0673142857143</v>
      </c>
      <c r="DI32" s="1445">
        <f t="shared" si="54"/>
        <v>154.28880000000001</v>
      </c>
      <c r="DJ32" s="1445">
        <f t="shared" si="54"/>
        <v>215.34660000000002</v>
      </c>
      <c r="DK32" s="1445">
        <f>$C$32*DK27</f>
        <v>178.03800000000001</v>
      </c>
      <c r="DL32" s="1445">
        <f t="shared" ref="DL32:DS32" si="55">$C$32*DL27</f>
        <v>148.81319999999999</v>
      </c>
      <c r="DM32" s="1445">
        <f t="shared" si="55"/>
        <v>232.03908000000001</v>
      </c>
      <c r="DN32" s="1445">
        <f t="shared" si="55"/>
        <v>429.40800000000002</v>
      </c>
      <c r="DO32" s="1445">
        <f t="shared" si="55"/>
        <v>438.048</v>
      </c>
      <c r="DP32" s="1445">
        <f t="shared" si="55"/>
        <v>613.61999999999989</v>
      </c>
      <c r="DQ32" s="1445"/>
      <c r="DR32" s="1445">
        <f t="shared" si="55"/>
        <v>178.84800000000001</v>
      </c>
      <c r="DS32" s="1445">
        <f t="shared" si="55"/>
        <v>219.024</v>
      </c>
      <c r="DT32" s="1434"/>
      <c r="DU32" s="1445">
        <f>$C$32*DU27</f>
        <v>202.17600000000002</v>
      </c>
      <c r="DV32" s="1445">
        <f>$C$32*DV27</f>
        <v>149.04</v>
      </c>
      <c r="DW32" s="1445">
        <f>$C$32*DW27</f>
        <v>202.17600000000002</v>
      </c>
      <c r="DX32" s="1445">
        <f>$C$32*DX27</f>
        <v>149.04</v>
      </c>
      <c r="DY32" s="1443">
        <f t="shared" ref="DY32:EG32" si="56">$C$32*DY27</f>
        <v>167.49874285714287</v>
      </c>
      <c r="DZ32" s="1445">
        <f t="shared" si="56"/>
        <v>162.96274285714287</v>
      </c>
      <c r="EA32" s="1445">
        <f t="shared" si="56"/>
        <v>162.71280000000002</v>
      </c>
      <c r="EB32" s="1445">
        <f t="shared" si="56"/>
        <v>162.71280000000002</v>
      </c>
      <c r="EC32" s="1445">
        <f t="shared" si="56"/>
        <v>170.01668571428573</v>
      </c>
      <c r="ED32" s="1445">
        <f t="shared" si="56"/>
        <v>169.10948571428571</v>
      </c>
      <c r="EE32" s="1445">
        <f>$C$32*EE27</f>
        <v>170.01668571428573</v>
      </c>
      <c r="EF32" s="1445">
        <f t="shared" si="56"/>
        <v>162.64800000000002</v>
      </c>
      <c r="EG32" s="1445">
        <f t="shared" si="56"/>
        <v>221.81040000000002</v>
      </c>
      <c r="EH32" s="1445">
        <f t="shared" ref="EH32:EM32" si="57">$C$32*EH27</f>
        <v>181.89359999999999</v>
      </c>
      <c r="EI32" s="1445">
        <f t="shared" si="57"/>
        <v>152.21520000000001</v>
      </c>
      <c r="EJ32" s="1445">
        <f t="shared" si="57"/>
        <v>233.60400000000004</v>
      </c>
      <c r="EK32" s="1445">
        <f t="shared" si="57"/>
        <v>434.44799999999998</v>
      </c>
      <c r="EL32" s="1445">
        <f t="shared" si="57"/>
        <v>442.584</v>
      </c>
      <c r="EM32" s="1445">
        <f t="shared" si="57"/>
        <v>627.66</v>
      </c>
      <c r="EN32" s="1445"/>
      <c r="EO32" s="1445">
        <f>$C$32*EO27</f>
        <v>178.84800000000001</v>
      </c>
      <c r="EP32" s="1445">
        <f>$C$32*EP27</f>
        <v>219.024</v>
      </c>
      <c r="EQ32" s="1434"/>
      <c r="ER32" s="1445">
        <f>$C$32*ER27</f>
        <v>202.17600000000002</v>
      </c>
      <c r="ES32" s="1445">
        <f>$C$32*ES27</f>
        <v>149.04</v>
      </c>
      <c r="ET32" s="1445">
        <f>$C$32*ET27</f>
        <v>202.17600000000002</v>
      </c>
      <c r="EU32" s="1445">
        <f>$C$32*EU27</f>
        <v>149.04</v>
      </c>
      <c r="EV32" s="1443">
        <f t="shared" ref="EV32:FD32" si="58">$C$32*EV27</f>
        <v>195.25721142857145</v>
      </c>
      <c r="EW32" s="1445">
        <f t="shared" si="58"/>
        <v>173.03451428571429</v>
      </c>
      <c r="EX32" s="1445">
        <f t="shared" si="58"/>
        <v>172.2846857142857</v>
      </c>
      <c r="EY32" s="1445">
        <f t="shared" si="58"/>
        <v>171.08819999999997</v>
      </c>
      <c r="EZ32" s="1445">
        <f t="shared" si="58"/>
        <v>152.09485714285717</v>
      </c>
      <c r="FA32" s="1445">
        <f t="shared" si="58"/>
        <v>179.08405714285718</v>
      </c>
      <c r="FB32" s="1445">
        <f>$C$32*FB27</f>
        <v>180.21805714285716</v>
      </c>
      <c r="FC32" s="1445">
        <f t="shared" si="58"/>
        <v>171.00719999999998</v>
      </c>
      <c r="FD32" s="1445">
        <f t="shared" si="58"/>
        <v>228.27419999999998</v>
      </c>
      <c r="FE32" s="1445">
        <f t="shared" ref="FE32:FJ32" si="59">$C$32*FE27</f>
        <v>185.74920000000003</v>
      </c>
      <c r="FF32" s="1445">
        <f t="shared" si="59"/>
        <v>192.22920000000002</v>
      </c>
      <c r="FG32" s="1445">
        <f t="shared" si="59"/>
        <v>243.91692</v>
      </c>
      <c r="FH32" s="1445">
        <f t="shared" si="59"/>
        <v>432.43200000000002</v>
      </c>
      <c r="FI32" s="1445">
        <f t="shared" si="59"/>
        <v>446.11199999999997</v>
      </c>
      <c r="FJ32" s="1445">
        <f t="shared" si="59"/>
        <v>649.47599999999989</v>
      </c>
      <c r="FK32" s="1445"/>
      <c r="FL32" s="1445">
        <f>$C$32*FL27</f>
        <v>178.84800000000001</v>
      </c>
      <c r="FM32" s="1445">
        <f>$C$32*FM27</f>
        <v>219.024</v>
      </c>
    </row>
    <row r="33" spans="1:169" ht="16.149999999999999" customHeight="1">
      <c r="A33" s="1440">
        <f>ROWS($A$1:A33)</f>
        <v>33</v>
      </c>
      <c r="B33" s="1486" t="s">
        <v>1125</v>
      </c>
      <c r="C33" s="1456"/>
      <c r="D33" s="3617">
        <f>'SDK4'!$Q$48</f>
        <v>140.33333333333334</v>
      </c>
      <c r="E33" s="1445">
        <f>'SDK4'!$Q$48</f>
        <v>140.33333333333334</v>
      </c>
      <c r="F33" s="1445">
        <f>'SDK4'!$Q$48</f>
        <v>140.33333333333334</v>
      </c>
      <c r="G33" s="1445">
        <f>'SDK4'!$Q$48</f>
        <v>140.33333333333334</v>
      </c>
      <c r="H33" s="1445">
        <f>'SDK4'!$Q$48</f>
        <v>140.33333333333334</v>
      </c>
      <c r="I33" s="1445">
        <f>'SDK4'!$Q$48</f>
        <v>140.33333333333334</v>
      </c>
      <c r="J33" s="1445">
        <f>'SDK4'!$Q$48</f>
        <v>140.33333333333334</v>
      </c>
      <c r="K33" s="1445">
        <f>'SDK4'!$Q$48</f>
        <v>140.33333333333334</v>
      </c>
      <c r="L33" s="1445">
        <f>'SDK4'!$Q$48</f>
        <v>140.33333333333334</v>
      </c>
      <c r="M33" s="1445">
        <f>'SDK4'!$Q$48</f>
        <v>140.33333333333334</v>
      </c>
      <c r="N33" s="1445">
        <f>'SDK4'!$Q$48</f>
        <v>140.33333333333334</v>
      </c>
      <c r="O33" s="1445">
        <f>'SDK4'!$Q$48</f>
        <v>140.33333333333334</v>
      </c>
      <c r="P33" s="1445">
        <f>'SDK4'!$Q$48</f>
        <v>140.33333333333334</v>
      </c>
      <c r="Q33" s="1445">
        <f>'SDK4'!$Q$48</f>
        <v>140.33333333333334</v>
      </c>
      <c r="R33" s="1445"/>
      <c r="S33" s="1445">
        <f>'SDK4'!$Q$48</f>
        <v>140.33333333333334</v>
      </c>
      <c r="T33" s="1445">
        <f>'SDK4'!$Q$48</f>
        <v>140.33333333333334</v>
      </c>
      <c r="U33" s="1445">
        <f>'SDK4'!$Q$48</f>
        <v>140.33333333333334</v>
      </c>
      <c r="V33" s="1445">
        <f>'SDK4'!$Q$48</f>
        <v>140.33333333333334</v>
      </c>
      <c r="W33" s="1445"/>
      <c r="X33" s="1445">
        <f>'SDK4'!$Q$48</f>
        <v>140.33333333333334</v>
      </c>
      <c r="Y33" s="1445">
        <f>'SDK4'!$Q$48</f>
        <v>140.33333333333334</v>
      </c>
      <c r="Z33" s="1445">
        <f>'SDK4'!$Q$48</f>
        <v>140.33333333333334</v>
      </c>
      <c r="AA33" s="1445">
        <f>'SDK4'!$Q$48</f>
        <v>140.33333333333334</v>
      </c>
      <c r="AB33" s="1445">
        <f>'SDK4'!$Q$48</f>
        <v>140.33333333333334</v>
      </c>
      <c r="AC33" s="1445">
        <f>'SDK4'!$Q$48</f>
        <v>140.33333333333334</v>
      </c>
      <c r="AD33" s="1445">
        <f>'SDK4'!$Q$48</f>
        <v>140.33333333333334</v>
      </c>
      <c r="AE33" s="1445">
        <f>'SDK4'!$Q$48</f>
        <v>140.33333333333334</v>
      </c>
      <c r="AF33" s="1445">
        <f>'SDK4'!$Q$48</f>
        <v>140.33333333333334</v>
      </c>
      <c r="AG33" s="1445">
        <f>'SDK4'!$Q$48</f>
        <v>140.33333333333334</v>
      </c>
      <c r="AH33" s="1445"/>
      <c r="AI33" s="1445"/>
      <c r="AJ33" s="1443">
        <f>'SDK4'!$Q$48</f>
        <v>140.33333333333334</v>
      </c>
      <c r="AK33" s="1443">
        <f>'SDK4'!$Q$48</f>
        <v>140.33333333333334</v>
      </c>
      <c r="AL33" s="1443">
        <f>'SDK4'!$Q$48</f>
        <v>140.33333333333334</v>
      </c>
      <c r="AM33" s="1443">
        <f>'SDK4'!$Q$48</f>
        <v>140.33333333333334</v>
      </c>
      <c r="AN33" s="1443">
        <f>'SDK4'!$Q$48</f>
        <v>140.33333333333334</v>
      </c>
      <c r="AO33" s="1443">
        <f>'SDK4'!$Q$48</f>
        <v>140.33333333333334</v>
      </c>
      <c r="AP33" s="1443">
        <f>'SDK4'!$Q$48</f>
        <v>140.33333333333334</v>
      </c>
      <c r="AQ33" s="1443">
        <f>'SDK4'!$Q$48</f>
        <v>140.33333333333334</v>
      </c>
      <c r="AR33" s="1443">
        <f>'SDK4'!$Q$48</f>
        <v>140.33333333333334</v>
      </c>
      <c r="AS33" s="1443">
        <f>'SDK4'!$Q$48</f>
        <v>140.33333333333334</v>
      </c>
      <c r="AT33" s="1443">
        <f>'SDK4'!$Q$48</f>
        <v>140.33333333333334</v>
      </c>
      <c r="AU33" s="1443">
        <f>'SDK4'!$Q$48</f>
        <v>140.33333333333334</v>
      </c>
      <c r="AV33" s="1443">
        <f>'SDK4'!$Q$48</f>
        <v>140.33333333333334</v>
      </c>
      <c r="AW33" s="1443">
        <f>'SDK4'!$Q$48</f>
        <v>140.33333333333334</v>
      </c>
      <c r="AX33" s="1443"/>
      <c r="AY33" s="1443">
        <f>'SDK4'!$Q$48</f>
        <v>140.33333333333334</v>
      </c>
      <c r="AZ33" s="1443">
        <f>'SDK4'!$Q$48</f>
        <v>140.33333333333334</v>
      </c>
      <c r="BA33" s="1443">
        <f>'SDK4'!$Q$48</f>
        <v>140.33333333333334</v>
      </c>
      <c r="BB33" s="1443">
        <f>'SDK4'!$Q$48</f>
        <v>140.33333333333334</v>
      </c>
      <c r="BC33" s="1443"/>
      <c r="BD33" s="1443">
        <f>'SDK4'!$Q$48</f>
        <v>140.33333333333334</v>
      </c>
      <c r="BE33" s="1443">
        <f>'SDK4'!$Q$48</f>
        <v>140.33333333333334</v>
      </c>
      <c r="BF33" s="1443">
        <f>'SDK4'!$Q$48</f>
        <v>140.33333333333334</v>
      </c>
      <c r="BG33" s="1443">
        <f>'SDK4'!$Q$48</f>
        <v>140.33333333333334</v>
      </c>
      <c r="BH33" s="1443">
        <f>'SDK4'!$Q$48</f>
        <v>140.33333333333334</v>
      </c>
      <c r="BI33" s="1443">
        <f>'SDK4'!$Q$48</f>
        <v>140.33333333333334</v>
      </c>
      <c r="BJ33" s="1443">
        <f>'SDK4'!$Q$48</f>
        <v>140.33333333333334</v>
      </c>
      <c r="BK33" s="1443">
        <f>'SDK4'!$Q$48</f>
        <v>140.33333333333334</v>
      </c>
      <c r="BL33" s="1443">
        <f>'SDK4'!$Q$48</f>
        <v>140.33333333333334</v>
      </c>
      <c r="BM33" s="1443">
        <f>'SDK4'!$Q$48</f>
        <v>140.33333333333334</v>
      </c>
      <c r="BN33" s="1445"/>
      <c r="BO33" s="1445"/>
      <c r="BP33" s="1443">
        <f>'SDK4'!$Q$48</f>
        <v>140.33333333333334</v>
      </c>
      <c r="BQ33" s="1443">
        <f>'SDK4'!$Q$48</f>
        <v>140.33333333333334</v>
      </c>
      <c r="BR33" s="1443">
        <f>'SDK4'!$Q$48</f>
        <v>140.33333333333334</v>
      </c>
      <c r="BS33" s="1443">
        <f>'SDK4'!$Q$48</f>
        <v>140.33333333333334</v>
      </c>
      <c r="BT33" s="1443">
        <f>'SDK4'!$Q$48</f>
        <v>140.33333333333334</v>
      </c>
      <c r="BU33" s="1443">
        <f>'SDK4'!$Q$48</f>
        <v>140.33333333333334</v>
      </c>
      <c r="BV33" s="1443">
        <f>'SDK4'!$Q$48</f>
        <v>140.33333333333334</v>
      </c>
      <c r="BW33" s="1443">
        <f>'SDK4'!$Q$48</f>
        <v>140.33333333333334</v>
      </c>
      <c r="BX33" s="1443">
        <f>'SDK4'!$Q$48</f>
        <v>140.33333333333334</v>
      </c>
      <c r="BY33" s="1443">
        <f>'SDK4'!$Q$48</f>
        <v>140.33333333333334</v>
      </c>
      <c r="BZ33" s="1443">
        <f>'SDK4'!$Q$48</f>
        <v>140.33333333333334</v>
      </c>
      <c r="CA33" s="1443">
        <f>'SDK4'!$Q$48</f>
        <v>140.33333333333334</v>
      </c>
      <c r="CB33" s="1443">
        <f>'SDK4'!$Q$48</f>
        <v>140.33333333333334</v>
      </c>
      <c r="CC33" s="1443">
        <f>'SDK4'!$Q$48</f>
        <v>140.33333333333334</v>
      </c>
      <c r="CD33" s="1443"/>
      <c r="CE33" s="1443">
        <f>'SDK4'!$Q$48</f>
        <v>140.33333333333334</v>
      </c>
      <c r="CF33" s="1443">
        <f>'SDK4'!$Q$48</f>
        <v>140.33333333333334</v>
      </c>
      <c r="CG33" s="1443">
        <f>'SDK4'!$Q$48</f>
        <v>140.33333333333334</v>
      </c>
      <c r="CH33" s="1443">
        <f>'SDK4'!$Q$48</f>
        <v>140.33333333333334</v>
      </c>
      <c r="CI33" s="1443"/>
      <c r="CJ33" s="1443">
        <f>'SDK4'!$Q$48</f>
        <v>140.33333333333334</v>
      </c>
      <c r="CK33" s="1443">
        <f>'SDK4'!$Q$48</f>
        <v>140.33333333333334</v>
      </c>
      <c r="CL33" s="1443">
        <f>'SDK4'!$Q$48</f>
        <v>140.33333333333334</v>
      </c>
      <c r="CM33" s="1443">
        <f>'SDK4'!$Q$48</f>
        <v>140.33333333333334</v>
      </c>
      <c r="CN33" s="1443">
        <f>'SDK4'!$Q$48</f>
        <v>140.33333333333334</v>
      </c>
      <c r="CO33" s="1443">
        <f>'SDK4'!$Q$48</f>
        <v>140.33333333333334</v>
      </c>
      <c r="CP33" s="1443">
        <f>'SDK4'!$Q$48</f>
        <v>140.33333333333334</v>
      </c>
      <c r="CQ33" s="1443">
        <f>'SDK4'!$Q$48</f>
        <v>140.33333333333334</v>
      </c>
      <c r="CR33" s="1443">
        <f>'SDK4'!$Q$48</f>
        <v>140.33333333333334</v>
      </c>
      <c r="CS33" s="1443">
        <f>'SDK4'!$Q$48</f>
        <v>140.33333333333334</v>
      </c>
      <c r="CT33" s="1443"/>
      <c r="CV33" s="1486" t="s">
        <v>1125</v>
      </c>
      <c r="CW33" s="1456"/>
      <c r="CX33" s="3617" t="e">
        <f>SDÖ4!$O$51</f>
        <v>#N/A</v>
      </c>
      <c r="CY33" s="1445" t="e">
        <f>SDÖ4!$O$51</f>
        <v>#N/A</v>
      </c>
      <c r="CZ33" s="1445" t="e">
        <f>SDÖ4!$O$51</f>
        <v>#N/A</v>
      </c>
      <c r="DA33" s="1445" t="e">
        <f>SDÖ4!$O$51</f>
        <v>#N/A</v>
      </c>
      <c r="DB33" s="1445" t="e">
        <f>SDÖ4!$O$51</f>
        <v>#N/A</v>
      </c>
      <c r="DC33" s="1445" t="e">
        <f>SDÖ4!$O$51</f>
        <v>#N/A</v>
      </c>
      <c r="DD33" s="1445" t="e">
        <f>SDÖ4!$O$51</f>
        <v>#N/A</v>
      </c>
      <c r="DE33" s="1445" t="e">
        <f>SDÖ4!$O$51</f>
        <v>#N/A</v>
      </c>
      <c r="DF33" s="1445" t="e">
        <f>SDÖ4!$O$51</f>
        <v>#N/A</v>
      </c>
      <c r="DG33" s="1445" t="e">
        <f>SDÖ4!$O$51</f>
        <v>#N/A</v>
      </c>
      <c r="DH33" s="1445" t="e">
        <f>SDÖ4!$O$51</f>
        <v>#N/A</v>
      </c>
      <c r="DI33" s="1445" t="e">
        <f>SDÖ4!$O$51</f>
        <v>#N/A</v>
      </c>
      <c r="DJ33" s="1445" t="e">
        <f>SDÖ4!$O$51</f>
        <v>#N/A</v>
      </c>
      <c r="DK33" s="1445" t="e">
        <f>SDÖ4!$O$51</f>
        <v>#N/A</v>
      </c>
      <c r="DL33" s="1445" t="e">
        <f>SDÖ4!$O$51</f>
        <v>#N/A</v>
      </c>
      <c r="DM33" s="1445" t="e">
        <f>SDÖ4!$O$51</f>
        <v>#N/A</v>
      </c>
      <c r="DN33" s="1445" t="e">
        <f>SDÖ4!$O$51</f>
        <v>#N/A</v>
      </c>
      <c r="DO33" s="1445" t="e">
        <f>SDÖ4!$O$51</f>
        <v>#N/A</v>
      </c>
      <c r="DP33" s="1445" t="e">
        <f>SDÖ4!$O$51</f>
        <v>#N/A</v>
      </c>
      <c r="DQ33" s="1445"/>
      <c r="DR33" s="1445" t="e">
        <f>SDÖ4!$O$51</f>
        <v>#N/A</v>
      </c>
      <c r="DS33" s="1445" t="e">
        <f>SDÖ4!$O$51</f>
        <v>#N/A</v>
      </c>
      <c r="DT33" s="1434"/>
      <c r="DU33" s="1445" t="e">
        <f>SDÖ4!$O$51</f>
        <v>#N/A</v>
      </c>
      <c r="DV33" s="1445" t="e">
        <f>SDÖ4!$O$51</f>
        <v>#N/A</v>
      </c>
      <c r="DW33" s="1445" t="e">
        <f>SDÖ4!$O$51</f>
        <v>#N/A</v>
      </c>
      <c r="DX33" s="1445" t="e">
        <f>SDÖ4!$O$51</f>
        <v>#N/A</v>
      </c>
      <c r="DY33" s="1443" t="e">
        <f>SDÖ4!$O$51</f>
        <v>#N/A</v>
      </c>
      <c r="DZ33" s="1443" t="e">
        <f>SDÖ4!$O$51</f>
        <v>#N/A</v>
      </c>
      <c r="EA33" s="1443" t="e">
        <f>SDÖ4!$O$51</f>
        <v>#N/A</v>
      </c>
      <c r="EB33" s="1443" t="e">
        <f>SDÖ4!$O$51</f>
        <v>#N/A</v>
      </c>
      <c r="EC33" s="1443" t="e">
        <f>SDÖ4!$O$51</f>
        <v>#N/A</v>
      </c>
      <c r="ED33" s="1443" t="e">
        <f>SDÖ4!$O$51</f>
        <v>#N/A</v>
      </c>
      <c r="EE33" s="1443" t="e">
        <f>SDÖ4!$O$51</f>
        <v>#N/A</v>
      </c>
      <c r="EF33" s="1443" t="e">
        <f>SDÖ4!$O$51</f>
        <v>#N/A</v>
      </c>
      <c r="EG33" s="1443" t="e">
        <f>SDÖ4!$O$51</f>
        <v>#N/A</v>
      </c>
      <c r="EH33" s="1443" t="e">
        <f>SDÖ4!$O$51</f>
        <v>#N/A</v>
      </c>
      <c r="EI33" s="1443" t="e">
        <f>SDÖ4!$O$51</f>
        <v>#N/A</v>
      </c>
      <c r="EJ33" s="1443" t="e">
        <f>SDÖ4!$O$51</f>
        <v>#N/A</v>
      </c>
      <c r="EK33" s="1443" t="e">
        <f>SDÖ4!$O$51</f>
        <v>#N/A</v>
      </c>
      <c r="EL33" s="1443" t="e">
        <f>SDÖ4!$O$51</f>
        <v>#N/A</v>
      </c>
      <c r="EM33" s="1443" t="e">
        <f>SDÖ4!$O$51</f>
        <v>#N/A</v>
      </c>
      <c r="EN33" s="1443"/>
      <c r="EO33" s="1443" t="e">
        <f>SDÖ4!$O$51</f>
        <v>#N/A</v>
      </c>
      <c r="EP33" s="1443" t="e">
        <f>SDÖ4!$O$51</f>
        <v>#N/A</v>
      </c>
      <c r="EQ33" s="1434"/>
      <c r="ER33" s="1445" t="e">
        <f>SDÖ4!$O$51</f>
        <v>#N/A</v>
      </c>
      <c r="ES33" s="1443" t="e">
        <f>SDÖ4!$O$51</f>
        <v>#N/A</v>
      </c>
      <c r="ET33" s="1443" t="e">
        <f>SDÖ4!$O$51</f>
        <v>#N/A</v>
      </c>
      <c r="EU33" s="1443" t="e">
        <f>SDÖ4!$O$51</f>
        <v>#N/A</v>
      </c>
      <c r="EV33" s="1443" t="e">
        <f>SDÖ4!$O$51</f>
        <v>#N/A</v>
      </c>
      <c r="EW33" s="1443" t="e">
        <f>SDÖ4!$O$51</f>
        <v>#N/A</v>
      </c>
      <c r="EX33" s="1443" t="e">
        <f>SDÖ4!$O$51</f>
        <v>#N/A</v>
      </c>
      <c r="EY33" s="1443" t="e">
        <f>SDÖ4!$O$51</f>
        <v>#N/A</v>
      </c>
      <c r="EZ33" s="1443" t="e">
        <f>SDÖ4!$O$51</f>
        <v>#N/A</v>
      </c>
      <c r="FA33" s="1443" t="e">
        <f>SDÖ4!$O$51</f>
        <v>#N/A</v>
      </c>
      <c r="FB33" s="1443" t="e">
        <f>SDÖ4!$O$51</f>
        <v>#N/A</v>
      </c>
      <c r="FC33" s="1443" t="e">
        <f>SDÖ4!$O$51</f>
        <v>#N/A</v>
      </c>
      <c r="FD33" s="1443" t="e">
        <f>SDÖ4!$O$51</f>
        <v>#N/A</v>
      </c>
      <c r="FE33" s="1443" t="e">
        <f>SDÖ4!$O$51</f>
        <v>#N/A</v>
      </c>
      <c r="FF33" s="1443" t="e">
        <f>SDÖ4!$O$51</f>
        <v>#N/A</v>
      </c>
      <c r="FG33" s="1443" t="e">
        <f>SDÖ4!$O$51</f>
        <v>#N/A</v>
      </c>
      <c r="FH33" s="1443" t="e">
        <f>SDÖ4!$O$51</f>
        <v>#N/A</v>
      </c>
      <c r="FI33" s="1443" t="e">
        <f>SDÖ4!$O$51</f>
        <v>#N/A</v>
      </c>
      <c r="FJ33" s="1443" t="e">
        <f>SDÖ4!$O$51</f>
        <v>#N/A</v>
      </c>
      <c r="FK33" s="1443"/>
      <c r="FL33" s="1443" t="e">
        <f>SDÖ4!$O$51</f>
        <v>#N/A</v>
      </c>
      <c r="FM33" s="1443" t="e">
        <f>SDÖ4!$O$51</f>
        <v>#N/A</v>
      </c>
    </row>
    <row r="34" spans="1:169" ht="18" customHeight="1">
      <c r="A34" s="1440">
        <f>ROWS($A$1:A34)</f>
        <v>34</v>
      </c>
      <c r="B34" s="1506" t="s">
        <v>1124</v>
      </c>
      <c r="C34" s="1505"/>
      <c r="D34" s="1503">
        <f t="shared" ref="D34:AH34" si="60">SUM(D28:D33)</f>
        <v>838.18160000000012</v>
      </c>
      <c r="E34" s="1503">
        <f t="shared" si="60"/>
        <v>833.30000000000007</v>
      </c>
      <c r="F34" s="1503">
        <f t="shared" si="60"/>
        <v>831.78800000000012</v>
      </c>
      <c r="G34" s="1503">
        <f t="shared" si="60"/>
        <v>831.78800000000012</v>
      </c>
      <c r="H34" s="1503">
        <f t="shared" si="60"/>
        <v>819.15200000000016</v>
      </c>
      <c r="I34" s="1503">
        <f t="shared" si="60"/>
        <v>819.15200000000016</v>
      </c>
      <c r="J34" s="1503">
        <f t="shared" si="60"/>
        <v>831.78800000000012</v>
      </c>
      <c r="K34" s="1503">
        <f t="shared" si="60"/>
        <v>830.27600000000007</v>
      </c>
      <c r="L34" s="1503">
        <f t="shared" si="60"/>
        <v>820.6640000000001</v>
      </c>
      <c r="M34" s="1503">
        <f t="shared" si="60"/>
        <v>817.6400000000001</v>
      </c>
      <c r="N34" s="1503">
        <f t="shared" si="60"/>
        <v>816.12800000000004</v>
      </c>
      <c r="O34" s="1503">
        <f t="shared" si="60"/>
        <v>803.49200000000008</v>
      </c>
      <c r="P34" s="1503">
        <f t="shared" si="60"/>
        <v>844.1</v>
      </c>
      <c r="Q34" s="1503">
        <f t="shared" si="60"/>
        <v>805.32800000000009</v>
      </c>
      <c r="R34" s="1503"/>
      <c r="S34" s="1503">
        <f t="shared" si="60"/>
        <v>836.21600000000001</v>
      </c>
      <c r="T34" s="1503">
        <f t="shared" si="60"/>
        <v>820.59920000000011</v>
      </c>
      <c r="U34" s="1503">
        <f t="shared" si="60"/>
        <v>810.72800000000007</v>
      </c>
      <c r="V34" s="1503">
        <f t="shared" si="60"/>
        <v>783.33920000000001</v>
      </c>
      <c r="W34" s="1503"/>
      <c r="X34" s="1503">
        <f t="shared" si="60"/>
        <v>788.78240000000005</v>
      </c>
      <c r="Y34" s="1503">
        <f t="shared" si="60"/>
        <v>786.96800000000007</v>
      </c>
      <c r="Z34" s="1503">
        <f t="shared" si="60"/>
        <v>780.92000000000007</v>
      </c>
      <c r="AA34" s="1503">
        <f t="shared" si="60"/>
        <v>850.14800000000002</v>
      </c>
      <c r="AB34" s="1503">
        <f t="shared" si="60"/>
        <v>1055.06</v>
      </c>
      <c r="AC34" s="1503">
        <f t="shared" si="60"/>
        <v>1326.68</v>
      </c>
      <c r="AD34" s="1503">
        <f t="shared" si="60"/>
        <v>1103.8399999999999</v>
      </c>
      <c r="AE34" s="1503">
        <f t="shared" si="60"/>
        <v>1282.364</v>
      </c>
      <c r="AF34" s="1503">
        <f t="shared" si="60"/>
        <v>647</v>
      </c>
      <c r="AG34" s="1503">
        <f t="shared" si="60"/>
        <v>765.58400000000006</v>
      </c>
      <c r="AH34" s="1503">
        <f t="shared" si="60"/>
        <v>117.61199999999999</v>
      </c>
      <c r="AI34" s="1489"/>
      <c r="AJ34" s="1504">
        <f t="shared" ref="AJ34:BN34" si="61">SUM(AJ28:AJ33)</f>
        <v>906.77920000000006</v>
      </c>
      <c r="AK34" s="1503">
        <f t="shared" si="61"/>
        <v>899.82400000000018</v>
      </c>
      <c r="AL34" s="1503">
        <f t="shared" si="61"/>
        <v>898.31200000000013</v>
      </c>
      <c r="AM34" s="1503">
        <f t="shared" si="61"/>
        <v>896.80000000000007</v>
      </c>
      <c r="AN34" s="1503">
        <f t="shared" si="61"/>
        <v>872.17600000000016</v>
      </c>
      <c r="AO34" s="1503">
        <f t="shared" si="61"/>
        <v>873.68800000000022</v>
      </c>
      <c r="AP34" s="1503">
        <f t="shared" si="61"/>
        <v>886.32400000000018</v>
      </c>
      <c r="AQ34" s="1503">
        <f t="shared" si="61"/>
        <v>895.28800000000012</v>
      </c>
      <c r="AR34" s="1503">
        <f t="shared" si="61"/>
        <v>870.6640000000001</v>
      </c>
      <c r="AS34" s="1503">
        <f t="shared" si="61"/>
        <v>870.6640000000001</v>
      </c>
      <c r="AT34" s="1503">
        <f t="shared" si="61"/>
        <v>869.15200000000016</v>
      </c>
      <c r="AU34" s="1503">
        <f t="shared" si="61"/>
        <v>869.15200000000016</v>
      </c>
      <c r="AV34" s="1503">
        <f t="shared" si="61"/>
        <v>898.63600000000008</v>
      </c>
      <c r="AW34" s="1503">
        <f t="shared" si="61"/>
        <v>861.37600000000009</v>
      </c>
      <c r="AX34" s="1503"/>
      <c r="AY34" s="1503">
        <f t="shared" si="61"/>
        <v>901.87600000000009</v>
      </c>
      <c r="AZ34" s="1503">
        <f t="shared" si="61"/>
        <v>885.04960000000017</v>
      </c>
      <c r="BA34" s="1503">
        <f t="shared" si="61"/>
        <v>862.24000000000012</v>
      </c>
      <c r="BB34" s="1503">
        <f t="shared" si="61"/>
        <v>836.96800000000019</v>
      </c>
      <c r="BC34" s="1503"/>
      <c r="BD34" s="1503">
        <f t="shared" si="61"/>
        <v>838.78240000000017</v>
      </c>
      <c r="BE34" s="1503">
        <f t="shared" si="61"/>
        <v>838.78240000000017</v>
      </c>
      <c r="BF34" s="1503">
        <f t="shared" si="61"/>
        <v>835.45600000000013</v>
      </c>
      <c r="BG34" s="1503">
        <f t="shared" si="61"/>
        <v>900.14800000000014</v>
      </c>
      <c r="BH34" s="1503">
        <f t="shared" si="61"/>
        <v>1119.46</v>
      </c>
      <c r="BI34" s="1503">
        <f t="shared" si="61"/>
        <v>1384.0600000000002</v>
      </c>
      <c r="BJ34" s="1503">
        <f t="shared" si="61"/>
        <v>1168.24</v>
      </c>
      <c r="BK34" s="1503">
        <f t="shared" si="61"/>
        <v>1344.46</v>
      </c>
      <c r="BL34" s="1503">
        <f t="shared" si="61"/>
        <v>697.00000000000011</v>
      </c>
      <c r="BM34" s="1503">
        <f t="shared" si="61"/>
        <v>815.58400000000017</v>
      </c>
      <c r="BN34" s="1503">
        <f t="shared" si="61"/>
        <v>424.27866666666671</v>
      </c>
      <c r="BO34" s="1489"/>
      <c r="BP34" s="1504">
        <f t="shared" ref="BP34:CT34" si="62">SUM(BP28:BP33)</f>
        <v>988.01280000000008</v>
      </c>
      <c r="BQ34" s="1503">
        <f t="shared" si="62"/>
        <v>966.34800000000007</v>
      </c>
      <c r="BR34" s="1503">
        <f t="shared" si="62"/>
        <v>964.83600000000013</v>
      </c>
      <c r="BS34" s="1503">
        <f t="shared" si="62"/>
        <v>961.81200000000013</v>
      </c>
      <c r="BT34" s="1503">
        <f t="shared" si="62"/>
        <v>949.82400000000018</v>
      </c>
      <c r="BU34" s="1503">
        <f t="shared" si="62"/>
        <v>941.72400000000005</v>
      </c>
      <c r="BV34" s="1503">
        <f t="shared" si="62"/>
        <v>952.84800000000007</v>
      </c>
      <c r="BW34" s="1503">
        <f t="shared" si="62"/>
        <v>948.31200000000013</v>
      </c>
      <c r="BX34" s="1503">
        <f t="shared" si="62"/>
        <v>920.6640000000001</v>
      </c>
      <c r="BY34" s="1503">
        <f t="shared" si="62"/>
        <v>923.68800000000022</v>
      </c>
      <c r="BZ34" s="1503">
        <f t="shared" si="62"/>
        <v>922.17600000000016</v>
      </c>
      <c r="CA34" s="1503">
        <f t="shared" si="62"/>
        <v>922.17600000000016</v>
      </c>
      <c r="CB34" s="1503">
        <f t="shared" si="62"/>
        <v>950.14800000000014</v>
      </c>
      <c r="CC34" s="1503">
        <f t="shared" si="62"/>
        <v>917.42400000000009</v>
      </c>
      <c r="CD34" s="1503"/>
      <c r="CE34" s="1503">
        <f t="shared" si="62"/>
        <v>954.90000000000009</v>
      </c>
      <c r="CF34" s="1503">
        <f t="shared" si="62"/>
        <v>936.86400000000015</v>
      </c>
      <c r="CG34" s="1503">
        <f t="shared" si="62"/>
        <v>913.75200000000007</v>
      </c>
      <c r="CH34" s="1503">
        <f t="shared" si="62"/>
        <v>890.59680000000014</v>
      </c>
      <c r="CI34" s="1503"/>
      <c r="CJ34" s="1503">
        <f t="shared" si="62"/>
        <v>892.41120000000012</v>
      </c>
      <c r="CK34" s="1503">
        <f t="shared" si="62"/>
        <v>892.41120000000012</v>
      </c>
      <c r="CL34" s="1503">
        <f t="shared" si="62"/>
        <v>889.99200000000008</v>
      </c>
      <c r="CM34" s="1503">
        <f t="shared" si="62"/>
        <v>962.78400000000011</v>
      </c>
      <c r="CN34" s="1503">
        <f t="shared" si="62"/>
        <v>1183.8599999999999</v>
      </c>
      <c r="CO34" s="1503">
        <f t="shared" si="62"/>
        <v>1455.48</v>
      </c>
      <c r="CP34" s="1503">
        <f t="shared" si="62"/>
        <v>1232.6400000000001</v>
      </c>
      <c r="CQ34" s="1503">
        <f t="shared" si="62"/>
        <v>1406.268</v>
      </c>
      <c r="CR34" s="1503">
        <f>SUM(CR28:CR33)</f>
        <v>747.00000000000011</v>
      </c>
      <c r="CS34" s="1503">
        <f t="shared" si="62"/>
        <v>865.58400000000017</v>
      </c>
      <c r="CT34" s="1503">
        <f t="shared" si="62"/>
        <v>474.27866666666671</v>
      </c>
      <c r="CV34" s="1506" t="s">
        <v>1124</v>
      </c>
      <c r="CW34" s="1505"/>
      <c r="CX34" s="1503" t="e">
        <f t="shared" ref="CX34:DS34" si="63">SUM(CX28:CX33)</f>
        <v>#N/A</v>
      </c>
      <c r="CY34" s="1503" t="e">
        <f t="shared" si="63"/>
        <v>#N/A</v>
      </c>
      <c r="CZ34" s="1503" t="e">
        <f t="shared" si="63"/>
        <v>#N/A</v>
      </c>
      <c r="DA34" s="1503" t="e">
        <f t="shared" si="63"/>
        <v>#N/A</v>
      </c>
      <c r="DB34" s="1503" t="e">
        <f t="shared" si="63"/>
        <v>#N/A</v>
      </c>
      <c r="DC34" s="1503" t="e">
        <f t="shared" si="63"/>
        <v>#N/A</v>
      </c>
      <c r="DD34" s="1503" t="e">
        <f t="shared" si="63"/>
        <v>#N/A</v>
      </c>
      <c r="DE34" s="1503" t="e">
        <f t="shared" si="63"/>
        <v>#N/A</v>
      </c>
      <c r="DF34" s="1503" t="e">
        <f t="shared" si="63"/>
        <v>#N/A</v>
      </c>
      <c r="DG34" s="1503" t="e">
        <f t="shared" si="63"/>
        <v>#N/A</v>
      </c>
      <c r="DH34" s="1503" t="e">
        <f t="shared" si="63"/>
        <v>#N/A</v>
      </c>
      <c r="DI34" s="1503" t="e">
        <f t="shared" si="63"/>
        <v>#N/A</v>
      </c>
      <c r="DJ34" s="1503" t="e">
        <f t="shared" si="63"/>
        <v>#N/A</v>
      </c>
      <c r="DK34" s="1503" t="e">
        <f t="shared" si="63"/>
        <v>#N/A</v>
      </c>
      <c r="DL34" s="1503" t="e">
        <f t="shared" si="63"/>
        <v>#N/A</v>
      </c>
      <c r="DM34" s="1503" t="e">
        <f t="shared" si="63"/>
        <v>#N/A</v>
      </c>
      <c r="DN34" s="1503" t="e">
        <f t="shared" si="63"/>
        <v>#N/A</v>
      </c>
      <c r="DO34" s="1503" t="e">
        <f t="shared" si="63"/>
        <v>#N/A</v>
      </c>
      <c r="DP34" s="1503" t="e">
        <f t="shared" si="63"/>
        <v>#N/A</v>
      </c>
      <c r="DQ34" s="1503"/>
      <c r="DR34" s="1503" t="e">
        <f t="shared" si="63"/>
        <v>#N/A</v>
      </c>
      <c r="DS34" s="1503" t="e">
        <f t="shared" si="63"/>
        <v>#N/A</v>
      </c>
      <c r="DT34" s="1434"/>
      <c r="DU34" s="1503" t="e">
        <f>SUM(DU28:DU33)</f>
        <v>#N/A</v>
      </c>
      <c r="DV34" s="1503" t="e">
        <f>SUM(DV28:DV33)</f>
        <v>#N/A</v>
      </c>
      <c r="DW34" s="1503" t="e">
        <f>SUM(DW28:DW33)</f>
        <v>#N/A</v>
      </c>
      <c r="DX34" s="1503" t="e">
        <f>SUM(DX28:DX33)</f>
        <v>#N/A</v>
      </c>
      <c r="DY34" s="1504" t="e">
        <f t="shared" ref="DY34:EG34" si="64">SUM(DY28:DY33)</f>
        <v>#N/A</v>
      </c>
      <c r="DZ34" s="1503" t="e">
        <f t="shared" si="64"/>
        <v>#N/A</v>
      </c>
      <c r="EA34" s="1503" t="e">
        <f t="shared" si="64"/>
        <v>#N/A</v>
      </c>
      <c r="EB34" s="1503" t="e">
        <f t="shared" si="64"/>
        <v>#N/A</v>
      </c>
      <c r="EC34" s="1503" t="e">
        <f t="shared" si="64"/>
        <v>#N/A</v>
      </c>
      <c r="ED34" s="1503" t="e">
        <f t="shared" si="64"/>
        <v>#N/A</v>
      </c>
      <c r="EE34" s="1503" t="e">
        <f>SUM(EE28:EE33)</f>
        <v>#N/A</v>
      </c>
      <c r="EF34" s="1503" t="e">
        <f t="shared" si="64"/>
        <v>#N/A</v>
      </c>
      <c r="EG34" s="1503" t="e">
        <f t="shared" si="64"/>
        <v>#N/A</v>
      </c>
      <c r="EH34" s="1503" t="e">
        <f t="shared" ref="EH34:EM34" si="65">SUM(EH28:EH33)</f>
        <v>#N/A</v>
      </c>
      <c r="EI34" s="1503" t="e">
        <f t="shared" si="65"/>
        <v>#N/A</v>
      </c>
      <c r="EJ34" s="1503" t="e">
        <f t="shared" si="65"/>
        <v>#N/A</v>
      </c>
      <c r="EK34" s="1503" t="e">
        <f t="shared" si="65"/>
        <v>#N/A</v>
      </c>
      <c r="EL34" s="1503" t="e">
        <f t="shared" si="65"/>
        <v>#N/A</v>
      </c>
      <c r="EM34" s="1503" t="e">
        <f t="shared" si="65"/>
        <v>#N/A</v>
      </c>
      <c r="EN34" s="1503"/>
      <c r="EO34" s="1503" t="e">
        <f>SUM(EO28:EO33)</f>
        <v>#N/A</v>
      </c>
      <c r="EP34" s="1503" t="e">
        <f>SUM(EP28:EP33)</f>
        <v>#N/A</v>
      </c>
      <c r="EQ34" s="1434"/>
      <c r="ER34" s="1503" t="e">
        <f>SUM(ER28:ER33)</f>
        <v>#N/A</v>
      </c>
      <c r="ES34" s="1503" t="e">
        <f>SUM(ES28:ES33)</f>
        <v>#N/A</v>
      </c>
      <c r="ET34" s="1503" t="e">
        <f>SUM(ET28:ET33)</f>
        <v>#N/A</v>
      </c>
      <c r="EU34" s="1503" t="e">
        <f>SUM(EU28:EU33)</f>
        <v>#N/A</v>
      </c>
      <c r="EV34" s="1504" t="e">
        <f t="shared" ref="EV34:FD34" si="66">SUM(EV28:EV33)</f>
        <v>#N/A</v>
      </c>
      <c r="EW34" s="1503" t="e">
        <f t="shared" si="66"/>
        <v>#N/A</v>
      </c>
      <c r="EX34" s="1503" t="e">
        <f t="shared" si="66"/>
        <v>#N/A</v>
      </c>
      <c r="EY34" s="1503" t="e">
        <f t="shared" si="66"/>
        <v>#N/A</v>
      </c>
      <c r="EZ34" s="1503" t="e">
        <f t="shared" si="66"/>
        <v>#N/A</v>
      </c>
      <c r="FA34" s="1503" t="e">
        <f t="shared" si="66"/>
        <v>#N/A</v>
      </c>
      <c r="FB34" s="1503" t="e">
        <f>SUM(FB28:FB33)</f>
        <v>#N/A</v>
      </c>
      <c r="FC34" s="1503" t="e">
        <f t="shared" si="66"/>
        <v>#N/A</v>
      </c>
      <c r="FD34" s="1503" t="e">
        <f t="shared" si="66"/>
        <v>#N/A</v>
      </c>
      <c r="FE34" s="1503" t="e">
        <f t="shared" ref="FE34:FJ34" si="67">SUM(FE28:FE33)</f>
        <v>#N/A</v>
      </c>
      <c r="FF34" s="1503" t="e">
        <f t="shared" si="67"/>
        <v>#N/A</v>
      </c>
      <c r="FG34" s="1503" t="e">
        <f t="shared" si="67"/>
        <v>#N/A</v>
      </c>
      <c r="FH34" s="1503" t="e">
        <f t="shared" si="67"/>
        <v>#N/A</v>
      </c>
      <c r="FI34" s="1503" t="e">
        <f t="shared" si="67"/>
        <v>#N/A</v>
      </c>
      <c r="FJ34" s="1503" t="e">
        <f t="shared" si="67"/>
        <v>#N/A</v>
      </c>
      <c r="FK34" s="1503"/>
      <c r="FL34" s="1503" t="e">
        <f>SUM(FL28:FL33)</f>
        <v>#N/A</v>
      </c>
      <c r="FM34" s="1503" t="e">
        <f>SUM(FM28:FM33)</f>
        <v>#N/A</v>
      </c>
    </row>
    <row r="35" spans="1:169" ht="18" customHeight="1">
      <c r="A35" s="1440">
        <f>ROWS($A$1:A35)</f>
        <v>35</v>
      </c>
      <c r="B35" s="1457" t="s">
        <v>1123</v>
      </c>
      <c r="C35" s="1456" t="s">
        <v>171</v>
      </c>
      <c r="D35" s="1487">
        <f t="shared" ref="D35:AH35" si="68">D22-D34-D24</f>
        <v>-157.49878715643942</v>
      </c>
      <c r="E35" s="1487">
        <f t="shared" si="68"/>
        <v>-530.22333841413536</v>
      </c>
      <c r="F35" s="1487">
        <f t="shared" si="68"/>
        <v>-597.50744199739449</v>
      </c>
      <c r="G35" s="1487">
        <f t="shared" si="68"/>
        <v>-530.71092457517216</v>
      </c>
      <c r="H35" s="1487">
        <f t="shared" si="68"/>
        <v>-544.32426655431107</v>
      </c>
      <c r="I35" s="1487">
        <f t="shared" si="68"/>
        <v>-598.32317110986673</v>
      </c>
      <c r="J35" s="1487">
        <f t="shared" si="68"/>
        <v>-799.74658133072751</v>
      </c>
      <c r="K35" s="1487">
        <f t="shared" si="68"/>
        <v>-845.06088891398622</v>
      </c>
      <c r="L35" s="1487">
        <f t="shared" si="68"/>
        <v>-416.53504773245112</v>
      </c>
      <c r="M35" s="1487">
        <f t="shared" si="68"/>
        <v>-787.64555136354898</v>
      </c>
      <c r="N35" s="1487">
        <f t="shared" si="68"/>
        <v>-433.13392401243146</v>
      </c>
      <c r="O35" s="1487">
        <f t="shared" si="68"/>
        <v>-597.98570698285323</v>
      </c>
      <c r="P35" s="1487">
        <f t="shared" si="68"/>
        <v>-579.98220045377423</v>
      </c>
      <c r="Q35" s="1487">
        <f t="shared" si="68"/>
        <v>-265.99029733369883</v>
      </c>
      <c r="R35" s="1487"/>
      <c r="S35" s="1487">
        <f t="shared" si="68"/>
        <v>-353.6045026421649</v>
      </c>
      <c r="T35" s="1487">
        <f t="shared" si="68"/>
        <v>-847.05290545708601</v>
      </c>
      <c r="U35" s="1487">
        <f t="shared" si="68"/>
        <v>-711.62096502675502</v>
      </c>
      <c r="V35" s="1487">
        <f t="shared" si="68"/>
        <v>-692.36981473189257</v>
      </c>
      <c r="W35" s="1487"/>
      <c r="X35" s="1487">
        <f t="shared" si="68"/>
        <v>-873.3804464181386</v>
      </c>
      <c r="Y35" s="1487">
        <f t="shared" si="68"/>
        <v>-860.92788048568639</v>
      </c>
      <c r="Z35" s="1487">
        <f t="shared" si="68"/>
        <v>-1198.7779721923268</v>
      </c>
      <c r="AA35" s="1487">
        <f t="shared" si="68"/>
        <v>-921.03191071798062</v>
      </c>
      <c r="AB35" s="1487">
        <f t="shared" si="68"/>
        <v>6035.970438397103</v>
      </c>
      <c r="AC35" s="1487">
        <f t="shared" si="68"/>
        <v>6759.5091164046917</v>
      </c>
      <c r="AD35" s="1487">
        <f t="shared" si="68"/>
        <v>2277.2945125589627</v>
      </c>
      <c r="AE35" s="1487">
        <f t="shared" si="68"/>
        <v>2067.7758353139675</v>
      </c>
      <c r="AF35" s="1487">
        <f t="shared" si="68"/>
        <v>-647</v>
      </c>
      <c r="AG35" s="1487">
        <f t="shared" si="68"/>
        <v>-955.25532521163871</v>
      </c>
      <c r="AH35" s="1487">
        <f t="shared" si="68"/>
        <v>-274.97954931120722</v>
      </c>
      <c r="AI35" s="1489"/>
      <c r="AJ35" s="1488">
        <f t="shared" ref="AJ35:BN35" si="69">AJ22-AJ34-AJ24</f>
        <v>-90.271960420955565</v>
      </c>
      <c r="AK35" s="1488">
        <f t="shared" si="69"/>
        <v>-377.54353739283556</v>
      </c>
      <c r="AL35" s="1488">
        <f t="shared" si="69"/>
        <v>-407.05515430942745</v>
      </c>
      <c r="AM35" s="1488">
        <f t="shared" si="69"/>
        <v>-405.52407184824176</v>
      </c>
      <c r="AN35" s="1488">
        <f t="shared" si="69"/>
        <v>-443.57797049890468</v>
      </c>
      <c r="AO35" s="1488">
        <f t="shared" si="69"/>
        <v>-442.06168169342408</v>
      </c>
      <c r="AP35" s="1488">
        <f t="shared" si="69"/>
        <v>-652.83131858095101</v>
      </c>
      <c r="AQ35" s="1488">
        <f t="shared" si="69"/>
        <v>-789.35887080927876</v>
      </c>
      <c r="AR35" s="1488">
        <f t="shared" si="69"/>
        <v>-399.70911606578454</v>
      </c>
      <c r="AS35" s="1488">
        <f t="shared" si="69"/>
        <v>-706.15553273245087</v>
      </c>
      <c r="AT35" s="1488">
        <f t="shared" si="69"/>
        <v>-254.51933871466679</v>
      </c>
      <c r="AU35" s="1488">
        <f t="shared" si="69"/>
        <v>-527.83518815911157</v>
      </c>
      <c r="AV35" s="1488">
        <f t="shared" si="69"/>
        <v>-249.59710250712754</v>
      </c>
      <c r="AW35" s="1488">
        <f t="shared" si="69"/>
        <v>-19.576584515947701</v>
      </c>
      <c r="AX35" s="1488"/>
      <c r="AY35" s="1488">
        <f t="shared" si="69"/>
        <v>-56.3053341409531</v>
      </c>
      <c r="AZ35" s="1488">
        <f t="shared" si="69"/>
        <v>-750.40173591911673</v>
      </c>
      <c r="BA35" s="1488">
        <f t="shared" si="69"/>
        <v>-625.92075737787309</v>
      </c>
      <c r="BB35" s="1488">
        <f t="shared" si="69"/>
        <v>-438.0749868190195</v>
      </c>
      <c r="BC35" s="1488"/>
      <c r="BD35" s="1488">
        <f t="shared" si="69"/>
        <v>-567.52940475147193</v>
      </c>
      <c r="BE35" s="1488">
        <f t="shared" si="69"/>
        <v>-563.31398530702756</v>
      </c>
      <c r="BF35" s="1488">
        <f t="shared" si="69"/>
        <v>-917.42847091234637</v>
      </c>
      <c r="BG35" s="1488">
        <f t="shared" si="69"/>
        <v>-550.78713127353694</v>
      </c>
      <c r="BH35" s="1488">
        <f t="shared" si="69"/>
        <v>8693.4214839190081</v>
      </c>
      <c r="BI35" s="1488">
        <f t="shared" si="69"/>
        <v>9430.5437639561769</v>
      </c>
      <c r="BJ35" s="1488">
        <f t="shared" si="69"/>
        <v>2207.0029289142012</v>
      </c>
      <c r="BK35" s="1488">
        <f t="shared" si="69"/>
        <v>3094.3061798856997</v>
      </c>
      <c r="BL35" s="1488">
        <f t="shared" si="69"/>
        <v>-697.00000000000011</v>
      </c>
      <c r="BM35" s="1488">
        <f t="shared" si="69"/>
        <v>-1005.2553252116389</v>
      </c>
      <c r="BN35" s="1487">
        <f t="shared" si="69"/>
        <v>-581.64621597787391</v>
      </c>
      <c r="BO35" s="1489"/>
      <c r="BP35" s="1488">
        <f t="shared" ref="BP35:CT35" si="70">BP22-BP34-BP24</f>
        <v>90.666566427000575</v>
      </c>
      <c r="BQ35" s="1488">
        <f t="shared" si="70"/>
        <v>-205.09576970486873</v>
      </c>
      <c r="BR35" s="1488">
        <f t="shared" si="70"/>
        <v>-211.09939995479417</v>
      </c>
      <c r="BS35" s="1488">
        <f t="shared" si="70"/>
        <v>-280.3372191213117</v>
      </c>
      <c r="BT35" s="1488">
        <f t="shared" si="70"/>
        <v>-378.51060405950193</v>
      </c>
      <c r="BU35" s="1488">
        <f t="shared" si="70"/>
        <v>-304.43865475553156</v>
      </c>
      <c r="BV35" s="1488">
        <f t="shared" si="70"/>
        <v>-542.58678555965082</v>
      </c>
      <c r="BW35" s="1488">
        <f t="shared" si="70"/>
        <v>-696.4904063094275</v>
      </c>
      <c r="BX35" s="1488">
        <f t="shared" si="70"/>
        <v>-146.27776773245117</v>
      </c>
      <c r="BY35" s="1488">
        <f t="shared" si="70"/>
        <v>-624.66551410135287</v>
      </c>
      <c r="BZ35" s="1488">
        <f t="shared" si="70"/>
        <v>-75.904753416902281</v>
      </c>
      <c r="CA35" s="1488">
        <f t="shared" si="70"/>
        <v>-428.20006730579144</v>
      </c>
      <c r="CB35" s="1488">
        <f t="shared" si="70"/>
        <v>-172.80206985824512</v>
      </c>
      <c r="CC35" s="1488">
        <f t="shared" si="70"/>
        <v>226.83712830180437</v>
      </c>
      <c r="CD35" s="1488"/>
      <c r="CE35" s="1488">
        <f t="shared" si="70"/>
        <v>281.23756758112052</v>
      </c>
      <c r="CF35" s="1488">
        <f t="shared" si="70"/>
        <v>-613.59779768490216</v>
      </c>
      <c r="CG35" s="1488">
        <f t="shared" si="70"/>
        <v>-540.22054972899059</v>
      </c>
      <c r="CH35" s="1488">
        <f t="shared" si="70"/>
        <v>-183.7801589061462</v>
      </c>
      <c r="CI35" s="1488"/>
      <c r="CJ35" s="1488">
        <f t="shared" si="70"/>
        <v>-267.24587272748749</v>
      </c>
      <c r="CK35" s="1488">
        <f t="shared" si="70"/>
        <v>-268.48384494970975</v>
      </c>
      <c r="CL35" s="1488">
        <f t="shared" si="70"/>
        <v>-636.0789696323659</v>
      </c>
      <c r="CM35" s="1488">
        <f t="shared" si="70"/>
        <v>-441.9369071920039</v>
      </c>
      <c r="CN35" s="1488">
        <f t="shared" si="70"/>
        <v>11350.872529440914</v>
      </c>
      <c r="CO35" s="1488">
        <f t="shared" si="70"/>
        <v>12074.411207448504</v>
      </c>
      <c r="CP35" s="1488">
        <f t="shared" si="70"/>
        <v>3015.3183327694383</v>
      </c>
      <c r="CQ35" s="1488">
        <f t="shared" si="70"/>
        <v>4094.864483713663</v>
      </c>
      <c r="CR35" s="1488">
        <f>CR22-CR34-CR24</f>
        <v>-747.00000000000011</v>
      </c>
      <c r="CS35" s="1488">
        <f t="shared" si="70"/>
        <v>-1055.2553252116388</v>
      </c>
      <c r="CT35" s="1488">
        <f t="shared" si="70"/>
        <v>-631.64621597787391</v>
      </c>
      <c r="CV35" s="1457" t="s">
        <v>1123</v>
      </c>
      <c r="CW35" s="1456" t="s">
        <v>171</v>
      </c>
      <c r="CX35" s="1487" t="e">
        <f t="shared" ref="CX35:DS35" si="71">CX22-CX34-CX24</f>
        <v>#N/A</v>
      </c>
      <c r="CY35" s="1487" t="e">
        <f t="shared" si="71"/>
        <v>#N/A</v>
      </c>
      <c r="CZ35" s="1487" t="e">
        <f t="shared" si="71"/>
        <v>#N/A</v>
      </c>
      <c r="DA35" s="1487" t="e">
        <f t="shared" si="71"/>
        <v>#N/A</v>
      </c>
      <c r="DB35" s="1487" t="e">
        <f t="shared" si="71"/>
        <v>#N/A</v>
      </c>
      <c r="DC35" s="1487" t="e">
        <f t="shared" si="71"/>
        <v>#N/A</v>
      </c>
      <c r="DD35" s="1487" t="e">
        <f t="shared" si="71"/>
        <v>#N/A</v>
      </c>
      <c r="DE35" s="1487" t="e">
        <f t="shared" si="71"/>
        <v>#N/A</v>
      </c>
      <c r="DF35" s="1487" t="e">
        <f t="shared" si="71"/>
        <v>#N/A</v>
      </c>
      <c r="DG35" s="1487" t="e">
        <f t="shared" si="71"/>
        <v>#N/A</v>
      </c>
      <c r="DH35" s="1487" t="e">
        <f>DH22-DH34-DH24</f>
        <v>#N/A</v>
      </c>
      <c r="DI35" s="1487" t="e">
        <f t="shared" si="71"/>
        <v>#N/A</v>
      </c>
      <c r="DJ35" s="1487" t="e">
        <f t="shared" si="71"/>
        <v>#N/A</v>
      </c>
      <c r="DK35" s="1487" t="e">
        <f t="shared" si="71"/>
        <v>#N/A</v>
      </c>
      <c r="DL35" s="1487" t="e">
        <f t="shared" si="71"/>
        <v>#N/A</v>
      </c>
      <c r="DM35" s="1487" t="e">
        <f t="shared" si="71"/>
        <v>#N/A</v>
      </c>
      <c r="DN35" s="1487" t="e">
        <f t="shared" si="71"/>
        <v>#N/A</v>
      </c>
      <c r="DO35" s="1487" t="e">
        <f t="shared" si="71"/>
        <v>#N/A</v>
      </c>
      <c r="DP35" s="1487" t="e">
        <f t="shared" si="71"/>
        <v>#N/A</v>
      </c>
      <c r="DQ35" s="1487"/>
      <c r="DR35" s="1487" t="e">
        <f t="shared" si="71"/>
        <v>#N/A</v>
      </c>
      <c r="DS35" s="1487" t="e">
        <f t="shared" si="71"/>
        <v>#N/A</v>
      </c>
      <c r="DT35" s="1434"/>
      <c r="DU35" s="1487" t="e">
        <f>DU22-DU34-DU24</f>
        <v>#N/A</v>
      </c>
      <c r="DV35" s="1487" t="e">
        <f>DV22-DV34-DV24</f>
        <v>#N/A</v>
      </c>
      <c r="DW35" s="1487" t="e">
        <f>DW22-DW34-DW24</f>
        <v>#N/A</v>
      </c>
      <c r="DX35" s="1487" t="e">
        <f>DX22-DX34-DX24</f>
        <v>#N/A</v>
      </c>
      <c r="DY35" s="1488" t="e">
        <f t="shared" ref="DY35:EG35" si="72">DY22-DY34-DY24</f>
        <v>#N/A</v>
      </c>
      <c r="DZ35" s="1488" t="e">
        <f t="shared" si="72"/>
        <v>#N/A</v>
      </c>
      <c r="EA35" s="1488" t="e">
        <f t="shared" si="72"/>
        <v>#N/A</v>
      </c>
      <c r="EB35" s="1488" t="e">
        <f t="shared" si="72"/>
        <v>#N/A</v>
      </c>
      <c r="EC35" s="1488" t="e">
        <f t="shared" si="72"/>
        <v>#N/A</v>
      </c>
      <c r="ED35" s="1488" t="e">
        <f t="shared" si="72"/>
        <v>#N/A</v>
      </c>
      <c r="EE35" s="1488" t="e">
        <f>EE22-EE34-EE24</f>
        <v>#N/A</v>
      </c>
      <c r="EF35" s="1488" t="e">
        <f t="shared" si="72"/>
        <v>#N/A</v>
      </c>
      <c r="EG35" s="1488" t="e">
        <f t="shared" si="72"/>
        <v>#N/A</v>
      </c>
      <c r="EH35" s="1488" t="e">
        <f t="shared" ref="EH35:EM35" si="73">EH22-EH34-EH24</f>
        <v>#N/A</v>
      </c>
      <c r="EI35" s="1488" t="e">
        <f t="shared" si="73"/>
        <v>#N/A</v>
      </c>
      <c r="EJ35" s="1488" t="e">
        <f t="shared" si="73"/>
        <v>#N/A</v>
      </c>
      <c r="EK35" s="1488" t="e">
        <f t="shared" si="73"/>
        <v>#N/A</v>
      </c>
      <c r="EL35" s="1488" t="e">
        <f t="shared" si="73"/>
        <v>#N/A</v>
      </c>
      <c r="EM35" s="1488" t="e">
        <f t="shared" si="73"/>
        <v>#N/A</v>
      </c>
      <c r="EN35" s="1488"/>
      <c r="EO35" s="1488" t="e">
        <f>EO22-EO34-EO24</f>
        <v>#N/A</v>
      </c>
      <c r="EP35" s="1488" t="e">
        <f>EP22-EP34-EP24</f>
        <v>#N/A</v>
      </c>
      <c r="EQ35" s="1434"/>
      <c r="ER35" s="1487" t="e">
        <f>ER22-ER34-ER24</f>
        <v>#N/A</v>
      </c>
      <c r="ES35" s="1488" t="e">
        <f>ES22-ES34-ES24</f>
        <v>#N/A</v>
      </c>
      <c r="ET35" s="1488" t="e">
        <f>ET22-ET34-ET24</f>
        <v>#N/A</v>
      </c>
      <c r="EU35" s="1488" t="e">
        <f>EU22-EU34-EU24</f>
        <v>#N/A</v>
      </c>
      <c r="EV35" s="1488" t="e">
        <f t="shared" ref="EV35:FD35" si="74">EV22-EV34-EV24</f>
        <v>#N/A</v>
      </c>
      <c r="EW35" s="1488" t="e">
        <f t="shared" si="74"/>
        <v>#N/A</v>
      </c>
      <c r="EX35" s="1488" t="e">
        <f t="shared" si="74"/>
        <v>#N/A</v>
      </c>
      <c r="EY35" s="1488" t="e">
        <f t="shared" si="74"/>
        <v>#N/A</v>
      </c>
      <c r="EZ35" s="1488" t="e">
        <f t="shared" si="74"/>
        <v>#N/A</v>
      </c>
      <c r="FA35" s="1488" t="e">
        <f t="shared" si="74"/>
        <v>#N/A</v>
      </c>
      <c r="FB35" s="1488" t="e">
        <f>FB22-FB34-FB24</f>
        <v>#N/A</v>
      </c>
      <c r="FC35" s="1488" t="e">
        <f t="shared" si="74"/>
        <v>#N/A</v>
      </c>
      <c r="FD35" s="1488" t="e">
        <f t="shared" si="74"/>
        <v>#N/A</v>
      </c>
      <c r="FE35" s="1488" t="e">
        <f t="shared" ref="FE35:FJ35" si="75">FE22-FE34-FE24</f>
        <v>#N/A</v>
      </c>
      <c r="FF35" s="1488" t="e">
        <f t="shared" si="75"/>
        <v>#N/A</v>
      </c>
      <c r="FG35" s="1488" t="e">
        <f t="shared" si="75"/>
        <v>#N/A</v>
      </c>
      <c r="FH35" s="1488" t="e">
        <f t="shared" si="75"/>
        <v>#N/A</v>
      </c>
      <c r="FI35" s="1488" t="e">
        <f t="shared" si="75"/>
        <v>#N/A</v>
      </c>
      <c r="FJ35" s="1488" t="e">
        <f t="shared" si="75"/>
        <v>#N/A</v>
      </c>
      <c r="FK35" s="1488"/>
      <c r="FL35" s="1488" t="e">
        <f>FL22-FL34-FL24</f>
        <v>#N/A</v>
      </c>
      <c r="FM35" s="1488" t="e">
        <f>FM22-FM34-FM24</f>
        <v>#N/A</v>
      </c>
    </row>
    <row r="36" spans="1:169" s="1450" customFormat="1" ht="16.149999999999999" customHeight="1">
      <c r="A36" s="1440">
        <f>ROWS($A$1:A36)</f>
        <v>36</v>
      </c>
      <c r="B36" s="1497"/>
      <c r="C36" s="1502" t="s">
        <v>228</v>
      </c>
      <c r="D36" s="1494">
        <f t="shared" ref="D36:AH36" si="76">IF(D6=0,0,D35/D6)</f>
        <v>-2.4230582639452218</v>
      </c>
      <c r="E36" s="1494">
        <f t="shared" si="76"/>
        <v>-8.8370556402355884</v>
      </c>
      <c r="F36" s="1494">
        <f t="shared" si="76"/>
        <v>-10.863771672679899</v>
      </c>
      <c r="G36" s="1494">
        <f t="shared" si="76"/>
        <v>-9.649289537730402</v>
      </c>
      <c r="H36" s="1494">
        <f t="shared" si="76"/>
        <v>-9.89680484644202</v>
      </c>
      <c r="I36" s="1494">
        <f t="shared" si="76"/>
        <v>-9.972052851831112</v>
      </c>
      <c r="J36" s="1494">
        <f t="shared" si="76"/>
        <v>-14.540846933285955</v>
      </c>
      <c r="K36" s="1494">
        <f t="shared" si="76"/>
        <v>-16.901217778279726</v>
      </c>
      <c r="L36" s="1494">
        <f t="shared" si="76"/>
        <v>-7.573364504226384</v>
      </c>
      <c r="M36" s="1494">
        <f t="shared" si="76"/>
        <v>-15.752911027270979</v>
      </c>
      <c r="N36" s="1494">
        <f t="shared" si="76"/>
        <v>-10.828348100310787</v>
      </c>
      <c r="O36" s="1494">
        <f t="shared" si="76"/>
        <v>-13.288571266285627</v>
      </c>
      <c r="P36" s="1494">
        <f t="shared" si="76"/>
        <v>-14.499555011344356</v>
      </c>
      <c r="Q36" s="1494">
        <f t="shared" si="76"/>
        <v>-3.3248787166712352</v>
      </c>
      <c r="R36" s="1494"/>
      <c r="S36" s="1494">
        <f t="shared" si="76"/>
        <v>-11.78681675473883</v>
      </c>
      <c r="T36" s="1494">
        <f t="shared" si="76"/>
        <v>-42.352645272854303</v>
      </c>
      <c r="U36" s="1494">
        <f t="shared" si="76"/>
        <v>-28.464838601070202</v>
      </c>
      <c r="V36" s="1494">
        <f t="shared" si="76"/>
        <v>-34.61849073659463</v>
      </c>
      <c r="W36" s="1494"/>
      <c r="X36" s="1494">
        <f t="shared" si="76"/>
        <v>-43.669022320906933</v>
      </c>
      <c r="Y36" s="1494">
        <f t="shared" si="76"/>
        <v>-43.046394024284318</v>
      </c>
      <c r="Z36" s="1494">
        <f t="shared" si="76"/>
        <v>-119.87779721923269</v>
      </c>
      <c r="AA36" s="1494">
        <f t="shared" si="76"/>
        <v>-2.6315197449085161</v>
      </c>
      <c r="AB36" s="1494">
        <f t="shared" si="76"/>
        <v>24.143881753588413</v>
      </c>
      <c r="AC36" s="1494">
        <f t="shared" si="76"/>
        <v>22.531697054682304</v>
      </c>
      <c r="AD36" s="1494">
        <f t="shared" si="76"/>
        <v>6.2391630481067466</v>
      </c>
      <c r="AE36" s="1494">
        <f t="shared" si="76"/>
        <v>5.3988925204020042</v>
      </c>
      <c r="AF36" s="1494">
        <f t="shared" si="76"/>
        <v>0</v>
      </c>
      <c r="AG36" s="1494">
        <f t="shared" si="76"/>
        <v>-955.25532521163871</v>
      </c>
      <c r="AH36" s="1494">
        <f t="shared" si="76"/>
        <v>-274.97954931120722</v>
      </c>
      <c r="AI36" s="1462"/>
      <c r="AJ36" s="1495">
        <f t="shared" ref="AJ36:BN36" si="77">IF(AJ6=0,0,AJ35/AJ6)</f>
        <v>-1.1283995052619447</v>
      </c>
      <c r="AK36" s="1494">
        <f t="shared" si="77"/>
        <v>-5.0339138319044743</v>
      </c>
      <c r="AL36" s="1494">
        <f t="shared" si="77"/>
        <v>-5.8150736329918207</v>
      </c>
      <c r="AM36" s="1494">
        <f t="shared" si="77"/>
        <v>-6.2388318745883344</v>
      </c>
      <c r="AN36" s="1494">
        <f t="shared" si="77"/>
        <v>-6.8242764692139177</v>
      </c>
      <c r="AO36" s="1494">
        <f t="shared" si="77"/>
        <v>-5.8941557559123208</v>
      </c>
      <c r="AP36" s="1494">
        <f t="shared" si="77"/>
        <v>-9.3261616940135852</v>
      </c>
      <c r="AQ36" s="1494">
        <f t="shared" si="77"/>
        <v>-13.155981180154646</v>
      </c>
      <c r="AR36" s="1494">
        <f t="shared" si="77"/>
        <v>-6.1493710163966853</v>
      </c>
      <c r="AS36" s="1494">
        <f t="shared" si="77"/>
        <v>-11.769258878874181</v>
      </c>
      <c r="AT36" s="1494">
        <f t="shared" si="77"/>
        <v>-5.1942722186666694</v>
      </c>
      <c r="AU36" s="1494">
        <f t="shared" si="77"/>
        <v>-9.5970034210747563</v>
      </c>
      <c r="AV36" s="1494">
        <f t="shared" si="77"/>
        <v>-4.5381291364932279</v>
      </c>
      <c r="AW36" s="1494">
        <f t="shared" si="77"/>
        <v>-0.19576584515947701</v>
      </c>
      <c r="AX36" s="1494"/>
      <c r="AY36" s="1494">
        <f t="shared" si="77"/>
        <v>-1.4076333535238275</v>
      </c>
      <c r="AZ36" s="1494">
        <f t="shared" si="77"/>
        <v>-30.016069436764671</v>
      </c>
      <c r="BA36" s="1494">
        <f t="shared" si="77"/>
        <v>-20.864025245929103</v>
      </c>
      <c r="BB36" s="1494">
        <f t="shared" si="77"/>
        <v>-16.224999511815536</v>
      </c>
      <c r="BC36" s="1494"/>
      <c r="BD36" s="1494">
        <f t="shared" si="77"/>
        <v>-16.215125850042057</v>
      </c>
      <c r="BE36" s="1494">
        <f t="shared" si="77"/>
        <v>-16.094685294486503</v>
      </c>
      <c r="BF36" s="1494">
        <f t="shared" si="77"/>
        <v>-36.697138836493856</v>
      </c>
      <c r="BG36" s="1494">
        <f t="shared" si="77"/>
        <v>-0.75450291955279036</v>
      </c>
      <c r="BH36" s="1494">
        <f t="shared" si="77"/>
        <v>28.97807161306336</v>
      </c>
      <c r="BI36" s="1494">
        <f t="shared" si="77"/>
        <v>26.944410754160504</v>
      </c>
      <c r="BJ36" s="1494">
        <f t="shared" si="77"/>
        <v>6.0300626473065604</v>
      </c>
      <c r="BK36" s="1494">
        <f t="shared" si="77"/>
        <v>7.2807204232604699</v>
      </c>
      <c r="BL36" s="1494">
        <f t="shared" si="77"/>
        <v>0</v>
      </c>
      <c r="BM36" s="1494">
        <f t="shared" si="77"/>
        <v>-1005.2553252116389</v>
      </c>
      <c r="BN36" s="1494">
        <f t="shared" si="77"/>
        <v>-581.64621597787391</v>
      </c>
      <c r="BO36" s="1462"/>
      <c r="BP36" s="1495">
        <f t="shared" ref="BP36:CT36" si="78">IF(BP6=0,0,BP35/BP6)</f>
        <v>0.9543849097579008</v>
      </c>
      <c r="BQ36" s="1494">
        <f t="shared" si="78"/>
        <v>-2.2788418856096526</v>
      </c>
      <c r="BR36" s="1494">
        <f t="shared" si="78"/>
        <v>-2.4835223524093433</v>
      </c>
      <c r="BS36" s="1494">
        <f t="shared" si="78"/>
        <v>-3.7378295882841561</v>
      </c>
      <c r="BT36" s="1494">
        <f t="shared" si="78"/>
        <v>-5.046808054126692</v>
      </c>
      <c r="BU36" s="1494">
        <f t="shared" si="78"/>
        <v>-3.382651719505906</v>
      </c>
      <c r="BV36" s="1494">
        <f t="shared" si="78"/>
        <v>-6.3833739477605977</v>
      </c>
      <c r="BW36" s="1494">
        <f t="shared" si="78"/>
        <v>-9.949862947277536</v>
      </c>
      <c r="BX36" s="1494">
        <f t="shared" si="78"/>
        <v>-1.9503702364326823</v>
      </c>
      <c r="BY36" s="1494">
        <f t="shared" si="78"/>
        <v>-8.9237930585907552</v>
      </c>
      <c r="BZ36" s="1494">
        <f t="shared" si="78"/>
        <v>-1.3087026451190049</v>
      </c>
      <c r="CA36" s="1494">
        <f t="shared" si="78"/>
        <v>-6.5876933431660225</v>
      </c>
      <c r="CB36" s="1494">
        <f t="shared" si="78"/>
        <v>-2.8800344976374186</v>
      </c>
      <c r="CC36" s="1494">
        <f t="shared" si="78"/>
        <v>1.8903094025150364</v>
      </c>
      <c r="CD36" s="1494"/>
      <c r="CE36" s="1494">
        <f t="shared" si="78"/>
        <v>5.6247513516224101</v>
      </c>
      <c r="CF36" s="1494">
        <f t="shared" si="78"/>
        <v>-20.453259922830071</v>
      </c>
      <c r="CG36" s="1494">
        <f t="shared" si="78"/>
        <v>-15.434872849399731</v>
      </c>
      <c r="CH36" s="1494">
        <f t="shared" si="78"/>
        <v>-5.4052987913572412</v>
      </c>
      <c r="CI36" s="1494"/>
      <c r="CJ36" s="1494">
        <f t="shared" si="78"/>
        <v>-5.3449174545497495</v>
      </c>
      <c r="CK36" s="1494">
        <f t="shared" si="78"/>
        <v>-5.3696768989941948</v>
      </c>
      <c r="CL36" s="1494">
        <f t="shared" si="78"/>
        <v>-15.901974240809148</v>
      </c>
      <c r="CM36" s="1494">
        <f t="shared" si="78"/>
        <v>-0.51992577316706345</v>
      </c>
      <c r="CN36" s="1494">
        <f t="shared" si="78"/>
        <v>32.431064369831184</v>
      </c>
      <c r="CO36" s="1494">
        <f t="shared" si="78"/>
        <v>30.186028018621258</v>
      </c>
      <c r="CP36" s="1494">
        <f t="shared" si="78"/>
        <v>7.5382958319235955</v>
      </c>
      <c r="CQ36" s="1494">
        <f t="shared" si="78"/>
        <v>8.7872628405872604</v>
      </c>
      <c r="CR36" s="1494">
        <f>IF(CR6=0,0,CR35/CR6)</f>
        <v>0</v>
      </c>
      <c r="CS36" s="1494">
        <f t="shared" si="78"/>
        <v>-1055.2553252116388</v>
      </c>
      <c r="CT36" s="1494">
        <f t="shared" si="78"/>
        <v>-631.64621597787391</v>
      </c>
      <c r="CV36" s="1497"/>
      <c r="CW36" s="1502" t="s">
        <v>228</v>
      </c>
      <c r="CX36" s="1494" t="e">
        <f t="shared" ref="CX36:DP36" si="79">IF(CX6=0,0,CX35/CX6)</f>
        <v>#N/A</v>
      </c>
      <c r="CY36" s="1494" t="e">
        <f t="shared" si="79"/>
        <v>#N/A</v>
      </c>
      <c r="CZ36" s="1494" t="e">
        <f t="shared" si="79"/>
        <v>#N/A</v>
      </c>
      <c r="DA36" s="1494" t="e">
        <f t="shared" si="79"/>
        <v>#N/A</v>
      </c>
      <c r="DB36" s="1494" t="e">
        <f t="shared" si="79"/>
        <v>#N/A</v>
      </c>
      <c r="DC36" s="1494" t="e">
        <f t="shared" si="79"/>
        <v>#N/A</v>
      </c>
      <c r="DD36" s="1494" t="e">
        <f t="shared" si="79"/>
        <v>#N/A</v>
      </c>
      <c r="DE36" s="1494" t="e">
        <f t="shared" si="79"/>
        <v>#N/A</v>
      </c>
      <c r="DF36" s="1494" t="e">
        <f t="shared" si="79"/>
        <v>#N/A</v>
      </c>
      <c r="DG36" s="1494" t="e">
        <f t="shared" si="79"/>
        <v>#N/A</v>
      </c>
      <c r="DH36" s="1494" t="e">
        <f>IF(DH6=0,0,DH35/DH6)</f>
        <v>#N/A</v>
      </c>
      <c r="DI36" s="1494" t="e">
        <f t="shared" si="79"/>
        <v>#N/A</v>
      </c>
      <c r="DJ36" s="1494" t="e">
        <f t="shared" si="79"/>
        <v>#N/A</v>
      </c>
      <c r="DK36" s="1494" t="e">
        <f t="shared" si="79"/>
        <v>#N/A</v>
      </c>
      <c r="DL36" s="1494" t="e">
        <f t="shared" si="79"/>
        <v>#N/A</v>
      </c>
      <c r="DM36" s="1494" t="e">
        <f t="shared" si="79"/>
        <v>#N/A</v>
      </c>
      <c r="DN36" s="1494" t="e">
        <f t="shared" si="79"/>
        <v>#N/A</v>
      </c>
      <c r="DO36" s="1494" t="e">
        <f t="shared" si="79"/>
        <v>#N/A</v>
      </c>
      <c r="DP36" s="1494" t="e">
        <f t="shared" si="79"/>
        <v>#N/A</v>
      </c>
      <c r="DQ36" s="1494"/>
      <c r="DR36" s="1494">
        <f>IF(DR6=0,0,DR35/DR6)</f>
        <v>0</v>
      </c>
      <c r="DS36" s="1494">
        <f>IF(DS6=0,0,DS35/DS6)</f>
        <v>0</v>
      </c>
      <c r="DU36" s="1494" t="e">
        <f>IF(DU6=0,0,DU35/DU6)</f>
        <v>#N/A</v>
      </c>
      <c r="DV36" s="1494" t="e">
        <f>IF(DV6=0,0,DV35/DV6)</f>
        <v>#N/A</v>
      </c>
      <c r="DW36" s="1494" t="e">
        <f>IF(DW6=0,0,DW35/DW6)</f>
        <v>#N/A</v>
      </c>
      <c r="DX36" s="1494" t="e">
        <f>IF(DX6=0,0,DX35/DX6)</f>
        <v>#N/A</v>
      </c>
      <c r="DY36" s="1495" t="e">
        <f t="shared" ref="DY36:EG36" si="80">IF(DY6=0,0,DY35/DY6)</f>
        <v>#N/A</v>
      </c>
      <c r="DZ36" s="1494" t="e">
        <f t="shared" si="80"/>
        <v>#N/A</v>
      </c>
      <c r="EA36" s="1494" t="e">
        <f t="shared" si="80"/>
        <v>#N/A</v>
      </c>
      <c r="EB36" s="1494" t="e">
        <f t="shared" si="80"/>
        <v>#N/A</v>
      </c>
      <c r="EC36" s="1494" t="e">
        <f t="shared" si="80"/>
        <v>#N/A</v>
      </c>
      <c r="ED36" s="1494" t="e">
        <f t="shared" si="80"/>
        <v>#N/A</v>
      </c>
      <c r="EE36" s="1494" t="e">
        <f>IF(EE6=0,0,EE35/EE6)</f>
        <v>#N/A</v>
      </c>
      <c r="EF36" s="1494" t="e">
        <f t="shared" si="80"/>
        <v>#N/A</v>
      </c>
      <c r="EG36" s="1494" t="e">
        <f t="shared" si="80"/>
        <v>#N/A</v>
      </c>
      <c r="EH36" s="1494" t="e">
        <f t="shared" ref="EH36:EM36" si="81">IF(EH6=0,0,EH35/EH6)</f>
        <v>#N/A</v>
      </c>
      <c r="EI36" s="1494" t="e">
        <f t="shared" si="81"/>
        <v>#N/A</v>
      </c>
      <c r="EJ36" s="1494" t="e">
        <f t="shared" si="81"/>
        <v>#N/A</v>
      </c>
      <c r="EK36" s="1494" t="e">
        <f t="shared" si="81"/>
        <v>#N/A</v>
      </c>
      <c r="EL36" s="1494" t="e">
        <f t="shared" si="81"/>
        <v>#N/A</v>
      </c>
      <c r="EM36" s="1494" t="e">
        <f t="shared" si="81"/>
        <v>#N/A</v>
      </c>
      <c r="EN36" s="1494"/>
      <c r="EO36" s="1494">
        <f>IF(EO6=0,0,EO35/EO6)</f>
        <v>0</v>
      </c>
      <c r="EP36" s="1494">
        <f>IF(EP6=0,0,EP35/EP6)</f>
        <v>0</v>
      </c>
      <c r="ER36" s="1494" t="e">
        <f>IF(ER6=0,0,ER35/ER6)</f>
        <v>#N/A</v>
      </c>
      <c r="ES36" s="1494" t="e">
        <f>IF(ES6=0,0,ES35/ES6)</f>
        <v>#N/A</v>
      </c>
      <c r="ET36" s="1494" t="e">
        <f>IF(ET6=0,0,ET35/ET6)</f>
        <v>#N/A</v>
      </c>
      <c r="EU36" s="1494" t="e">
        <f>IF(EU6=0,0,EU35/EU6)</f>
        <v>#N/A</v>
      </c>
      <c r="EV36" s="1495" t="e">
        <f t="shared" ref="EV36:FD36" si="82">IF(EV6=0,0,EV35/EV6)</f>
        <v>#N/A</v>
      </c>
      <c r="EW36" s="1494" t="e">
        <f t="shared" si="82"/>
        <v>#N/A</v>
      </c>
      <c r="EX36" s="1494" t="e">
        <f t="shared" si="82"/>
        <v>#N/A</v>
      </c>
      <c r="EY36" s="1494" t="e">
        <f t="shared" si="82"/>
        <v>#N/A</v>
      </c>
      <c r="EZ36" s="1494" t="e">
        <f t="shared" si="82"/>
        <v>#N/A</v>
      </c>
      <c r="FA36" s="1494" t="e">
        <f t="shared" si="82"/>
        <v>#N/A</v>
      </c>
      <c r="FB36" s="1494" t="e">
        <f>IF(FB6=0,0,FB35/FB6)</f>
        <v>#N/A</v>
      </c>
      <c r="FC36" s="1494" t="e">
        <f t="shared" si="82"/>
        <v>#N/A</v>
      </c>
      <c r="FD36" s="1494" t="e">
        <f t="shared" si="82"/>
        <v>#N/A</v>
      </c>
      <c r="FE36" s="1494" t="e">
        <f t="shared" ref="FE36:FJ36" si="83">IF(FE6=0,0,FE35/FE6)</f>
        <v>#N/A</v>
      </c>
      <c r="FF36" s="1494" t="e">
        <f t="shared" si="83"/>
        <v>#N/A</v>
      </c>
      <c r="FG36" s="1494" t="e">
        <f t="shared" si="83"/>
        <v>#N/A</v>
      </c>
      <c r="FH36" s="1494" t="e">
        <f t="shared" si="83"/>
        <v>#N/A</v>
      </c>
      <c r="FI36" s="1494" t="e">
        <f t="shared" si="83"/>
        <v>#N/A</v>
      </c>
      <c r="FJ36" s="1494" t="e">
        <f t="shared" si="83"/>
        <v>#N/A</v>
      </c>
      <c r="FK36" s="1494"/>
      <c r="FL36" s="1494">
        <f>IF(FL6=0,0,FL35/FL6)</f>
        <v>0</v>
      </c>
      <c r="FM36" s="1494">
        <f>IF(FM6=0,0,FM35/FM6)</f>
        <v>0</v>
      </c>
    </row>
    <row r="37" spans="1:169" ht="16.149999999999999" customHeight="1">
      <c r="A37" s="1440">
        <f>ROWS($A$1:A37)</f>
        <v>37</v>
      </c>
      <c r="B37" s="1444" t="s">
        <v>1122</v>
      </c>
      <c r="D37" s="3610">
        <f>'WW1'!$R$19</f>
        <v>455.4</v>
      </c>
      <c r="E37" s="1445">
        <f>'WW2'!$R$19</f>
        <v>321.39999999999998</v>
      </c>
      <c r="F37" s="1445">
        <f>'WW3'!$R$19</f>
        <v>455.4</v>
      </c>
      <c r="G37" s="1445">
        <f>'WW4'!$R$19</f>
        <v>455.4</v>
      </c>
      <c r="H37" s="1445">
        <f>WRo!$R$19</f>
        <v>455.4</v>
      </c>
      <c r="I37" s="1445">
        <f>Tr!$R$19</f>
        <v>455.4</v>
      </c>
      <c r="J37" s="1445">
        <f>WG!$R$19</f>
        <v>455.4</v>
      </c>
      <c r="K37" s="1445">
        <f>Di!$R$19</f>
        <v>355.4</v>
      </c>
      <c r="L37" s="1445">
        <f>SW!$R$19</f>
        <v>455.4</v>
      </c>
      <c r="M37" s="1445">
        <f>'SG-Fu'!$R$19</f>
        <v>455.4</v>
      </c>
      <c r="N37" s="1445">
        <f>BG!$R$19</f>
        <v>455.4</v>
      </c>
      <c r="O37" s="1445">
        <f>Ha!$R$19</f>
        <v>455.4</v>
      </c>
      <c r="P37" s="1445">
        <f>Du!$R$19</f>
        <v>455.4</v>
      </c>
      <c r="Q37" s="1445">
        <f>KöM!$R$19</f>
        <v>355.4</v>
      </c>
      <c r="R37" s="1445"/>
      <c r="S37" s="1445">
        <f>WR!$R$19</f>
        <v>455.4</v>
      </c>
      <c r="T37" s="1445">
        <f>SR!$R$19</f>
        <v>455.4</v>
      </c>
      <c r="U37" s="1445">
        <f>SoBl!$R$19</f>
        <v>455.4</v>
      </c>
      <c r="V37" s="1445">
        <f>Soja!$R$19</f>
        <v>455.4</v>
      </c>
      <c r="W37" s="1445"/>
      <c r="X37" s="1445">
        <f>FE!$R$19</f>
        <v>555.4</v>
      </c>
      <c r="Y37" s="1445">
        <f>AB!$R$19</f>
        <v>455.4</v>
      </c>
      <c r="Z37" s="1445">
        <f>Lu!$R$19</f>
        <v>455.4</v>
      </c>
      <c r="AA37" s="1445">
        <f>ZR!$R$19</f>
        <v>455.4</v>
      </c>
      <c r="AB37" s="1445">
        <f>FrühKa!$R$19</f>
        <v>455.4</v>
      </c>
      <c r="AC37" s="1445">
        <f>FrühKaFolieBer!$R$19</f>
        <v>455.4</v>
      </c>
      <c r="AD37" s="1445">
        <f>SpKa!$R$19</f>
        <v>455.4</v>
      </c>
      <c r="AE37" s="1445">
        <f>SpKaBer!$R$19</f>
        <v>455.4</v>
      </c>
      <c r="AF37" s="1445">
        <f>'Kultur A'!$R$19</f>
        <v>0</v>
      </c>
      <c r="AG37" s="1445">
        <f>'FAKT-Brachebegrünung'!$R$19</f>
        <v>1085.4000000000001</v>
      </c>
      <c r="AH37" s="1445">
        <f>Begr!$R$19</f>
        <v>455.4</v>
      </c>
      <c r="AI37" s="1442"/>
      <c r="AJ37" s="1443">
        <f>'WW1'!$S$19</f>
        <v>455.4</v>
      </c>
      <c r="AK37" s="1445">
        <f>'WW2'!$S$19</f>
        <v>321.39999999999998</v>
      </c>
      <c r="AL37" s="1445">
        <f>'WW3'!$S$19</f>
        <v>455.4</v>
      </c>
      <c r="AM37" s="1445">
        <f>'WW4'!$S$19</f>
        <v>455.4</v>
      </c>
      <c r="AN37" s="1445">
        <f>WRo!$S$19</f>
        <v>455.4</v>
      </c>
      <c r="AO37" s="1445">
        <f>Tr!$S$19</f>
        <v>455.4</v>
      </c>
      <c r="AP37" s="1445">
        <f>WG!$S$19</f>
        <v>455.4</v>
      </c>
      <c r="AQ37" s="1445">
        <f>Di!$S$19</f>
        <v>355.4</v>
      </c>
      <c r="AR37" s="1445">
        <f>SW!$S$19</f>
        <v>455.4</v>
      </c>
      <c r="AS37" s="1445">
        <f>'SG-Fu'!$S$19</f>
        <v>455.4</v>
      </c>
      <c r="AT37" s="1445">
        <f>BG!$S$19</f>
        <v>455.4</v>
      </c>
      <c r="AU37" s="1445">
        <f>Ha!$S$19</f>
        <v>455.4</v>
      </c>
      <c r="AV37" s="1445">
        <f>Du!$S$19</f>
        <v>455.4</v>
      </c>
      <c r="AW37" s="1445">
        <f>KöM!$S$19</f>
        <v>355.4</v>
      </c>
      <c r="AX37" s="1445"/>
      <c r="AY37" s="1445">
        <f>WR!$S$19</f>
        <v>455.4</v>
      </c>
      <c r="AZ37" s="1445">
        <f>SR!$S$19</f>
        <v>455.4</v>
      </c>
      <c r="BA37" s="1445">
        <f>SoBl!$S$19</f>
        <v>455.4</v>
      </c>
      <c r="BB37" s="1445">
        <f>Soja!$S$19</f>
        <v>455.4</v>
      </c>
      <c r="BC37" s="1445"/>
      <c r="BD37" s="1445">
        <f>FE!$S$19</f>
        <v>555.4</v>
      </c>
      <c r="BE37" s="1445">
        <f>AB!$S$19</f>
        <v>455.4</v>
      </c>
      <c r="BF37" s="1445">
        <f>Lu!$S$19</f>
        <v>455.4</v>
      </c>
      <c r="BG37" s="1445">
        <f>ZR!$S$19</f>
        <v>355.4</v>
      </c>
      <c r="BH37" s="1445">
        <f>FrühKa!$S$19</f>
        <v>455.4</v>
      </c>
      <c r="BI37" s="1445">
        <f>FrühKaFolieBer!$S$19</f>
        <v>455.4</v>
      </c>
      <c r="BJ37" s="1445">
        <f>SpKa!$S$19</f>
        <v>455.4</v>
      </c>
      <c r="BK37" s="1445">
        <f>SpKaBer!$S$19</f>
        <v>455.4</v>
      </c>
      <c r="BL37" s="1445">
        <v>0</v>
      </c>
      <c r="BM37" s="1445">
        <f>'FAKT-Brachebegrünung'!$S$19</f>
        <v>1085.4000000000001</v>
      </c>
      <c r="BN37" s="1445">
        <f>Begr!$S$19</f>
        <v>455.4</v>
      </c>
      <c r="BO37" s="1442"/>
      <c r="BP37" s="1443">
        <f>'WW1'!$T$19</f>
        <v>455.4</v>
      </c>
      <c r="BQ37" s="1445">
        <f>'WW2'!$T$19</f>
        <v>321.39999999999998</v>
      </c>
      <c r="BR37" s="1445">
        <f>'WW3'!$T$19</f>
        <v>455.4</v>
      </c>
      <c r="BS37" s="1445">
        <f>'WW4'!$T$19</f>
        <v>455.4</v>
      </c>
      <c r="BT37" s="1445">
        <f>WRo!$T$19</f>
        <v>455.4</v>
      </c>
      <c r="BU37" s="1445">
        <f>Tr!$T$19</f>
        <v>455.4</v>
      </c>
      <c r="BV37" s="1445">
        <f>WG!$T$19</f>
        <v>455.4</v>
      </c>
      <c r="BW37" s="1445">
        <f>Di!$T$19</f>
        <v>355.4</v>
      </c>
      <c r="BX37" s="1445">
        <f>SW!$T$19</f>
        <v>455.4</v>
      </c>
      <c r="BY37" s="1445">
        <f>'SG-Fu'!$T$19</f>
        <v>455.4</v>
      </c>
      <c r="BZ37" s="1445">
        <f>BG!$T$19</f>
        <v>455.4</v>
      </c>
      <c r="CA37" s="1445">
        <f>Ha!$T$19</f>
        <v>455.4</v>
      </c>
      <c r="CB37" s="1445">
        <f>Du!$T$19</f>
        <v>455.4</v>
      </c>
      <c r="CC37" s="1445">
        <f>KöM!$T$19</f>
        <v>355.4</v>
      </c>
      <c r="CD37" s="1445"/>
      <c r="CE37" s="1445">
        <f>WR!$T$19</f>
        <v>455.4</v>
      </c>
      <c r="CF37" s="1445">
        <f>SR!$T$19</f>
        <v>455.4</v>
      </c>
      <c r="CG37" s="1445">
        <f>SoBl!$T$19</f>
        <v>455.4</v>
      </c>
      <c r="CH37" s="1445">
        <f>Soja!$T$19</f>
        <v>455.4</v>
      </c>
      <c r="CI37" s="1445"/>
      <c r="CJ37" s="1445">
        <f>FE!$T$19</f>
        <v>555.4</v>
      </c>
      <c r="CK37" s="1445">
        <f>AB!$T$19</f>
        <v>455.4</v>
      </c>
      <c r="CL37" s="1445">
        <f>Lu!$T$19</f>
        <v>455.4</v>
      </c>
      <c r="CM37" s="1445">
        <f>ZR!$T$19</f>
        <v>455.4</v>
      </c>
      <c r="CN37" s="1445">
        <f>FrühKa!$T$19</f>
        <v>455.4</v>
      </c>
      <c r="CO37" s="1445">
        <f>FrühKaFolieBer!$T$19</f>
        <v>455.4</v>
      </c>
      <c r="CP37" s="1445">
        <f>SpKa!$T$19</f>
        <v>455.4</v>
      </c>
      <c r="CQ37" s="1445">
        <f>SpKaBer!$T$19</f>
        <v>455.4</v>
      </c>
      <c r="CR37" s="1445">
        <f>'Kultur A'!$T$19</f>
        <v>0</v>
      </c>
      <c r="CS37" s="1445">
        <f>'FAKT-Brachebegrünung'!$T$19</f>
        <v>1085.4000000000001</v>
      </c>
      <c r="CT37" s="1445">
        <f>Begr!$T$19</f>
        <v>455.4</v>
      </c>
      <c r="CV37" s="1444" t="s">
        <v>1122</v>
      </c>
      <c r="CW37" s="1434"/>
      <c r="CX37" s="3610">
        <f>'Öko-KG1'!$R$19</f>
        <v>455.4</v>
      </c>
      <c r="CY37" s="1445">
        <f>'Öko-KG2'!$R$19</f>
        <v>695.4</v>
      </c>
      <c r="CZ37" s="1445">
        <f>'Öko-LU1'!$R$19</f>
        <v>695.4</v>
      </c>
      <c r="DA37" s="1445">
        <f>'Öko-LU2'!$R$19</f>
        <v>695.4</v>
      </c>
      <c r="DB37" s="1445">
        <f>'Öko-WW-Futter'!$R$19</f>
        <v>595.4</v>
      </c>
      <c r="DC37" s="1445">
        <f>'Öko-WW-Brot'!$R$19</f>
        <v>695.4</v>
      </c>
      <c r="DD37" s="1445">
        <f>'Öko-Dinkel'!$R$19</f>
        <v>595.4</v>
      </c>
      <c r="DE37" s="1445">
        <f>'Öko-Dinkel,gegerbt'!$R$19</f>
        <v>595.4</v>
      </c>
      <c r="DF37" s="1445">
        <f>'Öko-Roggen'!$R$19</f>
        <v>595.4</v>
      </c>
      <c r="DG37" s="1445">
        <f>'Öko-Hafer'!$R$19</f>
        <v>595.4</v>
      </c>
      <c r="DH37" s="1445">
        <f>'Öko-Wintergerste'!$R$19</f>
        <v>595.4</v>
      </c>
      <c r="DI37" s="1445">
        <f>'Öko-Braugerste'!$R$19</f>
        <v>595.4</v>
      </c>
      <c r="DJ37" s="1445">
        <f>'Öko-Körnermais'!$R$19</f>
        <v>595.4</v>
      </c>
      <c r="DK37" s="1445">
        <f>'Öko-Ackerbohnen'!$R$19</f>
        <v>595.4</v>
      </c>
      <c r="DL37" s="1445">
        <f>'Öko-Erbsen'!$R$19</f>
        <v>595.4</v>
      </c>
      <c r="DM37" s="1445">
        <f>'Öko-Sojabohnen'!$R$19</f>
        <v>595.4</v>
      </c>
      <c r="DN37" s="1445">
        <f>'Öko-Soblu'!$R$19</f>
        <v>595.4</v>
      </c>
      <c r="DO37" s="1445">
        <f>'Öko-Raps'!$R$19</f>
        <v>595.4</v>
      </c>
      <c r="DP37" s="1445">
        <f>'Öko-Kartoffel'!$R$19</f>
        <v>595.4</v>
      </c>
      <c r="DQ37" s="1445"/>
      <c r="DR37" s="1445">
        <f>Begrün.!$R$19</f>
        <v>0</v>
      </c>
      <c r="DS37" s="1445">
        <f>Blühm.!$R$19</f>
        <v>100</v>
      </c>
      <c r="DT37" s="1434"/>
      <c r="DU37" s="1445">
        <f>'Öko-KG1'!$S$19</f>
        <v>455.4</v>
      </c>
      <c r="DV37" s="1445">
        <f>'Öko-KG2'!$S$19</f>
        <v>695.4</v>
      </c>
      <c r="DW37" s="1445">
        <f>'Öko-LU1'!$S$19</f>
        <v>695.4</v>
      </c>
      <c r="DX37" s="1445">
        <f>'Öko-LU2'!$S$19</f>
        <v>695.4</v>
      </c>
      <c r="DY37" s="1443">
        <f>'Öko-WW-Futter'!$S$19</f>
        <v>595.4</v>
      </c>
      <c r="DZ37" s="1445">
        <f>'Öko-WW-Brot'!$S$19</f>
        <v>695.4</v>
      </c>
      <c r="EA37" s="1445">
        <f>'Öko-Dinkel'!$S$19</f>
        <v>595.4</v>
      </c>
      <c r="EB37" s="1445">
        <f>'Öko-Dinkel,gegerbt'!$S$19</f>
        <v>595.4</v>
      </c>
      <c r="EC37" s="1445">
        <f>'Öko-Roggen'!$S$19</f>
        <v>595.4</v>
      </c>
      <c r="ED37" s="1445">
        <f>'Öko-Hafer'!$S$19</f>
        <v>595.4</v>
      </c>
      <c r="EE37" s="1445">
        <f>'Öko-Wintergerste'!$S$19</f>
        <v>595.4</v>
      </c>
      <c r="EF37" s="1445">
        <f>'Öko-Braugerste'!$S$19</f>
        <v>595.4</v>
      </c>
      <c r="EG37" s="1445">
        <f>'Öko-Körnermais'!$S$19</f>
        <v>595.4</v>
      </c>
      <c r="EH37" s="1445">
        <f>'Öko-Ackerbohnen'!$S$19</f>
        <v>595.4</v>
      </c>
      <c r="EI37" s="1445">
        <f>'Öko-Erbsen'!$S$19</f>
        <v>595.4</v>
      </c>
      <c r="EJ37" s="1445">
        <f>'Öko-Sojabohnen'!$S$19</f>
        <v>595.4</v>
      </c>
      <c r="EK37" s="1445">
        <f>'Öko-Soblu'!$S$19</f>
        <v>595.4</v>
      </c>
      <c r="EL37" s="1445">
        <f>'Öko-Raps'!$S$19</f>
        <v>595.4</v>
      </c>
      <c r="EM37" s="1445">
        <f>'Öko-Kartoffel'!$S$19</f>
        <v>595.4</v>
      </c>
      <c r="EN37" s="1445"/>
      <c r="EO37" s="1445">
        <f>Begrün.!$S$19</f>
        <v>0</v>
      </c>
      <c r="EP37" s="1445">
        <f>Blühm.!$S$19</f>
        <v>100</v>
      </c>
      <c r="EQ37" s="1434"/>
      <c r="ER37" s="1445">
        <f>'Öko-KG1'!$T$19</f>
        <v>455.4</v>
      </c>
      <c r="ES37" s="1445">
        <f>'Öko-KG2'!$T$19</f>
        <v>695.4</v>
      </c>
      <c r="ET37" s="1445">
        <f>'Öko-LU1'!$T$19</f>
        <v>695.4</v>
      </c>
      <c r="EU37" s="1445">
        <f>'Öko-LU2'!$T$19</f>
        <v>695.4</v>
      </c>
      <c r="EV37" s="1443">
        <f>'Öko-WW-Futter'!$T$19</f>
        <v>595.4</v>
      </c>
      <c r="EW37" s="1445">
        <f>'Öko-WW-Brot'!$T$19</f>
        <v>695.4</v>
      </c>
      <c r="EX37" s="1445">
        <f>'Öko-Dinkel'!$T$19</f>
        <v>595.4</v>
      </c>
      <c r="EY37" s="1445">
        <f>'Öko-Dinkel,gegerbt'!$T$19</f>
        <v>595.4</v>
      </c>
      <c r="EZ37" s="1445">
        <f>'Öko-Roggen'!$T$19</f>
        <v>595.4</v>
      </c>
      <c r="FA37" s="1445">
        <f>'Öko-Hafer'!$T$19</f>
        <v>595.4</v>
      </c>
      <c r="FB37" s="1445">
        <f>'Öko-Wintergerste'!$T$19</f>
        <v>595.4</v>
      </c>
      <c r="FC37" s="1445">
        <f>'Öko-Braugerste'!$T$19</f>
        <v>595.4</v>
      </c>
      <c r="FD37" s="1445">
        <f>'Öko-Körnermais'!$T$19</f>
        <v>595.4</v>
      </c>
      <c r="FE37" s="1445">
        <f>'Öko-Ackerbohnen'!$T$19</f>
        <v>595.4</v>
      </c>
      <c r="FF37" s="1445">
        <f>'Öko-Erbsen'!$T$19</f>
        <v>595.4</v>
      </c>
      <c r="FG37" s="1445">
        <f>'Öko-Sojabohnen'!$T$19</f>
        <v>595.4</v>
      </c>
      <c r="FH37" s="1445">
        <f>'Öko-Soblu'!$T$19</f>
        <v>595.4</v>
      </c>
      <c r="FI37" s="1445">
        <f>'Öko-Raps'!$T$19</f>
        <v>595.4</v>
      </c>
      <c r="FJ37" s="1445">
        <f>'Öko-Kartoffel'!$T$19</f>
        <v>595.4</v>
      </c>
      <c r="FK37" s="1445"/>
      <c r="FL37" s="1445">
        <f>Begrün.!$T$19</f>
        <v>0</v>
      </c>
      <c r="FM37" s="1445">
        <f>Blühm.!$T$19</f>
        <v>100</v>
      </c>
    </row>
    <row r="38" spans="1:169" s="1450" customFormat="1" ht="16.149999999999999" customHeight="1">
      <c r="A38" s="1440">
        <f>ROWS($A$1:A38)</f>
        <v>38</v>
      </c>
      <c r="B38" s="1493" t="s">
        <v>1121</v>
      </c>
      <c r="C38" s="1501" t="s">
        <v>171</v>
      </c>
      <c r="D38" s="1498">
        <f t="shared" ref="D38:AH38" si="84">D35+D37</f>
        <v>297.90121284356053</v>
      </c>
      <c r="E38" s="1498">
        <f t="shared" si="84"/>
        <v>-208.82333841413538</v>
      </c>
      <c r="F38" s="1498">
        <f t="shared" si="84"/>
        <v>-142.10744199739452</v>
      </c>
      <c r="G38" s="1498">
        <f t="shared" si="84"/>
        <v>-75.31092457517218</v>
      </c>
      <c r="H38" s="1498">
        <f t="shared" si="84"/>
        <v>-88.924266554311089</v>
      </c>
      <c r="I38" s="1498">
        <f t="shared" si="84"/>
        <v>-142.92317110986676</v>
      </c>
      <c r="J38" s="1498">
        <f t="shared" si="84"/>
        <v>-344.34658133072753</v>
      </c>
      <c r="K38" s="1498">
        <f t="shared" si="84"/>
        <v>-489.66088891398624</v>
      </c>
      <c r="L38" s="1498">
        <f t="shared" si="84"/>
        <v>38.864952267548858</v>
      </c>
      <c r="M38" s="1498">
        <f t="shared" si="84"/>
        <v>-332.245551363549</v>
      </c>
      <c r="N38" s="1498">
        <f t="shared" si="84"/>
        <v>22.266075987568513</v>
      </c>
      <c r="O38" s="1498">
        <f t="shared" si="84"/>
        <v>-142.58570698285325</v>
      </c>
      <c r="P38" s="1498">
        <f t="shared" si="84"/>
        <v>-124.58220045377425</v>
      </c>
      <c r="Q38" s="1498">
        <f t="shared" si="84"/>
        <v>89.409702666301143</v>
      </c>
      <c r="R38" s="1498"/>
      <c r="S38" s="1498">
        <f t="shared" si="84"/>
        <v>101.79549735783507</v>
      </c>
      <c r="T38" s="1498">
        <f t="shared" si="84"/>
        <v>-391.65290545708604</v>
      </c>
      <c r="U38" s="1498">
        <f t="shared" si="84"/>
        <v>-256.22096502675504</v>
      </c>
      <c r="V38" s="1498">
        <f t="shared" si="84"/>
        <v>-236.9698147318926</v>
      </c>
      <c r="W38" s="1498"/>
      <c r="X38" s="1498">
        <f t="shared" si="84"/>
        <v>-317.98044641813863</v>
      </c>
      <c r="Y38" s="1498">
        <f t="shared" si="84"/>
        <v>-405.52788048568641</v>
      </c>
      <c r="Z38" s="1498">
        <f t="shared" si="84"/>
        <v>-743.37797219232687</v>
      </c>
      <c r="AA38" s="1498">
        <f t="shared" si="84"/>
        <v>-465.63191071798065</v>
      </c>
      <c r="AB38" s="1498">
        <f t="shared" si="84"/>
        <v>6491.3704383971026</v>
      </c>
      <c r="AC38" s="1498">
        <f t="shared" si="84"/>
        <v>7214.9091164046913</v>
      </c>
      <c r="AD38" s="1498">
        <f t="shared" si="84"/>
        <v>2732.6945125589627</v>
      </c>
      <c r="AE38" s="1498">
        <f t="shared" si="84"/>
        <v>2523.1758353139676</v>
      </c>
      <c r="AF38" s="1498">
        <f t="shared" si="84"/>
        <v>-647</v>
      </c>
      <c r="AG38" s="1498">
        <f t="shared" si="84"/>
        <v>130.14467478836139</v>
      </c>
      <c r="AH38" s="1498">
        <f t="shared" si="84"/>
        <v>180.42045068879276</v>
      </c>
      <c r="AI38" s="1489"/>
      <c r="AJ38" s="1499">
        <f t="shared" ref="AJ38:BN38" si="85">AJ35+AJ37</f>
        <v>365.12803957904441</v>
      </c>
      <c r="AK38" s="1498">
        <f t="shared" si="85"/>
        <v>-56.143537392835583</v>
      </c>
      <c r="AL38" s="1498">
        <f t="shared" si="85"/>
        <v>48.344845690572527</v>
      </c>
      <c r="AM38" s="1498">
        <f t="shared" si="85"/>
        <v>49.875928151758217</v>
      </c>
      <c r="AN38" s="1498">
        <f t="shared" si="85"/>
        <v>11.822029501095301</v>
      </c>
      <c r="AO38" s="1498">
        <f t="shared" si="85"/>
        <v>13.3383183065759</v>
      </c>
      <c r="AP38" s="1498">
        <f t="shared" si="85"/>
        <v>-197.43131858095103</v>
      </c>
      <c r="AQ38" s="1498">
        <f t="shared" si="85"/>
        <v>-433.95887080927878</v>
      </c>
      <c r="AR38" s="1498">
        <f t="shared" si="85"/>
        <v>55.690883934215435</v>
      </c>
      <c r="AS38" s="1498">
        <f t="shared" si="85"/>
        <v>-250.75553273245089</v>
      </c>
      <c r="AT38" s="1498">
        <f t="shared" si="85"/>
        <v>200.88066128533319</v>
      </c>
      <c r="AU38" s="1498">
        <f t="shared" si="85"/>
        <v>-72.43518815911159</v>
      </c>
      <c r="AV38" s="1498">
        <f t="shared" si="85"/>
        <v>205.80289749287243</v>
      </c>
      <c r="AW38" s="1498">
        <f t="shared" si="85"/>
        <v>335.82341548405225</v>
      </c>
      <c r="AX38" s="1498"/>
      <c r="AY38" s="1498">
        <f t="shared" si="85"/>
        <v>399.09466585904687</v>
      </c>
      <c r="AZ38" s="1498">
        <f t="shared" si="85"/>
        <v>-295.00173591911675</v>
      </c>
      <c r="BA38" s="1498">
        <f t="shared" si="85"/>
        <v>-170.52075737787311</v>
      </c>
      <c r="BB38" s="1498">
        <f t="shared" si="85"/>
        <v>17.325013180980477</v>
      </c>
      <c r="BC38" s="1498"/>
      <c r="BD38" s="1498">
        <f t="shared" si="85"/>
        <v>-12.129404751471952</v>
      </c>
      <c r="BE38" s="1498">
        <f t="shared" si="85"/>
        <v>-107.91398530702759</v>
      </c>
      <c r="BF38" s="1498">
        <f t="shared" si="85"/>
        <v>-462.02847091234639</v>
      </c>
      <c r="BG38" s="1498">
        <f t="shared" si="85"/>
        <v>-195.38713127353697</v>
      </c>
      <c r="BH38" s="1498">
        <f t="shared" si="85"/>
        <v>9148.8214839190077</v>
      </c>
      <c r="BI38" s="1498">
        <f t="shared" si="85"/>
        <v>9885.9437639561766</v>
      </c>
      <c r="BJ38" s="1498">
        <f t="shared" si="85"/>
        <v>2662.4029289142013</v>
      </c>
      <c r="BK38" s="1498">
        <f t="shared" si="85"/>
        <v>3549.7061798856998</v>
      </c>
      <c r="BL38" s="1498">
        <f t="shared" si="85"/>
        <v>-697.00000000000011</v>
      </c>
      <c r="BM38" s="1498">
        <f t="shared" si="85"/>
        <v>80.144674788361158</v>
      </c>
      <c r="BN38" s="1498">
        <f t="shared" si="85"/>
        <v>-126.24621597787393</v>
      </c>
      <c r="BO38" s="1489"/>
      <c r="BP38" s="1499">
        <f t="shared" ref="BP38:CT38" si="86">BP35+BP37</f>
        <v>546.06656642700057</v>
      </c>
      <c r="BQ38" s="1498">
        <f t="shared" si="86"/>
        <v>116.30423029513125</v>
      </c>
      <c r="BR38" s="1498">
        <f t="shared" si="86"/>
        <v>244.30060004520581</v>
      </c>
      <c r="BS38" s="1498">
        <f t="shared" si="86"/>
        <v>175.06278087868827</v>
      </c>
      <c r="BT38" s="1498">
        <f t="shared" si="86"/>
        <v>76.889395940498048</v>
      </c>
      <c r="BU38" s="1498">
        <f t="shared" si="86"/>
        <v>150.96134524446842</v>
      </c>
      <c r="BV38" s="1498">
        <f t="shared" si="86"/>
        <v>-87.186785559650843</v>
      </c>
      <c r="BW38" s="1498">
        <f t="shared" si="86"/>
        <v>-341.09040630942752</v>
      </c>
      <c r="BX38" s="1498">
        <f t="shared" si="86"/>
        <v>309.12223226754884</v>
      </c>
      <c r="BY38" s="1498">
        <f t="shared" si="86"/>
        <v>-169.26551410135289</v>
      </c>
      <c r="BZ38" s="1498">
        <f t="shared" si="86"/>
        <v>379.4952465830977</v>
      </c>
      <c r="CA38" s="1498">
        <f t="shared" si="86"/>
        <v>27.199932694208542</v>
      </c>
      <c r="CB38" s="1498">
        <f t="shared" si="86"/>
        <v>282.59793014175489</v>
      </c>
      <c r="CC38" s="1498">
        <f t="shared" si="86"/>
        <v>582.23712830180432</v>
      </c>
      <c r="CD38" s="1498"/>
      <c r="CE38" s="1498">
        <f t="shared" si="86"/>
        <v>736.63756758112049</v>
      </c>
      <c r="CF38" s="1498">
        <f t="shared" si="86"/>
        <v>-158.19779768490218</v>
      </c>
      <c r="CG38" s="1498">
        <f t="shared" si="86"/>
        <v>-84.820549728990613</v>
      </c>
      <c r="CH38" s="1498">
        <f t="shared" si="86"/>
        <v>271.61984109385378</v>
      </c>
      <c r="CI38" s="1498"/>
      <c r="CJ38" s="1498">
        <f t="shared" si="86"/>
        <v>288.15412727251248</v>
      </c>
      <c r="CK38" s="1498">
        <f t="shared" si="86"/>
        <v>186.91615505029023</v>
      </c>
      <c r="CL38" s="1498">
        <f t="shared" si="86"/>
        <v>-180.67896963236592</v>
      </c>
      <c r="CM38" s="1498">
        <f t="shared" si="86"/>
        <v>13.463092807996077</v>
      </c>
      <c r="CN38" s="1498">
        <f t="shared" si="86"/>
        <v>11806.272529440914</v>
      </c>
      <c r="CO38" s="1498">
        <f t="shared" si="86"/>
        <v>12529.811207448503</v>
      </c>
      <c r="CP38" s="1498">
        <f t="shared" si="86"/>
        <v>3470.7183327694383</v>
      </c>
      <c r="CQ38" s="1498">
        <f t="shared" si="86"/>
        <v>4550.2644837136631</v>
      </c>
      <c r="CR38" s="1498">
        <f>CR35+CR37</f>
        <v>-747.00000000000011</v>
      </c>
      <c r="CS38" s="1498">
        <f t="shared" si="86"/>
        <v>30.144674788361272</v>
      </c>
      <c r="CT38" s="1498">
        <f t="shared" si="86"/>
        <v>-176.24621597787393</v>
      </c>
      <c r="CU38" s="1433"/>
      <c r="CV38" s="1493" t="s">
        <v>1121</v>
      </c>
      <c r="CW38" s="1501" t="s">
        <v>171</v>
      </c>
      <c r="CX38" s="1498" t="e">
        <f>CX37+CX35</f>
        <v>#N/A</v>
      </c>
      <c r="CY38" s="1498" t="e">
        <f t="shared" ref="CY38:DS38" si="87">CY35+CY37</f>
        <v>#N/A</v>
      </c>
      <c r="CZ38" s="1498" t="e">
        <f t="shared" si="87"/>
        <v>#N/A</v>
      </c>
      <c r="DA38" s="1498" t="e">
        <f t="shared" si="87"/>
        <v>#N/A</v>
      </c>
      <c r="DB38" s="1498" t="e">
        <f t="shared" si="87"/>
        <v>#N/A</v>
      </c>
      <c r="DC38" s="1498" t="e">
        <f t="shared" si="87"/>
        <v>#N/A</v>
      </c>
      <c r="DD38" s="1498" t="e">
        <f t="shared" si="87"/>
        <v>#N/A</v>
      </c>
      <c r="DE38" s="1498" t="e">
        <f t="shared" si="87"/>
        <v>#N/A</v>
      </c>
      <c r="DF38" s="1498" t="e">
        <f t="shared" si="87"/>
        <v>#N/A</v>
      </c>
      <c r="DG38" s="1498" t="e">
        <f t="shared" si="87"/>
        <v>#N/A</v>
      </c>
      <c r="DH38" s="1498" t="e">
        <f>DH35+DH37</f>
        <v>#N/A</v>
      </c>
      <c r="DI38" s="1498" t="e">
        <f t="shared" si="87"/>
        <v>#N/A</v>
      </c>
      <c r="DJ38" s="1498" t="e">
        <f t="shared" si="87"/>
        <v>#N/A</v>
      </c>
      <c r="DK38" s="1498" t="e">
        <f t="shared" si="87"/>
        <v>#N/A</v>
      </c>
      <c r="DL38" s="1498" t="e">
        <f t="shared" si="87"/>
        <v>#N/A</v>
      </c>
      <c r="DM38" s="1498" t="e">
        <f t="shared" si="87"/>
        <v>#N/A</v>
      </c>
      <c r="DN38" s="1498" t="e">
        <f t="shared" si="87"/>
        <v>#N/A</v>
      </c>
      <c r="DO38" s="1498" t="e">
        <f t="shared" si="87"/>
        <v>#N/A</v>
      </c>
      <c r="DP38" s="1498" t="e">
        <f t="shared" si="87"/>
        <v>#N/A</v>
      </c>
      <c r="DQ38" s="1498"/>
      <c r="DR38" s="1498" t="e">
        <f t="shared" si="87"/>
        <v>#N/A</v>
      </c>
      <c r="DS38" s="1498" t="e">
        <f t="shared" si="87"/>
        <v>#N/A</v>
      </c>
      <c r="DU38" s="1498" t="e">
        <f>DU35+DU37</f>
        <v>#N/A</v>
      </c>
      <c r="DV38" s="1498" t="e">
        <f>DV35+DV37</f>
        <v>#N/A</v>
      </c>
      <c r="DW38" s="1498" t="e">
        <f>DW35+DW37</f>
        <v>#N/A</v>
      </c>
      <c r="DX38" s="1498" t="e">
        <f>DX35+DX37</f>
        <v>#N/A</v>
      </c>
      <c r="DY38" s="1499" t="e">
        <f t="shared" ref="DY38:EG38" si="88">DY35+DY37</f>
        <v>#N/A</v>
      </c>
      <c r="DZ38" s="1498" t="e">
        <f t="shared" si="88"/>
        <v>#N/A</v>
      </c>
      <c r="EA38" s="1498" t="e">
        <f t="shared" si="88"/>
        <v>#N/A</v>
      </c>
      <c r="EB38" s="1498" t="e">
        <f t="shared" si="88"/>
        <v>#N/A</v>
      </c>
      <c r="EC38" s="1498" t="e">
        <f t="shared" si="88"/>
        <v>#N/A</v>
      </c>
      <c r="ED38" s="1498" t="e">
        <f t="shared" si="88"/>
        <v>#N/A</v>
      </c>
      <c r="EE38" s="1498" t="e">
        <f>EE35+EE37</f>
        <v>#N/A</v>
      </c>
      <c r="EF38" s="1498" t="e">
        <f t="shared" si="88"/>
        <v>#N/A</v>
      </c>
      <c r="EG38" s="1498" t="e">
        <f t="shared" si="88"/>
        <v>#N/A</v>
      </c>
      <c r="EH38" s="1498" t="e">
        <f t="shared" ref="EH38:EM38" si="89">EH35+EH37</f>
        <v>#N/A</v>
      </c>
      <c r="EI38" s="1498" t="e">
        <f t="shared" si="89"/>
        <v>#N/A</v>
      </c>
      <c r="EJ38" s="1498" t="e">
        <f t="shared" si="89"/>
        <v>#N/A</v>
      </c>
      <c r="EK38" s="1498" t="e">
        <f t="shared" si="89"/>
        <v>#N/A</v>
      </c>
      <c r="EL38" s="1498" t="e">
        <f t="shared" si="89"/>
        <v>#N/A</v>
      </c>
      <c r="EM38" s="1498" t="e">
        <f t="shared" si="89"/>
        <v>#N/A</v>
      </c>
      <c r="EN38" s="1498"/>
      <c r="EO38" s="1498" t="e">
        <f>EO35+EO37</f>
        <v>#N/A</v>
      </c>
      <c r="EP38" s="1498" t="e">
        <f>EP35+EP37</f>
        <v>#N/A</v>
      </c>
      <c r="ER38" s="1498" t="e">
        <f>ER35+ER37</f>
        <v>#N/A</v>
      </c>
      <c r="ES38" s="1498" t="e">
        <f>ES35+ES37</f>
        <v>#N/A</v>
      </c>
      <c r="ET38" s="1498" t="e">
        <f>ET35+ET37</f>
        <v>#N/A</v>
      </c>
      <c r="EU38" s="1498" t="e">
        <f>EU35+EU37</f>
        <v>#N/A</v>
      </c>
      <c r="EV38" s="1499" t="e">
        <f t="shared" ref="EV38:FD38" si="90">EV35+EV37</f>
        <v>#N/A</v>
      </c>
      <c r="EW38" s="1498" t="e">
        <f t="shared" si="90"/>
        <v>#N/A</v>
      </c>
      <c r="EX38" s="1498" t="e">
        <f t="shared" si="90"/>
        <v>#N/A</v>
      </c>
      <c r="EY38" s="1498" t="e">
        <f t="shared" si="90"/>
        <v>#N/A</v>
      </c>
      <c r="EZ38" s="1498" t="e">
        <f t="shared" si="90"/>
        <v>#N/A</v>
      </c>
      <c r="FA38" s="1498" t="e">
        <f t="shared" si="90"/>
        <v>#N/A</v>
      </c>
      <c r="FB38" s="1498" t="e">
        <f>FB35+FB37</f>
        <v>#N/A</v>
      </c>
      <c r="FC38" s="1498" t="e">
        <f t="shared" si="90"/>
        <v>#N/A</v>
      </c>
      <c r="FD38" s="1498" t="e">
        <f t="shared" si="90"/>
        <v>#N/A</v>
      </c>
      <c r="FE38" s="1498" t="e">
        <f t="shared" ref="FE38:FJ38" si="91">FE35+FE37</f>
        <v>#N/A</v>
      </c>
      <c r="FF38" s="1498" t="e">
        <f t="shared" si="91"/>
        <v>#N/A</v>
      </c>
      <c r="FG38" s="1498" t="e">
        <f t="shared" si="91"/>
        <v>#N/A</v>
      </c>
      <c r="FH38" s="1498" t="e">
        <f t="shared" si="91"/>
        <v>#N/A</v>
      </c>
      <c r="FI38" s="1498" t="e">
        <f t="shared" si="91"/>
        <v>#N/A</v>
      </c>
      <c r="FJ38" s="1498" t="e">
        <f t="shared" si="91"/>
        <v>#N/A</v>
      </c>
      <c r="FK38" s="1498"/>
      <c r="FL38" s="1498" t="e">
        <f>FL35+FL37</f>
        <v>#N/A</v>
      </c>
      <c r="FM38" s="1498" t="e">
        <f>FM35+FM37</f>
        <v>#N/A</v>
      </c>
    </row>
    <row r="39" spans="1:169" s="1450" customFormat="1" ht="16.149999999999999" customHeight="1">
      <c r="A39" s="1440">
        <f>ROWS($A$1:A39)</f>
        <v>39</v>
      </c>
      <c r="B39" s="1497"/>
      <c r="C39" s="1496" t="s">
        <v>228</v>
      </c>
      <c r="D39" s="1494">
        <f>IF(D6=0,0,D38/D6)</f>
        <v>4.5830955822086237</v>
      </c>
      <c r="E39" s="1494">
        <f t="shared" ref="E39:AH39" si="92">IF(E6=0,0,E38/E6)</f>
        <v>-3.4803889735689229</v>
      </c>
      <c r="F39" s="1494">
        <f t="shared" si="92"/>
        <v>-2.5837716726799003</v>
      </c>
      <c r="G39" s="1494">
        <f t="shared" si="92"/>
        <v>-1.3692895377304033</v>
      </c>
      <c r="H39" s="1494">
        <f t="shared" si="92"/>
        <v>-1.6168048464420197</v>
      </c>
      <c r="I39" s="1494">
        <f t="shared" si="92"/>
        <v>-2.3820528518311126</v>
      </c>
      <c r="J39" s="1494">
        <f t="shared" si="92"/>
        <v>-6.2608469332859551</v>
      </c>
      <c r="K39" s="1494">
        <f t="shared" si="92"/>
        <v>-9.7932177782797254</v>
      </c>
      <c r="L39" s="1494">
        <f t="shared" si="92"/>
        <v>0.70663549577361562</v>
      </c>
      <c r="M39" s="1494">
        <f t="shared" si="92"/>
        <v>-6.6449110272709797</v>
      </c>
      <c r="N39" s="1494">
        <f t="shared" si="92"/>
        <v>0.5566518996892128</v>
      </c>
      <c r="O39" s="1494">
        <f t="shared" si="92"/>
        <v>-3.1685712662856278</v>
      </c>
      <c r="P39" s="1494">
        <f t="shared" si="92"/>
        <v>-3.1145550113443563</v>
      </c>
      <c r="Q39" s="1494">
        <f t="shared" si="92"/>
        <v>1.1176212833287642</v>
      </c>
      <c r="R39" s="1494"/>
      <c r="S39" s="1494">
        <f t="shared" si="92"/>
        <v>3.3931832452611692</v>
      </c>
      <c r="T39" s="1494">
        <f t="shared" si="92"/>
        <v>-19.5826452728543</v>
      </c>
      <c r="U39" s="1494">
        <f t="shared" si="92"/>
        <v>-10.248838601070201</v>
      </c>
      <c r="V39" s="1494">
        <f t="shared" si="92"/>
        <v>-11.848490736594631</v>
      </c>
      <c r="W39" s="1494"/>
      <c r="X39" s="1494">
        <f t="shared" si="92"/>
        <v>-15.899022320906932</v>
      </c>
      <c r="Y39" s="1494">
        <f t="shared" si="92"/>
        <v>-20.276394024284322</v>
      </c>
      <c r="Z39" s="1494">
        <f t="shared" si="92"/>
        <v>-74.337797219232684</v>
      </c>
      <c r="AA39" s="1494">
        <f t="shared" si="92"/>
        <v>-1.330376887765659</v>
      </c>
      <c r="AB39" s="1494">
        <f t="shared" si="92"/>
        <v>25.96548175358841</v>
      </c>
      <c r="AC39" s="1494">
        <f t="shared" si="92"/>
        <v>24.049697054682305</v>
      </c>
      <c r="AD39" s="1494">
        <f t="shared" si="92"/>
        <v>7.4868342809834596</v>
      </c>
      <c r="AE39" s="1494">
        <f t="shared" si="92"/>
        <v>6.587926462960751</v>
      </c>
      <c r="AF39" s="1494">
        <f t="shared" si="92"/>
        <v>0</v>
      </c>
      <c r="AG39" s="1494">
        <f t="shared" si="92"/>
        <v>130.14467478836139</v>
      </c>
      <c r="AH39" s="1494">
        <f t="shared" si="92"/>
        <v>180.42045068879276</v>
      </c>
      <c r="AI39" s="1462"/>
      <c r="AJ39" s="1495">
        <f t="shared" ref="AJ39:BN39" si="93">IF(AJ6=0,0,AJ38/AJ6)</f>
        <v>4.5641004947380548</v>
      </c>
      <c r="AK39" s="1494">
        <f t="shared" si="93"/>
        <v>-0.74858049857114106</v>
      </c>
      <c r="AL39" s="1494">
        <f t="shared" si="93"/>
        <v>0.69064065272246467</v>
      </c>
      <c r="AM39" s="1494">
        <f t="shared" si="93"/>
        <v>0.76732197156551107</v>
      </c>
      <c r="AN39" s="1494">
        <f t="shared" si="93"/>
        <v>0.1818773769399277</v>
      </c>
      <c r="AO39" s="1494">
        <f t="shared" si="93"/>
        <v>0.17784424408767865</v>
      </c>
      <c r="AP39" s="1494">
        <f t="shared" si="93"/>
        <v>-2.8204474082993003</v>
      </c>
      <c r="AQ39" s="1494">
        <f t="shared" si="93"/>
        <v>-7.2326478468213127</v>
      </c>
      <c r="AR39" s="1494">
        <f t="shared" si="93"/>
        <v>0.85678282975716058</v>
      </c>
      <c r="AS39" s="1494">
        <f t="shared" si="93"/>
        <v>-4.1792588788741813</v>
      </c>
      <c r="AT39" s="1494">
        <f t="shared" si="93"/>
        <v>4.0996053323537387</v>
      </c>
      <c r="AU39" s="1494">
        <f t="shared" si="93"/>
        <v>-1.3170034210747561</v>
      </c>
      <c r="AV39" s="1494">
        <f t="shared" si="93"/>
        <v>3.7418708635067714</v>
      </c>
      <c r="AW39" s="1494">
        <f t="shared" si="93"/>
        <v>3.3582341548405226</v>
      </c>
      <c r="AX39" s="1494"/>
      <c r="AY39" s="1494">
        <f t="shared" si="93"/>
        <v>9.9773666464761721</v>
      </c>
      <c r="AZ39" s="1494">
        <f t="shared" si="93"/>
        <v>-11.800069436764669</v>
      </c>
      <c r="BA39" s="1494">
        <f t="shared" si="93"/>
        <v>-5.6840252459291039</v>
      </c>
      <c r="BB39" s="1494">
        <f t="shared" si="93"/>
        <v>0.6416671548511288</v>
      </c>
      <c r="BC39" s="1494"/>
      <c r="BD39" s="1494">
        <f t="shared" si="93"/>
        <v>-0.34655442147062721</v>
      </c>
      <c r="BE39" s="1494">
        <f t="shared" si="93"/>
        <v>-3.0832567230579309</v>
      </c>
      <c r="BF39" s="1494">
        <f t="shared" si="93"/>
        <v>-18.481138836493855</v>
      </c>
      <c r="BG39" s="1494">
        <f t="shared" si="93"/>
        <v>-0.2676536044842972</v>
      </c>
      <c r="BH39" s="1494">
        <f t="shared" si="93"/>
        <v>30.496071613063361</v>
      </c>
      <c r="BI39" s="1494">
        <f t="shared" si="93"/>
        <v>28.245553611303361</v>
      </c>
      <c r="BJ39" s="1494">
        <f t="shared" si="93"/>
        <v>7.2743249423885281</v>
      </c>
      <c r="BK39" s="1494">
        <f t="shared" si="93"/>
        <v>8.3522498350251766</v>
      </c>
      <c r="BL39" s="1494">
        <f t="shared" si="93"/>
        <v>0</v>
      </c>
      <c r="BM39" s="1494">
        <f t="shared" si="93"/>
        <v>80.144674788361158</v>
      </c>
      <c r="BN39" s="1494">
        <f t="shared" si="93"/>
        <v>-126.24621597787393</v>
      </c>
      <c r="BO39" s="1462"/>
      <c r="BP39" s="1495">
        <f t="shared" ref="BP39:CT39" si="94">IF(BP6=0,0,BP38/BP6)</f>
        <v>5.7480691202842165</v>
      </c>
      <c r="BQ39" s="1494">
        <f t="shared" si="94"/>
        <v>1.2922692255014583</v>
      </c>
      <c r="BR39" s="1494">
        <f t="shared" si="94"/>
        <v>2.8741247064141859</v>
      </c>
      <c r="BS39" s="1494">
        <f t="shared" si="94"/>
        <v>2.3341704117158435</v>
      </c>
      <c r="BT39" s="1494">
        <f t="shared" si="94"/>
        <v>1.0251919458733072</v>
      </c>
      <c r="BU39" s="1494">
        <f t="shared" si="94"/>
        <v>1.6773482804940936</v>
      </c>
      <c r="BV39" s="1494">
        <f t="shared" si="94"/>
        <v>-1.0257268889370688</v>
      </c>
      <c r="BW39" s="1494">
        <f t="shared" si="94"/>
        <v>-4.8727200901346785</v>
      </c>
      <c r="BX39" s="1494">
        <f t="shared" si="94"/>
        <v>4.1216297635673182</v>
      </c>
      <c r="BY39" s="1494">
        <f t="shared" si="94"/>
        <v>-2.4180787728764699</v>
      </c>
      <c r="BZ39" s="1494">
        <f t="shared" si="94"/>
        <v>6.5430214928120289</v>
      </c>
      <c r="CA39" s="1494">
        <f t="shared" si="94"/>
        <v>0.41846050298782372</v>
      </c>
      <c r="CB39" s="1494">
        <f t="shared" si="94"/>
        <v>4.7099655023625813</v>
      </c>
      <c r="CC39" s="1494">
        <f t="shared" si="94"/>
        <v>4.8519760691817027</v>
      </c>
      <c r="CD39" s="1494"/>
      <c r="CE39" s="1494">
        <f t="shared" si="94"/>
        <v>14.73275135162241</v>
      </c>
      <c r="CF39" s="1494">
        <f t="shared" si="94"/>
        <v>-5.2732599228300732</v>
      </c>
      <c r="CG39" s="1494">
        <f t="shared" si="94"/>
        <v>-2.4234442779711602</v>
      </c>
      <c r="CH39" s="1494">
        <f t="shared" si="94"/>
        <v>7.9888188557015818</v>
      </c>
      <c r="CI39" s="1494"/>
      <c r="CJ39" s="1494">
        <f t="shared" si="94"/>
        <v>5.7630825454502492</v>
      </c>
      <c r="CK39" s="1494">
        <f t="shared" si="94"/>
        <v>3.7383231010058044</v>
      </c>
      <c r="CL39" s="1494">
        <f t="shared" si="94"/>
        <v>-4.516974240809148</v>
      </c>
      <c r="CM39" s="1494">
        <f t="shared" si="94"/>
        <v>1.5838932715289501E-2</v>
      </c>
      <c r="CN39" s="1494">
        <f t="shared" si="94"/>
        <v>33.73220722697404</v>
      </c>
      <c r="CO39" s="1494">
        <f t="shared" si="94"/>
        <v>31.324528018621258</v>
      </c>
      <c r="CP39" s="1494">
        <f t="shared" si="94"/>
        <v>8.6767958319235952</v>
      </c>
      <c r="CQ39" s="1494">
        <f t="shared" si="94"/>
        <v>9.7645160594713794</v>
      </c>
      <c r="CR39" s="1494">
        <f>IF(CR6=0,0,CR38/CR6)</f>
        <v>0</v>
      </c>
      <c r="CS39" s="1494">
        <f t="shared" si="94"/>
        <v>30.144674788361272</v>
      </c>
      <c r="CT39" s="1494">
        <f t="shared" si="94"/>
        <v>-176.24621597787393</v>
      </c>
      <c r="CV39" s="1497"/>
      <c r="CW39" s="1496" t="s">
        <v>228</v>
      </c>
      <c r="CX39" s="1494" t="e">
        <f>IF(CX6=0,0,CX38/CX6)</f>
        <v>#N/A</v>
      </c>
      <c r="CY39" s="1494" t="e">
        <f>IF(CY6=0,0,CY38/CY6)</f>
        <v>#N/A</v>
      </c>
      <c r="CZ39" s="1494" t="e">
        <f t="shared" ref="CZ39:DS39" si="95">IF(CZ6=0,0,CZ38/CZ6)</f>
        <v>#N/A</v>
      </c>
      <c r="DA39" s="1494" t="e">
        <f t="shared" si="95"/>
        <v>#N/A</v>
      </c>
      <c r="DB39" s="1494" t="e">
        <f t="shared" si="95"/>
        <v>#N/A</v>
      </c>
      <c r="DC39" s="1494" t="e">
        <f t="shared" si="95"/>
        <v>#N/A</v>
      </c>
      <c r="DD39" s="1494" t="e">
        <f t="shared" si="95"/>
        <v>#N/A</v>
      </c>
      <c r="DE39" s="1494" t="e">
        <f t="shared" si="95"/>
        <v>#N/A</v>
      </c>
      <c r="DF39" s="1494" t="e">
        <f t="shared" si="95"/>
        <v>#N/A</v>
      </c>
      <c r="DG39" s="1494" t="e">
        <f t="shared" si="95"/>
        <v>#N/A</v>
      </c>
      <c r="DH39" s="1494" t="e">
        <f>IF(DH6=0,0,DH38/DH6)</f>
        <v>#N/A</v>
      </c>
      <c r="DI39" s="1494" t="e">
        <f t="shared" si="95"/>
        <v>#N/A</v>
      </c>
      <c r="DJ39" s="1494" t="e">
        <f t="shared" si="95"/>
        <v>#N/A</v>
      </c>
      <c r="DK39" s="1494" t="e">
        <f t="shared" si="95"/>
        <v>#N/A</v>
      </c>
      <c r="DL39" s="1494" t="e">
        <f t="shared" si="95"/>
        <v>#N/A</v>
      </c>
      <c r="DM39" s="1494" t="e">
        <f t="shared" si="95"/>
        <v>#N/A</v>
      </c>
      <c r="DN39" s="1494" t="e">
        <f t="shared" si="95"/>
        <v>#N/A</v>
      </c>
      <c r="DO39" s="1494" t="e">
        <f t="shared" si="95"/>
        <v>#N/A</v>
      </c>
      <c r="DP39" s="1494" t="e">
        <f t="shared" si="95"/>
        <v>#N/A</v>
      </c>
      <c r="DQ39" s="1494"/>
      <c r="DR39" s="1494">
        <f t="shared" si="95"/>
        <v>0</v>
      </c>
      <c r="DS39" s="1494">
        <f t="shared" si="95"/>
        <v>0</v>
      </c>
      <c r="DU39" s="1494" t="e">
        <f>IF(DU6=0,0,DU38/DU6)</f>
        <v>#N/A</v>
      </c>
      <c r="DV39" s="1494" t="e">
        <f>IF(DV6=0,0,DV38/DV6)</f>
        <v>#N/A</v>
      </c>
      <c r="DW39" s="1494" t="e">
        <f>IF(DW6=0,0,DW38/DW6)</f>
        <v>#N/A</v>
      </c>
      <c r="DX39" s="1494" t="e">
        <f>IF(DX6=0,0,DX38/DX6)</f>
        <v>#N/A</v>
      </c>
      <c r="DY39" s="1495" t="e">
        <f t="shared" ref="DY39:EG39" si="96">IF(DY6=0,0,DY38/DY6)</f>
        <v>#N/A</v>
      </c>
      <c r="DZ39" s="1494" t="e">
        <f t="shared" si="96"/>
        <v>#N/A</v>
      </c>
      <c r="EA39" s="1494" t="e">
        <f t="shared" si="96"/>
        <v>#N/A</v>
      </c>
      <c r="EB39" s="1494" t="e">
        <f t="shared" si="96"/>
        <v>#N/A</v>
      </c>
      <c r="EC39" s="1494" t="e">
        <f t="shared" si="96"/>
        <v>#N/A</v>
      </c>
      <c r="ED39" s="1494" t="e">
        <f t="shared" si="96"/>
        <v>#N/A</v>
      </c>
      <c r="EE39" s="1494" t="e">
        <f>IF(EE6=0,0,EE38/EE6)</f>
        <v>#N/A</v>
      </c>
      <c r="EF39" s="1494" t="e">
        <f t="shared" si="96"/>
        <v>#N/A</v>
      </c>
      <c r="EG39" s="1494" t="e">
        <f t="shared" si="96"/>
        <v>#N/A</v>
      </c>
      <c r="EH39" s="1494" t="e">
        <f t="shared" ref="EH39:EM39" si="97">IF(EH6=0,0,EH38/EH6)</f>
        <v>#N/A</v>
      </c>
      <c r="EI39" s="1494" t="e">
        <f t="shared" si="97"/>
        <v>#N/A</v>
      </c>
      <c r="EJ39" s="1494" t="e">
        <f t="shared" si="97"/>
        <v>#N/A</v>
      </c>
      <c r="EK39" s="1494" t="e">
        <f t="shared" si="97"/>
        <v>#N/A</v>
      </c>
      <c r="EL39" s="1494" t="e">
        <f t="shared" si="97"/>
        <v>#N/A</v>
      </c>
      <c r="EM39" s="1494" t="e">
        <f t="shared" si="97"/>
        <v>#N/A</v>
      </c>
      <c r="EN39" s="1494"/>
      <c r="EO39" s="1494">
        <f>IF(EO6=0,0,EO38/EO6)</f>
        <v>0</v>
      </c>
      <c r="EP39" s="1494">
        <f>IF(EP6=0,0,EP38/EP6)</f>
        <v>0</v>
      </c>
      <c r="ER39" s="1494" t="e">
        <f>IF(ER6=0,0,ER38/ER6)</f>
        <v>#N/A</v>
      </c>
      <c r="ES39" s="1494" t="e">
        <f>IF(ES6=0,0,ES38/ES6)</f>
        <v>#N/A</v>
      </c>
      <c r="ET39" s="1494" t="e">
        <f>IF(ET6=0,0,ET38/ET6)</f>
        <v>#N/A</v>
      </c>
      <c r="EU39" s="1494" t="e">
        <f>IF(EU6=0,0,EU38/EU6)</f>
        <v>#N/A</v>
      </c>
      <c r="EV39" s="1495" t="e">
        <f t="shared" ref="EV39:FD39" si="98">IF(EV6=0,0,EV38/EV6)</f>
        <v>#N/A</v>
      </c>
      <c r="EW39" s="1494" t="e">
        <f t="shared" si="98"/>
        <v>#N/A</v>
      </c>
      <c r="EX39" s="1494" t="e">
        <f t="shared" si="98"/>
        <v>#N/A</v>
      </c>
      <c r="EY39" s="1494" t="e">
        <f t="shared" si="98"/>
        <v>#N/A</v>
      </c>
      <c r="EZ39" s="1494" t="e">
        <f t="shared" si="98"/>
        <v>#N/A</v>
      </c>
      <c r="FA39" s="1494" t="e">
        <f t="shared" si="98"/>
        <v>#N/A</v>
      </c>
      <c r="FB39" s="1494" t="e">
        <f>IF(FB6=0,0,FB38/FB6)</f>
        <v>#N/A</v>
      </c>
      <c r="FC39" s="1494" t="e">
        <f t="shared" si="98"/>
        <v>#N/A</v>
      </c>
      <c r="FD39" s="1494" t="e">
        <f t="shared" si="98"/>
        <v>#N/A</v>
      </c>
      <c r="FE39" s="1494" t="e">
        <f t="shared" ref="FE39:FJ39" si="99">IF(FE6=0,0,FE38/FE6)</f>
        <v>#N/A</v>
      </c>
      <c r="FF39" s="1494" t="e">
        <f t="shared" si="99"/>
        <v>#N/A</v>
      </c>
      <c r="FG39" s="1494" t="e">
        <f t="shared" si="99"/>
        <v>#N/A</v>
      </c>
      <c r="FH39" s="1494" t="e">
        <f t="shared" si="99"/>
        <v>#N/A</v>
      </c>
      <c r="FI39" s="1494" t="e">
        <f t="shared" si="99"/>
        <v>#N/A</v>
      </c>
      <c r="FJ39" s="1494" t="e">
        <f t="shared" si="99"/>
        <v>#N/A</v>
      </c>
      <c r="FK39" s="1494"/>
      <c r="FL39" s="1494">
        <f>IF(FL6=0,0,FL38/FL6)</f>
        <v>0</v>
      </c>
      <c r="FM39" s="1494">
        <f>IF(FM6=0,0,FM38/FM6)</f>
        <v>0</v>
      </c>
    </row>
    <row r="40" spans="1:169" s="1450" customFormat="1" ht="16.149999999999999" customHeight="1">
      <c r="A40" s="1440">
        <f>ROWS($A$1:A40)</f>
        <v>40</v>
      </c>
      <c r="B40" s="1459"/>
      <c r="C40" s="1458"/>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0"/>
      <c r="AA40" s="1460"/>
      <c r="AB40" s="1460"/>
      <c r="AC40" s="1460"/>
      <c r="AD40" s="1460"/>
      <c r="AE40" s="1460"/>
      <c r="AF40" s="1460"/>
      <c r="AG40" s="1460"/>
      <c r="AH40" s="1460"/>
      <c r="AI40" s="1462"/>
      <c r="AJ40" s="1461"/>
      <c r="AK40" s="1460"/>
      <c r="AL40" s="1460"/>
      <c r="AM40" s="1460"/>
      <c r="AN40" s="1460"/>
      <c r="AO40" s="1460"/>
      <c r="AP40" s="1460"/>
      <c r="AQ40" s="1460"/>
      <c r="AR40" s="1460"/>
      <c r="AS40" s="1460"/>
      <c r="AT40" s="1460"/>
      <c r="AU40" s="1460"/>
      <c r="AV40" s="1460"/>
      <c r="AW40" s="1460"/>
      <c r="AX40" s="1460"/>
      <c r="AY40" s="1460"/>
      <c r="AZ40" s="1460"/>
      <c r="BA40" s="1460"/>
      <c r="BB40" s="1460"/>
      <c r="BC40" s="1460"/>
      <c r="BD40" s="1460"/>
      <c r="BE40" s="1460"/>
      <c r="BF40" s="1460"/>
      <c r="BG40" s="1460"/>
      <c r="BH40" s="1460"/>
      <c r="BI40" s="1460"/>
      <c r="BJ40" s="1460"/>
      <c r="BK40" s="1460"/>
      <c r="BL40" s="1460"/>
      <c r="BM40" s="1460"/>
      <c r="BN40" s="1460"/>
      <c r="BO40" s="1462"/>
      <c r="BP40" s="1461"/>
      <c r="BQ40" s="1460"/>
      <c r="BR40" s="1460"/>
      <c r="BS40" s="1460"/>
      <c r="BT40" s="1460"/>
      <c r="BU40" s="1460"/>
      <c r="BV40" s="1460"/>
      <c r="BW40" s="1460"/>
      <c r="BX40" s="1460"/>
      <c r="BY40" s="1460"/>
      <c r="BZ40" s="1460"/>
      <c r="CA40" s="1460"/>
      <c r="CB40" s="1460"/>
      <c r="CC40" s="1460"/>
      <c r="CD40" s="1460"/>
      <c r="CE40" s="1460"/>
      <c r="CF40" s="1460"/>
      <c r="CG40" s="1460"/>
      <c r="CH40" s="1460"/>
      <c r="CI40" s="1460"/>
      <c r="CJ40" s="1460"/>
      <c r="CK40" s="1460"/>
      <c r="CL40" s="1460"/>
      <c r="CM40" s="1460"/>
      <c r="CN40" s="1460"/>
      <c r="CO40" s="1460"/>
      <c r="CP40" s="1460"/>
      <c r="CQ40" s="1460"/>
      <c r="CR40" s="1460"/>
      <c r="CS40" s="1460"/>
      <c r="CT40" s="1460"/>
      <c r="CV40" s="1459"/>
      <c r="CW40" s="1458"/>
      <c r="CX40" s="1460"/>
      <c r="CY40" s="1460"/>
      <c r="CZ40" s="1460"/>
      <c r="DA40" s="1460"/>
      <c r="DB40" s="1460"/>
      <c r="DC40" s="1460"/>
      <c r="DD40" s="1460"/>
      <c r="DE40" s="1460"/>
      <c r="DF40" s="1460"/>
      <c r="DG40" s="1460"/>
      <c r="DH40" s="1460"/>
      <c r="DI40" s="1460"/>
      <c r="DJ40" s="1460"/>
      <c r="DK40" s="1460"/>
      <c r="DL40" s="1460"/>
      <c r="DM40" s="1460"/>
      <c r="DN40" s="1460"/>
      <c r="DO40" s="1460"/>
      <c r="DP40" s="1460"/>
      <c r="DQ40" s="1460"/>
      <c r="DR40" s="1460"/>
      <c r="DS40" s="1460"/>
      <c r="DU40" s="1460"/>
      <c r="DV40" s="1460"/>
      <c r="DW40" s="1460"/>
      <c r="DX40" s="1460"/>
      <c r="DY40" s="1461"/>
      <c r="DZ40" s="1460"/>
      <c r="EA40" s="1460"/>
      <c r="EB40" s="1460"/>
      <c r="EC40" s="1460"/>
      <c r="ED40" s="1460"/>
      <c r="EE40" s="1460"/>
      <c r="EF40" s="1460"/>
      <c r="EG40" s="1460"/>
      <c r="EH40" s="1460"/>
      <c r="EI40" s="1460"/>
      <c r="EJ40" s="1460"/>
      <c r="EK40" s="1460"/>
      <c r="EL40" s="1460"/>
      <c r="EM40" s="1460"/>
      <c r="EN40" s="1460"/>
      <c r="EO40" s="1460"/>
      <c r="EP40" s="1460"/>
      <c r="ER40" s="1460"/>
      <c r="ES40" s="1460"/>
      <c r="ET40" s="1460"/>
      <c r="EU40" s="1460"/>
      <c r="EV40" s="1461"/>
      <c r="EW40" s="1460"/>
      <c r="EX40" s="1460"/>
      <c r="EY40" s="1460"/>
      <c r="EZ40" s="1460"/>
      <c r="FA40" s="1460"/>
      <c r="FB40" s="1460"/>
      <c r="FC40" s="1460"/>
      <c r="FD40" s="1460"/>
      <c r="FE40" s="1460"/>
      <c r="FF40" s="1460"/>
      <c r="FG40" s="1460"/>
      <c r="FH40" s="1460"/>
      <c r="FI40" s="1460"/>
      <c r="FJ40" s="1460"/>
      <c r="FK40" s="1460"/>
      <c r="FL40" s="1460"/>
      <c r="FM40" s="1460"/>
    </row>
    <row r="41" spans="1:169" ht="18" customHeight="1">
      <c r="A41" s="1440">
        <f>ROWS($A$1:A41)</f>
        <v>41</v>
      </c>
      <c r="B41" s="1493" t="s">
        <v>1055</v>
      </c>
      <c r="C41" s="1492"/>
      <c r="D41" s="1490"/>
      <c r="E41" s="1490"/>
      <c r="F41" s="1490"/>
      <c r="G41" s="1490"/>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442"/>
      <c r="AJ41" s="1491"/>
      <c r="AK41" s="1490"/>
      <c r="AL41" s="1490"/>
      <c r="AM41" s="1490"/>
      <c r="AN41" s="1490"/>
      <c r="AO41" s="1490"/>
      <c r="AP41" s="1490"/>
      <c r="AQ41" s="1490"/>
      <c r="AR41" s="1490"/>
      <c r="AS41" s="1490"/>
      <c r="AT41" s="1490"/>
      <c r="AU41" s="1490"/>
      <c r="AV41" s="1490"/>
      <c r="AW41" s="1490"/>
      <c r="AX41" s="1490"/>
      <c r="AY41" s="1490"/>
      <c r="AZ41" s="1490"/>
      <c r="BA41" s="1490"/>
      <c r="BB41" s="1490"/>
      <c r="BC41" s="1490"/>
      <c r="BD41" s="1490"/>
      <c r="BE41" s="1490"/>
      <c r="BF41" s="1490"/>
      <c r="BG41" s="1490"/>
      <c r="BH41" s="1490"/>
      <c r="BI41" s="1490"/>
      <c r="BJ41" s="1490"/>
      <c r="BK41" s="1490"/>
      <c r="BL41" s="1490"/>
      <c r="BM41" s="1490"/>
      <c r="BN41" s="1490"/>
      <c r="BO41" s="1442"/>
      <c r="BP41" s="1491"/>
      <c r="BQ41" s="1490"/>
      <c r="BR41" s="1490"/>
      <c r="BS41" s="1490"/>
      <c r="BT41" s="1490"/>
      <c r="BU41" s="1490"/>
      <c r="BV41" s="1490"/>
      <c r="BW41" s="1490"/>
      <c r="BX41" s="1490"/>
      <c r="BY41" s="1490"/>
      <c r="BZ41" s="1490"/>
      <c r="CA41" s="1490"/>
      <c r="CB41" s="1490"/>
      <c r="CC41" s="1490"/>
      <c r="CD41" s="1490"/>
      <c r="CE41" s="1490"/>
      <c r="CF41" s="1490"/>
      <c r="CG41" s="1490"/>
      <c r="CH41" s="1490"/>
      <c r="CI41" s="1490"/>
      <c r="CJ41" s="1490"/>
      <c r="CK41" s="1490"/>
      <c r="CL41" s="1490"/>
      <c r="CM41" s="1490"/>
      <c r="CN41" s="1490"/>
      <c r="CO41" s="1490"/>
      <c r="CP41" s="1490"/>
      <c r="CQ41" s="1490"/>
      <c r="CR41" s="1490"/>
      <c r="CS41" s="1490"/>
      <c r="CT41" s="1490"/>
      <c r="CV41" s="1493" t="s">
        <v>1055</v>
      </c>
      <c r="CW41" s="1492"/>
      <c r="CX41" s="1490"/>
      <c r="CY41" s="1490"/>
      <c r="CZ41" s="1490"/>
      <c r="DA41" s="1490"/>
      <c r="DB41" s="1490"/>
      <c r="DC41" s="1490"/>
      <c r="DD41" s="1490"/>
      <c r="DE41" s="1490"/>
      <c r="DF41" s="1490"/>
      <c r="DG41" s="1490"/>
      <c r="DH41" s="1490"/>
      <c r="DI41" s="1490"/>
      <c r="DJ41" s="1490"/>
      <c r="DK41" s="1490"/>
      <c r="DL41" s="1490"/>
      <c r="DM41" s="1490"/>
      <c r="DN41" s="1490"/>
      <c r="DO41" s="1490"/>
      <c r="DP41" s="1490"/>
      <c r="DQ41" s="1490"/>
      <c r="DR41" s="1490"/>
      <c r="DS41" s="1490"/>
      <c r="DT41" s="1434"/>
      <c r="DU41" s="1490"/>
      <c r="DV41" s="1490"/>
      <c r="DW41" s="1490"/>
      <c r="DX41" s="1490"/>
      <c r="DY41" s="1491"/>
      <c r="DZ41" s="1490"/>
      <c r="EA41" s="1490"/>
      <c r="EB41" s="1490"/>
      <c r="EC41" s="1490"/>
      <c r="ED41" s="1490"/>
      <c r="EE41" s="1490"/>
      <c r="EF41" s="1490"/>
      <c r="EG41" s="1490"/>
      <c r="EH41" s="1490"/>
      <c r="EI41" s="1490"/>
      <c r="EJ41" s="1490"/>
      <c r="EK41" s="1490"/>
      <c r="EL41" s="1490"/>
      <c r="EM41" s="1490"/>
      <c r="EN41" s="1490"/>
      <c r="EO41" s="1490"/>
      <c r="EP41" s="1490"/>
      <c r="EQ41" s="1434"/>
      <c r="ER41" s="1490"/>
      <c r="ES41" s="1490"/>
      <c r="ET41" s="1490"/>
      <c r="EU41" s="1490"/>
      <c r="EV41" s="1491"/>
      <c r="EW41" s="1490"/>
      <c r="EX41" s="1490"/>
      <c r="EY41" s="1490"/>
      <c r="EZ41" s="1490"/>
      <c r="FA41" s="1490"/>
      <c r="FB41" s="1490"/>
      <c r="FC41" s="1490"/>
      <c r="FD41" s="1490"/>
      <c r="FE41" s="1490"/>
      <c r="FF41" s="1490"/>
      <c r="FG41" s="1490"/>
      <c r="FH41" s="1490"/>
      <c r="FI41" s="1490"/>
      <c r="FJ41" s="1490"/>
      <c r="FK41" s="1490"/>
      <c r="FL41" s="1490"/>
      <c r="FM41" s="1490"/>
    </row>
    <row r="42" spans="1:169" s="1450" customFormat="1" ht="18" customHeight="1">
      <c r="A42" s="1440">
        <f>ROWS($A$1:A42)</f>
        <v>42</v>
      </c>
      <c r="B42" s="1479" t="s">
        <v>1120</v>
      </c>
      <c r="C42" s="1458" t="s">
        <v>1004</v>
      </c>
      <c r="D42" s="1451">
        <f>IF(D27=0,0,(D38+D32)/D27)</f>
        <v>46.047792419270934</v>
      </c>
      <c r="E42" s="1451">
        <f t="shared" ref="E42:AH42" si="100">IF(E27=0,0,(E38+E32)/E27)</f>
        <v>-2.1761679627183925</v>
      </c>
      <c r="F42" s="1451">
        <f t="shared" si="100"/>
        <v>4.1574671734468653</v>
      </c>
      <c r="G42" s="1451">
        <f t="shared" si="100"/>
        <v>10.664043972806141</v>
      </c>
      <c r="H42" s="1451">
        <f t="shared" si="100"/>
        <v>8.7021887751661371</v>
      </c>
      <c r="I42" s="1451">
        <f t="shared" si="100"/>
        <v>3.0561301641711922</v>
      </c>
      <c r="J42" s="1451">
        <f t="shared" si="100"/>
        <v>-15.542429508155802</v>
      </c>
      <c r="K42" s="1451">
        <f t="shared" si="100"/>
        <v>-30.090835681986459</v>
      </c>
      <c r="L42" s="1451">
        <f t="shared" si="100"/>
        <v>22.028291072507137</v>
      </c>
      <c r="M42" s="1451">
        <f t="shared" si="100"/>
        <v>-17.046999088981959</v>
      </c>
      <c r="N42" s="1451">
        <f t="shared" si="100"/>
        <v>20.369739887991539</v>
      </c>
      <c r="O42" s="1451">
        <f t="shared" si="100"/>
        <v>1.5995276072172522</v>
      </c>
      <c r="P42" s="1451">
        <f t="shared" si="100"/>
        <v>6.6226300955457322</v>
      </c>
      <c r="Q42" s="1451">
        <f t="shared" si="100"/>
        <v>28.16481385474092</v>
      </c>
      <c r="R42" s="1451"/>
      <c r="S42" s="1451">
        <f t="shared" si="100"/>
        <v>27.683742138302424</v>
      </c>
      <c r="T42" s="1451">
        <f t="shared" si="100"/>
        <v>-22.609359364717971</v>
      </c>
      <c r="U42" s="1451">
        <f t="shared" si="100"/>
        <v>-10.168531775148971</v>
      </c>
      <c r="V42" s="1451">
        <f t="shared" si="100"/>
        <v>-13.28562192805933</v>
      </c>
      <c r="W42" s="1451"/>
      <c r="X42" s="1451">
        <f t="shared" si="100"/>
        <v>-22.369242131086047</v>
      </c>
      <c r="Y42" s="1451">
        <f t="shared" si="100"/>
        <v>-34.151219198262133</v>
      </c>
      <c r="Z42" s="1451">
        <f t="shared" si="100"/>
        <v>-81.916394111871881</v>
      </c>
      <c r="AA42" s="1451">
        <f t="shared" si="100"/>
        <v>-23.257479241359263</v>
      </c>
      <c r="AB42" s="1451">
        <f t="shared" si="100"/>
        <v>304.34188082916199</v>
      </c>
      <c r="AC42" s="1451">
        <f t="shared" si="100"/>
        <v>209.07280498953099</v>
      </c>
      <c r="AD42" s="1451">
        <f t="shared" si="100"/>
        <v>125.6711785878236</v>
      </c>
      <c r="AE42" s="1451">
        <f t="shared" si="100"/>
        <v>89.482118967475984</v>
      </c>
      <c r="AF42" s="1451">
        <f t="shared" si="100"/>
        <v>0</v>
      </c>
      <c r="AG42" s="1451">
        <f t="shared" si="100"/>
        <v>37.754807952088854</v>
      </c>
      <c r="AH42" s="1451">
        <f t="shared" si="100"/>
        <v>45.61255749751956</v>
      </c>
      <c r="AI42" s="1453"/>
      <c r="AJ42" s="1452">
        <f t="shared" ref="AJ42:BN42" si="101">IF(AJ27=0,0,(AJ38+AJ32)/AJ27)</f>
        <v>49.329629974863096</v>
      </c>
      <c r="AK42" s="1451">
        <f t="shared" si="101"/>
        <v>13.017435446145226</v>
      </c>
      <c r="AL42" s="1451">
        <f t="shared" si="101"/>
        <v>22.322679335709275</v>
      </c>
      <c r="AM42" s="1451">
        <f t="shared" si="101"/>
        <v>22.493326860518756</v>
      </c>
      <c r="AN42" s="1451">
        <f t="shared" si="101"/>
        <v>19.214758477301203</v>
      </c>
      <c r="AO42" s="1451">
        <f t="shared" si="101"/>
        <v>19.358834383310501</v>
      </c>
      <c r="AP42" s="1451">
        <f t="shared" si="101"/>
        <v>-0.77080420050874843</v>
      </c>
      <c r="AQ42" s="1451">
        <f t="shared" si="101"/>
        <v>-21.393506790965748</v>
      </c>
      <c r="AR42" s="1451">
        <f t="shared" si="101"/>
        <v>23.772272381241233</v>
      </c>
      <c r="AS42" s="1451">
        <f t="shared" si="101"/>
        <v>-7.9904159133966521</v>
      </c>
      <c r="AT42" s="1451">
        <f t="shared" si="101"/>
        <v>39.003833258608651</v>
      </c>
      <c r="AU42" s="1451">
        <f t="shared" si="101"/>
        <v>10.42626639908913</v>
      </c>
      <c r="AV42" s="1451">
        <f t="shared" si="101"/>
        <v>36.371977994364613</v>
      </c>
      <c r="AW42" s="1451">
        <f t="shared" si="101"/>
        <v>54.774355615862049</v>
      </c>
      <c r="AX42" s="1451"/>
      <c r="AY42" s="1451">
        <f t="shared" si="101"/>
        <v>53.063667708579054</v>
      </c>
      <c r="AZ42" s="1451">
        <f t="shared" si="101"/>
        <v>-10.237397189593066</v>
      </c>
      <c r="BA42" s="1451">
        <f t="shared" si="101"/>
        <v>-0.57524590172909285</v>
      </c>
      <c r="BB42" s="1451">
        <f t="shared" si="101"/>
        <v>20.228010954344196</v>
      </c>
      <c r="BC42" s="1451"/>
      <c r="BD42" s="1451">
        <f t="shared" si="101"/>
        <v>16.460110101631127</v>
      </c>
      <c r="BE42" s="1451">
        <f t="shared" si="101"/>
        <v>4.2997682679479521</v>
      </c>
      <c r="BF42" s="1451">
        <f t="shared" si="101"/>
        <v>-42.06610386275954</v>
      </c>
      <c r="BG42" s="1451">
        <f t="shared" si="101"/>
        <v>0.68765450349663571</v>
      </c>
      <c r="BH42" s="1451">
        <f t="shared" si="101"/>
        <v>407.80918124921209</v>
      </c>
      <c r="BI42" s="1451">
        <f t="shared" si="101"/>
        <v>276.99774073765195</v>
      </c>
      <c r="BJ42" s="1451">
        <f t="shared" si="101"/>
        <v>119.69606298373574</v>
      </c>
      <c r="BK42" s="1451">
        <f t="shared" si="101"/>
        <v>116.68518709718377</v>
      </c>
      <c r="BL42" s="1451">
        <f t="shared" si="101"/>
        <v>0</v>
      </c>
      <c r="BM42" s="1451">
        <f t="shared" si="101"/>
        <v>30.16525118220418</v>
      </c>
      <c r="BN42" s="1451">
        <f t="shared" si="101"/>
        <v>-1.3214288304061732</v>
      </c>
      <c r="BO42" s="1453"/>
      <c r="BP42" s="1452">
        <f t="shared" ref="BP42:CT42" si="102">IF(BP27=0,0,(BP38+BP32)/BP27)</f>
        <v>58.782888691745875</v>
      </c>
      <c r="BQ42" s="1451">
        <f t="shared" si="102"/>
        <v>27.544085860424364</v>
      </c>
      <c r="BR42" s="1451">
        <f t="shared" si="102"/>
        <v>38.186795574715404</v>
      </c>
      <c r="BS42" s="1451">
        <f t="shared" si="102"/>
        <v>32.669245925816007</v>
      </c>
      <c r="BT42" s="1451">
        <f t="shared" si="102"/>
        <v>24.823695060392087</v>
      </c>
      <c r="BU42" s="1451">
        <f t="shared" si="102"/>
        <v>31.954644596456685</v>
      </c>
      <c r="BV42" s="1451">
        <f t="shared" si="102"/>
        <v>10.376111790866489</v>
      </c>
      <c r="BW42" s="1451">
        <f t="shared" si="102"/>
        <v>-12.498069233675567</v>
      </c>
      <c r="BX42" s="1451">
        <f t="shared" si="102"/>
        <v>50.040032366039476</v>
      </c>
      <c r="BY42" s="1451">
        <f t="shared" si="102"/>
        <v>0.756161970114828</v>
      </c>
      <c r="BZ42" s="1451">
        <f t="shared" si="102"/>
        <v>56.994579385850564</v>
      </c>
      <c r="CA42" s="1451">
        <f t="shared" si="102"/>
        <v>20.794896495500261</v>
      </c>
      <c r="CB42" s="1451">
        <f t="shared" si="102"/>
        <v>43.03968900777555</v>
      </c>
      <c r="CC42" s="1451">
        <f t="shared" si="102"/>
        <v>79.49526069938787</v>
      </c>
      <c r="CD42" s="1451"/>
      <c r="CE42" s="1451">
        <f t="shared" si="102"/>
        <v>81.77814437931778</v>
      </c>
      <c r="CF42" s="1451">
        <f t="shared" si="102"/>
        <v>3.0021048838735158</v>
      </c>
      <c r="CG42" s="1451">
        <f t="shared" si="102"/>
        <v>8.8440684662143116</v>
      </c>
      <c r="CH42" s="1451">
        <f t="shared" si="102"/>
        <v>52.047814015976456</v>
      </c>
      <c r="CI42" s="1451"/>
      <c r="CJ42" s="1451">
        <f t="shared" si="102"/>
        <v>53.669702821414191</v>
      </c>
      <c r="CK42" s="1451">
        <f t="shared" si="102"/>
        <v>41.137769242707741</v>
      </c>
      <c r="CL42" s="1451">
        <f t="shared" si="102"/>
        <v>-4.7440797623824142</v>
      </c>
      <c r="CM42" s="1451">
        <f t="shared" si="102"/>
        <v>19.123047448114455</v>
      </c>
      <c r="CN42" s="1451">
        <f t="shared" si="102"/>
        <v>504.45539882327625</v>
      </c>
      <c r="CO42" s="1451">
        <f t="shared" si="102"/>
        <v>336.33869937623228</v>
      </c>
      <c r="CP42" s="1451">
        <f t="shared" si="102"/>
        <v>146.64041263044618</v>
      </c>
      <c r="CQ42" s="1451">
        <f t="shared" si="102"/>
        <v>142.23591120279752</v>
      </c>
      <c r="CR42" s="1451">
        <f>IF(CR27=0,0,(CR38+CR32)/CR27)</f>
        <v>0</v>
      </c>
      <c r="CS42" s="1451">
        <f t="shared" si="102"/>
        <v>22.57569441231956</v>
      </c>
      <c r="CT42" s="1451">
        <f t="shared" si="102"/>
        <v>-8.9737092099592797</v>
      </c>
      <c r="CV42" s="1479" t="s">
        <v>1120</v>
      </c>
      <c r="CW42" s="1458" t="s">
        <v>1004</v>
      </c>
      <c r="CX42" s="1451" t="e">
        <f>IF(CX27=0,0,(CX38+CX32)/CX27)</f>
        <v>#N/A</v>
      </c>
      <c r="CY42" s="1451" t="e">
        <f>IF(CY27=0,0,(CY38+CY32)/CY27)</f>
        <v>#N/A</v>
      </c>
      <c r="CZ42" s="1451" t="e">
        <f t="shared" ref="CZ42:DS42" si="103">IF(CZ27=0,0,(CZ38+CZ32)/CZ27)</f>
        <v>#N/A</v>
      </c>
      <c r="DA42" s="1451" t="e">
        <f t="shared" si="103"/>
        <v>#N/A</v>
      </c>
      <c r="DB42" s="1451" t="e">
        <f t="shared" si="103"/>
        <v>#N/A</v>
      </c>
      <c r="DC42" s="1451" t="e">
        <f t="shared" si="103"/>
        <v>#N/A</v>
      </c>
      <c r="DD42" s="1451" t="e">
        <f t="shared" si="103"/>
        <v>#N/A</v>
      </c>
      <c r="DE42" s="1451" t="e">
        <f t="shared" si="103"/>
        <v>#N/A</v>
      </c>
      <c r="DF42" s="1451" t="e">
        <f t="shared" si="103"/>
        <v>#N/A</v>
      </c>
      <c r="DG42" s="1451" t="e">
        <f t="shared" si="103"/>
        <v>#N/A</v>
      </c>
      <c r="DH42" s="1451" t="e">
        <f>IF(DH27=0,0,(DH38+DH32)/DH27)</f>
        <v>#N/A</v>
      </c>
      <c r="DI42" s="1451" t="e">
        <f t="shared" si="103"/>
        <v>#N/A</v>
      </c>
      <c r="DJ42" s="1451" t="e">
        <f t="shared" si="103"/>
        <v>#N/A</v>
      </c>
      <c r="DK42" s="1451" t="e">
        <f t="shared" si="103"/>
        <v>#N/A</v>
      </c>
      <c r="DL42" s="1451" t="e">
        <f t="shared" si="103"/>
        <v>#N/A</v>
      </c>
      <c r="DM42" s="1451" t="e">
        <f t="shared" si="103"/>
        <v>#N/A</v>
      </c>
      <c r="DN42" s="1451" t="e">
        <f t="shared" si="103"/>
        <v>#N/A</v>
      </c>
      <c r="DO42" s="1451" t="e">
        <f t="shared" si="103"/>
        <v>#N/A</v>
      </c>
      <c r="DP42" s="1451" t="e">
        <f t="shared" si="103"/>
        <v>#N/A</v>
      </c>
      <c r="DQ42" s="1451"/>
      <c r="DR42" s="1451" t="e">
        <f t="shared" si="103"/>
        <v>#N/A</v>
      </c>
      <c r="DS42" s="1451" t="e">
        <f t="shared" si="103"/>
        <v>#N/A</v>
      </c>
      <c r="DU42" s="1451" t="e">
        <f>IF(DU27=0,0,(DU38+DU32)/DU27)</f>
        <v>#N/A</v>
      </c>
      <c r="DV42" s="1451" t="e">
        <f>IF(DV27=0,0,(DV38+DV32)/DV27)</f>
        <v>#N/A</v>
      </c>
      <c r="DW42" s="1451" t="e">
        <f>IF(DW27=0,0,(DW38+DW32)/DW27)</f>
        <v>#N/A</v>
      </c>
      <c r="DX42" s="1451" t="e">
        <f>IF(DX27=0,0,(DX38+DX32)/DX27)</f>
        <v>#N/A</v>
      </c>
      <c r="DY42" s="1452" t="e">
        <f t="shared" ref="DY42:EG42" si="104">IF(DY27=0,0,(DY38+DY32)/DY27)</f>
        <v>#N/A</v>
      </c>
      <c r="DZ42" s="1451" t="e">
        <f t="shared" si="104"/>
        <v>#N/A</v>
      </c>
      <c r="EA42" s="1451" t="e">
        <f t="shared" si="104"/>
        <v>#N/A</v>
      </c>
      <c r="EB42" s="1451" t="e">
        <f t="shared" si="104"/>
        <v>#N/A</v>
      </c>
      <c r="EC42" s="1451" t="e">
        <f t="shared" si="104"/>
        <v>#N/A</v>
      </c>
      <c r="ED42" s="1451" t="e">
        <f t="shared" si="104"/>
        <v>#N/A</v>
      </c>
      <c r="EE42" s="1451" t="e">
        <f>IF(EE27=0,0,(EE38+EE32)/EE27)</f>
        <v>#N/A</v>
      </c>
      <c r="EF42" s="1451" t="e">
        <f t="shared" si="104"/>
        <v>#N/A</v>
      </c>
      <c r="EG42" s="1451" t="e">
        <f t="shared" si="104"/>
        <v>#N/A</v>
      </c>
      <c r="EH42" s="1451" t="e">
        <f t="shared" ref="EH42:EM42" si="105">IF(EH27=0,0,(EH38+EH32)/EH27)</f>
        <v>#N/A</v>
      </c>
      <c r="EI42" s="1451" t="e">
        <f t="shared" si="105"/>
        <v>#N/A</v>
      </c>
      <c r="EJ42" s="1451" t="e">
        <f t="shared" si="105"/>
        <v>#N/A</v>
      </c>
      <c r="EK42" s="1451" t="e">
        <f t="shared" si="105"/>
        <v>#N/A</v>
      </c>
      <c r="EL42" s="1451" t="e">
        <f t="shared" si="105"/>
        <v>#N/A</v>
      </c>
      <c r="EM42" s="1451" t="e">
        <f t="shared" si="105"/>
        <v>#N/A</v>
      </c>
      <c r="EN42" s="1451"/>
      <c r="EO42" s="1451" t="e">
        <f>IF(EO27=0,0,(EO38+EO32)/EO27)</f>
        <v>#N/A</v>
      </c>
      <c r="EP42" s="1451" t="e">
        <f>IF(EP27=0,0,(EP38+EP32)/EP27)</f>
        <v>#N/A</v>
      </c>
      <c r="ER42" s="1451" t="e">
        <f>IF(ER27=0,0,(ER38+ER32)/ER27)</f>
        <v>#N/A</v>
      </c>
      <c r="ES42" s="1451" t="e">
        <f>IF(ES27=0,0,(ES38+ES32)/ES27)</f>
        <v>#N/A</v>
      </c>
      <c r="ET42" s="1451" t="e">
        <f>IF(ET27=0,0,(ET38+ET32)/ET27)</f>
        <v>#N/A</v>
      </c>
      <c r="EU42" s="1451" t="e">
        <f>IF(EU27=0,0,(EU38+EU32)/EU27)</f>
        <v>#N/A</v>
      </c>
      <c r="EV42" s="1452" t="e">
        <f t="shared" ref="EV42:FD42" si="106">IF(EV27=0,0,(EV38+EV32)/EV27)</f>
        <v>#N/A</v>
      </c>
      <c r="EW42" s="1451" t="e">
        <f t="shared" si="106"/>
        <v>#N/A</v>
      </c>
      <c r="EX42" s="1451" t="e">
        <f t="shared" si="106"/>
        <v>#N/A</v>
      </c>
      <c r="EY42" s="1451" t="e">
        <f t="shared" si="106"/>
        <v>#N/A</v>
      </c>
      <c r="EZ42" s="1451" t="e">
        <f t="shared" si="106"/>
        <v>#N/A</v>
      </c>
      <c r="FA42" s="1451" t="e">
        <f t="shared" si="106"/>
        <v>#N/A</v>
      </c>
      <c r="FB42" s="1451" t="e">
        <f>IF(FB27=0,0,(FB38+FB32)/FB27)</f>
        <v>#N/A</v>
      </c>
      <c r="FC42" s="1451" t="e">
        <f t="shared" si="106"/>
        <v>#N/A</v>
      </c>
      <c r="FD42" s="1451" t="e">
        <f t="shared" si="106"/>
        <v>#N/A</v>
      </c>
      <c r="FE42" s="1451" t="e">
        <f t="shared" ref="FE42:FJ42" si="107">IF(FE27=0,0,(FE38+FE32)/FE27)</f>
        <v>#N/A</v>
      </c>
      <c r="FF42" s="1451" t="e">
        <f t="shared" si="107"/>
        <v>#N/A</v>
      </c>
      <c r="FG42" s="1451" t="e">
        <f t="shared" si="107"/>
        <v>#N/A</v>
      </c>
      <c r="FH42" s="1451" t="e">
        <f t="shared" si="107"/>
        <v>#N/A</v>
      </c>
      <c r="FI42" s="1451" t="e">
        <f t="shared" si="107"/>
        <v>#N/A</v>
      </c>
      <c r="FJ42" s="1451" t="e">
        <f t="shared" si="107"/>
        <v>#N/A</v>
      </c>
      <c r="FK42" s="1451"/>
      <c r="FL42" s="1451" t="e">
        <f>IF(FL27=0,0,(FL38+FL32)/FL27)</f>
        <v>#N/A</v>
      </c>
      <c r="FM42" s="1451" t="e">
        <f>IF(FM27=0,0,(FM38+FM32)/FM27)</f>
        <v>#N/A</v>
      </c>
    </row>
    <row r="43" spans="1:169" ht="18" customHeight="1">
      <c r="A43" s="1440">
        <f>ROWS($A$1:A43)</f>
        <v>43</v>
      </c>
      <c r="B43" s="1457" t="s">
        <v>1119</v>
      </c>
      <c r="C43" s="1456" t="s">
        <v>228</v>
      </c>
      <c r="D43" s="1487">
        <f t="shared" ref="D43:AH43" si="108">IF(D31=0,0,IF(D6=0,0,(D38+D31)/D6))</f>
        <v>0</v>
      </c>
      <c r="E43" s="1487">
        <f t="shared" si="108"/>
        <v>0</v>
      </c>
      <c r="F43" s="1487">
        <f t="shared" si="108"/>
        <v>0</v>
      </c>
      <c r="G43" s="1487">
        <f t="shared" si="108"/>
        <v>0</v>
      </c>
      <c r="H43" s="1487">
        <f t="shared" si="108"/>
        <v>0</v>
      </c>
      <c r="I43" s="1487">
        <f t="shared" si="108"/>
        <v>0</v>
      </c>
      <c r="J43" s="1487">
        <f t="shared" si="108"/>
        <v>0</v>
      </c>
      <c r="K43" s="1487">
        <f t="shared" si="108"/>
        <v>0</v>
      </c>
      <c r="L43" s="1487">
        <f t="shared" si="108"/>
        <v>0</v>
      </c>
      <c r="M43" s="1487">
        <f t="shared" si="108"/>
        <v>0</v>
      </c>
      <c r="N43" s="1487">
        <f t="shared" si="108"/>
        <v>0</v>
      </c>
      <c r="O43" s="1487">
        <f t="shared" si="108"/>
        <v>0</v>
      </c>
      <c r="P43" s="1487">
        <f t="shared" si="108"/>
        <v>0</v>
      </c>
      <c r="Q43" s="1487">
        <f t="shared" si="108"/>
        <v>0</v>
      </c>
      <c r="R43" s="1487"/>
      <c r="S43" s="1487">
        <f t="shared" si="108"/>
        <v>0</v>
      </c>
      <c r="T43" s="1487">
        <f t="shared" si="108"/>
        <v>0</v>
      </c>
      <c r="U43" s="1487">
        <f t="shared" si="108"/>
        <v>0</v>
      </c>
      <c r="V43" s="1487">
        <f t="shared" si="108"/>
        <v>0</v>
      </c>
      <c r="W43" s="1487"/>
      <c r="X43" s="1487">
        <f t="shared" si="108"/>
        <v>0</v>
      </c>
      <c r="Y43" s="1487">
        <f t="shared" si="108"/>
        <v>0</v>
      </c>
      <c r="Z43" s="1487">
        <f t="shared" si="108"/>
        <v>0</v>
      </c>
      <c r="AA43" s="1487">
        <f t="shared" si="108"/>
        <v>0</v>
      </c>
      <c r="AB43" s="1487">
        <f t="shared" si="108"/>
        <v>0</v>
      </c>
      <c r="AC43" s="1487">
        <f t="shared" si="108"/>
        <v>0</v>
      </c>
      <c r="AD43" s="1487">
        <f t="shared" si="108"/>
        <v>0</v>
      </c>
      <c r="AE43" s="1487">
        <f t="shared" si="108"/>
        <v>0</v>
      </c>
      <c r="AF43" s="1487">
        <f t="shared" si="108"/>
        <v>0</v>
      </c>
      <c r="AG43" s="1487">
        <f t="shared" si="108"/>
        <v>0</v>
      </c>
      <c r="AH43" s="1487">
        <f t="shared" si="108"/>
        <v>0</v>
      </c>
      <c r="AI43" s="1489"/>
      <c r="AJ43" s="1488">
        <f t="shared" ref="AJ43:BN43" si="109">IF(AJ31=0,0,IF(AJ6=0,0,(AJ38+AJ31)/AJ6))</f>
        <v>0</v>
      </c>
      <c r="AK43" s="1487">
        <f t="shared" si="109"/>
        <v>0</v>
      </c>
      <c r="AL43" s="1487">
        <f t="shared" si="109"/>
        <v>0</v>
      </c>
      <c r="AM43" s="1487">
        <f t="shared" si="109"/>
        <v>0</v>
      </c>
      <c r="AN43" s="1487">
        <f t="shared" si="109"/>
        <v>0</v>
      </c>
      <c r="AO43" s="1487">
        <f t="shared" si="109"/>
        <v>0</v>
      </c>
      <c r="AP43" s="1487">
        <f t="shared" si="109"/>
        <v>0</v>
      </c>
      <c r="AQ43" s="1487">
        <f t="shared" si="109"/>
        <v>0</v>
      </c>
      <c r="AR43" s="1487">
        <f t="shared" si="109"/>
        <v>0</v>
      </c>
      <c r="AS43" s="1487">
        <f t="shared" si="109"/>
        <v>0</v>
      </c>
      <c r="AT43" s="1487">
        <f t="shared" si="109"/>
        <v>0</v>
      </c>
      <c r="AU43" s="1487">
        <f t="shared" si="109"/>
        <v>0</v>
      </c>
      <c r="AV43" s="1487">
        <f t="shared" si="109"/>
        <v>0</v>
      </c>
      <c r="AW43" s="1487">
        <f t="shared" si="109"/>
        <v>0</v>
      </c>
      <c r="AX43" s="1487"/>
      <c r="AY43" s="1487">
        <f t="shared" si="109"/>
        <v>0</v>
      </c>
      <c r="AZ43" s="1487">
        <f t="shared" si="109"/>
        <v>0</v>
      </c>
      <c r="BA43" s="1487">
        <f t="shared" si="109"/>
        <v>0</v>
      </c>
      <c r="BB43" s="1487">
        <f t="shared" si="109"/>
        <v>0</v>
      </c>
      <c r="BC43" s="1487"/>
      <c r="BD43" s="1487">
        <f t="shared" si="109"/>
        <v>0</v>
      </c>
      <c r="BE43" s="1487">
        <f t="shared" si="109"/>
        <v>0</v>
      </c>
      <c r="BF43" s="1487">
        <f t="shared" si="109"/>
        <v>0</v>
      </c>
      <c r="BG43" s="1487">
        <f t="shared" si="109"/>
        <v>0</v>
      </c>
      <c r="BH43" s="1487">
        <f t="shared" si="109"/>
        <v>0</v>
      </c>
      <c r="BI43" s="1487">
        <f t="shared" si="109"/>
        <v>0</v>
      </c>
      <c r="BJ43" s="1487">
        <f t="shared" si="109"/>
        <v>0</v>
      </c>
      <c r="BK43" s="1487">
        <f t="shared" si="109"/>
        <v>0</v>
      </c>
      <c r="BL43" s="1487">
        <f t="shared" si="109"/>
        <v>0</v>
      </c>
      <c r="BM43" s="1487">
        <f t="shared" si="109"/>
        <v>0</v>
      </c>
      <c r="BN43" s="1487">
        <f t="shared" si="109"/>
        <v>0</v>
      </c>
      <c r="BO43" s="1489"/>
      <c r="BP43" s="1488">
        <f t="shared" ref="BP43:CT43" si="110">IF(BP31=0,0,IF(BP6=0,0,(BP38+BP31)/BP6))</f>
        <v>0</v>
      </c>
      <c r="BQ43" s="1487">
        <f t="shared" si="110"/>
        <v>0</v>
      </c>
      <c r="BR43" s="1487">
        <f t="shared" si="110"/>
        <v>0</v>
      </c>
      <c r="BS43" s="1487">
        <f t="shared" si="110"/>
        <v>0</v>
      </c>
      <c r="BT43" s="1487">
        <f t="shared" si="110"/>
        <v>0</v>
      </c>
      <c r="BU43" s="1487">
        <f t="shared" si="110"/>
        <v>0</v>
      </c>
      <c r="BV43" s="1487">
        <f t="shared" si="110"/>
        <v>0</v>
      </c>
      <c r="BW43" s="1487">
        <f t="shared" si="110"/>
        <v>0</v>
      </c>
      <c r="BX43" s="1487">
        <f t="shared" si="110"/>
        <v>0</v>
      </c>
      <c r="BY43" s="1487">
        <f t="shared" si="110"/>
        <v>0</v>
      </c>
      <c r="BZ43" s="1487">
        <f t="shared" si="110"/>
        <v>0</v>
      </c>
      <c r="CA43" s="1487">
        <f t="shared" si="110"/>
        <v>0</v>
      </c>
      <c r="CB43" s="1487">
        <f t="shared" si="110"/>
        <v>0</v>
      </c>
      <c r="CC43" s="1487">
        <f t="shared" si="110"/>
        <v>0</v>
      </c>
      <c r="CD43" s="1487"/>
      <c r="CE43" s="1487">
        <f t="shared" si="110"/>
        <v>0</v>
      </c>
      <c r="CF43" s="1487">
        <f t="shared" si="110"/>
        <v>0</v>
      </c>
      <c r="CG43" s="1487">
        <f t="shared" si="110"/>
        <v>0</v>
      </c>
      <c r="CH43" s="1487">
        <f t="shared" si="110"/>
        <v>0</v>
      </c>
      <c r="CI43" s="1487"/>
      <c r="CJ43" s="1487">
        <f t="shared" si="110"/>
        <v>0</v>
      </c>
      <c r="CK43" s="1487">
        <f t="shared" si="110"/>
        <v>0</v>
      </c>
      <c r="CL43" s="1487">
        <f t="shared" si="110"/>
        <v>0</v>
      </c>
      <c r="CM43" s="1487">
        <f t="shared" si="110"/>
        <v>0</v>
      </c>
      <c r="CN43" s="1487">
        <f t="shared" si="110"/>
        <v>0</v>
      </c>
      <c r="CO43" s="1487">
        <f t="shared" si="110"/>
        <v>0</v>
      </c>
      <c r="CP43" s="1487">
        <f t="shared" si="110"/>
        <v>0</v>
      </c>
      <c r="CQ43" s="1487">
        <f t="shared" si="110"/>
        <v>0</v>
      </c>
      <c r="CR43" s="1487">
        <f>IF(CR31=0,0,IF(CR6=0,0,(CR38+CR31)/CR6))</f>
        <v>0</v>
      </c>
      <c r="CS43" s="1487">
        <f t="shared" si="110"/>
        <v>0</v>
      </c>
      <c r="CT43" s="1487">
        <f t="shared" si="110"/>
        <v>0</v>
      </c>
      <c r="CV43" s="1457" t="s">
        <v>1119</v>
      </c>
      <c r="CW43" s="1456" t="s">
        <v>228</v>
      </c>
      <c r="CX43" s="1487">
        <f>IF(CX31=0,0,IF(CX6=0,0,(CX38+CX31)/CX6))</f>
        <v>0</v>
      </c>
      <c r="CY43" s="1487">
        <f>IF(CY31=0,0,IF(CY6=0,0,(CY38+CY31)/CY6))</f>
        <v>0</v>
      </c>
      <c r="CZ43" s="1487">
        <f>IF(CZ31=0,0,IF(CZ6=0,0,(CZ38+CZ31)/CZ6))</f>
        <v>0</v>
      </c>
      <c r="DA43" s="1487">
        <f>IF(DA31=0,0,IF(DA6=0,0,(DA38+DA31)/DA6))</f>
        <v>0</v>
      </c>
      <c r="DB43" s="1487">
        <f t="shared" ref="DB43:DJ43" si="111">IF(DB31=0,0,IF(DB6=0,0,(DB38+DB31)/DB6))</f>
        <v>0</v>
      </c>
      <c r="DC43" s="1487">
        <f t="shared" si="111"/>
        <v>0</v>
      </c>
      <c r="DD43" s="1487">
        <f>IF(DD31=0,0,IF(DD6=0,0,(DD38+DD31)/DD6))</f>
        <v>0</v>
      </c>
      <c r="DE43" s="1487">
        <f t="shared" si="111"/>
        <v>0</v>
      </c>
      <c r="DF43" s="1487">
        <f t="shared" si="111"/>
        <v>0</v>
      </c>
      <c r="DG43" s="1487">
        <f t="shared" si="111"/>
        <v>0</v>
      </c>
      <c r="DH43" s="1487">
        <f>IF(DH31=0,0,IF(DH6=0,0,(DH38+DH31)/DH6))</f>
        <v>0</v>
      </c>
      <c r="DI43" s="1487">
        <f t="shared" si="111"/>
        <v>0</v>
      </c>
      <c r="DJ43" s="1487">
        <f t="shared" si="111"/>
        <v>0</v>
      </c>
      <c r="DK43" s="1487">
        <f>IF(DK31=0,0,IF(DK6=0,0,(DK38+DK31)/DK6))</f>
        <v>0</v>
      </c>
      <c r="DL43" s="1487">
        <f t="shared" ref="DL43:DS43" si="112">IF(DL31=0,0,IF(DL6=0,0,(DL38+DL31)/DL6))</f>
        <v>0</v>
      </c>
      <c r="DM43" s="1487">
        <f t="shared" si="112"/>
        <v>0</v>
      </c>
      <c r="DN43" s="1487">
        <f t="shared" si="112"/>
        <v>0</v>
      </c>
      <c r="DO43" s="1487">
        <f t="shared" si="112"/>
        <v>0</v>
      </c>
      <c r="DP43" s="1487">
        <f t="shared" si="112"/>
        <v>0</v>
      </c>
      <c r="DQ43" s="1487"/>
      <c r="DR43" s="1487">
        <f t="shared" si="112"/>
        <v>0</v>
      </c>
      <c r="DS43" s="1487">
        <f t="shared" si="112"/>
        <v>0</v>
      </c>
      <c r="DT43" s="1434"/>
      <c r="DU43" s="1487">
        <f>IF(DU31=0,0,IF(DU6=0,0,(DU38+DU31)/DU6))</f>
        <v>0</v>
      </c>
      <c r="DV43" s="1487">
        <f>IF(DV31=0,0,IF(DV6=0,0,(DV38+DV31)/DV6))</f>
        <v>0</v>
      </c>
      <c r="DW43" s="1487">
        <f>IF(DW31=0,0,IF(DW6=0,0,(DW38+DW31)/DW6))</f>
        <v>0</v>
      </c>
      <c r="DX43" s="1487">
        <f>IF(DX31=0,0,IF(DX6=0,0,(DX38+DX31)/DX6))</f>
        <v>0</v>
      </c>
      <c r="DY43" s="1488">
        <f t="shared" ref="DY43:EG43" si="113">IF(DY31=0,0,IF(DY6=0,0,(DY38+DY31)/DY6))</f>
        <v>0</v>
      </c>
      <c r="DZ43" s="1487">
        <f t="shared" si="113"/>
        <v>0</v>
      </c>
      <c r="EA43" s="1487">
        <f t="shared" si="113"/>
        <v>0</v>
      </c>
      <c r="EB43" s="1487">
        <f t="shared" si="113"/>
        <v>0</v>
      </c>
      <c r="EC43" s="1487">
        <f t="shared" si="113"/>
        <v>0</v>
      </c>
      <c r="ED43" s="1487">
        <f t="shared" si="113"/>
        <v>0</v>
      </c>
      <c r="EE43" s="1487">
        <f>IF(EE31=0,0,IF(EE6=0,0,(EE38+EE31)/EE6))</f>
        <v>0</v>
      </c>
      <c r="EF43" s="1487">
        <f t="shared" si="113"/>
        <v>0</v>
      </c>
      <c r="EG43" s="1487">
        <f t="shared" si="113"/>
        <v>0</v>
      </c>
      <c r="EH43" s="1487">
        <f t="shared" ref="EH43:EM43" si="114">IF(EH31=0,0,IF(EH6=0,0,(EH38+EH31)/EH6))</f>
        <v>0</v>
      </c>
      <c r="EI43" s="1487">
        <f t="shared" si="114"/>
        <v>0</v>
      </c>
      <c r="EJ43" s="1487">
        <f t="shared" si="114"/>
        <v>0</v>
      </c>
      <c r="EK43" s="1487">
        <f t="shared" si="114"/>
        <v>0</v>
      </c>
      <c r="EL43" s="1487">
        <f t="shared" si="114"/>
        <v>0</v>
      </c>
      <c r="EM43" s="1487">
        <f t="shared" si="114"/>
        <v>0</v>
      </c>
      <c r="EN43" s="1487"/>
      <c r="EO43" s="1487">
        <f>IF(EO31=0,0,IF(EO6=0,0,(EO38+EO31)/EO6))</f>
        <v>0</v>
      </c>
      <c r="EP43" s="1487">
        <f>IF(EP31=0,0,IF(EP6=0,0,(EP38+EP31)/EP6))</f>
        <v>0</v>
      </c>
      <c r="EQ43" s="1434"/>
      <c r="ER43" s="1487">
        <f>IF(ER31=0,0,IF(ER6=0,0,(ER38+ER31)/ER6))</f>
        <v>0</v>
      </c>
      <c r="ES43" s="1487">
        <f>IF(ES31=0,0,IF(ES6=0,0,(ES38+ES31)/ES6))</f>
        <v>0</v>
      </c>
      <c r="ET43" s="1487">
        <f>IF(ET31=0,0,IF(ET6=0,0,(ET38+ET31)/ET6))</f>
        <v>0</v>
      </c>
      <c r="EU43" s="1487">
        <f>IF(EU31=0,0,IF(EU6=0,0,(EU38+EU31)/EU6))</f>
        <v>0</v>
      </c>
      <c r="EV43" s="1488">
        <f t="shared" ref="EV43:FD43" si="115">IF(EV31=0,0,IF(EV6=0,0,(EV38+EV31)/EV6))</f>
        <v>0</v>
      </c>
      <c r="EW43" s="1487">
        <f t="shared" si="115"/>
        <v>0</v>
      </c>
      <c r="EX43" s="1487">
        <f t="shared" si="115"/>
        <v>0</v>
      </c>
      <c r="EY43" s="1487">
        <f t="shared" si="115"/>
        <v>0</v>
      </c>
      <c r="EZ43" s="1487">
        <f t="shared" si="115"/>
        <v>0</v>
      </c>
      <c r="FA43" s="1487">
        <f t="shared" si="115"/>
        <v>0</v>
      </c>
      <c r="FB43" s="1487">
        <f>IF(FB31=0,0,IF(FB6=0,0,(FB38+FB31)/FB6))</f>
        <v>0</v>
      </c>
      <c r="FC43" s="1487">
        <f t="shared" si="115"/>
        <v>0</v>
      </c>
      <c r="FD43" s="1487">
        <f t="shared" si="115"/>
        <v>0</v>
      </c>
      <c r="FE43" s="1487">
        <f t="shared" ref="FE43:FJ43" si="116">IF(FE31=0,0,IF(FE6=0,0,(FE38+FE31)/FE6))</f>
        <v>0</v>
      </c>
      <c r="FF43" s="1487">
        <f t="shared" si="116"/>
        <v>0</v>
      </c>
      <c r="FG43" s="1487">
        <f t="shared" si="116"/>
        <v>0</v>
      </c>
      <c r="FH43" s="1487">
        <f t="shared" si="116"/>
        <v>0</v>
      </c>
      <c r="FI43" s="1487">
        <f t="shared" si="116"/>
        <v>0</v>
      </c>
      <c r="FJ43" s="1487">
        <f t="shared" si="116"/>
        <v>0</v>
      </c>
      <c r="FK43" s="1487"/>
      <c r="FL43" s="1487">
        <f>IF(FL31=0,0,IF(FL6=0,0,(FL38+FL31)/FL6))</f>
        <v>0</v>
      </c>
      <c r="FM43" s="1487">
        <f>IF(FM31=0,0,IF(FM6=0,0,(FM38+FM31)/FM6))</f>
        <v>0</v>
      </c>
    </row>
    <row r="44" spans="1:169" ht="18" customHeight="1">
      <c r="A44" s="1440">
        <f>ROWS($A$1:A44)</f>
        <v>44</v>
      </c>
      <c r="B44" s="1457" t="s">
        <v>1118</v>
      </c>
      <c r="C44" s="1456" t="s">
        <v>171</v>
      </c>
      <c r="D44" s="1487">
        <f>D38+D30</f>
        <v>554.56787951022716</v>
      </c>
      <c r="E44" s="1487">
        <f t="shared" ref="E44:AH44" si="117">E38+E30</f>
        <v>47.843328252531307</v>
      </c>
      <c r="F44" s="1487">
        <f t="shared" si="117"/>
        <v>114.55922466927217</v>
      </c>
      <c r="G44" s="1487">
        <f t="shared" si="117"/>
        <v>181.35574209149451</v>
      </c>
      <c r="H44" s="1487">
        <f t="shared" si="117"/>
        <v>167.7424001123556</v>
      </c>
      <c r="I44" s="1487">
        <f t="shared" si="117"/>
        <v>113.74349555679993</v>
      </c>
      <c r="J44" s="1487">
        <f t="shared" si="117"/>
        <v>-87.679914664060846</v>
      </c>
      <c r="K44" s="1487">
        <f t="shared" si="117"/>
        <v>-232.99422224731956</v>
      </c>
      <c r="L44" s="1487">
        <f t="shared" si="117"/>
        <v>295.53161893421554</v>
      </c>
      <c r="M44" s="1487">
        <f t="shared" si="117"/>
        <v>-75.578884696882312</v>
      </c>
      <c r="N44" s="1487">
        <f t="shared" si="117"/>
        <v>278.9327426542352</v>
      </c>
      <c r="O44" s="1487">
        <f t="shared" si="117"/>
        <v>114.08095968381343</v>
      </c>
      <c r="P44" s="1487">
        <f t="shared" si="117"/>
        <v>132.08446621289244</v>
      </c>
      <c r="Q44" s="1487">
        <f t="shared" si="117"/>
        <v>346.07636933296783</v>
      </c>
      <c r="R44" s="1487"/>
      <c r="S44" s="1487">
        <f t="shared" si="117"/>
        <v>358.46216402450176</v>
      </c>
      <c r="T44" s="1487">
        <f t="shared" si="117"/>
        <v>-134.98623879041935</v>
      </c>
      <c r="U44" s="1487">
        <f t="shared" si="117"/>
        <v>0.44570163991164691</v>
      </c>
      <c r="V44" s="1487">
        <f t="shared" si="117"/>
        <v>19.696851934774088</v>
      </c>
      <c r="W44" s="1487"/>
      <c r="X44" s="1487">
        <f t="shared" si="117"/>
        <v>-61.313779751471941</v>
      </c>
      <c r="Y44" s="1487">
        <f t="shared" si="117"/>
        <v>-148.86121381901972</v>
      </c>
      <c r="Z44" s="1487">
        <f t="shared" si="117"/>
        <v>-486.71130552566018</v>
      </c>
      <c r="AA44" s="1487">
        <f t="shared" si="117"/>
        <v>-208.96524405131396</v>
      </c>
      <c r="AB44" s="1487">
        <f t="shared" si="117"/>
        <v>6748.0371050637696</v>
      </c>
      <c r="AC44" s="1487">
        <f t="shared" si="117"/>
        <v>7471.5757830713583</v>
      </c>
      <c r="AD44" s="1487">
        <f t="shared" si="117"/>
        <v>2989.3611792256293</v>
      </c>
      <c r="AE44" s="1487">
        <f t="shared" si="117"/>
        <v>2779.8425019806341</v>
      </c>
      <c r="AF44" s="1487">
        <f t="shared" si="117"/>
        <v>-390.33333333333331</v>
      </c>
      <c r="AG44" s="1487">
        <f t="shared" si="117"/>
        <v>386.81134145502807</v>
      </c>
      <c r="AH44" s="1487">
        <f t="shared" si="117"/>
        <v>180.42045068879276</v>
      </c>
      <c r="AI44" s="1489"/>
      <c r="AJ44" s="1488">
        <f t="shared" ref="AJ44:BN44" si="118">AJ38+AJ30</f>
        <v>671.79470624571104</v>
      </c>
      <c r="AK44" s="1487">
        <f t="shared" si="118"/>
        <v>250.5231292738311</v>
      </c>
      <c r="AL44" s="1487">
        <f t="shared" si="118"/>
        <v>355.01151235723921</v>
      </c>
      <c r="AM44" s="1487">
        <f t="shared" si="118"/>
        <v>356.5425948184249</v>
      </c>
      <c r="AN44" s="1487">
        <f t="shared" si="118"/>
        <v>318.48869616776199</v>
      </c>
      <c r="AO44" s="1487">
        <f t="shared" si="118"/>
        <v>320.00498497324259</v>
      </c>
      <c r="AP44" s="1487">
        <f t="shared" si="118"/>
        <v>109.23534808571566</v>
      </c>
      <c r="AQ44" s="1487">
        <f t="shared" si="118"/>
        <v>-127.29220414261209</v>
      </c>
      <c r="AR44" s="1487">
        <f t="shared" si="118"/>
        <v>362.35755060088212</v>
      </c>
      <c r="AS44" s="1487">
        <f t="shared" si="118"/>
        <v>55.911133934215798</v>
      </c>
      <c r="AT44" s="1487">
        <f t="shared" si="118"/>
        <v>507.54732795199988</v>
      </c>
      <c r="AU44" s="1487">
        <f t="shared" si="118"/>
        <v>234.2314785075551</v>
      </c>
      <c r="AV44" s="1487">
        <f t="shared" si="118"/>
        <v>512.46956415953912</v>
      </c>
      <c r="AW44" s="1487">
        <f t="shared" si="118"/>
        <v>642.49008215071899</v>
      </c>
      <c r="AX44" s="1487"/>
      <c r="AY44" s="1487">
        <f t="shared" si="118"/>
        <v>705.76133252571356</v>
      </c>
      <c r="AZ44" s="1487">
        <f t="shared" si="118"/>
        <v>11.664930747549931</v>
      </c>
      <c r="BA44" s="1487">
        <f t="shared" si="118"/>
        <v>136.14590928879358</v>
      </c>
      <c r="BB44" s="1487">
        <f t="shared" si="118"/>
        <v>323.99167984764716</v>
      </c>
      <c r="BC44" s="1487"/>
      <c r="BD44" s="1487">
        <f t="shared" si="118"/>
        <v>294.53726191519473</v>
      </c>
      <c r="BE44" s="1487">
        <f t="shared" si="118"/>
        <v>198.7526813596391</v>
      </c>
      <c r="BF44" s="1487">
        <f t="shared" si="118"/>
        <v>-155.36180424567971</v>
      </c>
      <c r="BG44" s="1487">
        <f t="shared" si="118"/>
        <v>111.27953539312972</v>
      </c>
      <c r="BH44" s="1487">
        <f t="shared" si="118"/>
        <v>9455.4881505856738</v>
      </c>
      <c r="BI44" s="1487">
        <f t="shared" si="118"/>
        <v>10192.610430622843</v>
      </c>
      <c r="BJ44" s="1487">
        <f t="shared" si="118"/>
        <v>2969.0695955808678</v>
      </c>
      <c r="BK44" s="1487">
        <f t="shared" si="118"/>
        <v>3856.3728465523664</v>
      </c>
      <c r="BL44" s="1487">
        <f t="shared" si="118"/>
        <v>-390.33333333333343</v>
      </c>
      <c r="BM44" s="1487">
        <f t="shared" si="118"/>
        <v>386.81134145502784</v>
      </c>
      <c r="BN44" s="1487">
        <f t="shared" si="118"/>
        <v>180.42045068879276</v>
      </c>
      <c r="BO44" s="1489"/>
      <c r="BP44" s="1488">
        <f t="shared" ref="BP44:CT44" si="119">BP38+BP30</f>
        <v>902.7332330936672</v>
      </c>
      <c r="BQ44" s="1487">
        <f t="shared" si="119"/>
        <v>472.97089696179796</v>
      </c>
      <c r="BR44" s="1487">
        <f t="shared" si="119"/>
        <v>600.96726671187253</v>
      </c>
      <c r="BS44" s="1487">
        <f t="shared" si="119"/>
        <v>531.72944754535501</v>
      </c>
      <c r="BT44" s="1487">
        <f t="shared" si="119"/>
        <v>433.55606260716473</v>
      </c>
      <c r="BU44" s="1487">
        <f t="shared" si="119"/>
        <v>507.6280119111351</v>
      </c>
      <c r="BV44" s="1487">
        <f t="shared" si="119"/>
        <v>269.47988110701584</v>
      </c>
      <c r="BW44" s="1487">
        <f t="shared" si="119"/>
        <v>15.576260357239164</v>
      </c>
      <c r="BX44" s="1487">
        <f t="shared" si="119"/>
        <v>665.78889893421547</v>
      </c>
      <c r="BY44" s="1487">
        <f t="shared" si="119"/>
        <v>187.40115256531379</v>
      </c>
      <c r="BZ44" s="1487">
        <f t="shared" si="119"/>
        <v>736.16191324976444</v>
      </c>
      <c r="CA44" s="1487">
        <f t="shared" si="119"/>
        <v>383.86659936087523</v>
      </c>
      <c r="CB44" s="1487">
        <f t="shared" si="119"/>
        <v>639.26459680842163</v>
      </c>
      <c r="CC44" s="1487">
        <f t="shared" si="119"/>
        <v>938.90379496847095</v>
      </c>
      <c r="CD44" s="1487"/>
      <c r="CE44" s="1487">
        <f t="shared" si="119"/>
        <v>1093.3042342477872</v>
      </c>
      <c r="CF44" s="1487">
        <f t="shared" si="119"/>
        <v>198.4688689817645</v>
      </c>
      <c r="CG44" s="1487">
        <f t="shared" si="119"/>
        <v>271.84611693767607</v>
      </c>
      <c r="CH44" s="1487">
        <f t="shared" si="119"/>
        <v>628.28650776052041</v>
      </c>
      <c r="CI44" s="1487"/>
      <c r="CJ44" s="1487">
        <f t="shared" si="119"/>
        <v>644.82079393917911</v>
      </c>
      <c r="CK44" s="1487">
        <f t="shared" si="119"/>
        <v>543.58282171695691</v>
      </c>
      <c r="CL44" s="1487">
        <f t="shared" si="119"/>
        <v>175.98769703430077</v>
      </c>
      <c r="CM44" s="1487">
        <f t="shared" si="119"/>
        <v>370.12975947466276</v>
      </c>
      <c r="CN44" s="1487">
        <f t="shared" si="119"/>
        <v>12162.93919610758</v>
      </c>
      <c r="CO44" s="1487">
        <f t="shared" si="119"/>
        <v>12886.477874115169</v>
      </c>
      <c r="CP44" s="1487">
        <f t="shared" si="119"/>
        <v>3827.3849994361049</v>
      </c>
      <c r="CQ44" s="1487">
        <f t="shared" si="119"/>
        <v>4906.9311503803301</v>
      </c>
      <c r="CR44" s="1487">
        <f>CR38+CR30</f>
        <v>-390.33333333333343</v>
      </c>
      <c r="CS44" s="1487">
        <f t="shared" si="119"/>
        <v>386.81134145502796</v>
      </c>
      <c r="CT44" s="1487">
        <f t="shared" si="119"/>
        <v>180.42045068879276</v>
      </c>
      <c r="CV44" s="1457" t="s">
        <v>1118</v>
      </c>
      <c r="CW44" s="1456" t="s">
        <v>171</v>
      </c>
      <c r="CX44" s="1487" t="e">
        <f>CX38+CX30</f>
        <v>#N/A</v>
      </c>
      <c r="CY44" s="1487" t="e">
        <f t="shared" ref="CY44:DS44" si="120">CY38+CY30</f>
        <v>#N/A</v>
      </c>
      <c r="CZ44" s="1487" t="e">
        <f t="shared" si="120"/>
        <v>#N/A</v>
      </c>
      <c r="DA44" s="1487" t="e">
        <f t="shared" si="120"/>
        <v>#N/A</v>
      </c>
      <c r="DB44" s="1487" t="e">
        <f t="shared" si="120"/>
        <v>#N/A</v>
      </c>
      <c r="DC44" s="1487" t="e">
        <f t="shared" si="120"/>
        <v>#N/A</v>
      </c>
      <c r="DD44" s="1487" t="e">
        <f t="shared" si="120"/>
        <v>#N/A</v>
      </c>
      <c r="DE44" s="1487" t="e">
        <f t="shared" si="120"/>
        <v>#N/A</v>
      </c>
      <c r="DF44" s="1487" t="e">
        <f t="shared" si="120"/>
        <v>#N/A</v>
      </c>
      <c r="DG44" s="1487" t="e">
        <f t="shared" si="120"/>
        <v>#N/A</v>
      </c>
      <c r="DH44" s="1487" t="e">
        <f>DH38+DH30</f>
        <v>#N/A</v>
      </c>
      <c r="DI44" s="1487" t="e">
        <f t="shared" si="120"/>
        <v>#N/A</v>
      </c>
      <c r="DJ44" s="1487" t="e">
        <f t="shared" si="120"/>
        <v>#N/A</v>
      </c>
      <c r="DK44" s="1487" t="e">
        <f t="shared" si="120"/>
        <v>#N/A</v>
      </c>
      <c r="DL44" s="1487" t="e">
        <f t="shared" si="120"/>
        <v>#N/A</v>
      </c>
      <c r="DM44" s="1487" t="e">
        <f t="shared" si="120"/>
        <v>#N/A</v>
      </c>
      <c r="DN44" s="1487" t="e">
        <f t="shared" si="120"/>
        <v>#N/A</v>
      </c>
      <c r="DO44" s="1487" t="e">
        <f t="shared" si="120"/>
        <v>#N/A</v>
      </c>
      <c r="DP44" s="1487" t="e">
        <f t="shared" si="120"/>
        <v>#N/A</v>
      </c>
      <c r="DQ44" s="1487"/>
      <c r="DR44" s="1487" t="e">
        <f t="shared" si="120"/>
        <v>#N/A</v>
      </c>
      <c r="DS44" s="1487" t="e">
        <f t="shared" si="120"/>
        <v>#N/A</v>
      </c>
      <c r="DT44" s="1434"/>
      <c r="DU44" s="1487" t="e">
        <f>DU38+DU30</f>
        <v>#N/A</v>
      </c>
      <c r="DV44" s="1487" t="e">
        <f>DV38+DV30</f>
        <v>#N/A</v>
      </c>
      <c r="DW44" s="1487" t="e">
        <f>DW38+DW30</f>
        <v>#N/A</v>
      </c>
      <c r="DX44" s="1487" t="e">
        <f>DX38+DX30</f>
        <v>#N/A</v>
      </c>
      <c r="DY44" s="1488" t="e">
        <f t="shared" ref="DY44:EG44" si="121">DY38+DY30</f>
        <v>#N/A</v>
      </c>
      <c r="DZ44" s="1487" t="e">
        <f t="shared" si="121"/>
        <v>#N/A</v>
      </c>
      <c r="EA44" s="1487" t="e">
        <f t="shared" si="121"/>
        <v>#N/A</v>
      </c>
      <c r="EB44" s="1487" t="e">
        <f t="shared" si="121"/>
        <v>#N/A</v>
      </c>
      <c r="EC44" s="1487" t="e">
        <f t="shared" si="121"/>
        <v>#N/A</v>
      </c>
      <c r="ED44" s="1487" t="e">
        <f t="shared" si="121"/>
        <v>#N/A</v>
      </c>
      <c r="EE44" s="1487" t="e">
        <f>EE38+EE30</f>
        <v>#N/A</v>
      </c>
      <c r="EF44" s="1487" t="e">
        <f t="shared" si="121"/>
        <v>#N/A</v>
      </c>
      <c r="EG44" s="1487" t="e">
        <f t="shared" si="121"/>
        <v>#N/A</v>
      </c>
      <c r="EH44" s="1487" t="e">
        <f t="shared" ref="EH44:EM44" si="122">EH38+EH30</f>
        <v>#N/A</v>
      </c>
      <c r="EI44" s="1487" t="e">
        <f t="shared" si="122"/>
        <v>#N/A</v>
      </c>
      <c r="EJ44" s="1487" t="e">
        <f t="shared" si="122"/>
        <v>#N/A</v>
      </c>
      <c r="EK44" s="1487" t="e">
        <f t="shared" si="122"/>
        <v>#N/A</v>
      </c>
      <c r="EL44" s="1487" t="e">
        <f t="shared" si="122"/>
        <v>#N/A</v>
      </c>
      <c r="EM44" s="1487" t="e">
        <f t="shared" si="122"/>
        <v>#N/A</v>
      </c>
      <c r="EN44" s="1487"/>
      <c r="EO44" s="1487" t="e">
        <f>EO38+EO30</f>
        <v>#N/A</v>
      </c>
      <c r="EP44" s="1487" t="e">
        <f>EP38+EP30</f>
        <v>#N/A</v>
      </c>
      <c r="EQ44" s="1434"/>
      <c r="ER44" s="1487" t="e">
        <f>ER38+ER30</f>
        <v>#N/A</v>
      </c>
      <c r="ES44" s="1487" t="e">
        <f>ES38+ES30</f>
        <v>#N/A</v>
      </c>
      <c r="ET44" s="1487" t="e">
        <f>ET38+ET30</f>
        <v>#N/A</v>
      </c>
      <c r="EU44" s="1487" t="e">
        <f>EU38+EU30</f>
        <v>#N/A</v>
      </c>
      <c r="EV44" s="1488" t="e">
        <f t="shared" ref="EV44:FD44" si="123">EV38+EV30</f>
        <v>#N/A</v>
      </c>
      <c r="EW44" s="1487" t="e">
        <f t="shared" si="123"/>
        <v>#N/A</v>
      </c>
      <c r="EX44" s="1487" t="e">
        <f t="shared" si="123"/>
        <v>#N/A</v>
      </c>
      <c r="EY44" s="1487" t="e">
        <f t="shared" si="123"/>
        <v>#N/A</v>
      </c>
      <c r="EZ44" s="1487" t="e">
        <f t="shared" si="123"/>
        <v>#N/A</v>
      </c>
      <c r="FA44" s="1487" t="e">
        <f t="shared" si="123"/>
        <v>#N/A</v>
      </c>
      <c r="FB44" s="1487" t="e">
        <f>FB38+FB30</f>
        <v>#N/A</v>
      </c>
      <c r="FC44" s="1487" t="e">
        <f t="shared" si="123"/>
        <v>#N/A</v>
      </c>
      <c r="FD44" s="1487" t="e">
        <f t="shared" si="123"/>
        <v>#N/A</v>
      </c>
      <c r="FE44" s="1487" t="e">
        <f t="shared" ref="FE44:FJ44" si="124">FE38+FE30</f>
        <v>#N/A</v>
      </c>
      <c r="FF44" s="1487" t="e">
        <f t="shared" si="124"/>
        <v>#N/A</v>
      </c>
      <c r="FG44" s="1487" t="e">
        <f t="shared" si="124"/>
        <v>#N/A</v>
      </c>
      <c r="FH44" s="1487" t="e">
        <f t="shared" si="124"/>
        <v>#N/A</v>
      </c>
      <c r="FI44" s="1487" t="e">
        <f t="shared" si="124"/>
        <v>#N/A</v>
      </c>
      <c r="FJ44" s="1487" t="e">
        <f t="shared" si="124"/>
        <v>#N/A</v>
      </c>
      <c r="FK44" s="1487"/>
      <c r="FL44" s="1487" t="e">
        <f>FL38+FL30</f>
        <v>#N/A</v>
      </c>
      <c r="FM44" s="1487" t="e">
        <f>FM38+FM30</f>
        <v>#N/A</v>
      </c>
    </row>
    <row r="45" spans="1:169" ht="16.149999999999999" customHeight="1">
      <c r="A45" s="1440">
        <f>ROWS($A$1:A45)</f>
        <v>45</v>
      </c>
      <c r="B45" s="1486" t="s">
        <v>1117</v>
      </c>
      <c r="C45" s="1456"/>
      <c r="D45" s="1445">
        <f>D44+D29</f>
        <v>595.56787951022716</v>
      </c>
      <c r="E45" s="1445">
        <f t="shared" ref="E45:AH45" si="125">E44+E29</f>
        <v>88.843328252531307</v>
      </c>
      <c r="F45" s="1445">
        <f t="shared" si="125"/>
        <v>155.55922466927217</v>
      </c>
      <c r="G45" s="1445">
        <f t="shared" si="125"/>
        <v>222.35574209149451</v>
      </c>
      <c r="H45" s="1445">
        <f t="shared" si="125"/>
        <v>208.7424001123556</v>
      </c>
      <c r="I45" s="1445">
        <f t="shared" si="125"/>
        <v>154.74349555679993</v>
      </c>
      <c r="J45" s="1445">
        <f t="shared" si="125"/>
        <v>-46.679914664060846</v>
      </c>
      <c r="K45" s="1445">
        <f t="shared" si="125"/>
        <v>-191.99422224731956</v>
      </c>
      <c r="L45" s="1445">
        <f t="shared" si="125"/>
        <v>336.53161893421554</v>
      </c>
      <c r="M45" s="1445">
        <f t="shared" si="125"/>
        <v>-34.578884696882312</v>
      </c>
      <c r="N45" s="1445">
        <f t="shared" si="125"/>
        <v>319.9327426542352</v>
      </c>
      <c r="O45" s="1445">
        <f t="shared" si="125"/>
        <v>155.08095968381343</v>
      </c>
      <c r="P45" s="1445">
        <f t="shared" si="125"/>
        <v>173.08446621289244</v>
      </c>
      <c r="Q45" s="1445">
        <f t="shared" si="125"/>
        <v>387.07636933296783</v>
      </c>
      <c r="R45" s="1445"/>
      <c r="S45" s="1445">
        <f t="shared" si="125"/>
        <v>399.46216402450176</v>
      </c>
      <c r="T45" s="1445">
        <f t="shared" si="125"/>
        <v>-93.98623879041935</v>
      </c>
      <c r="U45" s="1445">
        <f t="shared" si="125"/>
        <v>41.445701639911647</v>
      </c>
      <c r="V45" s="1445">
        <f t="shared" si="125"/>
        <v>60.696851934774088</v>
      </c>
      <c r="W45" s="1445"/>
      <c r="X45" s="1445">
        <f t="shared" si="125"/>
        <v>-20.313779751471941</v>
      </c>
      <c r="Y45" s="1445">
        <f t="shared" si="125"/>
        <v>-107.86121381901972</v>
      </c>
      <c r="Z45" s="1445">
        <f t="shared" si="125"/>
        <v>-445.71130552566018</v>
      </c>
      <c r="AA45" s="1445">
        <f t="shared" si="125"/>
        <v>-167.96524405131396</v>
      </c>
      <c r="AB45" s="1445">
        <f t="shared" si="125"/>
        <v>6789.0371050637696</v>
      </c>
      <c r="AC45" s="1445">
        <f t="shared" si="125"/>
        <v>7512.5757830713583</v>
      </c>
      <c r="AD45" s="1445">
        <f t="shared" si="125"/>
        <v>3030.3611792256293</v>
      </c>
      <c r="AE45" s="1445">
        <f t="shared" si="125"/>
        <v>2820.8425019806341</v>
      </c>
      <c r="AF45" s="1445">
        <f t="shared" si="125"/>
        <v>-349.33333333333331</v>
      </c>
      <c r="AG45" s="1445">
        <f t="shared" si="125"/>
        <v>427.81134145502807</v>
      </c>
      <c r="AH45" s="1445">
        <f t="shared" si="125"/>
        <v>180.42045068879276</v>
      </c>
      <c r="AI45" s="1442"/>
      <c r="AJ45" s="1443">
        <f t="shared" ref="AJ45:BN45" si="126">AJ44+AJ29</f>
        <v>712.79470624571104</v>
      </c>
      <c r="AK45" s="1445">
        <f t="shared" si="126"/>
        <v>291.5231292738311</v>
      </c>
      <c r="AL45" s="1445">
        <f t="shared" si="126"/>
        <v>396.01151235723921</v>
      </c>
      <c r="AM45" s="1445">
        <f t="shared" si="126"/>
        <v>397.5425948184249</v>
      </c>
      <c r="AN45" s="1445">
        <f t="shared" si="126"/>
        <v>359.48869616776199</v>
      </c>
      <c r="AO45" s="1445">
        <f t="shared" si="126"/>
        <v>361.00498497324259</v>
      </c>
      <c r="AP45" s="1445">
        <f t="shared" si="126"/>
        <v>150.23534808571566</v>
      </c>
      <c r="AQ45" s="1445">
        <f t="shared" si="126"/>
        <v>-86.292204142612093</v>
      </c>
      <c r="AR45" s="1445">
        <f t="shared" si="126"/>
        <v>403.35755060088212</v>
      </c>
      <c r="AS45" s="1445">
        <f t="shared" si="126"/>
        <v>96.911133934215798</v>
      </c>
      <c r="AT45" s="1445">
        <f t="shared" si="126"/>
        <v>548.54732795199993</v>
      </c>
      <c r="AU45" s="1445">
        <f t="shared" si="126"/>
        <v>275.2314785075551</v>
      </c>
      <c r="AV45" s="1445">
        <f t="shared" si="126"/>
        <v>553.46956415953912</v>
      </c>
      <c r="AW45" s="1445">
        <f t="shared" si="126"/>
        <v>683.49008215071899</v>
      </c>
      <c r="AX45" s="1445"/>
      <c r="AY45" s="1445">
        <f t="shared" si="126"/>
        <v>746.76133252571356</v>
      </c>
      <c r="AZ45" s="1445">
        <f t="shared" si="126"/>
        <v>52.664930747549931</v>
      </c>
      <c r="BA45" s="1445">
        <f t="shared" si="126"/>
        <v>177.14590928879358</v>
      </c>
      <c r="BB45" s="1445">
        <f t="shared" si="126"/>
        <v>364.99167984764716</v>
      </c>
      <c r="BC45" s="1445"/>
      <c r="BD45" s="1445">
        <f t="shared" si="126"/>
        <v>335.53726191519473</v>
      </c>
      <c r="BE45" s="1445">
        <f t="shared" si="126"/>
        <v>239.7526813596391</v>
      </c>
      <c r="BF45" s="1445">
        <f t="shared" si="126"/>
        <v>-114.36180424567971</v>
      </c>
      <c r="BG45" s="1445">
        <f t="shared" si="126"/>
        <v>152.27953539312972</v>
      </c>
      <c r="BH45" s="1445">
        <f t="shared" si="126"/>
        <v>9496.4881505856738</v>
      </c>
      <c r="BI45" s="1445">
        <f t="shared" si="126"/>
        <v>10233.610430622843</v>
      </c>
      <c r="BJ45" s="1445">
        <f t="shared" si="126"/>
        <v>3010.0695955808678</v>
      </c>
      <c r="BK45" s="1445">
        <f t="shared" si="126"/>
        <v>3897.3728465523664</v>
      </c>
      <c r="BL45" s="1445">
        <f t="shared" si="126"/>
        <v>-349.33333333333343</v>
      </c>
      <c r="BM45" s="1445">
        <f t="shared" si="126"/>
        <v>427.81134145502784</v>
      </c>
      <c r="BN45" s="1445">
        <f t="shared" si="126"/>
        <v>180.42045068879276</v>
      </c>
      <c r="BO45" s="1442"/>
      <c r="BP45" s="1443">
        <f t="shared" ref="BP45:CT45" si="127">BP44+BP29</f>
        <v>943.7332330936672</v>
      </c>
      <c r="BQ45" s="1445">
        <f t="shared" si="127"/>
        <v>513.97089696179796</v>
      </c>
      <c r="BR45" s="1445">
        <f t="shared" si="127"/>
        <v>641.96726671187253</v>
      </c>
      <c r="BS45" s="1445">
        <f t="shared" si="127"/>
        <v>572.72944754535501</v>
      </c>
      <c r="BT45" s="1445">
        <f t="shared" si="127"/>
        <v>474.55606260716473</v>
      </c>
      <c r="BU45" s="1445">
        <f t="shared" si="127"/>
        <v>548.6280119111351</v>
      </c>
      <c r="BV45" s="1445">
        <f t="shared" si="127"/>
        <v>310.47988110701584</v>
      </c>
      <c r="BW45" s="1445">
        <f t="shared" si="127"/>
        <v>56.576260357239164</v>
      </c>
      <c r="BX45" s="1445">
        <f t="shared" si="127"/>
        <v>706.78889893421547</v>
      </c>
      <c r="BY45" s="1445">
        <f t="shared" si="127"/>
        <v>228.40115256531379</v>
      </c>
      <c r="BZ45" s="1445">
        <f t="shared" si="127"/>
        <v>777.16191324976444</v>
      </c>
      <c r="CA45" s="1445">
        <f t="shared" si="127"/>
        <v>424.86659936087523</v>
      </c>
      <c r="CB45" s="1445">
        <f t="shared" si="127"/>
        <v>680.26459680842163</v>
      </c>
      <c r="CC45" s="1445">
        <f t="shared" si="127"/>
        <v>979.90379496847095</v>
      </c>
      <c r="CD45" s="1445"/>
      <c r="CE45" s="1445">
        <f t="shared" si="127"/>
        <v>1134.3042342477872</v>
      </c>
      <c r="CF45" s="1445">
        <f t="shared" si="127"/>
        <v>239.4688689817645</v>
      </c>
      <c r="CG45" s="1445">
        <f t="shared" si="127"/>
        <v>312.84611693767607</v>
      </c>
      <c r="CH45" s="1445">
        <f t="shared" si="127"/>
        <v>669.28650776052041</v>
      </c>
      <c r="CI45" s="1445"/>
      <c r="CJ45" s="1445">
        <f t="shared" si="127"/>
        <v>685.82079393917911</v>
      </c>
      <c r="CK45" s="1445">
        <f t="shared" si="127"/>
        <v>584.58282171695691</v>
      </c>
      <c r="CL45" s="1445">
        <f t="shared" si="127"/>
        <v>216.98769703430077</v>
      </c>
      <c r="CM45" s="1445">
        <f t="shared" si="127"/>
        <v>411.12975947466276</v>
      </c>
      <c r="CN45" s="1445">
        <f t="shared" si="127"/>
        <v>12203.93919610758</v>
      </c>
      <c r="CO45" s="1445">
        <f t="shared" si="127"/>
        <v>12927.477874115169</v>
      </c>
      <c r="CP45" s="1445">
        <f t="shared" si="127"/>
        <v>3868.3849994361049</v>
      </c>
      <c r="CQ45" s="1445">
        <f t="shared" si="127"/>
        <v>4947.9311503803301</v>
      </c>
      <c r="CR45" s="1445">
        <f>CR44+CR29</f>
        <v>-349.33333333333343</v>
      </c>
      <c r="CS45" s="1445">
        <f t="shared" si="127"/>
        <v>427.81134145502796</v>
      </c>
      <c r="CT45" s="1445">
        <f t="shared" si="127"/>
        <v>180.42045068879276</v>
      </c>
      <c r="CV45" s="1486" t="s">
        <v>1117</v>
      </c>
      <c r="CW45" s="1456"/>
      <c r="CX45" s="1445" t="e">
        <f>CX44+CX29</f>
        <v>#N/A</v>
      </c>
      <c r="CY45" s="1445" t="e">
        <f>CY44+CY29</f>
        <v>#N/A</v>
      </c>
      <c r="CZ45" s="1445" t="e">
        <f t="shared" ref="CZ45:DS45" si="128">CZ44+CZ29</f>
        <v>#N/A</v>
      </c>
      <c r="DA45" s="1445" t="e">
        <f t="shared" si="128"/>
        <v>#N/A</v>
      </c>
      <c r="DB45" s="1445" t="e">
        <f t="shared" si="128"/>
        <v>#N/A</v>
      </c>
      <c r="DC45" s="1445" t="e">
        <f t="shared" si="128"/>
        <v>#N/A</v>
      </c>
      <c r="DD45" s="1445" t="e">
        <f t="shared" si="128"/>
        <v>#N/A</v>
      </c>
      <c r="DE45" s="1445" t="e">
        <f t="shared" si="128"/>
        <v>#N/A</v>
      </c>
      <c r="DF45" s="1445" t="e">
        <f t="shared" si="128"/>
        <v>#N/A</v>
      </c>
      <c r="DG45" s="1445" t="e">
        <f t="shared" si="128"/>
        <v>#N/A</v>
      </c>
      <c r="DH45" s="1445" t="e">
        <f>DH44+DH29</f>
        <v>#N/A</v>
      </c>
      <c r="DI45" s="1445" t="e">
        <f t="shared" si="128"/>
        <v>#N/A</v>
      </c>
      <c r="DJ45" s="1445" t="e">
        <f t="shared" si="128"/>
        <v>#N/A</v>
      </c>
      <c r="DK45" s="1445" t="e">
        <f t="shared" si="128"/>
        <v>#N/A</v>
      </c>
      <c r="DL45" s="1445" t="e">
        <f t="shared" si="128"/>
        <v>#N/A</v>
      </c>
      <c r="DM45" s="1445" t="e">
        <f t="shared" si="128"/>
        <v>#N/A</v>
      </c>
      <c r="DN45" s="1445" t="e">
        <f t="shared" si="128"/>
        <v>#N/A</v>
      </c>
      <c r="DO45" s="1445" t="e">
        <f t="shared" si="128"/>
        <v>#N/A</v>
      </c>
      <c r="DP45" s="1445" t="e">
        <f t="shared" si="128"/>
        <v>#N/A</v>
      </c>
      <c r="DQ45" s="1445"/>
      <c r="DR45" s="1445" t="e">
        <f t="shared" si="128"/>
        <v>#N/A</v>
      </c>
      <c r="DS45" s="1445" t="e">
        <f t="shared" si="128"/>
        <v>#N/A</v>
      </c>
      <c r="DT45" s="1434"/>
      <c r="DU45" s="1445" t="e">
        <f>DU44+DU29</f>
        <v>#N/A</v>
      </c>
      <c r="DV45" s="1445" t="e">
        <f>DV44+DV29</f>
        <v>#N/A</v>
      </c>
      <c r="DW45" s="1445" t="e">
        <f>DW44+DW29</f>
        <v>#N/A</v>
      </c>
      <c r="DX45" s="1445" t="e">
        <f>DX44+DX29</f>
        <v>#N/A</v>
      </c>
      <c r="DY45" s="1443" t="e">
        <f t="shared" ref="DY45:EG45" si="129">DY44+DY29</f>
        <v>#N/A</v>
      </c>
      <c r="DZ45" s="1445" t="e">
        <f t="shared" si="129"/>
        <v>#N/A</v>
      </c>
      <c r="EA45" s="1445" t="e">
        <f t="shared" si="129"/>
        <v>#N/A</v>
      </c>
      <c r="EB45" s="1445" t="e">
        <f t="shared" si="129"/>
        <v>#N/A</v>
      </c>
      <c r="EC45" s="1445" t="e">
        <f t="shared" si="129"/>
        <v>#N/A</v>
      </c>
      <c r="ED45" s="1445" t="e">
        <f t="shared" si="129"/>
        <v>#N/A</v>
      </c>
      <c r="EE45" s="1445" t="e">
        <f>EE44+EE29</f>
        <v>#N/A</v>
      </c>
      <c r="EF45" s="1445" t="e">
        <f t="shared" si="129"/>
        <v>#N/A</v>
      </c>
      <c r="EG45" s="1445" t="e">
        <f t="shared" si="129"/>
        <v>#N/A</v>
      </c>
      <c r="EH45" s="1445" t="e">
        <f t="shared" ref="EH45:EM45" si="130">EH44+EH29</f>
        <v>#N/A</v>
      </c>
      <c r="EI45" s="1445" t="e">
        <f t="shared" si="130"/>
        <v>#N/A</v>
      </c>
      <c r="EJ45" s="1445" t="e">
        <f t="shared" si="130"/>
        <v>#N/A</v>
      </c>
      <c r="EK45" s="1445" t="e">
        <f t="shared" si="130"/>
        <v>#N/A</v>
      </c>
      <c r="EL45" s="1445" t="e">
        <f t="shared" si="130"/>
        <v>#N/A</v>
      </c>
      <c r="EM45" s="1445" t="e">
        <f t="shared" si="130"/>
        <v>#N/A</v>
      </c>
      <c r="EN45" s="1445"/>
      <c r="EO45" s="1445" t="e">
        <f>EO44+EO29</f>
        <v>#N/A</v>
      </c>
      <c r="EP45" s="1445" t="e">
        <f>EP44+EP29</f>
        <v>#N/A</v>
      </c>
      <c r="EQ45" s="1434"/>
      <c r="ER45" s="1445" t="e">
        <f>ER44+ER29</f>
        <v>#N/A</v>
      </c>
      <c r="ES45" s="1445" t="e">
        <f>ES44+ES29</f>
        <v>#N/A</v>
      </c>
      <c r="ET45" s="1445" t="e">
        <f>ET44+ET29</f>
        <v>#N/A</v>
      </c>
      <c r="EU45" s="1445" t="e">
        <f>EU44+EU29</f>
        <v>#N/A</v>
      </c>
      <c r="EV45" s="1443" t="e">
        <f t="shared" ref="EV45:FD45" si="131">EV44+EV29</f>
        <v>#N/A</v>
      </c>
      <c r="EW45" s="1445" t="e">
        <f t="shared" si="131"/>
        <v>#N/A</v>
      </c>
      <c r="EX45" s="1445" t="e">
        <f t="shared" si="131"/>
        <v>#N/A</v>
      </c>
      <c r="EY45" s="1445" t="e">
        <f t="shared" si="131"/>
        <v>#N/A</v>
      </c>
      <c r="EZ45" s="1445" t="e">
        <f t="shared" si="131"/>
        <v>#N/A</v>
      </c>
      <c r="FA45" s="1445" t="e">
        <f t="shared" si="131"/>
        <v>#N/A</v>
      </c>
      <c r="FB45" s="1445" t="e">
        <f>FB44+FB29</f>
        <v>#N/A</v>
      </c>
      <c r="FC45" s="1445" t="e">
        <f t="shared" si="131"/>
        <v>#N/A</v>
      </c>
      <c r="FD45" s="1445" t="e">
        <f t="shared" si="131"/>
        <v>#N/A</v>
      </c>
      <c r="FE45" s="1445" t="e">
        <f t="shared" ref="FE45:FJ45" si="132">FE44+FE29</f>
        <v>#N/A</v>
      </c>
      <c r="FF45" s="1445" t="e">
        <f t="shared" si="132"/>
        <v>#N/A</v>
      </c>
      <c r="FG45" s="1445" t="e">
        <f t="shared" si="132"/>
        <v>#N/A</v>
      </c>
      <c r="FH45" s="1445" t="e">
        <f t="shared" si="132"/>
        <v>#N/A</v>
      </c>
      <c r="FI45" s="1445" t="e">
        <f t="shared" si="132"/>
        <v>#N/A</v>
      </c>
      <c r="FJ45" s="1445" t="e">
        <f t="shared" si="132"/>
        <v>#N/A</v>
      </c>
      <c r="FK45" s="1445"/>
      <c r="FL45" s="1445" t="e">
        <f>FL44+FL29</f>
        <v>#N/A</v>
      </c>
      <c r="FM45" s="1445" t="e">
        <f>FM44+FM29</f>
        <v>#N/A</v>
      </c>
    </row>
    <row r="46" spans="1:169" ht="16.149999999999999" customHeight="1">
      <c r="A46" s="1440">
        <f>ROWS($A$1:A46)</f>
        <v>46</v>
      </c>
      <c r="B46" s="1486" t="s">
        <v>1116</v>
      </c>
      <c r="C46" s="1456"/>
      <c r="D46" s="1484">
        <f>D45+D28</f>
        <v>804.56787951022716</v>
      </c>
      <c r="E46" s="1484">
        <f t="shared" ref="E46:AH46" si="133">E45+E28</f>
        <v>297.84332825253131</v>
      </c>
      <c r="F46" s="1484">
        <f t="shared" si="133"/>
        <v>364.55922466927217</v>
      </c>
      <c r="G46" s="1484">
        <f t="shared" si="133"/>
        <v>431.35574209149451</v>
      </c>
      <c r="H46" s="1484">
        <f t="shared" si="133"/>
        <v>417.7424001123556</v>
      </c>
      <c r="I46" s="1484">
        <f t="shared" si="133"/>
        <v>363.74349555679993</v>
      </c>
      <c r="J46" s="1484">
        <f t="shared" si="133"/>
        <v>162.32008533593915</v>
      </c>
      <c r="K46" s="1484">
        <f t="shared" si="133"/>
        <v>17.005777752680444</v>
      </c>
      <c r="L46" s="1484">
        <f t="shared" si="133"/>
        <v>545.53161893421554</v>
      </c>
      <c r="M46" s="1484">
        <f t="shared" si="133"/>
        <v>174.42111530311769</v>
      </c>
      <c r="N46" s="1484">
        <f t="shared" si="133"/>
        <v>528.9327426542352</v>
      </c>
      <c r="O46" s="1484">
        <f t="shared" si="133"/>
        <v>364.08095968381343</v>
      </c>
      <c r="P46" s="1484">
        <f t="shared" si="133"/>
        <v>382.08446621289244</v>
      </c>
      <c r="Q46" s="1484">
        <f t="shared" si="133"/>
        <v>596.07636933296783</v>
      </c>
      <c r="R46" s="1484"/>
      <c r="S46" s="1484">
        <f t="shared" si="133"/>
        <v>608.46216402450182</v>
      </c>
      <c r="T46" s="1484">
        <f t="shared" si="133"/>
        <v>115.01376120958065</v>
      </c>
      <c r="U46" s="1484">
        <f t="shared" si="133"/>
        <v>250.44570163991165</v>
      </c>
      <c r="V46" s="1484">
        <f t="shared" si="133"/>
        <v>269.69685193477409</v>
      </c>
      <c r="W46" s="1484"/>
      <c r="X46" s="1484">
        <f t="shared" si="133"/>
        <v>188.68622024852806</v>
      </c>
      <c r="Y46" s="1484">
        <f t="shared" si="133"/>
        <v>101.13878618098028</v>
      </c>
      <c r="Z46" s="1484">
        <f t="shared" si="133"/>
        <v>-236.71130552566018</v>
      </c>
      <c r="AA46" s="1484">
        <f t="shared" si="133"/>
        <v>41.03475594868604</v>
      </c>
      <c r="AB46" s="1484">
        <f t="shared" si="133"/>
        <v>6998.0371050637696</v>
      </c>
      <c r="AC46" s="1484">
        <f t="shared" si="133"/>
        <v>7721.5757830713583</v>
      </c>
      <c r="AD46" s="1484">
        <f t="shared" si="133"/>
        <v>3239.3611792256293</v>
      </c>
      <c r="AE46" s="1484">
        <f t="shared" si="133"/>
        <v>3029.8425019806341</v>
      </c>
      <c r="AF46" s="1484">
        <f t="shared" si="133"/>
        <v>-140.33333333333331</v>
      </c>
      <c r="AG46" s="1484">
        <f t="shared" si="133"/>
        <v>636.81134145502801</v>
      </c>
      <c r="AH46" s="1484">
        <f t="shared" si="133"/>
        <v>180.42045068879276</v>
      </c>
      <c r="AI46" s="1442"/>
      <c r="AJ46" s="1485">
        <f t="shared" ref="AJ46:BN46" si="134">AJ45+AJ28</f>
        <v>921.79470624571104</v>
      </c>
      <c r="AK46" s="1484">
        <f t="shared" si="134"/>
        <v>500.5231292738311</v>
      </c>
      <c r="AL46" s="1484">
        <f t="shared" si="134"/>
        <v>605.01151235723921</v>
      </c>
      <c r="AM46" s="1484">
        <f t="shared" si="134"/>
        <v>606.54259481842496</v>
      </c>
      <c r="AN46" s="1484">
        <f t="shared" si="134"/>
        <v>568.48869616776199</v>
      </c>
      <c r="AO46" s="1484">
        <f t="shared" si="134"/>
        <v>570.00498497324259</v>
      </c>
      <c r="AP46" s="1484">
        <f t="shared" si="134"/>
        <v>359.23534808571566</v>
      </c>
      <c r="AQ46" s="1484">
        <f t="shared" si="134"/>
        <v>122.70779585738791</v>
      </c>
      <c r="AR46" s="1484">
        <f t="shared" si="134"/>
        <v>612.35755060088218</v>
      </c>
      <c r="AS46" s="1484">
        <f t="shared" si="134"/>
        <v>305.9111339342158</v>
      </c>
      <c r="AT46" s="1484">
        <f t="shared" si="134"/>
        <v>757.54732795199993</v>
      </c>
      <c r="AU46" s="1484">
        <f t="shared" si="134"/>
        <v>484.2314785075551</v>
      </c>
      <c r="AV46" s="1484">
        <f t="shared" si="134"/>
        <v>762.46956415953912</v>
      </c>
      <c r="AW46" s="1484">
        <f t="shared" si="134"/>
        <v>892.49008215071899</v>
      </c>
      <c r="AX46" s="1484"/>
      <c r="AY46" s="1484">
        <f t="shared" si="134"/>
        <v>955.76133252571356</v>
      </c>
      <c r="AZ46" s="1484">
        <f t="shared" si="134"/>
        <v>261.66493074754993</v>
      </c>
      <c r="BA46" s="1484">
        <f t="shared" si="134"/>
        <v>386.14590928879358</v>
      </c>
      <c r="BB46" s="1484">
        <f t="shared" si="134"/>
        <v>573.99167984764722</v>
      </c>
      <c r="BC46" s="1484"/>
      <c r="BD46" s="1484">
        <f t="shared" si="134"/>
        <v>544.53726191519468</v>
      </c>
      <c r="BE46" s="1484">
        <f t="shared" si="134"/>
        <v>448.7526813596391</v>
      </c>
      <c r="BF46" s="1484">
        <f t="shared" si="134"/>
        <v>94.638195754320293</v>
      </c>
      <c r="BG46" s="1484">
        <f t="shared" si="134"/>
        <v>361.27953539312972</v>
      </c>
      <c r="BH46" s="1484">
        <f t="shared" si="134"/>
        <v>9705.4881505856738</v>
      </c>
      <c r="BI46" s="1484">
        <f t="shared" si="134"/>
        <v>10442.610430622843</v>
      </c>
      <c r="BJ46" s="1484">
        <f t="shared" si="134"/>
        <v>3219.0695955808678</v>
      </c>
      <c r="BK46" s="1484">
        <f t="shared" si="134"/>
        <v>4106.3728465523664</v>
      </c>
      <c r="BL46" s="1484">
        <f t="shared" si="134"/>
        <v>-140.33333333333343</v>
      </c>
      <c r="BM46" s="1484">
        <f t="shared" si="134"/>
        <v>636.81134145502779</v>
      </c>
      <c r="BN46" s="1484">
        <f t="shared" si="134"/>
        <v>180.42045068879276</v>
      </c>
      <c r="BO46" s="1442"/>
      <c r="BP46" s="1485">
        <f t="shared" ref="BP46:CT46" si="135">BP45+BP28</f>
        <v>1152.7332330936672</v>
      </c>
      <c r="BQ46" s="1484">
        <f t="shared" si="135"/>
        <v>722.97089696179796</v>
      </c>
      <c r="BR46" s="1484">
        <f t="shared" si="135"/>
        <v>850.96726671187253</v>
      </c>
      <c r="BS46" s="1484">
        <f t="shared" si="135"/>
        <v>781.72944754535501</v>
      </c>
      <c r="BT46" s="1484">
        <f t="shared" si="135"/>
        <v>683.55606260716468</v>
      </c>
      <c r="BU46" s="1484">
        <f t="shared" si="135"/>
        <v>757.6280119111351</v>
      </c>
      <c r="BV46" s="1484">
        <f t="shared" si="135"/>
        <v>519.4798811070159</v>
      </c>
      <c r="BW46" s="1484">
        <f t="shared" si="135"/>
        <v>265.57626035723916</v>
      </c>
      <c r="BX46" s="1484">
        <f t="shared" si="135"/>
        <v>915.78889893421547</v>
      </c>
      <c r="BY46" s="1484">
        <f t="shared" si="135"/>
        <v>437.40115256531379</v>
      </c>
      <c r="BZ46" s="1484">
        <f t="shared" si="135"/>
        <v>986.16191324976444</v>
      </c>
      <c r="CA46" s="1484">
        <f t="shared" si="135"/>
        <v>633.86659936087517</v>
      </c>
      <c r="CB46" s="1484">
        <f t="shared" si="135"/>
        <v>889.26459680842163</v>
      </c>
      <c r="CC46" s="1484">
        <f t="shared" si="135"/>
        <v>1188.9037949684709</v>
      </c>
      <c r="CD46" s="1484"/>
      <c r="CE46" s="1484">
        <f t="shared" si="135"/>
        <v>1343.3042342477872</v>
      </c>
      <c r="CF46" s="1484">
        <f t="shared" si="135"/>
        <v>448.4688689817645</v>
      </c>
      <c r="CG46" s="1484">
        <f t="shared" si="135"/>
        <v>521.84611693767602</v>
      </c>
      <c r="CH46" s="1484">
        <f t="shared" si="135"/>
        <v>878.28650776052041</v>
      </c>
      <c r="CI46" s="1484"/>
      <c r="CJ46" s="1484">
        <f t="shared" si="135"/>
        <v>894.82079393917911</v>
      </c>
      <c r="CK46" s="1484">
        <f t="shared" si="135"/>
        <v>793.58282171695691</v>
      </c>
      <c r="CL46" s="1484">
        <f t="shared" si="135"/>
        <v>425.98769703430077</v>
      </c>
      <c r="CM46" s="1484">
        <f t="shared" si="135"/>
        <v>620.12975947466271</v>
      </c>
      <c r="CN46" s="1484">
        <f t="shared" si="135"/>
        <v>12412.93919610758</v>
      </c>
      <c r="CO46" s="1484">
        <f t="shared" si="135"/>
        <v>13136.477874115169</v>
      </c>
      <c r="CP46" s="1484">
        <f t="shared" si="135"/>
        <v>4077.3849994361049</v>
      </c>
      <c r="CQ46" s="1484">
        <f t="shared" si="135"/>
        <v>5156.9311503803301</v>
      </c>
      <c r="CR46" s="1484">
        <f>CR45+CR28</f>
        <v>-140.33333333333343</v>
      </c>
      <c r="CS46" s="1484">
        <f t="shared" si="135"/>
        <v>636.81134145502801</v>
      </c>
      <c r="CT46" s="1484">
        <f t="shared" si="135"/>
        <v>180.42045068879276</v>
      </c>
      <c r="CV46" s="1486" t="s">
        <v>1116</v>
      </c>
      <c r="CW46" s="1456"/>
      <c r="CX46" s="1484" t="e">
        <f>CX45+CX28</f>
        <v>#N/A</v>
      </c>
      <c r="CY46" s="1484" t="e">
        <f t="shared" ref="CY46:DS46" si="136">CY45+CY28</f>
        <v>#N/A</v>
      </c>
      <c r="CZ46" s="1484" t="e">
        <f t="shared" si="136"/>
        <v>#N/A</v>
      </c>
      <c r="DA46" s="1484" t="e">
        <f t="shared" si="136"/>
        <v>#N/A</v>
      </c>
      <c r="DB46" s="1484" t="e">
        <f t="shared" si="136"/>
        <v>#N/A</v>
      </c>
      <c r="DC46" s="1484" t="e">
        <f t="shared" si="136"/>
        <v>#N/A</v>
      </c>
      <c r="DD46" s="1484" t="e">
        <f t="shared" si="136"/>
        <v>#N/A</v>
      </c>
      <c r="DE46" s="1484" t="e">
        <f t="shared" si="136"/>
        <v>#N/A</v>
      </c>
      <c r="DF46" s="1484" t="e">
        <f t="shared" si="136"/>
        <v>#N/A</v>
      </c>
      <c r="DG46" s="1484" t="e">
        <f t="shared" si="136"/>
        <v>#N/A</v>
      </c>
      <c r="DH46" s="1484" t="e">
        <f>DH45+DH28</f>
        <v>#N/A</v>
      </c>
      <c r="DI46" s="1484" t="e">
        <f t="shared" si="136"/>
        <v>#N/A</v>
      </c>
      <c r="DJ46" s="1484" t="e">
        <f t="shared" si="136"/>
        <v>#N/A</v>
      </c>
      <c r="DK46" s="1484" t="e">
        <f t="shared" si="136"/>
        <v>#N/A</v>
      </c>
      <c r="DL46" s="1484" t="e">
        <f t="shared" si="136"/>
        <v>#N/A</v>
      </c>
      <c r="DM46" s="1484" t="e">
        <f t="shared" si="136"/>
        <v>#N/A</v>
      </c>
      <c r="DN46" s="1484" t="e">
        <f t="shared" si="136"/>
        <v>#N/A</v>
      </c>
      <c r="DO46" s="1484" t="e">
        <f t="shared" si="136"/>
        <v>#N/A</v>
      </c>
      <c r="DP46" s="1484" t="e">
        <f t="shared" si="136"/>
        <v>#N/A</v>
      </c>
      <c r="DQ46" s="1484"/>
      <c r="DR46" s="1484" t="e">
        <f t="shared" si="136"/>
        <v>#N/A</v>
      </c>
      <c r="DS46" s="1484" t="e">
        <f t="shared" si="136"/>
        <v>#N/A</v>
      </c>
      <c r="DT46" s="1434"/>
      <c r="DU46" s="1484" t="e">
        <f>DU45+DU28</f>
        <v>#N/A</v>
      </c>
      <c r="DV46" s="1484" t="e">
        <f>DV45+DV28</f>
        <v>#N/A</v>
      </c>
      <c r="DW46" s="1484" t="e">
        <f>DW45+DW28</f>
        <v>#N/A</v>
      </c>
      <c r="DX46" s="1484" t="e">
        <f>DX45+DX28</f>
        <v>#N/A</v>
      </c>
      <c r="DY46" s="1485" t="e">
        <f t="shared" ref="DY46:EG46" si="137">DY45+DY28</f>
        <v>#N/A</v>
      </c>
      <c r="DZ46" s="1484" t="e">
        <f t="shared" si="137"/>
        <v>#N/A</v>
      </c>
      <c r="EA46" s="1484" t="e">
        <f t="shared" si="137"/>
        <v>#N/A</v>
      </c>
      <c r="EB46" s="1484" t="e">
        <f t="shared" si="137"/>
        <v>#N/A</v>
      </c>
      <c r="EC46" s="1484" t="e">
        <f t="shared" si="137"/>
        <v>#N/A</v>
      </c>
      <c r="ED46" s="1484" t="e">
        <f t="shared" si="137"/>
        <v>#N/A</v>
      </c>
      <c r="EE46" s="1484" t="e">
        <f>EE45+EE28</f>
        <v>#N/A</v>
      </c>
      <c r="EF46" s="1484" t="e">
        <f t="shared" si="137"/>
        <v>#N/A</v>
      </c>
      <c r="EG46" s="1484" t="e">
        <f t="shared" si="137"/>
        <v>#N/A</v>
      </c>
      <c r="EH46" s="1484" t="e">
        <f t="shared" ref="EH46:EM46" si="138">EH45+EH28</f>
        <v>#N/A</v>
      </c>
      <c r="EI46" s="1484" t="e">
        <f t="shared" si="138"/>
        <v>#N/A</v>
      </c>
      <c r="EJ46" s="1484" t="e">
        <f t="shared" si="138"/>
        <v>#N/A</v>
      </c>
      <c r="EK46" s="1484" t="e">
        <f t="shared" si="138"/>
        <v>#N/A</v>
      </c>
      <c r="EL46" s="1484" t="e">
        <f t="shared" si="138"/>
        <v>#N/A</v>
      </c>
      <c r="EM46" s="1484" t="e">
        <f t="shared" si="138"/>
        <v>#N/A</v>
      </c>
      <c r="EN46" s="1484"/>
      <c r="EO46" s="1484" t="e">
        <f>EO45+EO28</f>
        <v>#N/A</v>
      </c>
      <c r="EP46" s="1484" t="e">
        <f>EP45+EP28</f>
        <v>#N/A</v>
      </c>
      <c r="EQ46" s="1434"/>
      <c r="ER46" s="1484" t="e">
        <f>ER45+ER28</f>
        <v>#N/A</v>
      </c>
      <c r="ES46" s="1484" t="e">
        <f>ES45+ES28</f>
        <v>#N/A</v>
      </c>
      <c r="ET46" s="1484" t="e">
        <f>ET45+ET28</f>
        <v>#N/A</v>
      </c>
      <c r="EU46" s="1484" t="e">
        <f>EU45+EU28</f>
        <v>#N/A</v>
      </c>
      <c r="EV46" s="1485" t="e">
        <f t="shared" ref="EV46:FD46" si="139">EV45+EV28</f>
        <v>#N/A</v>
      </c>
      <c r="EW46" s="1484" t="e">
        <f t="shared" si="139"/>
        <v>#N/A</v>
      </c>
      <c r="EX46" s="1484" t="e">
        <f t="shared" si="139"/>
        <v>#N/A</v>
      </c>
      <c r="EY46" s="1484" t="e">
        <f t="shared" si="139"/>
        <v>#N/A</v>
      </c>
      <c r="EZ46" s="1484" t="e">
        <f t="shared" si="139"/>
        <v>#N/A</v>
      </c>
      <c r="FA46" s="1484" t="e">
        <f t="shared" si="139"/>
        <v>#N/A</v>
      </c>
      <c r="FB46" s="1484" t="e">
        <f>FB45+FB28</f>
        <v>#N/A</v>
      </c>
      <c r="FC46" s="1484" t="e">
        <f t="shared" si="139"/>
        <v>#N/A</v>
      </c>
      <c r="FD46" s="1484" t="e">
        <f t="shared" si="139"/>
        <v>#N/A</v>
      </c>
      <c r="FE46" s="1484" t="e">
        <f t="shared" ref="FE46:FJ46" si="140">FE45+FE28</f>
        <v>#N/A</v>
      </c>
      <c r="FF46" s="1484" t="e">
        <f t="shared" si="140"/>
        <v>#N/A</v>
      </c>
      <c r="FG46" s="1484" t="e">
        <f t="shared" si="140"/>
        <v>#N/A</v>
      </c>
      <c r="FH46" s="1484" t="e">
        <f t="shared" si="140"/>
        <v>#N/A</v>
      </c>
      <c r="FI46" s="1484" t="e">
        <f t="shared" si="140"/>
        <v>#N/A</v>
      </c>
      <c r="FJ46" s="1484" t="e">
        <f t="shared" si="140"/>
        <v>#N/A</v>
      </c>
      <c r="FK46" s="1484"/>
      <c r="FL46" s="1484" t="e">
        <f>FL45+FL28</f>
        <v>#N/A</v>
      </c>
      <c r="FM46" s="1484" t="e">
        <f>FM45+FM28</f>
        <v>#N/A</v>
      </c>
    </row>
    <row r="47" spans="1:169" ht="18" customHeight="1">
      <c r="A47" s="1440">
        <f>ROWS($A$1:A47)</f>
        <v>47</v>
      </c>
      <c r="B47" s="1483" t="s">
        <v>1115</v>
      </c>
      <c r="C47" s="1482" t="s">
        <v>171</v>
      </c>
      <c r="D47" s="1480">
        <f t="shared" ref="D47:AH47" si="141">D15+D16+D17+D28+D32</f>
        <v>870.7571106214117</v>
      </c>
      <c r="E47" s="1480">
        <f t="shared" si="141"/>
        <v>717.28789563176474</v>
      </c>
      <c r="F47" s="1480">
        <f t="shared" si="141"/>
        <v>714.97477594470593</v>
      </c>
      <c r="G47" s="1480">
        <f t="shared" si="141"/>
        <v>714.97477594470593</v>
      </c>
      <c r="H47" s="1480">
        <f t="shared" si="141"/>
        <v>695.82941856000002</v>
      </c>
      <c r="I47" s="1480">
        <f t="shared" si="141"/>
        <v>695.82941856000002</v>
      </c>
      <c r="J47" s="1480">
        <f t="shared" si="141"/>
        <v>714.97477594470593</v>
      </c>
      <c r="K47" s="1480">
        <f t="shared" si="141"/>
        <v>712.66165625764711</v>
      </c>
      <c r="L47" s="1480">
        <f t="shared" si="141"/>
        <v>698.14253824705884</v>
      </c>
      <c r="M47" s="1480">
        <f t="shared" si="141"/>
        <v>693.51629887294109</v>
      </c>
      <c r="N47" s="1480">
        <f t="shared" si="141"/>
        <v>691.20317918588239</v>
      </c>
      <c r="O47" s="1480">
        <f t="shared" si="141"/>
        <v>672.05782180117649</v>
      </c>
      <c r="P47" s="1480">
        <f t="shared" si="141"/>
        <v>734.76510127647055</v>
      </c>
      <c r="Q47" s="1480">
        <f t="shared" si="141"/>
        <v>690.22366567529411</v>
      </c>
      <c r="R47" s="1480"/>
      <c r="S47" s="1480">
        <f t="shared" si="141"/>
        <v>737.17526290823525</v>
      </c>
      <c r="T47" s="1480">
        <f t="shared" si="141"/>
        <v>715.35769026047058</v>
      </c>
      <c r="U47" s="1480">
        <f t="shared" si="141"/>
        <v>702.6367421752941</v>
      </c>
      <c r="V47" s="1480">
        <f t="shared" si="141"/>
        <v>670.70089009223523</v>
      </c>
      <c r="W47" s="1480"/>
      <c r="X47" s="1480">
        <f t="shared" si="141"/>
        <v>679.02812096564708</v>
      </c>
      <c r="Y47" s="1480">
        <f t="shared" si="141"/>
        <v>676.2523773411765</v>
      </c>
      <c r="Z47" s="1480">
        <f t="shared" si="141"/>
        <v>666.99989859294124</v>
      </c>
      <c r="AA47" s="1480">
        <f t="shared" si="141"/>
        <v>961.90092936218491</v>
      </c>
      <c r="AB47" s="1480">
        <f t="shared" si="141"/>
        <v>1726.7495982838655</v>
      </c>
      <c r="AC47" s="1480">
        <f t="shared" si="141"/>
        <v>3216.5218680284033</v>
      </c>
      <c r="AD47" s="1480">
        <f t="shared" si="141"/>
        <v>2047.9872974621846</v>
      </c>
      <c r="AE47" s="1480">
        <f t="shared" si="141"/>
        <v>2455.2041096059829</v>
      </c>
      <c r="AF47" s="1480">
        <f t="shared" si="141"/>
        <v>209</v>
      </c>
      <c r="AG47" s="1480">
        <f t="shared" si="141"/>
        <v>447.2877935983193</v>
      </c>
      <c r="AH47" s="1480">
        <f t="shared" si="141"/>
        <v>211.17899105243697</v>
      </c>
      <c r="AI47" s="1489"/>
      <c r="AJ47" s="1481">
        <f t="shared" ref="AJ47:BN47" si="142">AJ15+AJ16+AJ17+AJ28+AJ32</f>
        <v>930.74169065223532</v>
      </c>
      <c r="AK47" s="1480">
        <f t="shared" si="142"/>
        <v>740.49334009176459</v>
      </c>
      <c r="AL47" s="1480">
        <f t="shared" si="142"/>
        <v>738.18022040470589</v>
      </c>
      <c r="AM47" s="1480">
        <f t="shared" si="142"/>
        <v>735.86710071764696</v>
      </c>
      <c r="AN47" s="1480">
        <f t="shared" si="142"/>
        <v>700.45565793411765</v>
      </c>
      <c r="AO47" s="1480">
        <f t="shared" si="142"/>
        <v>702.76877762117647</v>
      </c>
      <c r="AP47" s="1480">
        <f t="shared" si="142"/>
        <v>721.91413500588237</v>
      </c>
      <c r="AQ47" s="1480">
        <f t="shared" si="142"/>
        <v>733.55398103058815</v>
      </c>
      <c r="AR47" s="1480">
        <f t="shared" si="142"/>
        <v>698.14253824705884</v>
      </c>
      <c r="AS47" s="1480">
        <f t="shared" si="142"/>
        <v>698.14253824705884</v>
      </c>
      <c r="AT47" s="1480">
        <f t="shared" si="142"/>
        <v>695.82941856000002</v>
      </c>
      <c r="AU47" s="1480">
        <f t="shared" si="142"/>
        <v>695.82941856000002</v>
      </c>
      <c r="AV47" s="1480">
        <f t="shared" si="142"/>
        <v>741.70446033764711</v>
      </c>
      <c r="AW47" s="1480">
        <f t="shared" si="142"/>
        <v>699.47614442352938</v>
      </c>
      <c r="AX47" s="1480"/>
      <c r="AY47" s="1480">
        <f t="shared" si="142"/>
        <v>760.94685966705879</v>
      </c>
      <c r="AZ47" s="1480">
        <f t="shared" si="142"/>
        <v>737.27879126964706</v>
      </c>
      <c r="BA47" s="1480">
        <f t="shared" si="142"/>
        <v>704.94986186235292</v>
      </c>
      <c r="BB47" s="1480">
        <f t="shared" si="142"/>
        <v>676.2523773411765</v>
      </c>
      <c r="BC47" s="1480"/>
      <c r="BD47" s="1480">
        <f t="shared" si="142"/>
        <v>679.02812096564708</v>
      </c>
      <c r="BE47" s="1480">
        <f t="shared" si="142"/>
        <v>679.02812096564708</v>
      </c>
      <c r="BF47" s="1480">
        <f t="shared" si="142"/>
        <v>673.93925765411768</v>
      </c>
      <c r="BG47" s="1480">
        <f t="shared" si="142"/>
        <v>961.90092936218491</v>
      </c>
      <c r="BH47" s="1480">
        <f t="shared" si="142"/>
        <v>1759.21968536958</v>
      </c>
      <c r="BI47" s="1480">
        <f t="shared" si="142"/>
        <v>3235.4625977294113</v>
      </c>
      <c r="BJ47" s="1480">
        <f t="shared" si="142"/>
        <v>2080.457384547899</v>
      </c>
      <c r="BK47" s="1480">
        <f t="shared" si="142"/>
        <v>2482.4789827579834</v>
      </c>
      <c r="BL47" s="1480">
        <f t="shared" si="142"/>
        <v>209</v>
      </c>
      <c r="BM47" s="1480">
        <f t="shared" si="142"/>
        <v>447.2877935983193</v>
      </c>
      <c r="BN47" s="1480">
        <f t="shared" si="142"/>
        <v>211.17899105243697</v>
      </c>
      <c r="BO47" s="1489"/>
      <c r="BP47" s="1481">
        <f t="shared" ref="BP47:CT47" si="143">BP15+BP16+BP17+BP28+BP32</f>
        <v>1009.8716280677646</v>
      </c>
      <c r="BQ47" s="1480">
        <f t="shared" si="143"/>
        <v>763.69878455176467</v>
      </c>
      <c r="BR47" s="1480">
        <f t="shared" si="143"/>
        <v>761.38566486470586</v>
      </c>
      <c r="BS47" s="1480">
        <f t="shared" si="143"/>
        <v>756.75942549058823</v>
      </c>
      <c r="BT47" s="1480">
        <f t="shared" si="143"/>
        <v>740.49334009176459</v>
      </c>
      <c r="BU47" s="1480">
        <f t="shared" si="143"/>
        <v>728.28734176823514</v>
      </c>
      <c r="BV47" s="1480">
        <f t="shared" si="143"/>
        <v>745.11957946588223</v>
      </c>
      <c r="BW47" s="1480">
        <f t="shared" si="143"/>
        <v>738.18022040470589</v>
      </c>
      <c r="BX47" s="1480">
        <f t="shared" si="143"/>
        <v>698.14253824705884</v>
      </c>
      <c r="BY47" s="1480">
        <f t="shared" si="143"/>
        <v>702.76877762117647</v>
      </c>
      <c r="BZ47" s="1480">
        <f t="shared" si="143"/>
        <v>700.45565793411765</v>
      </c>
      <c r="CA47" s="1480">
        <f t="shared" si="143"/>
        <v>700.45565793411765</v>
      </c>
      <c r="CB47" s="1480">
        <f t="shared" si="143"/>
        <v>744.01758002470581</v>
      </c>
      <c r="CC47" s="1480">
        <f t="shared" si="143"/>
        <v>708.72862317176464</v>
      </c>
      <c r="CD47" s="1480"/>
      <c r="CE47" s="1480">
        <f t="shared" si="143"/>
        <v>765.57309904117642</v>
      </c>
      <c r="CF47" s="1480">
        <f t="shared" si="143"/>
        <v>740.05453489411764</v>
      </c>
      <c r="CG47" s="1480">
        <f t="shared" si="143"/>
        <v>707.26298154941173</v>
      </c>
      <c r="CH47" s="1480">
        <f t="shared" si="143"/>
        <v>681.80386459011766</v>
      </c>
      <c r="CI47" s="1480"/>
      <c r="CJ47" s="1480">
        <f t="shared" si="143"/>
        <v>684.57960821458823</v>
      </c>
      <c r="CK47" s="1480">
        <f t="shared" si="143"/>
        <v>684.57960821458823</v>
      </c>
      <c r="CL47" s="1480">
        <f t="shared" si="143"/>
        <v>680.87861671529413</v>
      </c>
      <c r="CM47" s="1480">
        <f t="shared" si="143"/>
        <v>981.04628674689081</v>
      </c>
      <c r="CN47" s="1480">
        <f t="shared" si="143"/>
        <v>1791.6897724552941</v>
      </c>
      <c r="CO47" s="1480">
        <f t="shared" si="143"/>
        <v>3281.462042199832</v>
      </c>
      <c r="CP47" s="1480">
        <f t="shared" si="143"/>
        <v>2112.9274716336135</v>
      </c>
      <c r="CQ47" s="1480">
        <f t="shared" si="143"/>
        <v>2509.1044541682686</v>
      </c>
      <c r="CR47" s="1480">
        <f>CR15+CR16+CR17+CR28+CR32</f>
        <v>209</v>
      </c>
      <c r="CS47" s="1480">
        <f t="shared" si="143"/>
        <v>447.2877935983193</v>
      </c>
      <c r="CT47" s="1480">
        <f t="shared" si="143"/>
        <v>211.17899105243697</v>
      </c>
      <c r="CV47" s="1483" t="s">
        <v>1115</v>
      </c>
      <c r="CW47" s="1482" t="s">
        <v>171</v>
      </c>
      <c r="CX47" s="1480">
        <f>CX15+CX16+CX17+CX28+CX32</f>
        <v>574.80272700369744</v>
      </c>
      <c r="CY47" s="1480">
        <f>CY15+CY16+CY17+CY28+CY32</f>
        <v>463.07161878605041</v>
      </c>
      <c r="CZ47" s="1480">
        <f>CZ15+CZ16+CZ17+CZ28+CZ32</f>
        <v>574.80272700369744</v>
      </c>
      <c r="DA47" s="1480">
        <f>DA15+DA16+DA17+DA28+DA32</f>
        <v>463.07161878605041</v>
      </c>
      <c r="DB47" s="1480">
        <f t="shared" ref="DB47:DJ47" si="144">DB15+DB16+DB17+DB28+DB32</f>
        <v>522.14446860134444</v>
      </c>
      <c r="DC47" s="1480">
        <f t="shared" si="144"/>
        <v>717.14446860134444</v>
      </c>
      <c r="DD47" s="1480">
        <f>DD15+DD16+DD17+DD28+DD32</f>
        <v>703.25121048711765</v>
      </c>
      <c r="DE47" s="1480">
        <f t="shared" si="144"/>
        <v>703.25121048711765</v>
      </c>
      <c r="DF47" s="1480">
        <f t="shared" si="144"/>
        <v>728.43546706763027</v>
      </c>
      <c r="DG47" s="1480">
        <f t="shared" si="144"/>
        <v>727.39456320845375</v>
      </c>
      <c r="DH47" s="1480">
        <f>DH15+DH16+DH17+DH28+DH32</f>
        <v>713.63098887821843</v>
      </c>
      <c r="DI47" s="1480">
        <f t="shared" si="144"/>
        <v>728.02857449717646</v>
      </c>
      <c r="DJ47" s="1480">
        <f t="shared" si="144"/>
        <v>765.73186592397474</v>
      </c>
      <c r="DK47" s="1480">
        <f>DK15+DK16+DK17+DK28+DK32</f>
        <v>729.60989922176464</v>
      </c>
      <c r="DL47" s="1480">
        <f t="shared" ref="DL47:DS47" si="145">DL15+DL16+DL17+DL28+DL32</f>
        <v>688.05201177517642</v>
      </c>
      <c r="DM47" s="1480">
        <f t="shared" si="145"/>
        <v>811.78441434036472</v>
      </c>
      <c r="DN47" s="1480">
        <f t="shared" si="145"/>
        <v>966.86967312147897</v>
      </c>
      <c r="DO47" s="1480">
        <f t="shared" si="145"/>
        <v>1012.5130473698823</v>
      </c>
      <c r="DP47" s="1480">
        <f t="shared" si="145"/>
        <v>1649.4160734193276</v>
      </c>
      <c r="DQ47" s="1480"/>
      <c r="DR47" s="1480">
        <f t="shared" si="145"/>
        <v>451.30352021008406</v>
      </c>
      <c r="DS47" s="1480">
        <f t="shared" si="145"/>
        <v>503.41439605243698</v>
      </c>
      <c r="DT47" s="1434"/>
      <c r="DU47" s="1480">
        <f>DU15+DU16+DU17+DU28+DU32</f>
        <v>574.80272700369744</v>
      </c>
      <c r="DV47" s="1480">
        <f>DV15+DV16+DV17+DV28+DV32</f>
        <v>463.07161878605041</v>
      </c>
      <c r="DW47" s="1480">
        <f>DW15+DW16+DW17+DW28+DW32</f>
        <v>574.80272700369744</v>
      </c>
      <c r="DX47" s="1480">
        <f>DX15+DX16+DX17+DX28+DX32</f>
        <v>463.07161878605041</v>
      </c>
      <c r="DY47" s="1481">
        <f t="shared" ref="DY47:EG47" si="146">DY15+DY16+DY17+DY28+DY32</f>
        <v>754.19315690594954</v>
      </c>
      <c r="DZ47" s="1480">
        <f t="shared" si="146"/>
        <v>747.25379784477309</v>
      </c>
      <c r="EA47" s="1480">
        <f t="shared" si="146"/>
        <v>735.6688127536471</v>
      </c>
      <c r="EB47" s="1480">
        <f t="shared" si="146"/>
        <v>735.6688127536471</v>
      </c>
      <c r="EC47" s="1480">
        <f t="shared" si="146"/>
        <v>769.24782152766386</v>
      </c>
      <c r="ED47" s="1480">
        <f t="shared" si="146"/>
        <v>767.85994971542857</v>
      </c>
      <c r="EE47" s="1480">
        <f>EE15+EE16+EE17+EE28+EE32</f>
        <v>769.24782152766386</v>
      </c>
      <c r="EF47" s="1480">
        <f t="shared" si="146"/>
        <v>762.87196476705878</v>
      </c>
      <c r="EG47" s="1480">
        <f t="shared" si="146"/>
        <v>775.62045258615126</v>
      </c>
      <c r="EH47" s="1480">
        <f t="shared" ref="EH47:EM47" si="147">EH15+EH16+EH17+EH28+EH32</f>
        <v>735.50835442376467</v>
      </c>
      <c r="EI47" s="1480">
        <f t="shared" si="147"/>
        <v>693.25653107105882</v>
      </c>
      <c r="EJ47" s="1480">
        <f t="shared" si="147"/>
        <v>814.17849321647054</v>
      </c>
      <c r="EK47" s="1480">
        <f t="shared" si="147"/>
        <v>974.31303218265543</v>
      </c>
      <c r="EL47" s="1480">
        <f t="shared" si="147"/>
        <v>1019.2120705249411</v>
      </c>
      <c r="EM47" s="1480">
        <f t="shared" si="147"/>
        <v>1669.9186730546216</v>
      </c>
      <c r="EN47" s="1480"/>
      <c r="EO47" s="1480">
        <f>EO15+EO16+EO17+EO28+EO32</f>
        <v>451.30352021008406</v>
      </c>
      <c r="EP47" s="1480">
        <f>EP15+EP16+EP17+EP28+EP32</f>
        <v>503.41439605243698</v>
      </c>
      <c r="EQ47" s="1434"/>
      <c r="ER47" s="1480">
        <f>ER15+ER16+ER17+ER28+ER32</f>
        <v>574.80272700369744</v>
      </c>
      <c r="ES47" s="1480">
        <f>ES15+ES16+ES17+ES28+ES32</f>
        <v>463.07161878605041</v>
      </c>
      <c r="ET47" s="1480">
        <f>ET15+ET16+ET17+ET28+ET32</f>
        <v>574.80272700369744</v>
      </c>
      <c r="EU47" s="1480">
        <f>EU15+EU16+EU17+EU28+EU32</f>
        <v>463.07161878605041</v>
      </c>
      <c r="EV47" s="1481">
        <f t="shared" ref="EV47:FD47" si="148">EV15+EV16+EV17+EV28+EV32</f>
        <v>666.63435298930426</v>
      </c>
      <c r="EW47" s="1480">
        <f t="shared" si="148"/>
        <v>807.47245633163027</v>
      </c>
      <c r="EX47" s="1480">
        <f t="shared" si="148"/>
        <v>772.71750105825208</v>
      </c>
      <c r="EY47" s="1480">
        <f t="shared" si="148"/>
        <v>768.08641502017645</v>
      </c>
      <c r="EZ47" s="1480">
        <f t="shared" si="148"/>
        <v>767.03614980840325</v>
      </c>
      <c r="FA47" s="1480">
        <f t="shared" si="148"/>
        <v>808.32533622240339</v>
      </c>
      <c r="FB47" s="1480">
        <f>FB15+FB16+FB17+FB28+FB32</f>
        <v>810.06017598769745</v>
      </c>
      <c r="FC47" s="1480">
        <f t="shared" si="148"/>
        <v>797.71535503694122</v>
      </c>
      <c r="FD47" s="1480">
        <f t="shared" si="148"/>
        <v>785.50903924832767</v>
      </c>
      <c r="FE47" s="1480">
        <f t="shared" ref="FE47:FJ47" si="149">FE15+FE16+FE17+FE28+FE32</f>
        <v>741.40680962576471</v>
      </c>
      <c r="FF47" s="1480">
        <f t="shared" si="149"/>
        <v>752.74160828458821</v>
      </c>
      <c r="FG47" s="1480">
        <f t="shared" si="149"/>
        <v>831.3770502819882</v>
      </c>
      <c r="FH47" s="1480">
        <f t="shared" si="149"/>
        <v>971.33568855818487</v>
      </c>
      <c r="FI47" s="1480">
        <f t="shared" si="149"/>
        <v>1024.4224218677646</v>
      </c>
      <c r="FJ47" s="1480">
        <f t="shared" si="149"/>
        <v>1698.1972726899157</v>
      </c>
      <c r="FK47" s="1480"/>
      <c r="FL47" s="1480">
        <f>FL15+FL16+FL17+FL28+FL32</f>
        <v>451.30352021008406</v>
      </c>
      <c r="FM47" s="1480">
        <f>FM15+FM16+FM17+FM28+FM32</f>
        <v>503.41439605243698</v>
      </c>
    </row>
    <row r="48" spans="1:169" s="1450" customFormat="1" ht="18" customHeight="1">
      <c r="A48" s="1440">
        <f>ROWS($A$1:A48)</f>
        <v>48</v>
      </c>
      <c r="B48" s="1479" t="s">
        <v>1114</v>
      </c>
      <c r="C48" s="1458" t="s">
        <v>228</v>
      </c>
      <c r="D48" s="1468">
        <f>IF(D6=0,0,(D8)/D6)</f>
        <v>22.233333333333334</v>
      </c>
      <c r="E48" s="1468">
        <f t="shared" ref="E48:AH48" si="150">IF(E6=0,0,(E8)/E6)</f>
        <v>23.533333333333335</v>
      </c>
      <c r="F48" s="1468">
        <f t="shared" si="150"/>
        <v>24.8</v>
      </c>
      <c r="G48" s="1468">
        <f t="shared" si="150"/>
        <v>26.934666666666669</v>
      </c>
      <c r="H48" s="1468">
        <f t="shared" si="150"/>
        <v>21.466666666666669</v>
      </c>
      <c r="I48" s="1468">
        <f t="shared" si="150"/>
        <v>20.533333333333335</v>
      </c>
      <c r="J48" s="1468">
        <f t="shared" si="150"/>
        <v>19.900000000000006</v>
      </c>
      <c r="K48" s="1468">
        <f t="shared" si="150"/>
        <v>21</v>
      </c>
      <c r="L48" s="1468">
        <f t="shared" si="150"/>
        <v>23.5</v>
      </c>
      <c r="M48" s="1468">
        <f t="shared" si="150"/>
        <v>19.900000000000002</v>
      </c>
      <c r="N48" s="1468">
        <f t="shared" si="150"/>
        <v>30.2</v>
      </c>
      <c r="O48" s="1468">
        <f t="shared" si="150"/>
        <v>21.333333333333329</v>
      </c>
      <c r="P48" s="1468">
        <f t="shared" si="150"/>
        <v>33</v>
      </c>
      <c r="Q48" s="1468">
        <f t="shared" si="150"/>
        <v>24.633333333333336</v>
      </c>
      <c r="R48" s="1468"/>
      <c r="S48" s="1468">
        <f t="shared" si="150"/>
        <v>52.166666666666657</v>
      </c>
      <c r="T48" s="1468">
        <f t="shared" si="150"/>
        <v>52.16666666666665</v>
      </c>
      <c r="U48" s="1468">
        <f t="shared" si="150"/>
        <v>45.166666666666657</v>
      </c>
      <c r="V48" s="1468">
        <f t="shared" si="150"/>
        <v>52.33333333333335</v>
      </c>
      <c r="W48" s="1468"/>
      <c r="X48" s="1468">
        <f t="shared" si="150"/>
        <v>29.966666666666669</v>
      </c>
      <c r="Y48" s="1468">
        <f t="shared" si="150"/>
        <v>30.3</v>
      </c>
      <c r="Z48" s="1468">
        <f t="shared" si="150"/>
        <v>26.633333333333336</v>
      </c>
      <c r="AA48" s="1468">
        <f t="shared" si="150"/>
        <v>2.9433333333333334</v>
      </c>
      <c r="AB48" s="1468">
        <f t="shared" si="150"/>
        <v>56.933333333333337</v>
      </c>
      <c r="AC48" s="1468">
        <f t="shared" si="150"/>
        <v>56.93333333333333</v>
      </c>
      <c r="AD48" s="1468">
        <f t="shared" si="150"/>
        <v>28.033333333333331</v>
      </c>
      <c r="AE48" s="1468">
        <f t="shared" si="150"/>
        <v>28.033333333333331</v>
      </c>
      <c r="AF48" s="1468">
        <f t="shared" si="150"/>
        <v>0</v>
      </c>
      <c r="AG48" s="1468">
        <f t="shared" si="150"/>
        <v>0</v>
      </c>
      <c r="AH48" s="1468">
        <f t="shared" si="150"/>
        <v>0</v>
      </c>
      <c r="AI48" s="1470"/>
      <c r="AJ48" s="1469">
        <f t="shared" ref="AJ48:BN48" si="151">IF(AJ6=0,0,(AJ8)/AJ6)</f>
        <v>22.233333333333334</v>
      </c>
      <c r="AK48" s="1468">
        <f t="shared" si="151"/>
        <v>23.533333333333331</v>
      </c>
      <c r="AL48" s="1468">
        <f t="shared" si="151"/>
        <v>24.8</v>
      </c>
      <c r="AM48" s="1468">
        <f t="shared" si="151"/>
        <v>26.934666666666669</v>
      </c>
      <c r="AN48" s="1468">
        <f t="shared" si="151"/>
        <v>21.466666666666669</v>
      </c>
      <c r="AO48" s="1468">
        <f t="shared" si="151"/>
        <v>20.533333333333331</v>
      </c>
      <c r="AP48" s="1468">
        <f t="shared" si="151"/>
        <v>19.900000000000002</v>
      </c>
      <c r="AQ48" s="1468">
        <f t="shared" si="151"/>
        <v>21</v>
      </c>
      <c r="AR48" s="1468">
        <f t="shared" si="151"/>
        <v>23.5</v>
      </c>
      <c r="AS48" s="1468">
        <f t="shared" si="151"/>
        <v>19.900000000000002</v>
      </c>
      <c r="AT48" s="1468">
        <f t="shared" si="151"/>
        <v>30.2</v>
      </c>
      <c r="AU48" s="1468">
        <f t="shared" si="151"/>
        <v>21.333333333333329</v>
      </c>
      <c r="AV48" s="1468">
        <f t="shared" si="151"/>
        <v>33</v>
      </c>
      <c r="AW48" s="1468">
        <f t="shared" si="151"/>
        <v>24.633333333333336</v>
      </c>
      <c r="AX48" s="1468"/>
      <c r="AY48" s="1468">
        <f t="shared" si="151"/>
        <v>52.16666666666665</v>
      </c>
      <c r="AZ48" s="1468">
        <f t="shared" si="151"/>
        <v>52.166666666666657</v>
      </c>
      <c r="BA48" s="1468">
        <f t="shared" si="151"/>
        <v>45.166666666666657</v>
      </c>
      <c r="BB48" s="1468">
        <f t="shared" si="151"/>
        <v>52.333333333333343</v>
      </c>
      <c r="BC48" s="1468"/>
      <c r="BD48" s="1468">
        <f t="shared" si="151"/>
        <v>29.966666666666672</v>
      </c>
      <c r="BE48" s="1468">
        <f t="shared" si="151"/>
        <v>30.3</v>
      </c>
      <c r="BF48" s="1468">
        <f t="shared" si="151"/>
        <v>26.633333333333336</v>
      </c>
      <c r="BG48" s="1468">
        <f t="shared" si="151"/>
        <v>2.9433333333333334</v>
      </c>
      <c r="BH48" s="1468">
        <f t="shared" si="151"/>
        <v>56.93333333333333</v>
      </c>
      <c r="BI48" s="1468">
        <f t="shared" si="151"/>
        <v>56.933333333333337</v>
      </c>
      <c r="BJ48" s="1468">
        <f t="shared" si="151"/>
        <v>28.033333333333331</v>
      </c>
      <c r="BK48" s="1468">
        <f t="shared" si="151"/>
        <v>28.033333333333331</v>
      </c>
      <c r="BL48" s="1468">
        <f t="shared" si="151"/>
        <v>0</v>
      </c>
      <c r="BM48" s="1468">
        <f t="shared" si="151"/>
        <v>0</v>
      </c>
      <c r="BN48" s="1468">
        <f t="shared" si="151"/>
        <v>0</v>
      </c>
      <c r="BO48" s="1470"/>
      <c r="BP48" s="1469">
        <f t="shared" ref="BP48:CT48" si="152">IF(BP6=0,0,(BP8)/BP6)</f>
        <v>22.233333333333338</v>
      </c>
      <c r="BQ48" s="1468">
        <f t="shared" si="152"/>
        <v>23.533333333333335</v>
      </c>
      <c r="BR48" s="1468">
        <f t="shared" si="152"/>
        <v>24.8</v>
      </c>
      <c r="BS48" s="1468">
        <f t="shared" si="152"/>
        <v>26.934666666666669</v>
      </c>
      <c r="BT48" s="1468">
        <f t="shared" si="152"/>
        <v>21.466666666666669</v>
      </c>
      <c r="BU48" s="1468">
        <f t="shared" si="152"/>
        <v>20.533333333333331</v>
      </c>
      <c r="BV48" s="1468">
        <f t="shared" si="152"/>
        <v>19.900000000000002</v>
      </c>
      <c r="BW48" s="1468">
        <f t="shared" si="152"/>
        <v>21</v>
      </c>
      <c r="BX48" s="1468">
        <f t="shared" si="152"/>
        <v>23.5</v>
      </c>
      <c r="BY48" s="1468">
        <f t="shared" si="152"/>
        <v>19.900000000000002</v>
      </c>
      <c r="BZ48" s="1468">
        <f t="shared" si="152"/>
        <v>30.2</v>
      </c>
      <c r="CA48" s="1468">
        <f t="shared" si="152"/>
        <v>21.333333333333329</v>
      </c>
      <c r="CB48" s="1468">
        <f t="shared" si="152"/>
        <v>33</v>
      </c>
      <c r="CC48" s="1468">
        <f t="shared" si="152"/>
        <v>24.633333333333336</v>
      </c>
      <c r="CD48" s="1468"/>
      <c r="CE48" s="1468">
        <f t="shared" si="152"/>
        <v>52.166666666666657</v>
      </c>
      <c r="CF48" s="1468">
        <f t="shared" si="152"/>
        <v>52.166666666666657</v>
      </c>
      <c r="CG48" s="1468">
        <f t="shared" si="152"/>
        <v>45.166666666666657</v>
      </c>
      <c r="CH48" s="1468">
        <f t="shared" si="152"/>
        <v>52.333333333333343</v>
      </c>
      <c r="CI48" s="1468"/>
      <c r="CJ48" s="1468">
        <f t="shared" si="152"/>
        <v>29.966666666666669</v>
      </c>
      <c r="CK48" s="1468">
        <f t="shared" si="152"/>
        <v>30.3</v>
      </c>
      <c r="CL48" s="1468">
        <f t="shared" si="152"/>
        <v>26.633333333333336</v>
      </c>
      <c r="CM48" s="1468">
        <f t="shared" si="152"/>
        <v>2.9433333333333334</v>
      </c>
      <c r="CN48" s="1468">
        <f t="shared" si="152"/>
        <v>56.933333333333337</v>
      </c>
      <c r="CO48" s="1468">
        <f t="shared" si="152"/>
        <v>56.933333333333337</v>
      </c>
      <c r="CP48" s="1468">
        <f t="shared" si="152"/>
        <v>28.033333333333331</v>
      </c>
      <c r="CQ48" s="1468">
        <f t="shared" si="152"/>
        <v>28.033333333333331</v>
      </c>
      <c r="CR48" s="1468">
        <f>IF(CR6=0,0,(CR8)/CR6)</f>
        <v>0</v>
      </c>
      <c r="CS48" s="1468">
        <f t="shared" si="152"/>
        <v>0</v>
      </c>
      <c r="CT48" s="1468">
        <f t="shared" si="152"/>
        <v>0</v>
      </c>
      <c r="CV48" s="1479" t="s">
        <v>1114</v>
      </c>
      <c r="CW48" s="1458" t="s">
        <v>228</v>
      </c>
      <c r="CX48" s="1468">
        <f>IF(CX6=0,0,(CX8)/CX6)</f>
        <v>0</v>
      </c>
      <c r="CY48" s="1468">
        <f>IF(CY6=0,0,(CY8)/CY6)</f>
        <v>0</v>
      </c>
      <c r="CZ48" s="1468">
        <f>IF(CZ6=0,0,(CZ8)/CZ6)</f>
        <v>0</v>
      </c>
      <c r="DA48" s="1468">
        <f>IF(DA6=0,0,(DA8)/DA6)</f>
        <v>0</v>
      </c>
      <c r="DB48" s="1468">
        <f t="shared" ref="DB48:DJ48" si="153">IF(DB6=0,0,(DB8)/DB6)</f>
        <v>37.533333333333339</v>
      </c>
      <c r="DC48" s="1468">
        <f t="shared" si="153"/>
        <v>51</v>
      </c>
      <c r="DD48" s="1468">
        <f>IF(DD6=0,0,(DD8)/DD6)</f>
        <v>44</v>
      </c>
      <c r="DE48" s="1468">
        <f t="shared" si="153"/>
        <v>80.033333333333331</v>
      </c>
      <c r="DF48" s="1468">
        <f t="shared" si="153"/>
        <v>36.300000000000004</v>
      </c>
      <c r="DG48" s="1468">
        <f t="shared" si="153"/>
        <v>39.56666666666667</v>
      </c>
      <c r="DH48" s="1468">
        <f>IF(DH6=0,0,(DH8)/DH6)</f>
        <v>35.900000000000006</v>
      </c>
      <c r="DI48" s="1468">
        <f t="shared" si="153"/>
        <v>50.316666666666656</v>
      </c>
      <c r="DJ48" s="1468">
        <f t="shared" si="153"/>
        <v>39.266666666666673</v>
      </c>
      <c r="DK48" s="1468">
        <f>IF(DK6=0,0,(DK8)/DK6)</f>
        <v>55.733333333333327</v>
      </c>
      <c r="DL48" s="1468">
        <f t="shared" ref="DL48:DS48" si="154">IF(DL6=0,0,(DL8)/DL6)</f>
        <v>54.4</v>
      </c>
      <c r="DM48" s="1468">
        <f t="shared" si="154"/>
        <v>88.1</v>
      </c>
      <c r="DN48" s="1468">
        <f t="shared" si="154"/>
        <v>77.52000000000001</v>
      </c>
      <c r="DO48" s="1468">
        <f t="shared" si="154"/>
        <v>90.933333333333337</v>
      </c>
      <c r="DP48" s="1468">
        <f t="shared" si="154"/>
        <v>62.126666666666658</v>
      </c>
      <c r="DQ48" s="1468"/>
      <c r="DR48" s="1468">
        <f t="shared" si="154"/>
        <v>0</v>
      </c>
      <c r="DS48" s="1468">
        <f t="shared" si="154"/>
        <v>0</v>
      </c>
      <c r="DU48" s="1468">
        <f>IF(DU6=0,0,(DU8)/DU6)</f>
        <v>0</v>
      </c>
      <c r="DV48" s="1468">
        <f>IF(DV6=0,0,(DV8)/DV6)</f>
        <v>0</v>
      </c>
      <c r="DW48" s="1468">
        <f>IF(DW6=0,0,(DW8)/DW6)</f>
        <v>0</v>
      </c>
      <c r="DX48" s="1468">
        <f>IF(DX6=0,0,(DX8)/DX6)</f>
        <v>0</v>
      </c>
      <c r="DY48" s="1469">
        <f t="shared" ref="DY48:EG48" si="155">IF(DY6=0,0,(DY8)/DY6)</f>
        <v>37.533333333333339</v>
      </c>
      <c r="DZ48" s="1468">
        <f t="shared" si="155"/>
        <v>51</v>
      </c>
      <c r="EA48" s="1468">
        <f t="shared" si="155"/>
        <v>44</v>
      </c>
      <c r="EB48" s="1468">
        <f t="shared" si="155"/>
        <v>80.033333333333331</v>
      </c>
      <c r="EC48" s="1468">
        <f t="shared" si="155"/>
        <v>36.300000000000004</v>
      </c>
      <c r="ED48" s="1468">
        <f t="shared" si="155"/>
        <v>39.56666666666667</v>
      </c>
      <c r="EE48" s="1468">
        <f>IF(EE6=0,0,(EE8)/EE6)</f>
        <v>35.900000000000006</v>
      </c>
      <c r="EF48" s="1468">
        <f t="shared" si="155"/>
        <v>50.316666666666663</v>
      </c>
      <c r="EG48" s="1468">
        <f t="shared" si="155"/>
        <v>39.266666666666673</v>
      </c>
      <c r="EH48" s="1468">
        <f t="shared" ref="EH48:EM48" si="156">IF(EH6=0,0,(EH8)/EH6)</f>
        <v>55.733333333333327</v>
      </c>
      <c r="EI48" s="1468">
        <f t="shared" si="156"/>
        <v>54.4</v>
      </c>
      <c r="EJ48" s="1468">
        <f t="shared" si="156"/>
        <v>88.1</v>
      </c>
      <c r="EK48" s="1468">
        <f t="shared" si="156"/>
        <v>77.52000000000001</v>
      </c>
      <c r="EL48" s="1468">
        <f t="shared" si="156"/>
        <v>90.933333333333337</v>
      </c>
      <c r="EM48" s="1468">
        <f t="shared" si="156"/>
        <v>62.126666666666658</v>
      </c>
      <c r="EN48" s="1468"/>
      <c r="EO48" s="1468">
        <f>IF(EO6=0,0,(EO8)/EO6)</f>
        <v>0</v>
      </c>
      <c r="EP48" s="1468">
        <f>IF(EP6=0,0,(EP8)/EP6)</f>
        <v>0</v>
      </c>
      <c r="ER48" s="1468">
        <f>IF(ER6=0,0,(ER8)/ER6)</f>
        <v>0</v>
      </c>
      <c r="ES48" s="1468">
        <f>IF(ES6=0,0,(ES8)/ES6)</f>
        <v>0</v>
      </c>
      <c r="ET48" s="1468">
        <f>IF(ET6=0,0,(ET8)/ET6)</f>
        <v>0</v>
      </c>
      <c r="EU48" s="1468">
        <f>IF(EU6=0,0,(EU8)/EU6)</f>
        <v>0</v>
      </c>
      <c r="EV48" s="1469">
        <f t="shared" ref="EV48:FD48" si="157">IF(EV6=0,0,(EV8)/EV6)</f>
        <v>37.533333333333339</v>
      </c>
      <c r="EW48" s="1468">
        <f t="shared" si="157"/>
        <v>51</v>
      </c>
      <c r="EX48" s="1468">
        <f t="shared" si="157"/>
        <v>44</v>
      </c>
      <c r="EY48" s="1468">
        <f t="shared" si="157"/>
        <v>80.033333333333331</v>
      </c>
      <c r="EZ48" s="1468">
        <f t="shared" si="157"/>
        <v>36.300000000000004</v>
      </c>
      <c r="FA48" s="1468">
        <f t="shared" si="157"/>
        <v>39.56666666666667</v>
      </c>
      <c r="FB48" s="1468">
        <f>IF(FB6=0,0,(FB8)/FB6)</f>
        <v>35.900000000000006</v>
      </c>
      <c r="FC48" s="1468">
        <f t="shared" si="157"/>
        <v>50.316666666666663</v>
      </c>
      <c r="FD48" s="1468">
        <f t="shared" si="157"/>
        <v>39.266666666666673</v>
      </c>
      <c r="FE48" s="1468">
        <f t="shared" ref="FE48:FJ48" si="158">IF(FE6=0,0,(FE8)/FE6)</f>
        <v>55.733333333333327</v>
      </c>
      <c r="FF48" s="1468">
        <f t="shared" si="158"/>
        <v>54.4</v>
      </c>
      <c r="FG48" s="1468">
        <f t="shared" si="158"/>
        <v>88.1</v>
      </c>
      <c r="FH48" s="1468">
        <f t="shared" si="158"/>
        <v>77.52000000000001</v>
      </c>
      <c r="FI48" s="1468">
        <f t="shared" si="158"/>
        <v>90.933333333333337</v>
      </c>
      <c r="FJ48" s="1468">
        <f t="shared" si="158"/>
        <v>62.126666666666658</v>
      </c>
      <c r="FK48" s="1468"/>
      <c r="FL48" s="1468">
        <f>IF(FL6=0,0,(FL8)/FL6)</f>
        <v>0</v>
      </c>
      <c r="FM48" s="1468">
        <f>IF(FM6=0,0,(FM8)/FM6)</f>
        <v>0</v>
      </c>
    </row>
    <row r="49" spans="1:171" ht="18" customHeight="1">
      <c r="A49" s="1440">
        <f>ROWS($A$1:A49)</f>
        <v>49</v>
      </c>
      <c r="B49" s="1478" t="s">
        <v>1113</v>
      </c>
      <c r="C49" s="1463" t="s">
        <v>171</v>
      </c>
      <c r="D49" s="1471">
        <f>D21+D24+D34-D9-D10</f>
        <v>1602.6654538231064</v>
      </c>
      <c r="E49" s="1471">
        <f t="shared" ref="E49:AH49" si="159">E21+E24+E34-E9-E10</f>
        <v>1942.2233384141355</v>
      </c>
      <c r="F49" s="1471">
        <f t="shared" si="159"/>
        <v>1961.5074419973944</v>
      </c>
      <c r="G49" s="1471">
        <f t="shared" si="159"/>
        <v>2012.1175912418389</v>
      </c>
      <c r="H49" s="1471">
        <f t="shared" si="159"/>
        <v>1724.9909332209777</v>
      </c>
      <c r="I49" s="1471">
        <f t="shared" si="159"/>
        <v>1830.3231711098667</v>
      </c>
      <c r="J49" s="1471">
        <f t="shared" si="159"/>
        <v>1894.2465813307276</v>
      </c>
      <c r="K49" s="1471">
        <f t="shared" si="159"/>
        <v>1895.0608889139862</v>
      </c>
      <c r="L49" s="1471">
        <f t="shared" si="159"/>
        <v>1709.0350477324512</v>
      </c>
      <c r="M49" s="1471">
        <f t="shared" si="159"/>
        <v>1782.6455513635492</v>
      </c>
      <c r="N49" s="1471">
        <f t="shared" si="159"/>
        <v>1641.1339240124314</v>
      </c>
      <c r="O49" s="1471">
        <f t="shared" si="159"/>
        <v>1557.9857069828531</v>
      </c>
      <c r="P49" s="1471">
        <f t="shared" si="159"/>
        <v>1899.9822004537741</v>
      </c>
      <c r="Q49" s="1471">
        <f t="shared" si="159"/>
        <v>2236.6569640003659</v>
      </c>
      <c r="R49" s="1471"/>
      <c r="S49" s="1471">
        <f t="shared" si="159"/>
        <v>1918.6045026421648</v>
      </c>
      <c r="T49" s="1471">
        <f t="shared" si="159"/>
        <v>1890.3862387904189</v>
      </c>
      <c r="U49" s="1471">
        <f t="shared" si="159"/>
        <v>1840.7876316934216</v>
      </c>
      <c r="V49" s="1471">
        <f t="shared" si="159"/>
        <v>1739.0364813985595</v>
      </c>
      <c r="W49" s="1471"/>
      <c r="X49" s="1471">
        <f t="shared" si="159"/>
        <v>1472.713779751472</v>
      </c>
      <c r="Y49" s="1471">
        <f t="shared" si="159"/>
        <v>1466.9278804856863</v>
      </c>
      <c r="Z49" s="1471">
        <f t="shared" si="159"/>
        <v>1465.1113055256601</v>
      </c>
      <c r="AA49" s="1471">
        <f t="shared" si="159"/>
        <v>1951.1985773846477</v>
      </c>
      <c r="AB49" s="1471">
        <f t="shared" si="159"/>
        <v>8197.3628949362301</v>
      </c>
      <c r="AC49" s="1471">
        <f t="shared" si="159"/>
        <v>10320.490883595308</v>
      </c>
      <c r="AD49" s="1471">
        <f t="shared" si="159"/>
        <v>7954.8721541077039</v>
      </c>
      <c r="AE49" s="1471">
        <f t="shared" si="159"/>
        <v>8668.9908313526994</v>
      </c>
      <c r="AF49" s="1471">
        <f t="shared" si="159"/>
        <v>647</v>
      </c>
      <c r="AG49" s="1471">
        <f t="shared" si="159"/>
        <v>955.25532521163871</v>
      </c>
      <c r="AH49" s="1471">
        <f t="shared" si="159"/>
        <v>274.97954931120728</v>
      </c>
      <c r="AI49" s="1473"/>
      <c r="AJ49" s="1472">
        <f t="shared" ref="AJ49:BN49" si="160">AJ21+AJ24+AJ34-AJ9-AJ10</f>
        <v>1868.9386270876225</v>
      </c>
      <c r="AK49" s="1471">
        <f t="shared" si="160"/>
        <v>2142.5435373928353</v>
      </c>
      <c r="AL49" s="1471">
        <f t="shared" si="160"/>
        <v>2143.0551543094275</v>
      </c>
      <c r="AM49" s="1471">
        <f t="shared" si="160"/>
        <v>2156.2774051815754</v>
      </c>
      <c r="AN49" s="1471">
        <f t="shared" si="160"/>
        <v>1838.9113038322382</v>
      </c>
      <c r="AO49" s="1471">
        <f t="shared" si="160"/>
        <v>1982.0616816934239</v>
      </c>
      <c r="AP49" s="1471">
        <f t="shared" si="160"/>
        <v>2045.8313185809511</v>
      </c>
      <c r="AQ49" s="1471">
        <f t="shared" si="160"/>
        <v>2049.3588708092789</v>
      </c>
      <c r="AR49" s="1471">
        <f t="shared" si="160"/>
        <v>1927.2091160657847</v>
      </c>
      <c r="AS49" s="1471">
        <f t="shared" si="160"/>
        <v>1900.1555327324509</v>
      </c>
      <c r="AT49" s="1471">
        <f t="shared" si="160"/>
        <v>1734.3193387146666</v>
      </c>
      <c r="AU49" s="1471">
        <f t="shared" si="160"/>
        <v>1701.1685214924446</v>
      </c>
      <c r="AV49" s="1471">
        <f t="shared" si="160"/>
        <v>2064.5971025071276</v>
      </c>
      <c r="AW49" s="1471">
        <f t="shared" si="160"/>
        <v>2482.9099178492811</v>
      </c>
      <c r="AX49" s="1471"/>
      <c r="AY49" s="1471">
        <f t="shared" si="160"/>
        <v>2142.9720008076192</v>
      </c>
      <c r="AZ49" s="1471">
        <f t="shared" si="160"/>
        <v>2054.5684025857831</v>
      </c>
      <c r="BA49" s="1471">
        <f t="shared" si="160"/>
        <v>1980.9207573778726</v>
      </c>
      <c r="BB49" s="1471">
        <f t="shared" si="160"/>
        <v>1851.0749868190196</v>
      </c>
      <c r="BC49" s="1471"/>
      <c r="BD49" s="1471">
        <f t="shared" si="160"/>
        <v>1616.3627380848054</v>
      </c>
      <c r="BE49" s="1471">
        <f t="shared" si="160"/>
        <v>1623.8139853070275</v>
      </c>
      <c r="BF49" s="1471">
        <f t="shared" si="160"/>
        <v>1583.2618042456797</v>
      </c>
      <c r="BG49" s="1471">
        <f t="shared" si="160"/>
        <v>2699.4204646068702</v>
      </c>
      <c r="BH49" s="1471">
        <f t="shared" si="160"/>
        <v>8386.5785160809919</v>
      </c>
      <c r="BI49" s="1471">
        <f t="shared" si="160"/>
        <v>10496.122902710491</v>
      </c>
      <c r="BJ49" s="1471">
        <f t="shared" si="160"/>
        <v>8053.1970710857977</v>
      </c>
      <c r="BK49" s="1471">
        <f t="shared" si="160"/>
        <v>8819.8604867809663</v>
      </c>
      <c r="BL49" s="1471">
        <f t="shared" si="160"/>
        <v>697.00000000000011</v>
      </c>
      <c r="BM49" s="1471">
        <f t="shared" si="160"/>
        <v>1005.2553252116388</v>
      </c>
      <c r="BN49" s="1471">
        <f t="shared" si="160"/>
        <v>581.64621597787391</v>
      </c>
      <c r="BO49" s="4044"/>
      <c r="BP49" s="1472">
        <f t="shared" ref="BP49:CT49" si="161">BP21+BP24+BP34-BP9-BP10</f>
        <v>2021.5001002396666</v>
      </c>
      <c r="BQ49" s="1471">
        <f t="shared" si="161"/>
        <v>2323.0957697048689</v>
      </c>
      <c r="BR49" s="1471">
        <f t="shared" si="161"/>
        <v>2319.0993999547941</v>
      </c>
      <c r="BS49" s="1471">
        <f t="shared" si="161"/>
        <v>2300.4372191213115</v>
      </c>
      <c r="BT49" s="1471">
        <f t="shared" si="161"/>
        <v>1988.5106040595024</v>
      </c>
      <c r="BU49" s="1471">
        <f t="shared" si="161"/>
        <v>2152.4386547555314</v>
      </c>
      <c r="BV49" s="1471">
        <f t="shared" si="161"/>
        <v>2234.0867855596512</v>
      </c>
      <c r="BW49" s="1471">
        <f t="shared" si="161"/>
        <v>2166.4904063094273</v>
      </c>
      <c r="BX49" s="1471">
        <f t="shared" si="161"/>
        <v>1908.7777677324511</v>
      </c>
      <c r="BY49" s="1471">
        <f t="shared" si="161"/>
        <v>2017.665514101353</v>
      </c>
      <c r="BZ49" s="1471">
        <f t="shared" si="161"/>
        <v>1827.5047534169021</v>
      </c>
      <c r="CA49" s="1471">
        <f t="shared" si="161"/>
        <v>1814.8667339724577</v>
      </c>
      <c r="CB49" s="1471">
        <f t="shared" si="161"/>
        <v>2152.802069858245</v>
      </c>
      <c r="CC49" s="1471">
        <f t="shared" si="161"/>
        <v>2729.1628716981959</v>
      </c>
      <c r="CD49" s="1471"/>
      <c r="CE49" s="1471">
        <f t="shared" si="161"/>
        <v>2327.0957657522126</v>
      </c>
      <c r="CF49" s="1471">
        <f t="shared" si="161"/>
        <v>2178.5977976849017</v>
      </c>
      <c r="CG49" s="1471">
        <f t="shared" si="161"/>
        <v>2121.0538830623236</v>
      </c>
      <c r="CH49" s="1471">
        <f t="shared" si="161"/>
        <v>1963.1134922394799</v>
      </c>
      <c r="CI49" s="1471"/>
      <c r="CJ49" s="1471">
        <f t="shared" si="161"/>
        <v>1765.579206060821</v>
      </c>
      <c r="CK49" s="1471">
        <f t="shared" si="161"/>
        <v>1783.4838449497097</v>
      </c>
      <c r="CL49" s="1471">
        <f t="shared" si="161"/>
        <v>1701.4123029656994</v>
      </c>
      <c r="CM49" s="1471">
        <f t="shared" si="161"/>
        <v>2943.7702405253376</v>
      </c>
      <c r="CN49" s="1471">
        <f t="shared" si="161"/>
        <v>8575.7941372257537</v>
      </c>
      <c r="CO49" s="1471">
        <f t="shared" si="161"/>
        <v>10698.922125884832</v>
      </c>
      <c r="CP49" s="1471">
        <f t="shared" si="161"/>
        <v>8198.0150005638934</v>
      </c>
      <c r="CQ49" s="1471">
        <f t="shared" si="161"/>
        <v>8968.6688496196693</v>
      </c>
      <c r="CR49" s="1471">
        <f>CR21+CR24+CR34-CR9-CR10</f>
        <v>747.00000000000011</v>
      </c>
      <c r="CS49" s="1471">
        <f t="shared" si="161"/>
        <v>1055.2553252116388</v>
      </c>
      <c r="CT49" s="1471">
        <f t="shared" si="161"/>
        <v>631.64621597787391</v>
      </c>
      <c r="CV49" s="1478" t="s">
        <v>1113</v>
      </c>
      <c r="CW49" s="1463" t="s">
        <v>171</v>
      </c>
      <c r="CX49" s="1471" t="e">
        <f>CX21+CX24+CX34-CX9-CX10</f>
        <v>#N/A</v>
      </c>
      <c r="CY49" s="1471" t="e">
        <f>CY21+CY24+CY34-CY9-CY10</f>
        <v>#N/A</v>
      </c>
      <c r="CZ49" s="1471" t="e">
        <f t="shared" ref="CZ49:DS49" si="162">CZ21+CZ24+CZ34-CZ9-CZ10</f>
        <v>#N/A</v>
      </c>
      <c r="DA49" s="1471" t="e">
        <f t="shared" si="162"/>
        <v>#N/A</v>
      </c>
      <c r="DB49" s="1471" t="e">
        <f t="shared" si="162"/>
        <v>#N/A</v>
      </c>
      <c r="DC49" s="1471" t="e">
        <f t="shared" si="162"/>
        <v>#N/A</v>
      </c>
      <c r="DD49" s="1471" t="e">
        <f t="shared" si="162"/>
        <v>#N/A</v>
      </c>
      <c r="DE49" s="1471" t="e">
        <f t="shared" si="162"/>
        <v>#N/A</v>
      </c>
      <c r="DF49" s="1471" t="e">
        <f t="shared" si="162"/>
        <v>#N/A</v>
      </c>
      <c r="DG49" s="1471" t="e">
        <f t="shared" si="162"/>
        <v>#N/A</v>
      </c>
      <c r="DH49" s="1471" t="e">
        <f>DH21+DH24+DH34-DH9-DH10</f>
        <v>#N/A</v>
      </c>
      <c r="DI49" s="1471" t="e">
        <f t="shared" si="162"/>
        <v>#N/A</v>
      </c>
      <c r="DJ49" s="1471" t="e">
        <f t="shared" si="162"/>
        <v>#N/A</v>
      </c>
      <c r="DK49" s="1471" t="e">
        <f t="shared" si="162"/>
        <v>#N/A</v>
      </c>
      <c r="DL49" s="1471" t="e">
        <f t="shared" si="162"/>
        <v>#N/A</v>
      </c>
      <c r="DM49" s="1471" t="e">
        <f t="shared" si="162"/>
        <v>#N/A</v>
      </c>
      <c r="DN49" s="1471" t="e">
        <f t="shared" si="162"/>
        <v>#N/A</v>
      </c>
      <c r="DO49" s="1471" t="e">
        <f t="shared" si="162"/>
        <v>#N/A</v>
      </c>
      <c r="DP49" s="1471" t="e">
        <f t="shared" si="162"/>
        <v>#N/A</v>
      </c>
      <c r="DQ49" s="1471"/>
      <c r="DR49" s="1471" t="e">
        <f t="shared" si="162"/>
        <v>#N/A</v>
      </c>
      <c r="DS49" s="1471" t="e">
        <f t="shared" si="162"/>
        <v>#N/A</v>
      </c>
      <c r="DT49" s="1434"/>
      <c r="DU49" s="1471" t="e">
        <f>DU21+DU24+DU34-DU9-DU10</f>
        <v>#N/A</v>
      </c>
      <c r="DV49" s="1471" t="e">
        <f>DV21+DV24+DV34-DV9-DV10</f>
        <v>#N/A</v>
      </c>
      <c r="DW49" s="1471" t="e">
        <f>DW21+DW24+DW34-DW9-DW10</f>
        <v>#N/A</v>
      </c>
      <c r="DX49" s="1471" t="e">
        <f>DX21+DX24+DX34-DX9-DX10</f>
        <v>#N/A</v>
      </c>
      <c r="DY49" s="1472" t="e">
        <f t="shared" ref="DY49:EG49" si="163">DY21+DY24+DY34-DY9-DY10</f>
        <v>#N/A</v>
      </c>
      <c r="DZ49" s="1471" t="e">
        <f t="shared" si="163"/>
        <v>#N/A</v>
      </c>
      <c r="EA49" s="1471" t="e">
        <f t="shared" si="163"/>
        <v>#N/A</v>
      </c>
      <c r="EB49" s="1471" t="e">
        <f t="shared" si="163"/>
        <v>#N/A</v>
      </c>
      <c r="EC49" s="1471" t="e">
        <f t="shared" si="163"/>
        <v>#N/A</v>
      </c>
      <c r="ED49" s="1471" t="e">
        <f t="shared" si="163"/>
        <v>#N/A</v>
      </c>
      <c r="EE49" s="1471" t="e">
        <f>EE21+EE24+EE34-EE9-EE10</f>
        <v>#N/A</v>
      </c>
      <c r="EF49" s="1471" t="e">
        <f t="shared" si="163"/>
        <v>#N/A</v>
      </c>
      <c r="EG49" s="1471" t="e">
        <f t="shared" si="163"/>
        <v>#N/A</v>
      </c>
      <c r="EH49" s="1471" t="e">
        <f t="shared" ref="EH49:EM49" si="164">EH21+EH24+EH34-EH9-EH10</f>
        <v>#N/A</v>
      </c>
      <c r="EI49" s="1471" t="e">
        <f t="shared" si="164"/>
        <v>#N/A</v>
      </c>
      <c r="EJ49" s="1471" t="e">
        <f t="shared" si="164"/>
        <v>#N/A</v>
      </c>
      <c r="EK49" s="1471" t="e">
        <f t="shared" si="164"/>
        <v>#N/A</v>
      </c>
      <c r="EL49" s="1471" t="e">
        <f t="shared" si="164"/>
        <v>#N/A</v>
      </c>
      <c r="EM49" s="1471" t="e">
        <f t="shared" si="164"/>
        <v>#N/A</v>
      </c>
      <c r="EN49" s="1471"/>
      <c r="EO49" s="1471" t="e">
        <f>EO21+EO24+EO34-EO9-EO10</f>
        <v>#N/A</v>
      </c>
      <c r="EP49" s="1471" t="e">
        <f>EP21+EP24+EP34-EP9-EP10</f>
        <v>#N/A</v>
      </c>
      <c r="EQ49" s="1434"/>
      <c r="ER49" s="1471" t="e">
        <f>ER21+ER24+ER34-ER9-ER10</f>
        <v>#N/A</v>
      </c>
      <c r="ES49" s="1471" t="e">
        <f>ES21+ES24+ES34-ES9-ES10</f>
        <v>#N/A</v>
      </c>
      <c r="ET49" s="1471" t="e">
        <f>ET21+ET24+ET34-ET9-ET10</f>
        <v>#N/A</v>
      </c>
      <c r="EU49" s="1471" t="e">
        <f>EU21+EU24+EU34-EU9-EU10</f>
        <v>#N/A</v>
      </c>
      <c r="EV49" s="1472" t="e">
        <f t="shared" ref="EV49:FD49" si="165">EV21+EV24+EV34-EV9-EV10</f>
        <v>#N/A</v>
      </c>
      <c r="EW49" s="1471" t="e">
        <f t="shared" si="165"/>
        <v>#N/A</v>
      </c>
      <c r="EX49" s="1471" t="e">
        <f t="shared" si="165"/>
        <v>#N/A</v>
      </c>
      <c r="EY49" s="1471" t="e">
        <f t="shared" si="165"/>
        <v>#N/A</v>
      </c>
      <c r="EZ49" s="1471" t="e">
        <f t="shared" si="165"/>
        <v>#N/A</v>
      </c>
      <c r="FA49" s="1471" t="e">
        <f t="shared" si="165"/>
        <v>#N/A</v>
      </c>
      <c r="FB49" s="1471" t="e">
        <f>FB21+FB24+FB34-FB9-FB10</f>
        <v>#N/A</v>
      </c>
      <c r="FC49" s="1471" t="e">
        <f t="shared" si="165"/>
        <v>#N/A</v>
      </c>
      <c r="FD49" s="1471" t="e">
        <f t="shared" si="165"/>
        <v>#N/A</v>
      </c>
      <c r="FE49" s="1471" t="e">
        <f t="shared" ref="FE49:FJ49" si="166">FE21+FE24+FE34-FE9-FE10</f>
        <v>#N/A</v>
      </c>
      <c r="FF49" s="1471" t="e">
        <f t="shared" si="166"/>
        <v>#N/A</v>
      </c>
      <c r="FG49" s="1471" t="e">
        <f t="shared" si="166"/>
        <v>#N/A</v>
      </c>
      <c r="FH49" s="1471" t="e">
        <f t="shared" si="166"/>
        <v>#N/A</v>
      </c>
      <c r="FI49" s="1471" t="e">
        <f t="shared" si="166"/>
        <v>#N/A</v>
      </c>
      <c r="FJ49" s="1471" t="e">
        <f t="shared" si="166"/>
        <v>#N/A</v>
      </c>
      <c r="FK49" s="1471"/>
      <c r="FL49" s="1471" t="e">
        <f>FL21+FL24+FL34-FL9-FL10</f>
        <v>#N/A</v>
      </c>
      <c r="FM49" s="1471" t="e">
        <f>FM21+FM24+FM34-FM9-FM10</f>
        <v>#N/A</v>
      </c>
    </row>
    <row r="50" spans="1:171" s="1450" customFormat="1" ht="16.149999999999999" customHeight="1">
      <c r="A50" s="1440">
        <f>ROWS($A$1:A50)</f>
        <v>50</v>
      </c>
      <c r="B50" s="1477" t="s">
        <v>1112</v>
      </c>
      <c r="C50" s="1454" t="s">
        <v>228</v>
      </c>
      <c r="D50" s="1474">
        <f>IF(D6=0,0,D49/D6)</f>
        <v>24.65639159727856</v>
      </c>
      <c r="E50" s="1474">
        <f t="shared" ref="E50:AH50" si="167">IF(E6=0,0,E49/E6)</f>
        <v>32.370388973568922</v>
      </c>
      <c r="F50" s="1474">
        <f t="shared" si="167"/>
        <v>35.6637716726799</v>
      </c>
      <c r="G50" s="1474">
        <f t="shared" si="167"/>
        <v>36.583956204397069</v>
      </c>
      <c r="H50" s="1474">
        <f t="shared" si="167"/>
        <v>31.363471513108685</v>
      </c>
      <c r="I50" s="1474">
        <f t="shared" si="167"/>
        <v>30.505386185164447</v>
      </c>
      <c r="J50" s="1474">
        <f t="shared" si="167"/>
        <v>34.440846933285954</v>
      </c>
      <c r="K50" s="1474">
        <f t="shared" si="167"/>
        <v>37.901217778279722</v>
      </c>
      <c r="L50" s="1474">
        <f t="shared" si="167"/>
        <v>31.073364504226387</v>
      </c>
      <c r="M50" s="1474">
        <f t="shared" si="167"/>
        <v>35.652911027270981</v>
      </c>
      <c r="N50" s="1474">
        <f t="shared" si="167"/>
        <v>41.028348100310787</v>
      </c>
      <c r="O50" s="1474">
        <f t="shared" si="167"/>
        <v>34.621904599618958</v>
      </c>
      <c r="P50" s="1474">
        <f t="shared" si="167"/>
        <v>47.499555011344356</v>
      </c>
      <c r="Q50" s="1474">
        <f t="shared" si="167"/>
        <v>27.958212050004573</v>
      </c>
      <c r="R50" s="1474"/>
      <c r="S50" s="1474">
        <f t="shared" si="167"/>
        <v>63.953483421405494</v>
      </c>
      <c r="T50" s="1474">
        <f t="shared" si="167"/>
        <v>94.519311939520946</v>
      </c>
      <c r="U50" s="1474">
        <f t="shared" si="167"/>
        <v>73.63150526773687</v>
      </c>
      <c r="V50" s="1474">
        <f t="shared" si="167"/>
        <v>86.95182406992798</v>
      </c>
      <c r="W50" s="1474"/>
      <c r="X50" s="1474">
        <f t="shared" si="167"/>
        <v>73.635688987573602</v>
      </c>
      <c r="Y50" s="1474">
        <f t="shared" si="167"/>
        <v>73.346394024284308</v>
      </c>
      <c r="Z50" s="1474">
        <f t="shared" si="167"/>
        <v>146.51113055256602</v>
      </c>
      <c r="AA50" s="1474">
        <f t="shared" si="167"/>
        <v>5.5748530782418504</v>
      </c>
      <c r="AB50" s="1474">
        <f t="shared" si="167"/>
        <v>32.78945157974492</v>
      </c>
      <c r="AC50" s="1474">
        <f t="shared" si="167"/>
        <v>34.401636278651026</v>
      </c>
      <c r="AD50" s="1474">
        <f t="shared" si="167"/>
        <v>21.794170285226585</v>
      </c>
      <c r="AE50" s="1474">
        <f t="shared" si="167"/>
        <v>22.634440812931331</v>
      </c>
      <c r="AF50" s="1474">
        <f t="shared" si="167"/>
        <v>0</v>
      </c>
      <c r="AG50" s="1474">
        <f t="shared" si="167"/>
        <v>955.25532521163871</v>
      </c>
      <c r="AH50" s="1474">
        <f t="shared" si="167"/>
        <v>274.97954931120728</v>
      </c>
      <c r="AI50" s="1476"/>
      <c r="AJ50" s="1475">
        <f t="shared" ref="AJ50:BN50" si="168">IF(AJ6=0,0,AJ49/AJ6)</f>
        <v>23.36173283859528</v>
      </c>
      <c r="AK50" s="1474">
        <f t="shared" si="168"/>
        <v>28.567247165237806</v>
      </c>
      <c r="AL50" s="1474">
        <f t="shared" si="168"/>
        <v>30.615073632991823</v>
      </c>
      <c r="AM50" s="1474">
        <f t="shared" si="168"/>
        <v>33.173498541255007</v>
      </c>
      <c r="AN50" s="1474">
        <f t="shared" si="168"/>
        <v>28.290943135880589</v>
      </c>
      <c r="AO50" s="1474">
        <f t="shared" si="168"/>
        <v>26.42748908924565</v>
      </c>
      <c r="AP50" s="1474">
        <f t="shared" si="168"/>
        <v>29.226161694013587</v>
      </c>
      <c r="AQ50" s="1474">
        <f t="shared" si="168"/>
        <v>34.155981180154647</v>
      </c>
      <c r="AR50" s="1474">
        <f t="shared" si="168"/>
        <v>29.649371016396685</v>
      </c>
      <c r="AS50" s="1474">
        <f t="shared" si="168"/>
        <v>31.669258878874182</v>
      </c>
      <c r="AT50" s="1474">
        <f t="shared" si="168"/>
        <v>35.394272218666664</v>
      </c>
      <c r="AU50" s="1474">
        <f t="shared" si="168"/>
        <v>30.930336754408085</v>
      </c>
      <c r="AV50" s="1474">
        <f t="shared" si="168"/>
        <v>37.538129136493232</v>
      </c>
      <c r="AW50" s="1474">
        <f t="shared" si="168"/>
        <v>24.829099178492811</v>
      </c>
      <c r="AX50" s="1474"/>
      <c r="AY50" s="1474">
        <f t="shared" si="168"/>
        <v>53.574300020190478</v>
      </c>
      <c r="AZ50" s="1474">
        <f t="shared" si="168"/>
        <v>82.182736103431324</v>
      </c>
      <c r="BA50" s="1474">
        <f t="shared" si="168"/>
        <v>66.030691912595756</v>
      </c>
      <c r="BB50" s="1474">
        <f t="shared" si="168"/>
        <v>68.558332845148868</v>
      </c>
      <c r="BC50" s="1474"/>
      <c r="BD50" s="1474">
        <f t="shared" si="168"/>
        <v>46.181792516708725</v>
      </c>
      <c r="BE50" s="1474">
        <f t="shared" si="168"/>
        <v>46.3946852944865</v>
      </c>
      <c r="BF50" s="1474">
        <f t="shared" si="168"/>
        <v>63.330472169827189</v>
      </c>
      <c r="BG50" s="1474">
        <f t="shared" si="168"/>
        <v>3.6978362528861237</v>
      </c>
      <c r="BH50" s="1474">
        <f t="shared" si="168"/>
        <v>27.955261720269974</v>
      </c>
      <c r="BI50" s="1474">
        <f t="shared" si="168"/>
        <v>29.988922579172833</v>
      </c>
      <c r="BJ50" s="1474">
        <f t="shared" si="168"/>
        <v>22.00327068602677</v>
      </c>
      <c r="BK50" s="1474">
        <f t="shared" si="168"/>
        <v>20.752612910072862</v>
      </c>
      <c r="BL50" s="1474">
        <f t="shared" si="168"/>
        <v>0</v>
      </c>
      <c r="BM50" s="1474">
        <f t="shared" si="168"/>
        <v>1005.2553252116388</v>
      </c>
      <c r="BN50" s="1474">
        <f t="shared" si="168"/>
        <v>581.64621597787391</v>
      </c>
      <c r="BO50" s="1470"/>
      <c r="BP50" s="1475">
        <f t="shared" ref="BP50:CT50" si="169">IF(BP6=0,0,BP49/BP6)</f>
        <v>21.278948423575439</v>
      </c>
      <c r="BQ50" s="1474">
        <f t="shared" si="169"/>
        <v>25.812175218942986</v>
      </c>
      <c r="BR50" s="1474">
        <f t="shared" si="169"/>
        <v>27.283522352409342</v>
      </c>
      <c r="BS50" s="1474">
        <f t="shared" si="169"/>
        <v>30.672496254950818</v>
      </c>
      <c r="BT50" s="1474">
        <f t="shared" si="169"/>
        <v>26.513474720793365</v>
      </c>
      <c r="BU50" s="1474">
        <f t="shared" si="169"/>
        <v>23.915985052839236</v>
      </c>
      <c r="BV50" s="1474">
        <f t="shared" si="169"/>
        <v>26.283373947760602</v>
      </c>
      <c r="BW50" s="1474">
        <f t="shared" si="169"/>
        <v>30.949862947277534</v>
      </c>
      <c r="BX50" s="1474">
        <f t="shared" si="169"/>
        <v>25.450370236432683</v>
      </c>
      <c r="BY50" s="1474">
        <f t="shared" si="169"/>
        <v>28.823793058590756</v>
      </c>
      <c r="BZ50" s="1474">
        <f t="shared" si="169"/>
        <v>31.508702645119001</v>
      </c>
      <c r="CA50" s="1474">
        <f t="shared" si="169"/>
        <v>27.921026676499348</v>
      </c>
      <c r="CB50" s="1474">
        <f t="shared" si="169"/>
        <v>35.880034497637418</v>
      </c>
      <c r="CC50" s="1474">
        <f t="shared" si="169"/>
        <v>22.7430239308183</v>
      </c>
      <c r="CD50" s="1474"/>
      <c r="CE50" s="1474">
        <f t="shared" si="169"/>
        <v>46.54191531504425</v>
      </c>
      <c r="CF50" s="1474">
        <f t="shared" si="169"/>
        <v>72.619926589496728</v>
      </c>
      <c r="CG50" s="1474">
        <f t="shared" si="169"/>
        <v>60.601539516066389</v>
      </c>
      <c r="CH50" s="1474">
        <f t="shared" si="169"/>
        <v>57.738632124690582</v>
      </c>
      <c r="CI50" s="1474"/>
      <c r="CJ50" s="1474">
        <f t="shared" si="169"/>
        <v>35.31158412121642</v>
      </c>
      <c r="CK50" s="1474">
        <f t="shared" si="169"/>
        <v>35.669676898994197</v>
      </c>
      <c r="CL50" s="1474">
        <f t="shared" si="169"/>
        <v>42.535307574142486</v>
      </c>
      <c r="CM50" s="1474">
        <f t="shared" si="169"/>
        <v>3.4632591065003973</v>
      </c>
      <c r="CN50" s="1474">
        <f t="shared" si="169"/>
        <v>24.502268963502154</v>
      </c>
      <c r="CO50" s="1474">
        <f t="shared" si="169"/>
        <v>26.747305314712079</v>
      </c>
      <c r="CP50" s="1474">
        <f t="shared" si="169"/>
        <v>20.495037501409733</v>
      </c>
      <c r="CQ50" s="1474">
        <f t="shared" si="169"/>
        <v>19.246070492746071</v>
      </c>
      <c r="CR50" s="1474">
        <f>IF(CR6=0,0,CR49/CR6)</f>
        <v>0</v>
      </c>
      <c r="CS50" s="1474">
        <f t="shared" si="169"/>
        <v>1055.2553252116388</v>
      </c>
      <c r="CT50" s="1474">
        <f t="shared" si="169"/>
        <v>631.64621597787391</v>
      </c>
      <c r="CV50" s="1477" t="s">
        <v>1112</v>
      </c>
      <c r="CW50" s="1454" t="s">
        <v>228</v>
      </c>
      <c r="CX50" s="1474" t="e">
        <f t="shared" ref="CX50:DS50" si="170">IF(CX6=0,0,CX49/CX6)</f>
        <v>#N/A</v>
      </c>
      <c r="CY50" s="1474" t="e">
        <f t="shared" si="170"/>
        <v>#N/A</v>
      </c>
      <c r="CZ50" s="1474" t="e">
        <f t="shared" si="170"/>
        <v>#N/A</v>
      </c>
      <c r="DA50" s="1474" t="e">
        <f t="shared" si="170"/>
        <v>#N/A</v>
      </c>
      <c r="DB50" s="1474" t="e">
        <f t="shared" si="170"/>
        <v>#N/A</v>
      </c>
      <c r="DC50" s="1474" t="e">
        <f t="shared" si="170"/>
        <v>#N/A</v>
      </c>
      <c r="DD50" s="1474" t="e">
        <f t="shared" si="170"/>
        <v>#N/A</v>
      </c>
      <c r="DE50" s="1474" t="e">
        <f t="shared" si="170"/>
        <v>#N/A</v>
      </c>
      <c r="DF50" s="1474" t="e">
        <f t="shared" si="170"/>
        <v>#N/A</v>
      </c>
      <c r="DG50" s="1474" t="e">
        <f t="shared" si="170"/>
        <v>#N/A</v>
      </c>
      <c r="DH50" s="1474" t="e">
        <f t="shared" si="170"/>
        <v>#N/A</v>
      </c>
      <c r="DI50" s="1474" t="e">
        <f t="shared" si="170"/>
        <v>#N/A</v>
      </c>
      <c r="DJ50" s="1474" t="e">
        <f t="shared" si="170"/>
        <v>#N/A</v>
      </c>
      <c r="DK50" s="1474" t="e">
        <f t="shared" si="170"/>
        <v>#N/A</v>
      </c>
      <c r="DL50" s="1474" t="e">
        <f t="shared" si="170"/>
        <v>#N/A</v>
      </c>
      <c r="DM50" s="1474" t="e">
        <f t="shared" si="170"/>
        <v>#N/A</v>
      </c>
      <c r="DN50" s="1474" t="e">
        <f t="shared" si="170"/>
        <v>#N/A</v>
      </c>
      <c r="DO50" s="1474" t="e">
        <f t="shared" si="170"/>
        <v>#N/A</v>
      </c>
      <c r="DP50" s="1474" t="e">
        <f t="shared" si="170"/>
        <v>#N/A</v>
      </c>
      <c r="DQ50" s="1474"/>
      <c r="DR50" s="1474">
        <f t="shared" si="170"/>
        <v>0</v>
      </c>
      <c r="DS50" s="1474">
        <f t="shared" si="170"/>
        <v>0</v>
      </c>
      <c r="DU50" s="1474" t="e">
        <f>IF(DU6=0,0,DU49/DU6)</f>
        <v>#N/A</v>
      </c>
      <c r="DV50" s="1474" t="e">
        <f>IF(DV6=0,0,DV49/DV6)</f>
        <v>#N/A</v>
      </c>
      <c r="DW50" s="1474" t="e">
        <f>IF(DW6=0,0,DW49/DW6)</f>
        <v>#N/A</v>
      </c>
      <c r="DX50" s="1474" t="e">
        <f>IF(DX6=0,0,DX49/DX6)</f>
        <v>#N/A</v>
      </c>
      <c r="DY50" s="1475" t="e">
        <f t="shared" ref="DY50:EG50" si="171">IF(DY6=0,0,DY49/DY6)</f>
        <v>#N/A</v>
      </c>
      <c r="DZ50" s="1474" t="e">
        <f t="shared" si="171"/>
        <v>#N/A</v>
      </c>
      <c r="EA50" s="1474" t="e">
        <f t="shared" si="171"/>
        <v>#N/A</v>
      </c>
      <c r="EB50" s="1474" t="e">
        <f t="shared" si="171"/>
        <v>#N/A</v>
      </c>
      <c r="EC50" s="1474" t="e">
        <f t="shared" si="171"/>
        <v>#N/A</v>
      </c>
      <c r="ED50" s="1474" t="e">
        <f t="shared" si="171"/>
        <v>#N/A</v>
      </c>
      <c r="EE50" s="1474" t="e">
        <f>IF(EE6=0,0,EE49/EE6)</f>
        <v>#N/A</v>
      </c>
      <c r="EF50" s="1474" t="e">
        <f t="shared" si="171"/>
        <v>#N/A</v>
      </c>
      <c r="EG50" s="1474" t="e">
        <f t="shared" si="171"/>
        <v>#N/A</v>
      </c>
      <c r="EH50" s="1474" t="e">
        <f t="shared" ref="EH50:EM50" si="172">IF(EH6=0,0,EH49/EH6)</f>
        <v>#N/A</v>
      </c>
      <c r="EI50" s="1474" t="e">
        <f t="shared" si="172"/>
        <v>#N/A</v>
      </c>
      <c r="EJ50" s="1474" t="e">
        <f t="shared" si="172"/>
        <v>#N/A</v>
      </c>
      <c r="EK50" s="1474" t="e">
        <f t="shared" si="172"/>
        <v>#N/A</v>
      </c>
      <c r="EL50" s="1474" t="e">
        <f t="shared" si="172"/>
        <v>#N/A</v>
      </c>
      <c r="EM50" s="1474" t="e">
        <f t="shared" si="172"/>
        <v>#N/A</v>
      </c>
      <c r="EN50" s="1474"/>
      <c r="EO50" s="1474">
        <f>IF(EO6=0,0,EO49/EO6)</f>
        <v>0</v>
      </c>
      <c r="EP50" s="1474">
        <f>IF(EP6=0,0,EP49/EP6)</f>
        <v>0</v>
      </c>
      <c r="ER50" s="1474" t="e">
        <f>IF(ER6=0,0,ER49/ER6)</f>
        <v>#N/A</v>
      </c>
      <c r="ES50" s="1474" t="e">
        <f>IF(ES6=0,0,ES49/ES6)</f>
        <v>#N/A</v>
      </c>
      <c r="ET50" s="1474" t="e">
        <f>IF(ET6=0,0,ET49/ET6)</f>
        <v>#N/A</v>
      </c>
      <c r="EU50" s="1474" t="e">
        <f>IF(EU6=0,0,EU49/EU6)</f>
        <v>#N/A</v>
      </c>
      <c r="EV50" s="1475" t="e">
        <f t="shared" ref="EV50:FD50" si="173">IF(EV6=0,0,EV49/EV6)</f>
        <v>#N/A</v>
      </c>
      <c r="EW50" s="1474" t="e">
        <f t="shared" si="173"/>
        <v>#N/A</v>
      </c>
      <c r="EX50" s="1474" t="e">
        <f t="shared" si="173"/>
        <v>#N/A</v>
      </c>
      <c r="EY50" s="1474" t="e">
        <f t="shared" si="173"/>
        <v>#N/A</v>
      </c>
      <c r="EZ50" s="1474" t="e">
        <f t="shared" si="173"/>
        <v>#N/A</v>
      </c>
      <c r="FA50" s="1474" t="e">
        <f t="shared" si="173"/>
        <v>#N/A</v>
      </c>
      <c r="FB50" s="1474" t="e">
        <f>IF(FB6=0,0,FB49/FB6)</f>
        <v>#N/A</v>
      </c>
      <c r="FC50" s="1474" t="e">
        <f t="shared" si="173"/>
        <v>#N/A</v>
      </c>
      <c r="FD50" s="1474" t="e">
        <f t="shared" si="173"/>
        <v>#N/A</v>
      </c>
      <c r="FE50" s="1474" t="e">
        <f t="shared" ref="FE50:FJ50" si="174">IF(FE6=0,0,FE49/FE6)</f>
        <v>#N/A</v>
      </c>
      <c r="FF50" s="1474" t="e">
        <f t="shared" si="174"/>
        <v>#N/A</v>
      </c>
      <c r="FG50" s="1474" t="e">
        <f t="shared" si="174"/>
        <v>#N/A</v>
      </c>
      <c r="FH50" s="1474" t="e">
        <f t="shared" si="174"/>
        <v>#N/A</v>
      </c>
      <c r="FI50" s="1474" t="e">
        <f t="shared" si="174"/>
        <v>#N/A</v>
      </c>
      <c r="FJ50" s="1474" t="e">
        <f t="shared" si="174"/>
        <v>#N/A</v>
      </c>
      <c r="FK50" s="1474"/>
      <c r="FL50" s="1474">
        <f>IF(FL6=0,0,FL49/FL6)</f>
        <v>0</v>
      </c>
      <c r="FM50" s="1474">
        <f>IF(FM6=0,0,FM49/FM6)</f>
        <v>0</v>
      </c>
    </row>
    <row r="51" spans="1:171" ht="16.149999999999999" customHeight="1">
      <c r="A51" s="1440">
        <f>ROWS($A$1:A51)</f>
        <v>51</v>
      </c>
      <c r="B51" s="1464" t="s">
        <v>1111</v>
      </c>
      <c r="C51" s="1463" t="s">
        <v>171</v>
      </c>
      <c r="D51" s="1471">
        <f>D23</f>
        <v>455.4</v>
      </c>
      <c r="E51" s="1471">
        <f t="shared" ref="E51:AH51" si="175">E23</f>
        <v>321.39999999999998</v>
      </c>
      <c r="F51" s="1471">
        <f t="shared" si="175"/>
        <v>455.4</v>
      </c>
      <c r="G51" s="1471">
        <f t="shared" si="175"/>
        <v>455.4</v>
      </c>
      <c r="H51" s="1471">
        <f t="shared" si="175"/>
        <v>455.4</v>
      </c>
      <c r="I51" s="1471">
        <f t="shared" si="175"/>
        <v>455.4</v>
      </c>
      <c r="J51" s="1471">
        <f t="shared" si="175"/>
        <v>455.4</v>
      </c>
      <c r="K51" s="1471">
        <f t="shared" si="175"/>
        <v>355.4</v>
      </c>
      <c r="L51" s="1471">
        <f t="shared" si="175"/>
        <v>455.4</v>
      </c>
      <c r="M51" s="1471">
        <f t="shared" si="175"/>
        <v>455.4</v>
      </c>
      <c r="N51" s="1471">
        <f t="shared" si="175"/>
        <v>455.4</v>
      </c>
      <c r="O51" s="1471">
        <f t="shared" si="175"/>
        <v>455.4</v>
      </c>
      <c r="P51" s="1471">
        <f t="shared" si="175"/>
        <v>455.4</v>
      </c>
      <c r="Q51" s="1471">
        <f t="shared" si="175"/>
        <v>355.4</v>
      </c>
      <c r="R51" s="1471"/>
      <c r="S51" s="1471">
        <f t="shared" si="175"/>
        <v>455.4</v>
      </c>
      <c r="T51" s="1471">
        <f t="shared" si="175"/>
        <v>455.4</v>
      </c>
      <c r="U51" s="1471">
        <f t="shared" si="175"/>
        <v>455.4</v>
      </c>
      <c r="V51" s="1471">
        <f t="shared" si="175"/>
        <v>455.4</v>
      </c>
      <c r="W51" s="1471"/>
      <c r="X51" s="1471">
        <f t="shared" si="175"/>
        <v>555.4</v>
      </c>
      <c r="Y51" s="1471">
        <f t="shared" si="175"/>
        <v>455.4</v>
      </c>
      <c r="Z51" s="1471">
        <f t="shared" si="175"/>
        <v>455.4</v>
      </c>
      <c r="AA51" s="1471">
        <f t="shared" si="175"/>
        <v>455.4</v>
      </c>
      <c r="AB51" s="1471">
        <f t="shared" si="175"/>
        <v>455.4</v>
      </c>
      <c r="AC51" s="1471">
        <f t="shared" si="175"/>
        <v>455.4</v>
      </c>
      <c r="AD51" s="1471">
        <f t="shared" si="175"/>
        <v>455.4</v>
      </c>
      <c r="AE51" s="1471">
        <f t="shared" si="175"/>
        <v>455.4</v>
      </c>
      <c r="AF51" s="1471">
        <f t="shared" si="175"/>
        <v>0</v>
      </c>
      <c r="AG51" s="1471">
        <f t="shared" si="175"/>
        <v>1085.4000000000001</v>
      </c>
      <c r="AH51" s="1471">
        <f t="shared" si="175"/>
        <v>455.4</v>
      </c>
      <c r="AI51" s="1473"/>
      <c r="AJ51" s="1472">
        <f t="shared" ref="AJ51:BN51" si="176">AJ23</f>
        <v>455.4</v>
      </c>
      <c r="AK51" s="1471">
        <f t="shared" si="176"/>
        <v>321.39999999999998</v>
      </c>
      <c r="AL51" s="1471">
        <f t="shared" si="176"/>
        <v>455.4</v>
      </c>
      <c r="AM51" s="1471">
        <f t="shared" si="176"/>
        <v>455.4</v>
      </c>
      <c r="AN51" s="1471">
        <f t="shared" si="176"/>
        <v>455.4</v>
      </c>
      <c r="AO51" s="1471">
        <f t="shared" si="176"/>
        <v>455.4</v>
      </c>
      <c r="AP51" s="1471">
        <f t="shared" si="176"/>
        <v>455.4</v>
      </c>
      <c r="AQ51" s="1471">
        <f t="shared" si="176"/>
        <v>355.4</v>
      </c>
      <c r="AR51" s="1471">
        <f t="shared" si="176"/>
        <v>455.4</v>
      </c>
      <c r="AS51" s="1471">
        <f t="shared" si="176"/>
        <v>455.4</v>
      </c>
      <c r="AT51" s="1471">
        <f t="shared" si="176"/>
        <v>455.4</v>
      </c>
      <c r="AU51" s="1471">
        <f t="shared" si="176"/>
        <v>455.4</v>
      </c>
      <c r="AV51" s="1471">
        <f t="shared" si="176"/>
        <v>455.4</v>
      </c>
      <c r="AW51" s="1471">
        <f t="shared" si="176"/>
        <v>355.4</v>
      </c>
      <c r="AX51" s="1471"/>
      <c r="AY51" s="1471">
        <f t="shared" si="176"/>
        <v>455.4</v>
      </c>
      <c r="AZ51" s="1471">
        <f t="shared" si="176"/>
        <v>455.4</v>
      </c>
      <c r="BA51" s="1471">
        <f t="shared" si="176"/>
        <v>455.4</v>
      </c>
      <c r="BB51" s="1471">
        <f t="shared" si="176"/>
        <v>455.4</v>
      </c>
      <c r="BC51" s="1471"/>
      <c r="BD51" s="1471">
        <f t="shared" si="176"/>
        <v>555.4</v>
      </c>
      <c r="BE51" s="1471">
        <f t="shared" si="176"/>
        <v>455.4</v>
      </c>
      <c r="BF51" s="1471">
        <f t="shared" si="176"/>
        <v>455.4</v>
      </c>
      <c r="BG51" s="1471">
        <f t="shared" si="176"/>
        <v>355.4</v>
      </c>
      <c r="BH51" s="1471">
        <f t="shared" si="176"/>
        <v>455.4</v>
      </c>
      <c r="BI51" s="1471">
        <f t="shared" si="176"/>
        <v>455.4</v>
      </c>
      <c r="BJ51" s="1471">
        <f t="shared" si="176"/>
        <v>455.4</v>
      </c>
      <c r="BK51" s="1471">
        <f t="shared" si="176"/>
        <v>455.4</v>
      </c>
      <c r="BL51" s="1471">
        <f t="shared" si="176"/>
        <v>0</v>
      </c>
      <c r="BM51" s="1471">
        <f t="shared" si="176"/>
        <v>1085.4000000000001</v>
      </c>
      <c r="BN51" s="1471">
        <f t="shared" si="176"/>
        <v>455.4</v>
      </c>
      <c r="BO51" s="4044"/>
      <c r="BP51" s="1472">
        <f t="shared" ref="BP51:CT51" si="177">BP23</f>
        <v>455.4</v>
      </c>
      <c r="BQ51" s="1471">
        <f t="shared" si="177"/>
        <v>321.39999999999998</v>
      </c>
      <c r="BR51" s="1471">
        <f t="shared" si="177"/>
        <v>455.4</v>
      </c>
      <c r="BS51" s="1471">
        <f t="shared" si="177"/>
        <v>455.4</v>
      </c>
      <c r="BT51" s="1471">
        <f t="shared" si="177"/>
        <v>455.4</v>
      </c>
      <c r="BU51" s="1471">
        <f t="shared" si="177"/>
        <v>455.4</v>
      </c>
      <c r="BV51" s="1471">
        <f t="shared" si="177"/>
        <v>455.4</v>
      </c>
      <c r="BW51" s="1471">
        <f t="shared" si="177"/>
        <v>355.4</v>
      </c>
      <c r="BX51" s="1471">
        <f t="shared" si="177"/>
        <v>455.4</v>
      </c>
      <c r="BY51" s="1471">
        <f t="shared" si="177"/>
        <v>455.4</v>
      </c>
      <c r="BZ51" s="1471">
        <f t="shared" si="177"/>
        <v>455.4</v>
      </c>
      <c r="CA51" s="1471">
        <f t="shared" si="177"/>
        <v>455.4</v>
      </c>
      <c r="CB51" s="1471">
        <f t="shared" si="177"/>
        <v>455.4</v>
      </c>
      <c r="CC51" s="1471">
        <f t="shared" si="177"/>
        <v>355.4</v>
      </c>
      <c r="CD51" s="1471"/>
      <c r="CE51" s="1471">
        <f t="shared" si="177"/>
        <v>455.4</v>
      </c>
      <c r="CF51" s="1471">
        <f t="shared" si="177"/>
        <v>455.4</v>
      </c>
      <c r="CG51" s="1471">
        <f t="shared" si="177"/>
        <v>455.4</v>
      </c>
      <c r="CH51" s="1471">
        <f t="shared" si="177"/>
        <v>455.4</v>
      </c>
      <c r="CI51" s="1471"/>
      <c r="CJ51" s="1471">
        <f t="shared" si="177"/>
        <v>555.4</v>
      </c>
      <c r="CK51" s="1471">
        <f t="shared" si="177"/>
        <v>455.4</v>
      </c>
      <c r="CL51" s="1471">
        <f t="shared" si="177"/>
        <v>455.4</v>
      </c>
      <c r="CM51" s="1471">
        <f t="shared" si="177"/>
        <v>455.4</v>
      </c>
      <c r="CN51" s="1471">
        <f t="shared" si="177"/>
        <v>455.4</v>
      </c>
      <c r="CO51" s="1471">
        <f t="shared" si="177"/>
        <v>455.4</v>
      </c>
      <c r="CP51" s="1471">
        <f t="shared" si="177"/>
        <v>455.4</v>
      </c>
      <c r="CQ51" s="1471">
        <f t="shared" si="177"/>
        <v>455.4</v>
      </c>
      <c r="CR51" s="1471">
        <f>CR23</f>
        <v>0</v>
      </c>
      <c r="CS51" s="1471">
        <f t="shared" si="177"/>
        <v>1085.4000000000001</v>
      </c>
      <c r="CT51" s="1471">
        <f t="shared" si="177"/>
        <v>455.4</v>
      </c>
      <c r="CV51" s="1464" t="s">
        <v>1111</v>
      </c>
      <c r="CW51" s="1463" t="s">
        <v>171</v>
      </c>
      <c r="CX51" s="1471">
        <f>CX23</f>
        <v>455.4</v>
      </c>
      <c r="CY51" s="1471">
        <f>CY23</f>
        <v>695.4</v>
      </c>
      <c r="CZ51" s="1471">
        <f>CZ23</f>
        <v>695.4</v>
      </c>
      <c r="DA51" s="1471">
        <f>DA23</f>
        <v>695.4</v>
      </c>
      <c r="DB51" s="1471">
        <f t="shared" ref="DB51:DJ51" si="178">DB23</f>
        <v>595.4</v>
      </c>
      <c r="DC51" s="1471">
        <f t="shared" si="178"/>
        <v>695.4</v>
      </c>
      <c r="DD51" s="1471">
        <f>DD23</f>
        <v>595.4</v>
      </c>
      <c r="DE51" s="1471">
        <f t="shared" si="178"/>
        <v>595.4</v>
      </c>
      <c r="DF51" s="1471">
        <f t="shared" si="178"/>
        <v>595.4</v>
      </c>
      <c r="DG51" s="1471">
        <f t="shared" si="178"/>
        <v>595.4</v>
      </c>
      <c r="DH51" s="1471">
        <f>DH23</f>
        <v>595.4</v>
      </c>
      <c r="DI51" s="1471">
        <f t="shared" si="178"/>
        <v>595.4</v>
      </c>
      <c r="DJ51" s="1471">
        <f t="shared" si="178"/>
        <v>595.4</v>
      </c>
      <c r="DK51" s="1471">
        <f>DK23</f>
        <v>595.4</v>
      </c>
      <c r="DL51" s="1471">
        <f t="shared" ref="DL51:DS51" si="179">DL23</f>
        <v>595.4</v>
      </c>
      <c r="DM51" s="1471">
        <f t="shared" si="179"/>
        <v>595.4</v>
      </c>
      <c r="DN51" s="1471">
        <f t="shared" si="179"/>
        <v>595.4</v>
      </c>
      <c r="DO51" s="1471">
        <f t="shared" si="179"/>
        <v>595.4</v>
      </c>
      <c r="DP51" s="1471">
        <f t="shared" si="179"/>
        <v>595.4</v>
      </c>
      <c r="DQ51" s="1471"/>
      <c r="DR51" s="1471">
        <f t="shared" si="179"/>
        <v>0</v>
      </c>
      <c r="DS51" s="1471">
        <f t="shared" si="179"/>
        <v>100</v>
      </c>
      <c r="DT51" s="1434"/>
      <c r="DU51" s="1471">
        <f>DU23</f>
        <v>455.4</v>
      </c>
      <c r="DV51" s="1471">
        <f>DV23</f>
        <v>695.4</v>
      </c>
      <c r="DW51" s="1471">
        <f>DW23</f>
        <v>695.4</v>
      </c>
      <c r="DX51" s="1471">
        <f>DX23</f>
        <v>695.4</v>
      </c>
      <c r="DY51" s="1472">
        <f t="shared" ref="DY51:EG51" si="180">DY23</f>
        <v>595.4</v>
      </c>
      <c r="DZ51" s="1471">
        <f t="shared" si="180"/>
        <v>695.4</v>
      </c>
      <c r="EA51" s="1471">
        <f t="shared" si="180"/>
        <v>595.4</v>
      </c>
      <c r="EB51" s="1471">
        <f t="shared" si="180"/>
        <v>595.4</v>
      </c>
      <c r="EC51" s="1471">
        <f t="shared" si="180"/>
        <v>595.4</v>
      </c>
      <c r="ED51" s="1471">
        <f t="shared" si="180"/>
        <v>595.4</v>
      </c>
      <c r="EE51" s="1471">
        <f>EE23</f>
        <v>595.4</v>
      </c>
      <c r="EF51" s="1471">
        <f t="shared" si="180"/>
        <v>595.4</v>
      </c>
      <c r="EG51" s="1471">
        <f t="shared" si="180"/>
        <v>595.4</v>
      </c>
      <c r="EH51" s="1471">
        <f t="shared" ref="EH51:EM51" si="181">EH23</f>
        <v>595.4</v>
      </c>
      <c r="EI51" s="1471">
        <f t="shared" si="181"/>
        <v>595.4</v>
      </c>
      <c r="EJ51" s="1471">
        <f t="shared" si="181"/>
        <v>595.4</v>
      </c>
      <c r="EK51" s="1471">
        <f t="shared" si="181"/>
        <v>595.4</v>
      </c>
      <c r="EL51" s="1471">
        <f t="shared" si="181"/>
        <v>595.4</v>
      </c>
      <c r="EM51" s="1471">
        <f t="shared" si="181"/>
        <v>595.4</v>
      </c>
      <c r="EN51" s="1471"/>
      <c r="EO51" s="1471">
        <f>EO23</f>
        <v>0</v>
      </c>
      <c r="EP51" s="1471">
        <f>EP23</f>
        <v>100</v>
      </c>
      <c r="EQ51" s="1434"/>
      <c r="ER51" s="1471">
        <f>ER23</f>
        <v>455.4</v>
      </c>
      <c r="ES51" s="1471">
        <f>ES23</f>
        <v>695.4</v>
      </c>
      <c r="ET51" s="1471">
        <f>ET23</f>
        <v>695.4</v>
      </c>
      <c r="EU51" s="1471">
        <f>EU23</f>
        <v>695.4</v>
      </c>
      <c r="EV51" s="1472">
        <f t="shared" ref="EV51:FD51" si="182">EV23</f>
        <v>595.4</v>
      </c>
      <c r="EW51" s="1471">
        <f t="shared" si="182"/>
        <v>695.4</v>
      </c>
      <c r="EX51" s="1471">
        <f t="shared" si="182"/>
        <v>595.4</v>
      </c>
      <c r="EY51" s="1471">
        <f t="shared" si="182"/>
        <v>595.4</v>
      </c>
      <c r="EZ51" s="1471">
        <f t="shared" si="182"/>
        <v>595.4</v>
      </c>
      <c r="FA51" s="1471">
        <f t="shared" si="182"/>
        <v>595.4</v>
      </c>
      <c r="FB51" s="1471">
        <f>FB23</f>
        <v>595.4</v>
      </c>
      <c r="FC51" s="1471">
        <f t="shared" si="182"/>
        <v>595.4</v>
      </c>
      <c r="FD51" s="1471">
        <f t="shared" si="182"/>
        <v>595.4</v>
      </c>
      <c r="FE51" s="1471">
        <f t="shared" ref="FE51:FJ51" si="183">FE23</f>
        <v>595.4</v>
      </c>
      <c r="FF51" s="1471">
        <f t="shared" si="183"/>
        <v>595.4</v>
      </c>
      <c r="FG51" s="1471">
        <f t="shared" si="183"/>
        <v>595.4</v>
      </c>
      <c r="FH51" s="1471">
        <f t="shared" si="183"/>
        <v>595.4</v>
      </c>
      <c r="FI51" s="1471">
        <f t="shared" si="183"/>
        <v>595.4</v>
      </c>
      <c r="FJ51" s="1471">
        <f t="shared" si="183"/>
        <v>595.4</v>
      </c>
      <c r="FK51" s="1471"/>
      <c r="FL51" s="1471">
        <f>FL23</f>
        <v>0</v>
      </c>
      <c r="FM51" s="1471">
        <f>FM23</f>
        <v>100</v>
      </c>
    </row>
    <row r="52" spans="1:171" s="1450" customFormat="1" ht="16.149999999999999" customHeight="1">
      <c r="A52" s="1440">
        <f>ROWS($A$1:A52)</f>
        <v>52</v>
      </c>
      <c r="B52" s="1459"/>
      <c r="C52" s="1458" t="s">
        <v>228</v>
      </c>
      <c r="D52" s="1468">
        <f>IF(D6=0,0,D51/D6)</f>
        <v>7.006153846153846</v>
      </c>
      <c r="E52" s="1468">
        <f t="shared" ref="E52:AH52" si="184">IF(E6=0,0,E51/E6)</f>
        <v>5.3566666666666665</v>
      </c>
      <c r="F52" s="1468">
        <f t="shared" si="184"/>
        <v>8.2799999999999994</v>
      </c>
      <c r="G52" s="1468">
        <f t="shared" si="184"/>
        <v>8.2799999999999994</v>
      </c>
      <c r="H52" s="1468">
        <f t="shared" si="184"/>
        <v>8.2799999999999994</v>
      </c>
      <c r="I52" s="1468">
        <f t="shared" si="184"/>
        <v>7.59</v>
      </c>
      <c r="J52" s="1468">
        <f t="shared" si="184"/>
        <v>8.2799999999999994</v>
      </c>
      <c r="K52" s="1468">
        <f t="shared" si="184"/>
        <v>7.1079999999999997</v>
      </c>
      <c r="L52" s="1468">
        <f t="shared" si="184"/>
        <v>8.2799999999999994</v>
      </c>
      <c r="M52" s="1468">
        <f t="shared" si="184"/>
        <v>9.1079999999999988</v>
      </c>
      <c r="N52" s="1468">
        <f t="shared" si="184"/>
        <v>11.385</v>
      </c>
      <c r="O52" s="1468">
        <f t="shared" si="184"/>
        <v>10.119999999999999</v>
      </c>
      <c r="P52" s="1468">
        <f t="shared" si="184"/>
        <v>11.385</v>
      </c>
      <c r="Q52" s="1468">
        <f t="shared" si="184"/>
        <v>4.4424999999999999</v>
      </c>
      <c r="R52" s="1468"/>
      <c r="S52" s="1468">
        <f t="shared" si="184"/>
        <v>15.18</v>
      </c>
      <c r="T52" s="1468">
        <f t="shared" si="184"/>
        <v>22.77</v>
      </c>
      <c r="U52" s="1468">
        <f t="shared" si="184"/>
        <v>18.215999999999998</v>
      </c>
      <c r="V52" s="1468">
        <f t="shared" si="184"/>
        <v>22.77</v>
      </c>
      <c r="W52" s="1468"/>
      <c r="X52" s="1468">
        <f t="shared" si="184"/>
        <v>27.77</v>
      </c>
      <c r="Y52" s="1468">
        <f t="shared" si="184"/>
        <v>22.77</v>
      </c>
      <c r="Z52" s="1468">
        <f t="shared" si="184"/>
        <v>45.54</v>
      </c>
      <c r="AA52" s="1468">
        <f t="shared" si="184"/>
        <v>1.3011428571428572</v>
      </c>
      <c r="AB52" s="1468">
        <f t="shared" si="184"/>
        <v>1.8215999999999999</v>
      </c>
      <c r="AC52" s="1468">
        <f t="shared" si="184"/>
        <v>1.518</v>
      </c>
      <c r="AD52" s="1468">
        <f t="shared" si="184"/>
        <v>1.2476712328767123</v>
      </c>
      <c r="AE52" s="1468">
        <f t="shared" si="184"/>
        <v>1.1890339425587466</v>
      </c>
      <c r="AF52" s="1468">
        <f t="shared" si="184"/>
        <v>0</v>
      </c>
      <c r="AG52" s="1468">
        <f t="shared" si="184"/>
        <v>1085.4000000000001</v>
      </c>
      <c r="AH52" s="1468">
        <f t="shared" si="184"/>
        <v>455.4</v>
      </c>
      <c r="AI52" s="1470"/>
      <c r="AJ52" s="1469">
        <f t="shared" ref="AJ52:BN52" si="185">IF(AJ6=0,0,AJ51/AJ6)</f>
        <v>5.6924999999999999</v>
      </c>
      <c r="AK52" s="1468">
        <f t="shared" si="185"/>
        <v>4.285333333333333</v>
      </c>
      <c r="AL52" s="1468">
        <f t="shared" si="185"/>
        <v>6.5057142857142853</v>
      </c>
      <c r="AM52" s="1468">
        <f t="shared" si="185"/>
        <v>7.006153846153846</v>
      </c>
      <c r="AN52" s="1468">
        <f t="shared" si="185"/>
        <v>7.006153846153846</v>
      </c>
      <c r="AO52" s="1468">
        <f t="shared" si="185"/>
        <v>6.0720000000000001</v>
      </c>
      <c r="AP52" s="1468">
        <f t="shared" si="185"/>
        <v>6.5057142857142853</v>
      </c>
      <c r="AQ52" s="1468">
        <f t="shared" si="185"/>
        <v>5.9233333333333329</v>
      </c>
      <c r="AR52" s="1468">
        <f t="shared" si="185"/>
        <v>7.006153846153846</v>
      </c>
      <c r="AS52" s="1468">
        <f t="shared" si="185"/>
        <v>7.59</v>
      </c>
      <c r="AT52" s="1468">
        <f t="shared" si="185"/>
        <v>9.2938775510204081</v>
      </c>
      <c r="AU52" s="1468">
        <f t="shared" si="185"/>
        <v>8.2799999999999994</v>
      </c>
      <c r="AV52" s="1468">
        <f t="shared" si="185"/>
        <v>8.2799999999999994</v>
      </c>
      <c r="AW52" s="1468">
        <f t="shared" si="185"/>
        <v>3.5539999999999998</v>
      </c>
      <c r="AX52" s="1468"/>
      <c r="AY52" s="1468">
        <f t="shared" si="185"/>
        <v>11.385</v>
      </c>
      <c r="AZ52" s="1468">
        <f t="shared" si="185"/>
        <v>18.215999999999998</v>
      </c>
      <c r="BA52" s="1468">
        <f t="shared" si="185"/>
        <v>15.18</v>
      </c>
      <c r="BB52" s="1468">
        <f t="shared" si="185"/>
        <v>16.866666666666667</v>
      </c>
      <c r="BC52" s="1468"/>
      <c r="BD52" s="1468">
        <f t="shared" si="185"/>
        <v>15.868571428571428</v>
      </c>
      <c r="BE52" s="1468">
        <f t="shared" si="185"/>
        <v>13.011428571428571</v>
      </c>
      <c r="BF52" s="1468">
        <f t="shared" si="185"/>
        <v>18.215999999999998</v>
      </c>
      <c r="BG52" s="1468">
        <f t="shared" si="185"/>
        <v>0.4868493150684931</v>
      </c>
      <c r="BH52" s="1468">
        <f t="shared" si="185"/>
        <v>1.518</v>
      </c>
      <c r="BI52" s="1468">
        <f t="shared" si="185"/>
        <v>1.3011428571428572</v>
      </c>
      <c r="BJ52" s="1468">
        <f t="shared" si="185"/>
        <v>1.2442622950819671</v>
      </c>
      <c r="BK52" s="1468">
        <f t="shared" si="185"/>
        <v>1.0715294117647058</v>
      </c>
      <c r="BL52" s="1468">
        <f t="shared" si="185"/>
        <v>0</v>
      </c>
      <c r="BM52" s="1468">
        <f t="shared" si="185"/>
        <v>1085.4000000000001</v>
      </c>
      <c r="BN52" s="1468">
        <f t="shared" si="185"/>
        <v>455.4</v>
      </c>
      <c r="BO52" s="1470"/>
      <c r="BP52" s="1469">
        <f t="shared" ref="BP52:CT52" si="186">IF(BP6=0,0,BP51/BP6)</f>
        <v>4.7936842105263153</v>
      </c>
      <c r="BQ52" s="1468">
        <f t="shared" si="186"/>
        <v>3.5711111111111107</v>
      </c>
      <c r="BR52" s="1468">
        <f t="shared" si="186"/>
        <v>5.3576470588235292</v>
      </c>
      <c r="BS52" s="1468">
        <f t="shared" si="186"/>
        <v>6.0720000000000001</v>
      </c>
      <c r="BT52" s="1468">
        <f t="shared" si="186"/>
        <v>6.0720000000000001</v>
      </c>
      <c r="BU52" s="1468">
        <f t="shared" si="186"/>
        <v>5.0599999999999996</v>
      </c>
      <c r="BV52" s="1468">
        <f t="shared" si="186"/>
        <v>5.3576470588235292</v>
      </c>
      <c r="BW52" s="1468">
        <f t="shared" si="186"/>
        <v>5.0771428571428565</v>
      </c>
      <c r="BX52" s="1468">
        <f t="shared" si="186"/>
        <v>6.0720000000000001</v>
      </c>
      <c r="BY52" s="1468">
        <f t="shared" si="186"/>
        <v>6.5057142857142853</v>
      </c>
      <c r="BZ52" s="1468">
        <f t="shared" si="186"/>
        <v>7.8517241379310345</v>
      </c>
      <c r="CA52" s="1468">
        <f t="shared" si="186"/>
        <v>7.006153846153846</v>
      </c>
      <c r="CB52" s="1468">
        <f t="shared" si="186"/>
        <v>7.59</v>
      </c>
      <c r="CC52" s="1468">
        <f t="shared" si="186"/>
        <v>2.9616666666666664</v>
      </c>
      <c r="CD52" s="1468"/>
      <c r="CE52" s="1468">
        <f t="shared" si="186"/>
        <v>9.1079999999999988</v>
      </c>
      <c r="CF52" s="1468">
        <f t="shared" si="186"/>
        <v>15.18</v>
      </c>
      <c r="CG52" s="1468">
        <f t="shared" si="186"/>
        <v>13.011428571428571</v>
      </c>
      <c r="CH52" s="1468">
        <f t="shared" si="186"/>
        <v>13.394117647058822</v>
      </c>
      <c r="CI52" s="1468"/>
      <c r="CJ52" s="1468">
        <f t="shared" si="186"/>
        <v>11.107999999999999</v>
      </c>
      <c r="CK52" s="1468">
        <f t="shared" si="186"/>
        <v>9.1079999999999988</v>
      </c>
      <c r="CL52" s="1468">
        <f t="shared" si="186"/>
        <v>11.385</v>
      </c>
      <c r="CM52" s="1468">
        <f t="shared" si="186"/>
        <v>0.53576470588235292</v>
      </c>
      <c r="CN52" s="1468">
        <f t="shared" si="186"/>
        <v>1.3011428571428572</v>
      </c>
      <c r="CO52" s="1468">
        <f t="shared" si="186"/>
        <v>1.1384999999999998</v>
      </c>
      <c r="CP52" s="1468">
        <f t="shared" si="186"/>
        <v>1.1384999999999998</v>
      </c>
      <c r="CQ52" s="1468">
        <f t="shared" si="186"/>
        <v>0.97725321888412009</v>
      </c>
      <c r="CR52" s="1468">
        <f>IF(CR6=0,0,CR51/CR6)</f>
        <v>0</v>
      </c>
      <c r="CS52" s="1468">
        <f t="shared" si="186"/>
        <v>1085.4000000000001</v>
      </c>
      <c r="CT52" s="1468">
        <f t="shared" si="186"/>
        <v>455.4</v>
      </c>
      <c r="CV52" s="1459"/>
      <c r="CW52" s="1458" t="s">
        <v>228</v>
      </c>
      <c r="CX52" s="1468">
        <f>IF(CX6=0,0,CX51/CX6)</f>
        <v>1.518</v>
      </c>
      <c r="CY52" s="1468">
        <f>IF(CY6=0,0,CY51/CY6)</f>
        <v>1.7384999999999999</v>
      </c>
      <c r="CZ52" s="1468">
        <f>IF(CZ6=0,0,CZ51/CZ6)</f>
        <v>2.3180000000000001</v>
      </c>
      <c r="DA52" s="1468">
        <f>IF(DA6=0,0,DA51/DA6)</f>
        <v>1.9868571428571429</v>
      </c>
      <c r="DB52" s="1468">
        <f t="shared" ref="DB52:DJ52" si="187">IF(DB6=0,0,DB51/DB6)</f>
        <v>19.846666666666668</v>
      </c>
      <c r="DC52" s="1468">
        <f t="shared" si="187"/>
        <v>23.18</v>
      </c>
      <c r="DD52" s="1468">
        <f>IF(DD6=0,0,DD51/DD6)</f>
        <v>22.681904761904761</v>
      </c>
      <c r="DE52" s="1468">
        <f t="shared" si="187"/>
        <v>33.853589196872775</v>
      </c>
      <c r="DF52" s="1468">
        <f t="shared" si="187"/>
        <v>19.846666666666668</v>
      </c>
      <c r="DG52" s="1468">
        <f t="shared" si="187"/>
        <v>19.846666666666668</v>
      </c>
      <c r="DH52" s="1468">
        <f>IF(DH6=0,0,DH51/DH6)</f>
        <v>19.846666666666668</v>
      </c>
      <c r="DI52" s="1468">
        <f t="shared" si="187"/>
        <v>25.202116402116403</v>
      </c>
      <c r="DJ52" s="1468">
        <f t="shared" si="187"/>
        <v>9.9233333333333338</v>
      </c>
      <c r="DK52" s="1468">
        <f>IF(DK6=0,0,DK51/DK6)</f>
        <v>22.681904761904761</v>
      </c>
      <c r="DL52" s="1468">
        <f t="shared" ref="DL52:DS52" si="188">IF(DL6=0,0,DL51/DL6)</f>
        <v>26.46222222222222</v>
      </c>
      <c r="DM52" s="1468">
        <f t="shared" si="188"/>
        <v>23.349019607843136</v>
      </c>
      <c r="DN52" s="1468">
        <f t="shared" si="188"/>
        <v>29.77</v>
      </c>
      <c r="DO52" s="1468">
        <f t="shared" si="188"/>
        <v>59.54</v>
      </c>
      <c r="DP52" s="1468">
        <f t="shared" si="188"/>
        <v>3.9693333333333332</v>
      </c>
      <c r="DQ52" s="1468"/>
      <c r="DR52" s="1468">
        <f t="shared" si="188"/>
        <v>0</v>
      </c>
      <c r="DS52" s="1468">
        <f t="shared" si="188"/>
        <v>0</v>
      </c>
      <c r="DU52" s="1468">
        <f>IF(DU6=0,0,DU51/DU6)</f>
        <v>1.1384999999999998</v>
      </c>
      <c r="DV52" s="1468">
        <f>IF(DV6=0,0,DV51/DV6)</f>
        <v>1.3908</v>
      </c>
      <c r="DW52" s="1468">
        <f>IF(DW6=0,0,DW51/DW6)</f>
        <v>1.7384999999999999</v>
      </c>
      <c r="DX52" s="1468">
        <f>IF(DX6=0,0,DX51/DX6)</f>
        <v>1.5453333333333332</v>
      </c>
      <c r="DY52" s="1469">
        <f t="shared" ref="DY52:EG52" si="189">IF(DY6=0,0,DY51/DY6)</f>
        <v>14.885</v>
      </c>
      <c r="DZ52" s="1468">
        <f t="shared" si="189"/>
        <v>17.384999999999998</v>
      </c>
      <c r="EA52" s="1468">
        <f t="shared" si="189"/>
        <v>17.011428571428571</v>
      </c>
      <c r="EB52" s="1468">
        <f t="shared" si="189"/>
        <v>25.390191897654582</v>
      </c>
      <c r="EC52" s="1468">
        <f t="shared" si="189"/>
        <v>14.885</v>
      </c>
      <c r="ED52" s="1468">
        <f t="shared" si="189"/>
        <v>14.885</v>
      </c>
      <c r="EE52" s="1468">
        <f>IF(EE6=0,0,EE51/EE6)</f>
        <v>14.885</v>
      </c>
      <c r="EF52" s="1468">
        <f t="shared" si="189"/>
        <v>18.901587301587302</v>
      </c>
      <c r="EG52" s="1468">
        <f t="shared" si="189"/>
        <v>7.4424999999999999</v>
      </c>
      <c r="EH52" s="1468">
        <f t="shared" ref="EH52:EM52" si="190">IF(EH6=0,0,EH51/EH6)</f>
        <v>17.011428571428571</v>
      </c>
      <c r="EI52" s="1468">
        <f t="shared" si="190"/>
        <v>19.846666666666668</v>
      </c>
      <c r="EJ52" s="1468">
        <f t="shared" si="190"/>
        <v>19.846666666666668</v>
      </c>
      <c r="EK52" s="1468">
        <f t="shared" si="190"/>
        <v>19.846666666666668</v>
      </c>
      <c r="EL52" s="1468">
        <f t="shared" si="190"/>
        <v>31.336842105263155</v>
      </c>
      <c r="EM52" s="1468">
        <f t="shared" si="190"/>
        <v>3.1754666666666664</v>
      </c>
      <c r="EN52" s="1468"/>
      <c r="EO52" s="1468">
        <f>IF(EO6=0,0,EO51/EO6)</f>
        <v>0</v>
      </c>
      <c r="EP52" s="1468">
        <f>IF(EP6=0,0,EP51/EP6)</f>
        <v>0</v>
      </c>
      <c r="ER52" s="1468">
        <f>IF(ER6=0,0,ER51/ER6)</f>
        <v>0.91079999999999994</v>
      </c>
      <c r="ES52" s="1468">
        <f>IF(ES6=0,0,ES51/ES6)</f>
        <v>1.159</v>
      </c>
      <c r="ET52" s="1468">
        <f>IF(ET6=0,0,ET51/ET6)</f>
        <v>1.3908</v>
      </c>
      <c r="EU52" s="1468">
        <f>IF(EU6=0,0,EU51/EU6)</f>
        <v>1.2643636363636364</v>
      </c>
      <c r="EV52" s="1469">
        <f t="shared" ref="EV52:FD52" si="191">IF(EV6=0,0,EV51/EV6)</f>
        <v>8.6289855072463766</v>
      </c>
      <c r="EW52" s="1468">
        <f t="shared" si="191"/>
        <v>11.59</v>
      </c>
      <c r="EX52" s="1468">
        <f t="shared" si="191"/>
        <v>13.23111111111111</v>
      </c>
      <c r="EY52" s="1468">
        <f t="shared" si="191"/>
        <v>20.312153518123665</v>
      </c>
      <c r="EZ52" s="1468">
        <f t="shared" si="191"/>
        <v>11.907999999999999</v>
      </c>
      <c r="FA52" s="1468">
        <f t="shared" si="191"/>
        <v>11.907999999999999</v>
      </c>
      <c r="FB52" s="1468">
        <f>IF(FB6=0,0,FB51/FB6)</f>
        <v>11.907999999999999</v>
      </c>
      <c r="FC52" s="1468">
        <f t="shared" si="191"/>
        <v>15.121269841269841</v>
      </c>
      <c r="FD52" s="1468">
        <f t="shared" si="191"/>
        <v>5.9539999999999997</v>
      </c>
      <c r="FE52" s="1468">
        <f t="shared" ref="FE52:FJ52" si="192">IF(FE6=0,0,FE51/FE6)</f>
        <v>13.609142857142857</v>
      </c>
      <c r="FF52" s="1468">
        <f t="shared" si="192"/>
        <v>15.877333333333333</v>
      </c>
      <c r="FG52" s="1468">
        <f t="shared" si="192"/>
        <v>17.257971014492753</v>
      </c>
      <c r="FH52" s="1468">
        <f t="shared" si="192"/>
        <v>14.885</v>
      </c>
      <c r="FI52" s="1468">
        <f t="shared" si="192"/>
        <v>22.9</v>
      </c>
      <c r="FJ52" s="1468">
        <f t="shared" si="192"/>
        <v>2.6462222222222223</v>
      </c>
      <c r="FK52" s="1468"/>
      <c r="FL52" s="1468">
        <f>IF(FL6=0,0,FL51/FL6)</f>
        <v>0</v>
      </c>
      <c r="FM52" s="1468">
        <f>IF(FM6=0,0,FM51/FM6)</f>
        <v>0</v>
      </c>
    </row>
    <row r="53" spans="1:171" ht="18" customHeight="1">
      <c r="A53" s="1440">
        <f>ROWS($A$1:A53)</f>
        <v>53</v>
      </c>
      <c r="B53" s="1457" t="s">
        <v>1108</v>
      </c>
      <c r="C53" s="1456" t="s">
        <v>171</v>
      </c>
      <c r="D53" s="1445">
        <f>D49-D51</f>
        <v>1147.2654538231063</v>
      </c>
      <c r="E53" s="1445">
        <f t="shared" ref="E53:AH53" si="193">E49-E51</f>
        <v>1620.8233384141354</v>
      </c>
      <c r="F53" s="1445">
        <f t="shared" si="193"/>
        <v>1506.1074419973943</v>
      </c>
      <c r="G53" s="1445">
        <f t="shared" si="193"/>
        <v>1556.7175912418388</v>
      </c>
      <c r="H53" s="1445">
        <f t="shared" si="193"/>
        <v>1269.5909332209776</v>
      </c>
      <c r="I53" s="1445">
        <f t="shared" si="193"/>
        <v>1374.9231711098669</v>
      </c>
      <c r="J53" s="1445">
        <f t="shared" si="193"/>
        <v>1438.8465813307275</v>
      </c>
      <c r="K53" s="1445">
        <f t="shared" si="193"/>
        <v>1539.6608889139861</v>
      </c>
      <c r="L53" s="1445">
        <f t="shared" si="193"/>
        <v>1253.6350477324513</v>
      </c>
      <c r="M53" s="1445">
        <f t="shared" si="193"/>
        <v>1327.2455513635491</v>
      </c>
      <c r="N53" s="1445">
        <f t="shared" si="193"/>
        <v>1185.7339240124315</v>
      </c>
      <c r="O53" s="1445">
        <f t="shared" si="193"/>
        <v>1102.585706982853</v>
      </c>
      <c r="P53" s="1445">
        <f t="shared" si="193"/>
        <v>1444.582200453774</v>
      </c>
      <c r="Q53" s="1445">
        <f t="shared" si="193"/>
        <v>1881.2569640003658</v>
      </c>
      <c r="R53" s="1445"/>
      <c r="S53" s="1445">
        <f t="shared" si="193"/>
        <v>1463.2045026421647</v>
      </c>
      <c r="T53" s="1445">
        <f t="shared" si="193"/>
        <v>1434.9862387904191</v>
      </c>
      <c r="U53" s="1445">
        <f t="shared" si="193"/>
        <v>1385.3876316934216</v>
      </c>
      <c r="V53" s="1445">
        <f t="shared" si="193"/>
        <v>1283.6364813985597</v>
      </c>
      <c r="W53" s="1445"/>
      <c r="X53" s="1445">
        <f t="shared" si="193"/>
        <v>917.313779751472</v>
      </c>
      <c r="Y53" s="1445">
        <f t="shared" si="193"/>
        <v>1011.5278804856863</v>
      </c>
      <c r="Z53" s="1445">
        <f t="shared" si="193"/>
        <v>1009.7113055256601</v>
      </c>
      <c r="AA53" s="1445">
        <f t="shared" si="193"/>
        <v>1495.7985773846476</v>
      </c>
      <c r="AB53" s="1445">
        <f t="shared" si="193"/>
        <v>7741.9628949362304</v>
      </c>
      <c r="AC53" s="1445">
        <f t="shared" si="193"/>
        <v>9865.0908835953087</v>
      </c>
      <c r="AD53" s="1445">
        <f t="shared" si="193"/>
        <v>7499.4721541077042</v>
      </c>
      <c r="AE53" s="1445">
        <f t="shared" si="193"/>
        <v>8213.5908313526998</v>
      </c>
      <c r="AF53" s="1445">
        <f t="shared" si="193"/>
        <v>647</v>
      </c>
      <c r="AG53" s="1445">
        <f t="shared" si="193"/>
        <v>-130.14467478836139</v>
      </c>
      <c r="AH53" s="1445">
        <f t="shared" si="193"/>
        <v>-180.4204506887927</v>
      </c>
      <c r="AI53" s="1442"/>
      <c r="AJ53" s="1443">
        <f t="shared" ref="AJ53:BN53" si="194">AJ49-AJ51</f>
        <v>1413.5386270876224</v>
      </c>
      <c r="AK53" s="1445">
        <f t="shared" si="194"/>
        <v>1821.1435373928352</v>
      </c>
      <c r="AL53" s="1445">
        <f t="shared" si="194"/>
        <v>1687.6551543094274</v>
      </c>
      <c r="AM53" s="1445">
        <f t="shared" si="194"/>
        <v>1700.8774051815753</v>
      </c>
      <c r="AN53" s="1445">
        <f t="shared" si="194"/>
        <v>1383.5113038322384</v>
      </c>
      <c r="AO53" s="1445">
        <f t="shared" si="194"/>
        <v>1526.6616816934238</v>
      </c>
      <c r="AP53" s="1445">
        <f t="shared" si="194"/>
        <v>1590.431318580951</v>
      </c>
      <c r="AQ53" s="1445">
        <f t="shared" si="194"/>
        <v>1693.9588708092788</v>
      </c>
      <c r="AR53" s="1445">
        <f t="shared" si="194"/>
        <v>1471.8091160657846</v>
      </c>
      <c r="AS53" s="1445">
        <f t="shared" si="194"/>
        <v>1444.7555327324508</v>
      </c>
      <c r="AT53" s="1445">
        <f t="shared" si="194"/>
        <v>1278.9193387146665</v>
      </c>
      <c r="AU53" s="1445">
        <f t="shared" si="194"/>
        <v>1245.7685214924445</v>
      </c>
      <c r="AV53" s="1445">
        <f t="shared" si="194"/>
        <v>1609.1971025071275</v>
      </c>
      <c r="AW53" s="1445">
        <f t="shared" si="194"/>
        <v>2127.509917849281</v>
      </c>
      <c r="AX53" s="1445"/>
      <c r="AY53" s="1445">
        <f t="shared" si="194"/>
        <v>1687.5720008076191</v>
      </c>
      <c r="AZ53" s="1445">
        <f t="shared" si="194"/>
        <v>1599.168402585783</v>
      </c>
      <c r="BA53" s="1445">
        <f t="shared" si="194"/>
        <v>1525.5207573778725</v>
      </c>
      <c r="BB53" s="1445">
        <f t="shared" si="194"/>
        <v>1395.6749868190195</v>
      </c>
      <c r="BC53" s="1445"/>
      <c r="BD53" s="1445">
        <f t="shared" si="194"/>
        <v>1060.9627380848056</v>
      </c>
      <c r="BE53" s="1445">
        <f t="shared" si="194"/>
        <v>1168.4139853070274</v>
      </c>
      <c r="BF53" s="1445">
        <f t="shared" si="194"/>
        <v>1127.8618042456797</v>
      </c>
      <c r="BG53" s="1445">
        <f t="shared" si="194"/>
        <v>2344.0204646068701</v>
      </c>
      <c r="BH53" s="1445">
        <f t="shared" si="194"/>
        <v>7931.1785160809923</v>
      </c>
      <c r="BI53" s="1445">
        <f t="shared" si="194"/>
        <v>10040.722902710491</v>
      </c>
      <c r="BJ53" s="1445">
        <f t="shared" si="194"/>
        <v>7597.7970710857981</v>
      </c>
      <c r="BK53" s="1445">
        <f t="shared" si="194"/>
        <v>8364.4604867809667</v>
      </c>
      <c r="BL53" s="1445">
        <f t="shared" si="194"/>
        <v>697.00000000000011</v>
      </c>
      <c r="BM53" s="1445">
        <f t="shared" si="194"/>
        <v>-80.144674788361272</v>
      </c>
      <c r="BN53" s="1445">
        <f t="shared" si="194"/>
        <v>126.24621597787393</v>
      </c>
      <c r="BO53" s="1442"/>
      <c r="BP53" s="1443">
        <f t="shared" ref="BP53:CT53" si="195">BP49-BP51</f>
        <v>1566.1001002396665</v>
      </c>
      <c r="BQ53" s="1445">
        <f t="shared" si="195"/>
        <v>2001.6957697048688</v>
      </c>
      <c r="BR53" s="1445">
        <f t="shared" si="195"/>
        <v>1863.699399954794</v>
      </c>
      <c r="BS53" s="1445">
        <f t="shared" si="195"/>
        <v>1845.0372191213114</v>
      </c>
      <c r="BT53" s="1445">
        <f t="shared" si="195"/>
        <v>1533.1106040595023</v>
      </c>
      <c r="BU53" s="1445">
        <f t="shared" si="195"/>
        <v>1697.0386547555313</v>
      </c>
      <c r="BV53" s="1445">
        <f t="shared" si="195"/>
        <v>1778.6867855596511</v>
      </c>
      <c r="BW53" s="1445">
        <f t="shared" si="195"/>
        <v>1811.0904063094272</v>
      </c>
      <c r="BX53" s="1445">
        <f t="shared" si="195"/>
        <v>1453.377767732451</v>
      </c>
      <c r="BY53" s="1445">
        <f t="shared" si="195"/>
        <v>1562.2655141013529</v>
      </c>
      <c r="BZ53" s="1445">
        <f t="shared" si="195"/>
        <v>1372.104753416902</v>
      </c>
      <c r="CA53" s="1445">
        <f t="shared" si="195"/>
        <v>1359.4667339724579</v>
      </c>
      <c r="CB53" s="1445">
        <f t="shared" si="195"/>
        <v>1697.4020698582449</v>
      </c>
      <c r="CC53" s="1445">
        <f t="shared" si="195"/>
        <v>2373.7628716981958</v>
      </c>
      <c r="CD53" s="1445"/>
      <c r="CE53" s="1445">
        <f t="shared" si="195"/>
        <v>1871.6957657522125</v>
      </c>
      <c r="CF53" s="1445">
        <f t="shared" si="195"/>
        <v>1723.1977976849016</v>
      </c>
      <c r="CG53" s="1445">
        <f t="shared" si="195"/>
        <v>1665.6538830623235</v>
      </c>
      <c r="CH53" s="1445">
        <f t="shared" si="195"/>
        <v>1507.7134922394798</v>
      </c>
      <c r="CI53" s="1445"/>
      <c r="CJ53" s="1445">
        <f t="shared" si="195"/>
        <v>1210.1792060608209</v>
      </c>
      <c r="CK53" s="1445">
        <f t="shared" si="195"/>
        <v>1328.0838449497096</v>
      </c>
      <c r="CL53" s="1445">
        <f t="shared" si="195"/>
        <v>1246.0123029656993</v>
      </c>
      <c r="CM53" s="1445">
        <f t="shared" si="195"/>
        <v>2488.3702405253375</v>
      </c>
      <c r="CN53" s="1445">
        <f t="shared" si="195"/>
        <v>8120.3941372257541</v>
      </c>
      <c r="CO53" s="1445">
        <f t="shared" si="195"/>
        <v>10243.522125884832</v>
      </c>
      <c r="CP53" s="1445">
        <f t="shared" si="195"/>
        <v>7742.6150005638938</v>
      </c>
      <c r="CQ53" s="1445">
        <f t="shared" si="195"/>
        <v>8513.2688496196697</v>
      </c>
      <c r="CR53" s="1445">
        <f>CR49-CR51</f>
        <v>747.00000000000011</v>
      </c>
      <c r="CS53" s="1445">
        <f t="shared" si="195"/>
        <v>-30.144674788361272</v>
      </c>
      <c r="CT53" s="1445">
        <f t="shared" si="195"/>
        <v>176.24621597787393</v>
      </c>
      <c r="CV53" s="1457" t="s">
        <v>1108</v>
      </c>
      <c r="CW53" s="1456" t="s">
        <v>171</v>
      </c>
      <c r="CX53" s="1445" t="e">
        <f>CX49-CX51</f>
        <v>#N/A</v>
      </c>
      <c r="CY53" s="1445" t="e">
        <f t="shared" ref="CY53:DS53" si="196">CY49-CY51</f>
        <v>#N/A</v>
      </c>
      <c r="CZ53" s="1445" t="e">
        <f t="shared" si="196"/>
        <v>#N/A</v>
      </c>
      <c r="DA53" s="1445" t="e">
        <f t="shared" si="196"/>
        <v>#N/A</v>
      </c>
      <c r="DB53" s="1445" t="e">
        <f t="shared" si="196"/>
        <v>#N/A</v>
      </c>
      <c r="DC53" s="1445" t="e">
        <f t="shared" si="196"/>
        <v>#N/A</v>
      </c>
      <c r="DD53" s="1445" t="e">
        <f t="shared" si="196"/>
        <v>#N/A</v>
      </c>
      <c r="DE53" s="1445" t="e">
        <f t="shared" si="196"/>
        <v>#N/A</v>
      </c>
      <c r="DF53" s="1445" t="e">
        <f t="shared" si="196"/>
        <v>#N/A</v>
      </c>
      <c r="DG53" s="1445" t="e">
        <f t="shared" si="196"/>
        <v>#N/A</v>
      </c>
      <c r="DH53" s="1445" t="e">
        <f>DH49-DH51</f>
        <v>#N/A</v>
      </c>
      <c r="DI53" s="1445" t="e">
        <f t="shared" si="196"/>
        <v>#N/A</v>
      </c>
      <c r="DJ53" s="1445" t="e">
        <f t="shared" si="196"/>
        <v>#N/A</v>
      </c>
      <c r="DK53" s="1445" t="e">
        <f t="shared" si="196"/>
        <v>#N/A</v>
      </c>
      <c r="DL53" s="1445" t="e">
        <f t="shared" si="196"/>
        <v>#N/A</v>
      </c>
      <c r="DM53" s="1445" t="e">
        <f t="shared" si="196"/>
        <v>#N/A</v>
      </c>
      <c r="DN53" s="1445" t="e">
        <f t="shared" si="196"/>
        <v>#N/A</v>
      </c>
      <c r="DO53" s="1445" t="e">
        <f t="shared" si="196"/>
        <v>#N/A</v>
      </c>
      <c r="DP53" s="1445" t="e">
        <f t="shared" si="196"/>
        <v>#N/A</v>
      </c>
      <c r="DQ53" s="1445"/>
      <c r="DR53" s="1445" t="e">
        <f t="shared" si="196"/>
        <v>#N/A</v>
      </c>
      <c r="DS53" s="1445" t="e">
        <f t="shared" si="196"/>
        <v>#N/A</v>
      </c>
      <c r="DT53" s="1434"/>
      <c r="DU53" s="1445" t="e">
        <f>DU49-DU51</f>
        <v>#N/A</v>
      </c>
      <c r="DV53" s="1445" t="e">
        <f>DV49-DV51</f>
        <v>#N/A</v>
      </c>
      <c r="DW53" s="1445" t="e">
        <f>DW49-DW51</f>
        <v>#N/A</v>
      </c>
      <c r="DX53" s="1445" t="e">
        <f>DX49-DX51</f>
        <v>#N/A</v>
      </c>
      <c r="DY53" s="1443" t="e">
        <f t="shared" ref="DY53:EG53" si="197">DY49-DY51</f>
        <v>#N/A</v>
      </c>
      <c r="DZ53" s="1445" t="e">
        <f t="shared" si="197"/>
        <v>#N/A</v>
      </c>
      <c r="EA53" s="1445" t="e">
        <f t="shared" si="197"/>
        <v>#N/A</v>
      </c>
      <c r="EB53" s="1445" t="e">
        <f t="shared" si="197"/>
        <v>#N/A</v>
      </c>
      <c r="EC53" s="1445" t="e">
        <f t="shared" si="197"/>
        <v>#N/A</v>
      </c>
      <c r="ED53" s="1445" t="e">
        <f t="shared" si="197"/>
        <v>#N/A</v>
      </c>
      <c r="EE53" s="1445" t="e">
        <f>EE49-EE51</f>
        <v>#N/A</v>
      </c>
      <c r="EF53" s="1445" t="e">
        <f t="shared" si="197"/>
        <v>#N/A</v>
      </c>
      <c r="EG53" s="1445" t="e">
        <f t="shared" si="197"/>
        <v>#N/A</v>
      </c>
      <c r="EH53" s="1445" t="e">
        <f t="shared" ref="EH53:EM53" si="198">EH49-EH51</f>
        <v>#N/A</v>
      </c>
      <c r="EI53" s="1445" t="e">
        <f t="shared" si="198"/>
        <v>#N/A</v>
      </c>
      <c r="EJ53" s="1445" t="e">
        <f t="shared" si="198"/>
        <v>#N/A</v>
      </c>
      <c r="EK53" s="1445" t="e">
        <f t="shared" si="198"/>
        <v>#N/A</v>
      </c>
      <c r="EL53" s="1445" t="e">
        <f t="shared" si="198"/>
        <v>#N/A</v>
      </c>
      <c r="EM53" s="1445" t="e">
        <f t="shared" si="198"/>
        <v>#N/A</v>
      </c>
      <c r="EN53" s="1445"/>
      <c r="EO53" s="1445" t="e">
        <f>EO49-EO51</f>
        <v>#N/A</v>
      </c>
      <c r="EP53" s="1445" t="e">
        <f>EP49-EP51</f>
        <v>#N/A</v>
      </c>
      <c r="EQ53" s="1434"/>
      <c r="ER53" s="1445" t="e">
        <f>ER49-ER51</f>
        <v>#N/A</v>
      </c>
      <c r="ES53" s="1445" t="e">
        <f>ES49-ES51</f>
        <v>#N/A</v>
      </c>
      <c r="ET53" s="1445" t="e">
        <f>ET49-ET51</f>
        <v>#N/A</v>
      </c>
      <c r="EU53" s="1445" t="e">
        <f>EU49-EU51</f>
        <v>#N/A</v>
      </c>
      <c r="EV53" s="1443" t="e">
        <f t="shared" ref="EV53:FD53" si="199">EV49-EV51</f>
        <v>#N/A</v>
      </c>
      <c r="EW53" s="1445" t="e">
        <f t="shared" si="199"/>
        <v>#N/A</v>
      </c>
      <c r="EX53" s="1445" t="e">
        <f t="shared" si="199"/>
        <v>#N/A</v>
      </c>
      <c r="EY53" s="1445" t="e">
        <f t="shared" si="199"/>
        <v>#N/A</v>
      </c>
      <c r="EZ53" s="1445" t="e">
        <f t="shared" si="199"/>
        <v>#N/A</v>
      </c>
      <c r="FA53" s="1445" t="e">
        <f t="shared" si="199"/>
        <v>#N/A</v>
      </c>
      <c r="FB53" s="1445" t="e">
        <f>FB49-FB51</f>
        <v>#N/A</v>
      </c>
      <c r="FC53" s="1445" t="e">
        <f t="shared" si="199"/>
        <v>#N/A</v>
      </c>
      <c r="FD53" s="1445" t="e">
        <f t="shared" si="199"/>
        <v>#N/A</v>
      </c>
      <c r="FE53" s="1445" t="e">
        <f t="shared" ref="FE53:FJ53" si="200">FE49-FE51</f>
        <v>#N/A</v>
      </c>
      <c r="FF53" s="1445" t="e">
        <f t="shared" si="200"/>
        <v>#N/A</v>
      </c>
      <c r="FG53" s="1445" t="e">
        <f t="shared" si="200"/>
        <v>#N/A</v>
      </c>
      <c r="FH53" s="1445" t="e">
        <f t="shared" si="200"/>
        <v>#N/A</v>
      </c>
      <c r="FI53" s="1445" t="e">
        <f t="shared" si="200"/>
        <v>#N/A</v>
      </c>
      <c r="FJ53" s="1445" t="e">
        <f t="shared" si="200"/>
        <v>#N/A</v>
      </c>
      <c r="FK53" s="1445"/>
      <c r="FL53" s="1445" t="e">
        <f>FL49-FL51</f>
        <v>#N/A</v>
      </c>
      <c r="FM53" s="1445" t="e">
        <f>FM49-FM51</f>
        <v>#N/A</v>
      </c>
    </row>
    <row r="54" spans="1:171" s="1450" customFormat="1" ht="16.149999999999999" customHeight="1">
      <c r="A54" s="1440">
        <f>ROWS($A$1:A54)</f>
        <v>54</v>
      </c>
      <c r="B54" s="1455" t="s">
        <v>1110</v>
      </c>
      <c r="C54" s="1454" t="s">
        <v>228</v>
      </c>
      <c r="D54" s="1465">
        <f t="shared" ref="D54:AH54" si="201">IF(D6=0,0,D53/D6)</f>
        <v>17.650237751124713</v>
      </c>
      <c r="E54" s="1465">
        <f t="shared" si="201"/>
        <v>27.013722306902256</v>
      </c>
      <c r="F54" s="1465">
        <f t="shared" si="201"/>
        <v>27.383771672679895</v>
      </c>
      <c r="G54" s="1465">
        <f t="shared" si="201"/>
        <v>28.303956204397071</v>
      </c>
      <c r="H54" s="1465">
        <f t="shared" si="201"/>
        <v>23.083471513108684</v>
      </c>
      <c r="I54" s="1465">
        <f t="shared" si="201"/>
        <v>22.915386185164447</v>
      </c>
      <c r="J54" s="1465">
        <f t="shared" si="201"/>
        <v>26.160846933285956</v>
      </c>
      <c r="K54" s="1465">
        <f t="shared" si="201"/>
        <v>30.793217778279722</v>
      </c>
      <c r="L54" s="1465">
        <f t="shared" si="201"/>
        <v>22.793364504226389</v>
      </c>
      <c r="M54" s="1465">
        <f t="shared" si="201"/>
        <v>26.544911027270981</v>
      </c>
      <c r="N54" s="1465">
        <f t="shared" si="201"/>
        <v>29.643348100310789</v>
      </c>
      <c r="O54" s="1465">
        <f t="shared" si="201"/>
        <v>24.501904599618957</v>
      </c>
      <c r="P54" s="1465">
        <f t="shared" si="201"/>
        <v>36.114555011344351</v>
      </c>
      <c r="Q54" s="1465">
        <f t="shared" si="201"/>
        <v>23.515712050004574</v>
      </c>
      <c r="R54" s="1465"/>
      <c r="S54" s="1465">
        <f t="shared" si="201"/>
        <v>48.773483421405487</v>
      </c>
      <c r="T54" s="1465">
        <f t="shared" si="201"/>
        <v>71.74931193952095</v>
      </c>
      <c r="U54" s="1465">
        <f t="shared" si="201"/>
        <v>55.415505267736862</v>
      </c>
      <c r="V54" s="1465">
        <f t="shared" si="201"/>
        <v>64.181824069927984</v>
      </c>
      <c r="W54" s="1465"/>
      <c r="X54" s="1465">
        <f t="shared" si="201"/>
        <v>45.865688987573598</v>
      </c>
      <c r="Y54" s="1465">
        <f t="shared" si="201"/>
        <v>50.576394024284312</v>
      </c>
      <c r="Z54" s="1465">
        <f t="shared" si="201"/>
        <v>100.97113055256601</v>
      </c>
      <c r="AA54" s="1465">
        <f t="shared" si="201"/>
        <v>4.2737102210989928</v>
      </c>
      <c r="AB54" s="1465">
        <f t="shared" si="201"/>
        <v>30.96785157974492</v>
      </c>
      <c r="AC54" s="1465">
        <f t="shared" si="201"/>
        <v>32.883636278651032</v>
      </c>
      <c r="AD54" s="1465">
        <f t="shared" si="201"/>
        <v>20.546499052349876</v>
      </c>
      <c r="AE54" s="1465">
        <f t="shared" si="201"/>
        <v>21.445406870372583</v>
      </c>
      <c r="AF54" s="1465">
        <f t="shared" si="201"/>
        <v>0</v>
      </c>
      <c r="AG54" s="1465">
        <f t="shared" si="201"/>
        <v>-130.14467478836139</v>
      </c>
      <c r="AH54" s="1465">
        <f t="shared" si="201"/>
        <v>-180.4204506887927</v>
      </c>
      <c r="AI54" s="1467"/>
      <c r="AJ54" s="1466">
        <f t="shared" ref="AJ54:BN54" si="202">IF(AJ6=0,0,AJ53/AJ6)</f>
        <v>17.669232838595281</v>
      </c>
      <c r="AK54" s="1465">
        <f t="shared" si="202"/>
        <v>24.281913831904468</v>
      </c>
      <c r="AL54" s="1465">
        <f t="shared" si="202"/>
        <v>24.109359347277536</v>
      </c>
      <c r="AM54" s="1465">
        <f t="shared" si="202"/>
        <v>26.167344695101161</v>
      </c>
      <c r="AN54" s="1465">
        <f t="shared" si="202"/>
        <v>21.284789289726746</v>
      </c>
      <c r="AO54" s="1465">
        <f t="shared" si="202"/>
        <v>20.355489089245651</v>
      </c>
      <c r="AP54" s="1465">
        <f t="shared" si="202"/>
        <v>22.7204474082993</v>
      </c>
      <c r="AQ54" s="1465">
        <f t="shared" si="202"/>
        <v>28.232647846821312</v>
      </c>
      <c r="AR54" s="1465">
        <f t="shared" si="202"/>
        <v>22.643217170242838</v>
      </c>
      <c r="AS54" s="1465">
        <f t="shared" si="202"/>
        <v>24.079258878874178</v>
      </c>
      <c r="AT54" s="1465">
        <f t="shared" si="202"/>
        <v>26.100394667646256</v>
      </c>
      <c r="AU54" s="1465">
        <f t="shared" si="202"/>
        <v>22.65033675440808</v>
      </c>
      <c r="AV54" s="1465">
        <f t="shared" si="202"/>
        <v>29.258129136493228</v>
      </c>
      <c r="AW54" s="1465">
        <f t="shared" si="202"/>
        <v>21.275099178492809</v>
      </c>
      <c r="AX54" s="1465"/>
      <c r="AY54" s="1465">
        <f t="shared" si="202"/>
        <v>42.18930002019048</v>
      </c>
      <c r="AZ54" s="1465">
        <f t="shared" si="202"/>
        <v>63.966736103431323</v>
      </c>
      <c r="BA54" s="1465">
        <f t="shared" si="202"/>
        <v>50.850691912595749</v>
      </c>
      <c r="BB54" s="1465">
        <f t="shared" si="202"/>
        <v>51.691666178482201</v>
      </c>
      <c r="BC54" s="1465"/>
      <c r="BD54" s="1465">
        <f t="shared" si="202"/>
        <v>30.313221088137301</v>
      </c>
      <c r="BE54" s="1465">
        <f t="shared" si="202"/>
        <v>33.383256723057926</v>
      </c>
      <c r="BF54" s="1465">
        <f t="shared" si="202"/>
        <v>45.114472169827188</v>
      </c>
      <c r="BG54" s="1465">
        <f t="shared" si="202"/>
        <v>3.2109869378176303</v>
      </c>
      <c r="BH54" s="1465">
        <f t="shared" si="202"/>
        <v>26.437261720269973</v>
      </c>
      <c r="BI54" s="1465">
        <f t="shared" si="202"/>
        <v>28.687779722029976</v>
      </c>
      <c r="BJ54" s="1465">
        <f t="shared" si="202"/>
        <v>20.759008390944803</v>
      </c>
      <c r="BK54" s="1465">
        <f t="shared" si="202"/>
        <v>19.681083498308158</v>
      </c>
      <c r="BL54" s="1465">
        <f t="shared" si="202"/>
        <v>0</v>
      </c>
      <c r="BM54" s="1465">
        <f t="shared" si="202"/>
        <v>-80.144674788361272</v>
      </c>
      <c r="BN54" s="1465">
        <f t="shared" si="202"/>
        <v>126.24621597787393</v>
      </c>
      <c r="BO54" s="1453"/>
      <c r="BP54" s="1466">
        <f t="shared" ref="BP54:CT54" si="203">IF(BP6=0,0,BP53/BP6)</f>
        <v>16.48526421304912</v>
      </c>
      <c r="BQ54" s="1465">
        <f t="shared" si="203"/>
        <v>22.241064107831875</v>
      </c>
      <c r="BR54" s="1465">
        <f t="shared" si="203"/>
        <v>21.925875293585811</v>
      </c>
      <c r="BS54" s="1465">
        <f t="shared" si="203"/>
        <v>24.600496254950819</v>
      </c>
      <c r="BT54" s="1465">
        <f t="shared" si="203"/>
        <v>20.441474720793362</v>
      </c>
      <c r="BU54" s="1465">
        <f t="shared" si="203"/>
        <v>18.855985052839237</v>
      </c>
      <c r="BV54" s="1465">
        <f t="shared" si="203"/>
        <v>20.925726888937071</v>
      </c>
      <c r="BW54" s="1465">
        <f t="shared" si="203"/>
        <v>25.872720090134674</v>
      </c>
      <c r="BX54" s="1465">
        <f t="shared" si="203"/>
        <v>19.37837023643268</v>
      </c>
      <c r="BY54" s="1465">
        <f t="shared" si="203"/>
        <v>22.318078772876468</v>
      </c>
      <c r="BZ54" s="1465">
        <f t="shared" si="203"/>
        <v>23.656978507187965</v>
      </c>
      <c r="CA54" s="1465">
        <f t="shared" si="203"/>
        <v>20.914872830345505</v>
      </c>
      <c r="CB54" s="1465">
        <f t="shared" si="203"/>
        <v>28.290034497637414</v>
      </c>
      <c r="CC54" s="1465">
        <f t="shared" si="203"/>
        <v>19.78135726415163</v>
      </c>
      <c r="CD54" s="1465"/>
      <c r="CE54" s="1465">
        <f t="shared" si="203"/>
        <v>37.433915315044253</v>
      </c>
      <c r="CF54" s="1465">
        <f t="shared" si="203"/>
        <v>57.439926589496721</v>
      </c>
      <c r="CG54" s="1465">
        <f t="shared" si="203"/>
        <v>47.590110944637814</v>
      </c>
      <c r="CH54" s="1465">
        <f t="shared" si="203"/>
        <v>44.344514477631762</v>
      </c>
      <c r="CI54" s="1465"/>
      <c r="CJ54" s="1465">
        <f t="shared" si="203"/>
        <v>24.203584121216419</v>
      </c>
      <c r="CK54" s="1465">
        <f t="shared" si="203"/>
        <v>26.561676898994193</v>
      </c>
      <c r="CL54" s="1465">
        <f t="shared" si="203"/>
        <v>31.150307574142481</v>
      </c>
      <c r="CM54" s="1465">
        <f t="shared" si="203"/>
        <v>2.9274944006180443</v>
      </c>
      <c r="CN54" s="1465">
        <f t="shared" si="203"/>
        <v>23.201126106359297</v>
      </c>
      <c r="CO54" s="1465">
        <f t="shared" si="203"/>
        <v>25.608805314712082</v>
      </c>
      <c r="CP54" s="1465">
        <f t="shared" si="203"/>
        <v>19.356537501409733</v>
      </c>
      <c r="CQ54" s="1465">
        <f t="shared" si="203"/>
        <v>18.268817273861952</v>
      </c>
      <c r="CR54" s="1465">
        <f>IF(CR6=0,0,CR53/CR6)</f>
        <v>0</v>
      </c>
      <c r="CS54" s="1465">
        <f t="shared" si="203"/>
        <v>-30.144674788361272</v>
      </c>
      <c r="CT54" s="1465">
        <f t="shared" si="203"/>
        <v>176.24621597787393</v>
      </c>
      <c r="CV54" s="1455" t="s">
        <v>1110</v>
      </c>
      <c r="CW54" s="1454" t="s">
        <v>228</v>
      </c>
      <c r="CX54" s="1465" t="e">
        <f>IF(CX6=0,0,CX53/CX6)</f>
        <v>#N/A</v>
      </c>
      <c r="CY54" s="1465" t="e">
        <f t="shared" ref="CY54:DS54" si="204">IF(CY6=0,0,CY53/CY6)</f>
        <v>#N/A</v>
      </c>
      <c r="CZ54" s="1465" t="e">
        <f t="shared" si="204"/>
        <v>#N/A</v>
      </c>
      <c r="DA54" s="1465" t="e">
        <f t="shared" si="204"/>
        <v>#N/A</v>
      </c>
      <c r="DB54" s="1465" t="e">
        <f t="shared" si="204"/>
        <v>#N/A</v>
      </c>
      <c r="DC54" s="1465" t="e">
        <f t="shared" si="204"/>
        <v>#N/A</v>
      </c>
      <c r="DD54" s="1465" t="e">
        <f t="shared" si="204"/>
        <v>#N/A</v>
      </c>
      <c r="DE54" s="1465" t="e">
        <f t="shared" si="204"/>
        <v>#N/A</v>
      </c>
      <c r="DF54" s="1465" t="e">
        <f t="shared" si="204"/>
        <v>#N/A</v>
      </c>
      <c r="DG54" s="1465" t="e">
        <f t="shared" si="204"/>
        <v>#N/A</v>
      </c>
      <c r="DH54" s="1465" t="e">
        <f>IF(DH6=0,0,DH53/DH6)</f>
        <v>#N/A</v>
      </c>
      <c r="DI54" s="1465" t="e">
        <f t="shared" si="204"/>
        <v>#N/A</v>
      </c>
      <c r="DJ54" s="1465" t="e">
        <f t="shared" si="204"/>
        <v>#N/A</v>
      </c>
      <c r="DK54" s="1465" t="e">
        <f t="shared" si="204"/>
        <v>#N/A</v>
      </c>
      <c r="DL54" s="1465" t="e">
        <f t="shared" si="204"/>
        <v>#N/A</v>
      </c>
      <c r="DM54" s="1465" t="e">
        <f t="shared" si="204"/>
        <v>#N/A</v>
      </c>
      <c r="DN54" s="1465" t="e">
        <f t="shared" si="204"/>
        <v>#N/A</v>
      </c>
      <c r="DO54" s="1465" t="e">
        <f t="shared" si="204"/>
        <v>#N/A</v>
      </c>
      <c r="DP54" s="1465" t="e">
        <f t="shared" si="204"/>
        <v>#N/A</v>
      </c>
      <c r="DQ54" s="1465"/>
      <c r="DR54" s="1465">
        <f t="shared" si="204"/>
        <v>0</v>
      </c>
      <c r="DS54" s="1465">
        <f t="shared" si="204"/>
        <v>0</v>
      </c>
      <c r="DU54" s="1465" t="e">
        <f>IF(DU6=0,0,DU53/DU6)</f>
        <v>#N/A</v>
      </c>
      <c r="DV54" s="1465" t="e">
        <f>IF(DV6=0,0,DV53/DV6)</f>
        <v>#N/A</v>
      </c>
      <c r="DW54" s="1465" t="e">
        <f>IF(DW6=0,0,DW53/DW6)</f>
        <v>#N/A</v>
      </c>
      <c r="DX54" s="1465" t="e">
        <f>IF(DX6=0,0,DX53/DX6)</f>
        <v>#N/A</v>
      </c>
      <c r="DY54" s="1466" t="e">
        <f t="shared" ref="DY54:EG54" si="205">IF(DY6=0,0,DY53/DY6)</f>
        <v>#N/A</v>
      </c>
      <c r="DZ54" s="1465" t="e">
        <f t="shared" si="205"/>
        <v>#N/A</v>
      </c>
      <c r="EA54" s="1465" t="e">
        <f t="shared" si="205"/>
        <v>#N/A</v>
      </c>
      <c r="EB54" s="1465" t="e">
        <f t="shared" si="205"/>
        <v>#N/A</v>
      </c>
      <c r="EC54" s="1465" t="e">
        <f t="shared" si="205"/>
        <v>#N/A</v>
      </c>
      <c r="ED54" s="1465" t="e">
        <f t="shared" si="205"/>
        <v>#N/A</v>
      </c>
      <c r="EE54" s="1465" t="e">
        <f>IF(EE6=0,0,EE53/EE6)</f>
        <v>#N/A</v>
      </c>
      <c r="EF54" s="1465" t="e">
        <f t="shared" si="205"/>
        <v>#N/A</v>
      </c>
      <c r="EG54" s="1465" t="e">
        <f t="shared" si="205"/>
        <v>#N/A</v>
      </c>
      <c r="EH54" s="1465" t="e">
        <f t="shared" ref="EH54:EM54" si="206">IF(EH6=0,0,EH53/EH6)</f>
        <v>#N/A</v>
      </c>
      <c r="EI54" s="1465" t="e">
        <f t="shared" si="206"/>
        <v>#N/A</v>
      </c>
      <c r="EJ54" s="1465" t="e">
        <f t="shared" si="206"/>
        <v>#N/A</v>
      </c>
      <c r="EK54" s="1465" t="e">
        <f t="shared" si="206"/>
        <v>#N/A</v>
      </c>
      <c r="EL54" s="1465" t="e">
        <f t="shared" si="206"/>
        <v>#N/A</v>
      </c>
      <c r="EM54" s="1465" t="e">
        <f t="shared" si="206"/>
        <v>#N/A</v>
      </c>
      <c r="EN54" s="1465"/>
      <c r="EO54" s="1465">
        <f>IF(EO6=0,0,EO53/EO6)</f>
        <v>0</v>
      </c>
      <c r="EP54" s="1465">
        <f>IF(EP6=0,0,EP53/EP6)</f>
        <v>0</v>
      </c>
      <c r="ER54" s="1465" t="e">
        <f>IF(ER6=0,0,ER53/ER6)</f>
        <v>#N/A</v>
      </c>
      <c r="ES54" s="1465" t="e">
        <f>IF(ES6=0,0,ES53/ES6)</f>
        <v>#N/A</v>
      </c>
      <c r="ET54" s="1465" t="e">
        <f>IF(ET6=0,0,ET53/ET6)</f>
        <v>#N/A</v>
      </c>
      <c r="EU54" s="1465" t="e">
        <f>IF(EU6=0,0,EU53/EU6)</f>
        <v>#N/A</v>
      </c>
      <c r="EV54" s="1466" t="e">
        <f t="shared" ref="EV54:FD54" si="207">IF(EV6=0,0,EV53/EV6)</f>
        <v>#N/A</v>
      </c>
      <c r="EW54" s="1465" t="e">
        <f t="shared" si="207"/>
        <v>#N/A</v>
      </c>
      <c r="EX54" s="1465" t="e">
        <f t="shared" si="207"/>
        <v>#N/A</v>
      </c>
      <c r="EY54" s="1465" t="e">
        <f t="shared" si="207"/>
        <v>#N/A</v>
      </c>
      <c r="EZ54" s="1465" t="e">
        <f t="shared" si="207"/>
        <v>#N/A</v>
      </c>
      <c r="FA54" s="1465" t="e">
        <f t="shared" si="207"/>
        <v>#N/A</v>
      </c>
      <c r="FB54" s="1465" t="e">
        <f>IF(FB6=0,0,FB53/FB6)</f>
        <v>#N/A</v>
      </c>
      <c r="FC54" s="1465" t="e">
        <f t="shared" si="207"/>
        <v>#N/A</v>
      </c>
      <c r="FD54" s="1465" t="e">
        <f t="shared" si="207"/>
        <v>#N/A</v>
      </c>
      <c r="FE54" s="1465" t="e">
        <f t="shared" ref="FE54:FJ54" si="208">IF(FE6=0,0,FE53/FE6)</f>
        <v>#N/A</v>
      </c>
      <c r="FF54" s="1465" t="e">
        <f t="shared" si="208"/>
        <v>#N/A</v>
      </c>
      <c r="FG54" s="1465" t="e">
        <f t="shared" si="208"/>
        <v>#N/A</v>
      </c>
      <c r="FH54" s="1465" t="e">
        <f t="shared" si="208"/>
        <v>#N/A</v>
      </c>
      <c r="FI54" s="1465" t="e">
        <f t="shared" si="208"/>
        <v>#N/A</v>
      </c>
      <c r="FJ54" s="1465" t="e">
        <f t="shared" si="208"/>
        <v>#N/A</v>
      </c>
      <c r="FK54" s="1465"/>
      <c r="FL54" s="1465">
        <f>IF(FL6=0,0,FL53/FL6)</f>
        <v>0</v>
      </c>
      <c r="FM54" s="1465">
        <f>IF(FM6=0,0,FM53/FM6)</f>
        <v>0</v>
      </c>
    </row>
    <row r="55" spans="1:171" s="1450" customFormat="1" ht="16.149999999999999" customHeight="1">
      <c r="A55" s="1440">
        <f>ROWS($A$1:A55)</f>
        <v>55</v>
      </c>
      <c r="B55" s="1464" t="s">
        <v>1109</v>
      </c>
      <c r="C55" s="1463" t="s">
        <v>171</v>
      </c>
      <c r="D55" s="1460">
        <f t="shared" ref="D55:AH55" si="209">D37</f>
        <v>455.4</v>
      </c>
      <c r="E55" s="1460">
        <f t="shared" si="209"/>
        <v>321.39999999999998</v>
      </c>
      <c r="F55" s="1460">
        <f t="shared" si="209"/>
        <v>455.4</v>
      </c>
      <c r="G55" s="1460">
        <f t="shared" si="209"/>
        <v>455.4</v>
      </c>
      <c r="H55" s="1460">
        <f t="shared" si="209"/>
        <v>455.4</v>
      </c>
      <c r="I55" s="1460">
        <f t="shared" si="209"/>
        <v>455.4</v>
      </c>
      <c r="J55" s="1460">
        <f t="shared" si="209"/>
        <v>455.4</v>
      </c>
      <c r="K55" s="1460">
        <f t="shared" si="209"/>
        <v>355.4</v>
      </c>
      <c r="L55" s="1460">
        <f t="shared" si="209"/>
        <v>455.4</v>
      </c>
      <c r="M55" s="1460">
        <f t="shared" si="209"/>
        <v>455.4</v>
      </c>
      <c r="N55" s="1460">
        <f t="shared" si="209"/>
        <v>455.4</v>
      </c>
      <c r="O55" s="1460">
        <f t="shared" si="209"/>
        <v>455.4</v>
      </c>
      <c r="P55" s="1460">
        <f t="shared" si="209"/>
        <v>455.4</v>
      </c>
      <c r="Q55" s="1460">
        <f t="shared" si="209"/>
        <v>355.4</v>
      </c>
      <c r="R55" s="1460"/>
      <c r="S55" s="1460">
        <f t="shared" si="209"/>
        <v>455.4</v>
      </c>
      <c r="T55" s="1460">
        <f t="shared" si="209"/>
        <v>455.4</v>
      </c>
      <c r="U55" s="1460">
        <f t="shared" si="209"/>
        <v>455.4</v>
      </c>
      <c r="V55" s="1460">
        <f t="shared" si="209"/>
        <v>455.4</v>
      </c>
      <c r="W55" s="1460"/>
      <c r="X55" s="1460">
        <f t="shared" si="209"/>
        <v>555.4</v>
      </c>
      <c r="Y55" s="1460">
        <f t="shared" si="209"/>
        <v>455.4</v>
      </c>
      <c r="Z55" s="1460">
        <f t="shared" si="209"/>
        <v>455.4</v>
      </c>
      <c r="AA55" s="1460">
        <f t="shared" si="209"/>
        <v>455.4</v>
      </c>
      <c r="AB55" s="1460">
        <f t="shared" si="209"/>
        <v>455.4</v>
      </c>
      <c r="AC55" s="1460">
        <f t="shared" si="209"/>
        <v>455.4</v>
      </c>
      <c r="AD55" s="1460">
        <f t="shared" si="209"/>
        <v>455.4</v>
      </c>
      <c r="AE55" s="1460">
        <f t="shared" si="209"/>
        <v>455.4</v>
      </c>
      <c r="AF55" s="1460">
        <f t="shared" si="209"/>
        <v>0</v>
      </c>
      <c r="AG55" s="1460">
        <f t="shared" si="209"/>
        <v>1085.4000000000001</v>
      </c>
      <c r="AH55" s="1460">
        <f t="shared" si="209"/>
        <v>455.4</v>
      </c>
      <c r="AI55" s="1462"/>
      <c r="AJ55" s="1461">
        <f t="shared" ref="AJ55:BN55" si="210">AJ37</f>
        <v>455.4</v>
      </c>
      <c r="AK55" s="1460">
        <f t="shared" si="210"/>
        <v>321.39999999999998</v>
      </c>
      <c r="AL55" s="1460">
        <f t="shared" si="210"/>
        <v>455.4</v>
      </c>
      <c r="AM55" s="1460">
        <f t="shared" si="210"/>
        <v>455.4</v>
      </c>
      <c r="AN55" s="1460">
        <f t="shared" si="210"/>
        <v>455.4</v>
      </c>
      <c r="AO55" s="1460">
        <f t="shared" si="210"/>
        <v>455.4</v>
      </c>
      <c r="AP55" s="1460">
        <f t="shared" si="210"/>
        <v>455.4</v>
      </c>
      <c r="AQ55" s="1460">
        <f t="shared" si="210"/>
        <v>355.4</v>
      </c>
      <c r="AR55" s="1460">
        <f t="shared" si="210"/>
        <v>455.4</v>
      </c>
      <c r="AS55" s="1460">
        <f t="shared" si="210"/>
        <v>455.4</v>
      </c>
      <c r="AT55" s="1460">
        <f t="shared" si="210"/>
        <v>455.4</v>
      </c>
      <c r="AU55" s="1460">
        <f t="shared" si="210"/>
        <v>455.4</v>
      </c>
      <c r="AV55" s="1460">
        <f t="shared" si="210"/>
        <v>455.4</v>
      </c>
      <c r="AW55" s="1460">
        <f t="shared" si="210"/>
        <v>355.4</v>
      </c>
      <c r="AX55" s="1460"/>
      <c r="AY55" s="1460">
        <f t="shared" si="210"/>
        <v>455.4</v>
      </c>
      <c r="AZ55" s="1460">
        <f t="shared" si="210"/>
        <v>455.4</v>
      </c>
      <c r="BA55" s="1460">
        <f t="shared" si="210"/>
        <v>455.4</v>
      </c>
      <c r="BB55" s="1460">
        <f t="shared" si="210"/>
        <v>455.4</v>
      </c>
      <c r="BC55" s="1460"/>
      <c r="BD55" s="1460">
        <f t="shared" si="210"/>
        <v>555.4</v>
      </c>
      <c r="BE55" s="1460">
        <f t="shared" si="210"/>
        <v>455.4</v>
      </c>
      <c r="BF55" s="1460">
        <f t="shared" si="210"/>
        <v>455.4</v>
      </c>
      <c r="BG55" s="1460">
        <f t="shared" si="210"/>
        <v>355.4</v>
      </c>
      <c r="BH55" s="1460">
        <f t="shared" si="210"/>
        <v>455.4</v>
      </c>
      <c r="BI55" s="1460">
        <f t="shared" si="210"/>
        <v>455.4</v>
      </c>
      <c r="BJ55" s="1460">
        <f t="shared" si="210"/>
        <v>455.4</v>
      </c>
      <c r="BK55" s="1460">
        <f t="shared" si="210"/>
        <v>455.4</v>
      </c>
      <c r="BL55" s="1460">
        <f t="shared" si="210"/>
        <v>0</v>
      </c>
      <c r="BM55" s="1460">
        <f t="shared" si="210"/>
        <v>1085.4000000000001</v>
      </c>
      <c r="BN55" s="1460">
        <f t="shared" si="210"/>
        <v>455.4</v>
      </c>
      <c r="BO55" s="1462"/>
      <c r="BP55" s="1461">
        <f t="shared" ref="BP55:CT55" si="211">BP37</f>
        <v>455.4</v>
      </c>
      <c r="BQ55" s="1460">
        <f t="shared" si="211"/>
        <v>321.39999999999998</v>
      </c>
      <c r="BR55" s="1460">
        <f t="shared" si="211"/>
        <v>455.4</v>
      </c>
      <c r="BS55" s="1460">
        <f t="shared" si="211"/>
        <v>455.4</v>
      </c>
      <c r="BT55" s="1460">
        <f t="shared" si="211"/>
        <v>455.4</v>
      </c>
      <c r="BU55" s="1460">
        <f t="shared" si="211"/>
        <v>455.4</v>
      </c>
      <c r="BV55" s="1460">
        <f t="shared" si="211"/>
        <v>455.4</v>
      </c>
      <c r="BW55" s="1460">
        <f t="shared" si="211"/>
        <v>355.4</v>
      </c>
      <c r="BX55" s="1460">
        <f t="shared" si="211"/>
        <v>455.4</v>
      </c>
      <c r="BY55" s="1460">
        <f t="shared" si="211"/>
        <v>455.4</v>
      </c>
      <c r="BZ55" s="1460">
        <f t="shared" si="211"/>
        <v>455.4</v>
      </c>
      <c r="CA55" s="1460">
        <f t="shared" si="211"/>
        <v>455.4</v>
      </c>
      <c r="CB55" s="1460">
        <f t="shared" si="211"/>
        <v>455.4</v>
      </c>
      <c r="CC55" s="1460">
        <f t="shared" si="211"/>
        <v>355.4</v>
      </c>
      <c r="CD55" s="1460"/>
      <c r="CE55" s="1460">
        <f t="shared" si="211"/>
        <v>455.4</v>
      </c>
      <c r="CF55" s="1460">
        <f t="shared" si="211"/>
        <v>455.4</v>
      </c>
      <c r="CG55" s="1460">
        <f t="shared" si="211"/>
        <v>455.4</v>
      </c>
      <c r="CH55" s="1460">
        <f t="shared" si="211"/>
        <v>455.4</v>
      </c>
      <c r="CI55" s="1460"/>
      <c r="CJ55" s="1460">
        <f t="shared" si="211"/>
        <v>555.4</v>
      </c>
      <c r="CK55" s="1460">
        <f t="shared" si="211"/>
        <v>455.4</v>
      </c>
      <c r="CL55" s="1460">
        <f t="shared" si="211"/>
        <v>455.4</v>
      </c>
      <c r="CM55" s="1460">
        <f t="shared" si="211"/>
        <v>455.4</v>
      </c>
      <c r="CN55" s="1460">
        <f t="shared" si="211"/>
        <v>455.4</v>
      </c>
      <c r="CO55" s="1460">
        <f t="shared" si="211"/>
        <v>455.4</v>
      </c>
      <c r="CP55" s="1460">
        <f t="shared" si="211"/>
        <v>455.4</v>
      </c>
      <c r="CQ55" s="1460">
        <f t="shared" si="211"/>
        <v>455.4</v>
      </c>
      <c r="CR55" s="1460">
        <f>CR37</f>
        <v>0</v>
      </c>
      <c r="CS55" s="1460">
        <f t="shared" si="211"/>
        <v>1085.4000000000001</v>
      </c>
      <c r="CT55" s="1460">
        <f t="shared" si="211"/>
        <v>455.4</v>
      </c>
      <c r="CV55" s="1464" t="s">
        <v>1109</v>
      </c>
      <c r="CW55" s="1463" t="s">
        <v>171</v>
      </c>
      <c r="CX55" s="1460">
        <f>CX37</f>
        <v>455.4</v>
      </c>
      <c r="CY55" s="1460">
        <f>CY37</f>
        <v>695.4</v>
      </c>
      <c r="CZ55" s="1460">
        <f>CZ37</f>
        <v>695.4</v>
      </c>
      <c r="DA55" s="1460">
        <f>DA37</f>
        <v>695.4</v>
      </c>
      <c r="DB55" s="1460">
        <f t="shared" ref="DB55:DJ55" si="212">DB37</f>
        <v>595.4</v>
      </c>
      <c r="DC55" s="1460">
        <f t="shared" si="212"/>
        <v>695.4</v>
      </c>
      <c r="DD55" s="1460">
        <f>DD37</f>
        <v>595.4</v>
      </c>
      <c r="DE55" s="1460">
        <f t="shared" si="212"/>
        <v>595.4</v>
      </c>
      <c r="DF55" s="1460">
        <f t="shared" si="212"/>
        <v>595.4</v>
      </c>
      <c r="DG55" s="1460">
        <f t="shared" si="212"/>
        <v>595.4</v>
      </c>
      <c r="DH55" s="1460">
        <f>DH37</f>
        <v>595.4</v>
      </c>
      <c r="DI55" s="1460">
        <f t="shared" si="212"/>
        <v>595.4</v>
      </c>
      <c r="DJ55" s="1460">
        <f t="shared" si="212"/>
        <v>595.4</v>
      </c>
      <c r="DK55" s="1460">
        <f>DK37</f>
        <v>595.4</v>
      </c>
      <c r="DL55" s="1460">
        <f t="shared" ref="DL55:DS55" si="213">DL37</f>
        <v>595.4</v>
      </c>
      <c r="DM55" s="1460">
        <f t="shared" si="213"/>
        <v>595.4</v>
      </c>
      <c r="DN55" s="1460">
        <f t="shared" si="213"/>
        <v>595.4</v>
      </c>
      <c r="DO55" s="1460">
        <f t="shared" si="213"/>
        <v>595.4</v>
      </c>
      <c r="DP55" s="1460">
        <f t="shared" si="213"/>
        <v>595.4</v>
      </c>
      <c r="DQ55" s="1460"/>
      <c r="DR55" s="1460">
        <f t="shared" si="213"/>
        <v>0</v>
      </c>
      <c r="DS55" s="1460">
        <f t="shared" si="213"/>
        <v>100</v>
      </c>
      <c r="DU55" s="1460">
        <f>DU37</f>
        <v>455.4</v>
      </c>
      <c r="DV55" s="1460">
        <f>DV37</f>
        <v>695.4</v>
      </c>
      <c r="DW55" s="1460">
        <f>DW37</f>
        <v>695.4</v>
      </c>
      <c r="DX55" s="1460">
        <f>DX37</f>
        <v>695.4</v>
      </c>
      <c r="DY55" s="1461">
        <f t="shared" ref="DY55:EG55" si="214">DY37</f>
        <v>595.4</v>
      </c>
      <c r="DZ55" s="1460">
        <f t="shared" si="214"/>
        <v>695.4</v>
      </c>
      <c r="EA55" s="1460">
        <f t="shared" si="214"/>
        <v>595.4</v>
      </c>
      <c r="EB55" s="1460">
        <f t="shared" si="214"/>
        <v>595.4</v>
      </c>
      <c r="EC55" s="1460">
        <f t="shared" si="214"/>
        <v>595.4</v>
      </c>
      <c r="ED55" s="1460">
        <f t="shared" si="214"/>
        <v>595.4</v>
      </c>
      <c r="EE55" s="1460">
        <f>EE37</f>
        <v>595.4</v>
      </c>
      <c r="EF55" s="1460">
        <f t="shared" si="214"/>
        <v>595.4</v>
      </c>
      <c r="EG55" s="1460">
        <f t="shared" si="214"/>
        <v>595.4</v>
      </c>
      <c r="EH55" s="1460">
        <f t="shared" ref="EH55:EM55" si="215">EH37</f>
        <v>595.4</v>
      </c>
      <c r="EI55" s="1460">
        <f t="shared" si="215"/>
        <v>595.4</v>
      </c>
      <c r="EJ55" s="1460">
        <f t="shared" si="215"/>
        <v>595.4</v>
      </c>
      <c r="EK55" s="1460">
        <f t="shared" si="215"/>
        <v>595.4</v>
      </c>
      <c r="EL55" s="1460">
        <f t="shared" si="215"/>
        <v>595.4</v>
      </c>
      <c r="EM55" s="1460">
        <f t="shared" si="215"/>
        <v>595.4</v>
      </c>
      <c r="EN55" s="1460"/>
      <c r="EO55" s="1460">
        <f>EO37</f>
        <v>0</v>
      </c>
      <c r="EP55" s="1460">
        <f>EP37</f>
        <v>100</v>
      </c>
      <c r="ER55" s="1460">
        <f>ER37</f>
        <v>455.4</v>
      </c>
      <c r="ES55" s="1460">
        <f>ES37</f>
        <v>695.4</v>
      </c>
      <c r="ET55" s="1460">
        <f>ET37</f>
        <v>695.4</v>
      </c>
      <c r="EU55" s="1460">
        <f>EU37</f>
        <v>695.4</v>
      </c>
      <c r="EV55" s="1461">
        <f t="shared" ref="EV55:FD55" si="216">EV37</f>
        <v>595.4</v>
      </c>
      <c r="EW55" s="1460">
        <f t="shared" si="216"/>
        <v>695.4</v>
      </c>
      <c r="EX55" s="1460">
        <f t="shared" si="216"/>
        <v>595.4</v>
      </c>
      <c r="EY55" s="1460">
        <f t="shared" si="216"/>
        <v>595.4</v>
      </c>
      <c r="EZ55" s="1460">
        <f t="shared" si="216"/>
        <v>595.4</v>
      </c>
      <c r="FA55" s="1460">
        <f t="shared" si="216"/>
        <v>595.4</v>
      </c>
      <c r="FB55" s="1460">
        <f>FB37</f>
        <v>595.4</v>
      </c>
      <c r="FC55" s="1460">
        <f t="shared" si="216"/>
        <v>595.4</v>
      </c>
      <c r="FD55" s="1460">
        <f t="shared" si="216"/>
        <v>595.4</v>
      </c>
      <c r="FE55" s="1460">
        <f t="shared" ref="FE55:FJ55" si="217">FE37</f>
        <v>595.4</v>
      </c>
      <c r="FF55" s="1460">
        <f t="shared" si="217"/>
        <v>595.4</v>
      </c>
      <c r="FG55" s="1460">
        <f t="shared" si="217"/>
        <v>595.4</v>
      </c>
      <c r="FH55" s="1460">
        <f t="shared" si="217"/>
        <v>595.4</v>
      </c>
      <c r="FI55" s="1460">
        <f t="shared" si="217"/>
        <v>595.4</v>
      </c>
      <c r="FJ55" s="1460">
        <f t="shared" si="217"/>
        <v>595.4</v>
      </c>
      <c r="FK55" s="1460"/>
      <c r="FL55" s="1460">
        <f>FL37</f>
        <v>0</v>
      </c>
      <c r="FM55" s="1460">
        <f>FM37</f>
        <v>100</v>
      </c>
    </row>
    <row r="56" spans="1:171" s="1450" customFormat="1" ht="16.149999999999999" customHeight="1">
      <c r="A56" s="1440">
        <f>ROWS($A$1:A56)</f>
        <v>56</v>
      </c>
      <c r="B56" s="1459"/>
      <c r="C56" s="1458" t="s">
        <v>228</v>
      </c>
      <c r="D56" s="1451">
        <f t="shared" ref="D56:AH56" si="218">IF(D6=0,0,D55/D6)</f>
        <v>7.006153846153846</v>
      </c>
      <c r="E56" s="1451">
        <f t="shared" si="218"/>
        <v>5.3566666666666665</v>
      </c>
      <c r="F56" s="1451">
        <f t="shared" si="218"/>
        <v>8.2799999999999994</v>
      </c>
      <c r="G56" s="1451">
        <f t="shared" si="218"/>
        <v>8.2799999999999994</v>
      </c>
      <c r="H56" s="1451">
        <f t="shared" si="218"/>
        <v>8.2799999999999994</v>
      </c>
      <c r="I56" s="1451">
        <f t="shared" si="218"/>
        <v>7.59</v>
      </c>
      <c r="J56" s="1451">
        <f t="shared" si="218"/>
        <v>8.2799999999999994</v>
      </c>
      <c r="K56" s="1451">
        <f t="shared" si="218"/>
        <v>7.1079999999999997</v>
      </c>
      <c r="L56" s="1451">
        <f t="shared" si="218"/>
        <v>8.2799999999999994</v>
      </c>
      <c r="M56" s="1451">
        <f t="shared" si="218"/>
        <v>9.1079999999999988</v>
      </c>
      <c r="N56" s="1451">
        <f t="shared" si="218"/>
        <v>11.385</v>
      </c>
      <c r="O56" s="1451">
        <f t="shared" si="218"/>
        <v>10.119999999999999</v>
      </c>
      <c r="P56" s="1451">
        <f t="shared" si="218"/>
        <v>11.385</v>
      </c>
      <c r="Q56" s="1451">
        <f t="shared" si="218"/>
        <v>4.4424999999999999</v>
      </c>
      <c r="R56" s="1451"/>
      <c r="S56" s="1451">
        <f t="shared" si="218"/>
        <v>15.18</v>
      </c>
      <c r="T56" s="1451">
        <f t="shared" si="218"/>
        <v>22.77</v>
      </c>
      <c r="U56" s="1451">
        <f t="shared" si="218"/>
        <v>18.215999999999998</v>
      </c>
      <c r="V56" s="1451">
        <f t="shared" si="218"/>
        <v>22.77</v>
      </c>
      <c r="W56" s="1451"/>
      <c r="X56" s="1451">
        <f t="shared" si="218"/>
        <v>27.77</v>
      </c>
      <c r="Y56" s="1451">
        <f t="shared" si="218"/>
        <v>22.77</v>
      </c>
      <c r="Z56" s="1451">
        <f t="shared" si="218"/>
        <v>45.54</v>
      </c>
      <c r="AA56" s="1451">
        <f t="shared" si="218"/>
        <v>1.3011428571428572</v>
      </c>
      <c r="AB56" s="1451">
        <f t="shared" si="218"/>
        <v>1.8215999999999999</v>
      </c>
      <c r="AC56" s="1451">
        <f t="shared" si="218"/>
        <v>1.518</v>
      </c>
      <c r="AD56" s="1451">
        <f t="shared" si="218"/>
        <v>1.2476712328767123</v>
      </c>
      <c r="AE56" s="1451">
        <f t="shared" si="218"/>
        <v>1.1890339425587466</v>
      </c>
      <c r="AF56" s="1451">
        <f t="shared" si="218"/>
        <v>0</v>
      </c>
      <c r="AG56" s="1451">
        <f t="shared" si="218"/>
        <v>1085.4000000000001</v>
      </c>
      <c r="AH56" s="1451">
        <f t="shared" si="218"/>
        <v>455.4</v>
      </c>
      <c r="AI56" s="1453"/>
      <c r="AJ56" s="1452">
        <f t="shared" ref="AJ56:BN56" si="219">IF(AJ6=0,0,AJ55/AJ6)</f>
        <v>5.6924999999999999</v>
      </c>
      <c r="AK56" s="1451">
        <f t="shared" si="219"/>
        <v>4.285333333333333</v>
      </c>
      <c r="AL56" s="1451">
        <f t="shared" si="219"/>
        <v>6.5057142857142853</v>
      </c>
      <c r="AM56" s="1451">
        <f t="shared" si="219"/>
        <v>7.006153846153846</v>
      </c>
      <c r="AN56" s="1451">
        <f t="shared" si="219"/>
        <v>7.006153846153846</v>
      </c>
      <c r="AO56" s="1451">
        <f t="shared" si="219"/>
        <v>6.0720000000000001</v>
      </c>
      <c r="AP56" s="1451">
        <f t="shared" si="219"/>
        <v>6.5057142857142853</v>
      </c>
      <c r="AQ56" s="1451">
        <f t="shared" si="219"/>
        <v>5.9233333333333329</v>
      </c>
      <c r="AR56" s="1451">
        <f t="shared" si="219"/>
        <v>7.006153846153846</v>
      </c>
      <c r="AS56" s="1451">
        <f t="shared" si="219"/>
        <v>7.59</v>
      </c>
      <c r="AT56" s="1451">
        <f t="shared" si="219"/>
        <v>9.2938775510204081</v>
      </c>
      <c r="AU56" s="1451">
        <f t="shared" si="219"/>
        <v>8.2799999999999994</v>
      </c>
      <c r="AV56" s="1451">
        <f t="shared" si="219"/>
        <v>8.2799999999999994</v>
      </c>
      <c r="AW56" s="1451">
        <f t="shared" si="219"/>
        <v>3.5539999999999998</v>
      </c>
      <c r="AX56" s="1451"/>
      <c r="AY56" s="1451">
        <f t="shared" si="219"/>
        <v>11.385</v>
      </c>
      <c r="AZ56" s="1451">
        <f t="shared" si="219"/>
        <v>18.215999999999998</v>
      </c>
      <c r="BA56" s="1451">
        <f t="shared" si="219"/>
        <v>15.18</v>
      </c>
      <c r="BB56" s="1451">
        <f t="shared" si="219"/>
        <v>16.866666666666667</v>
      </c>
      <c r="BC56" s="1451"/>
      <c r="BD56" s="1451">
        <f t="shared" si="219"/>
        <v>15.868571428571428</v>
      </c>
      <c r="BE56" s="1451">
        <f t="shared" si="219"/>
        <v>13.011428571428571</v>
      </c>
      <c r="BF56" s="1451">
        <f t="shared" si="219"/>
        <v>18.215999999999998</v>
      </c>
      <c r="BG56" s="1451">
        <f t="shared" si="219"/>
        <v>0.4868493150684931</v>
      </c>
      <c r="BH56" s="1451">
        <f t="shared" si="219"/>
        <v>1.518</v>
      </c>
      <c r="BI56" s="1451">
        <f t="shared" si="219"/>
        <v>1.3011428571428572</v>
      </c>
      <c r="BJ56" s="1451">
        <f t="shared" si="219"/>
        <v>1.2442622950819671</v>
      </c>
      <c r="BK56" s="1451">
        <f t="shared" si="219"/>
        <v>1.0715294117647058</v>
      </c>
      <c r="BL56" s="1451">
        <f t="shared" si="219"/>
        <v>0</v>
      </c>
      <c r="BM56" s="1451">
        <f t="shared" si="219"/>
        <v>1085.4000000000001</v>
      </c>
      <c r="BN56" s="1451">
        <f t="shared" si="219"/>
        <v>455.4</v>
      </c>
      <c r="BO56" s="1453"/>
      <c r="BP56" s="1452">
        <f t="shared" ref="BP56:CT56" si="220">IF(BP6=0,0,BP55/BP6)</f>
        <v>4.7936842105263153</v>
      </c>
      <c r="BQ56" s="1451">
        <f t="shared" si="220"/>
        <v>3.5711111111111107</v>
      </c>
      <c r="BR56" s="1451">
        <f t="shared" si="220"/>
        <v>5.3576470588235292</v>
      </c>
      <c r="BS56" s="1451">
        <f t="shared" si="220"/>
        <v>6.0720000000000001</v>
      </c>
      <c r="BT56" s="1451">
        <f t="shared" si="220"/>
        <v>6.0720000000000001</v>
      </c>
      <c r="BU56" s="1451">
        <f t="shared" si="220"/>
        <v>5.0599999999999996</v>
      </c>
      <c r="BV56" s="1451">
        <f t="shared" si="220"/>
        <v>5.3576470588235292</v>
      </c>
      <c r="BW56" s="1451">
        <f t="shared" si="220"/>
        <v>5.0771428571428565</v>
      </c>
      <c r="BX56" s="1451">
        <f t="shared" si="220"/>
        <v>6.0720000000000001</v>
      </c>
      <c r="BY56" s="1451">
        <f t="shared" si="220"/>
        <v>6.5057142857142853</v>
      </c>
      <c r="BZ56" s="1451">
        <f t="shared" si="220"/>
        <v>7.8517241379310345</v>
      </c>
      <c r="CA56" s="1451">
        <f t="shared" si="220"/>
        <v>7.006153846153846</v>
      </c>
      <c r="CB56" s="1451">
        <f t="shared" si="220"/>
        <v>7.59</v>
      </c>
      <c r="CC56" s="1451">
        <f t="shared" si="220"/>
        <v>2.9616666666666664</v>
      </c>
      <c r="CD56" s="1451"/>
      <c r="CE56" s="1451">
        <f t="shared" si="220"/>
        <v>9.1079999999999988</v>
      </c>
      <c r="CF56" s="1451">
        <f t="shared" si="220"/>
        <v>15.18</v>
      </c>
      <c r="CG56" s="1451">
        <f t="shared" si="220"/>
        <v>13.011428571428571</v>
      </c>
      <c r="CH56" s="1451">
        <f t="shared" si="220"/>
        <v>13.394117647058822</v>
      </c>
      <c r="CI56" s="1451"/>
      <c r="CJ56" s="1451">
        <f t="shared" si="220"/>
        <v>11.107999999999999</v>
      </c>
      <c r="CK56" s="1451">
        <f t="shared" si="220"/>
        <v>9.1079999999999988</v>
      </c>
      <c r="CL56" s="1451">
        <f t="shared" si="220"/>
        <v>11.385</v>
      </c>
      <c r="CM56" s="1451">
        <f t="shared" si="220"/>
        <v>0.53576470588235292</v>
      </c>
      <c r="CN56" s="1451">
        <f t="shared" si="220"/>
        <v>1.3011428571428572</v>
      </c>
      <c r="CO56" s="1451">
        <f t="shared" si="220"/>
        <v>1.1384999999999998</v>
      </c>
      <c r="CP56" s="1451">
        <f t="shared" si="220"/>
        <v>1.1384999999999998</v>
      </c>
      <c r="CQ56" s="1451">
        <f t="shared" si="220"/>
        <v>0.97725321888412009</v>
      </c>
      <c r="CR56" s="1451">
        <f>IF(CR6=0,0,CR55/CR6)</f>
        <v>0</v>
      </c>
      <c r="CS56" s="1451">
        <f t="shared" si="220"/>
        <v>1085.4000000000001</v>
      </c>
      <c r="CT56" s="1451">
        <f t="shared" si="220"/>
        <v>455.4</v>
      </c>
      <c r="CV56" s="1459"/>
      <c r="CW56" s="1458" t="s">
        <v>228</v>
      </c>
      <c r="CX56" s="1451">
        <f>IF(CX6=0,0,CX55/CX6)</f>
        <v>1.518</v>
      </c>
      <c r="CY56" s="1451">
        <f>IF(CY6=0,0,CY55/CY6)</f>
        <v>1.7384999999999999</v>
      </c>
      <c r="CZ56" s="1451">
        <f>IF(CZ6=0,0,CZ55/CZ6)</f>
        <v>2.3180000000000001</v>
      </c>
      <c r="DA56" s="1451">
        <f>IF(DA6=0,0,DA55/DA6)</f>
        <v>1.9868571428571429</v>
      </c>
      <c r="DB56" s="1451">
        <f t="shared" ref="DB56:DJ56" si="221">IF(DB6=0,0,DB55/DB6)</f>
        <v>19.846666666666668</v>
      </c>
      <c r="DC56" s="1451">
        <f t="shared" si="221"/>
        <v>23.18</v>
      </c>
      <c r="DD56" s="1451">
        <f>IF(DD6=0,0,DD55/DD6)</f>
        <v>22.681904761904761</v>
      </c>
      <c r="DE56" s="1451">
        <f t="shared" si="221"/>
        <v>33.853589196872775</v>
      </c>
      <c r="DF56" s="1451">
        <f t="shared" si="221"/>
        <v>19.846666666666668</v>
      </c>
      <c r="DG56" s="1451">
        <f t="shared" si="221"/>
        <v>19.846666666666668</v>
      </c>
      <c r="DH56" s="1451">
        <f>IF(DH6=0,0,DH55/DH6)</f>
        <v>19.846666666666668</v>
      </c>
      <c r="DI56" s="1451">
        <f t="shared" si="221"/>
        <v>25.202116402116403</v>
      </c>
      <c r="DJ56" s="1451">
        <f t="shared" si="221"/>
        <v>9.9233333333333338</v>
      </c>
      <c r="DK56" s="1451">
        <f>IF(DK6=0,0,DK55/DK6)</f>
        <v>22.681904761904761</v>
      </c>
      <c r="DL56" s="1451">
        <f t="shared" ref="DL56:DS56" si="222">IF(DL6=0,0,DL55/DL6)</f>
        <v>26.46222222222222</v>
      </c>
      <c r="DM56" s="1451">
        <f t="shared" si="222"/>
        <v>23.349019607843136</v>
      </c>
      <c r="DN56" s="1451">
        <f t="shared" si="222"/>
        <v>29.77</v>
      </c>
      <c r="DO56" s="1451">
        <f t="shared" si="222"/>
        <v>59.54</v>
      </c>
      <c r="DP56" s="1451">
        <f t="shared" si="222"/>
        <v>3.9693333333333332</v>
      </c>
      <c r="DQ56" s="1451"/>
      <c r="DR56" s="1451">
        <f t="shared" si="222"/>
        <v>0</v>
      </c>
      <c r="DS56" s="1451">
        <f t="shared" si="222"/>
        <v>0</v>
      </c>
      <c r="DU56" s="1451">
        <f>IF(DU6=0,0,DU55/DU6)</f>
        <v>1.1384999999999998</v>
      </c>
      <c r="DV56" s="1451">
        <f>IF(DV6=0,0,DV55/DV6)</f>
        <v>1.3908</v>
      </c>
      <c r="DW56" s="1451">
        <f>IF(DW6=0,0,DW55/DW6)</f>
        <v>1.7384999999999999</v>
      </c>
      <c r="DX56" s="1451">
        <f>IF(DX6=0,0,DX55/DX6)</f>
        <v>1.5453333333333332</v>
      </c>
      <c r="DY56" s="1452">
        <f t="shared" ref="DY56:EG56" si="223">IF(DY6=0,0,DY55/DY6)</f>
        <v>14.885</v>
      </c>
      <c r="DZ56" s="1451">
        <f t="shared" si="223"/>
        <v>17.384999999999998</v>
      </c>
      <c r="EA56" s="1451">
        <f t="shared" si="223"/>
        <v>17.011428571428571</v>
      </c>
      <c r="EB56" s="1451">
        <f t="shared" si="223"/>
        <v>25.390191897654582</v>
      </c>
      <c r="EC56" s="1451">
        <f t="shared" si="223"/>
        <v>14.885</v>
      </c>
      <c r="ED56" s="1451">
        <f t="shared" si="223"/>
        <v>14.885</v>
      </c>
      <c r="EE56" s="1451">
        <f>IF(EE6=0,0,EE55/EE6)</f>
        <v>14.885</v>
      </c>
      <c r="EF56" s="1451">
        <f t="shared" si="223"/>
        <v>18.901587301587302</v>
      </c>
      <c r="EG56" s="1451">
        <f t="shared" si="223"/>
        <v>7.4424999999999999</v>
      </c>
      <c r="EH56" s="1451">
        <f t="shared" ref="EH56:EM56" si="224">IF(EH6=0,0,EH55/EH6)</f>
        <v>17.011428571428571</v>
      </c>
      <c r="EI56" s="1451">
        <f t="shared" si="224"/>
        <v>19.846666666666668</v>
      </c>
      <c r="EJ56" s="1451">
        <f t="shared" si="224"/>
        <v>19.846666666666668</v>
      </c>
      <c r="EK56" s="1451">
        <f t="shared" si="224"/>
        <v>19.846666666666668</v>
      </c>
      <c r="EL56" s="1451">
        <f t="shared" si="224"/>
        <v>31.336842105263155</v>
      </c>
      <c r="EM56" s="1451">
        <f t="shared" si="224"/>
        <v>3.1754666666666664</v>
      </c>
      <c r="EN56" s="1451"/>
      <c r="EO56" s="1451">
        <f>IF(EO6=0,0,EO55/EO6)</f>
        <v>0</v>
      </c>
      <c r="EP56" s="1451">
        <f>IF(EP6=0,0,EP55/EP6)</f>
        <v>0</v>
      </c>
      <c r="ER56" s="1451">
        <f>IF(ER6=0,0,ER55/ER6)</f>
        <v>0.91079999999999994</v>
      </c>
      <c r="ES56" s="1451">
        <f>IF(ES6=0,0,ES55/ES6)</f>
        <v>1.159</v>
      </c>
      <c r="ET56" s="1451">
        <f>IF(ET6=0,0,ET55/ET6)</f>
        <v>1.3908</v>
      </c>
      <c r="EU56" s="1451">
        <f>IF(EU6=0,0,EU55/EU6)</f>
        <v>1.2643636363636364</v>
      </c>
      <c r="EV56" s="1452">
        <f t="shared" ref="EV56:FD56" si="225">IF(EV6=0,0,EV55/EV6)</f>
        <v>8.6289855072463766</v>
      </c>
      <c r="EW56" s="1451">
        <f t="shared" si="225"/>
        <v>11.59</v>
      </c>
      <c r="EX56" s="1451">
        <f t="shared" si="225"/>
        <v>13.23111111111111</v>
      </c>
      <c r="EY56" s="1451">
        <f t="shared" si="225"/>
        <v>20.312153518123665</v>
      </c>
      <c r="EZ56" s="1451">
        <f t="shared" si="225"/>
        <v>11.907999999999999</v>
      </c>
      <c r="FA56" s="1451">
        <f t="shared" si="225"/>
        <v>11.907999999999999</v>
      </c>
      <c r="FB56" s="1451">
        <f>IF(FB6=0,0,FB55/FB6)</f>
        <v>11.907999999999999</v>
      </c>
      <c r="FC56" s="1451">
        <f t="shared" si="225"/>
        <v>15.121269841269841</v>
      </c>
      <c r="FD56" s="1451">
        <f t="shared" si="225"/>
        <v>5.9539999999999997</v>
      </c>
      <c r="FE56" s="1451">
        <f t="shared" ref="FE56:FJ56" si="226">IF(FE6=0,0,FE55/FE6)</f>
        <v>13.609142857142857</v>
      </c>
      <c r="FF56" s="1451">
        <f t="shared" si="226"/>
        <v>15.877333333333333</v>
      </c>
      <c r="FG56" s="1451">
        <f t="shared" si="226"/>
        <v>17.257971014492753</v>
      </c>
      <c r="FH56" s="1451">
        <f t="shared" si="226"/>
        <v>14.885</v>
      </c>
      <c r="FI56" s="1451">
        <f t="shared" si="226"/>
        <v>22.9</v>
      </c>
      <c r="FJ56" s="1451">
        <f t="shared" si="226"/>
        <v>2.6462222222222223</v>
      </c>
      <c r="FK56" s="1451"/>
      <c r="FL56" s="1451">
        <f>IF(FL6=0,0,FL55/FL6)</f>
        <v>0</v>
      </c>
      <c r="FM56" s="1451">
        <f>IF(FM6=0,0,FM55/FM6)</f>
        <v>0</v>
      </c>
    </row>
    <row r="57" spans="1:171" s="1450" customFormat="1" ht="16.149999999999999" customHeight="1">
      <c r="A57" s="1440">
        <f>ROWS($A$1:A57)</f>
        <v>57</v>
      </c>
      <c r="B57" s="1457" t="s">
        <v>1108</v>
      </c>
      <c r="C57" s="1456" t="s">
        <v>171</v>
      </c>
      <c r="D57" s="1445">
        <f t="shared" ref="D57:AH57" si="227">D53-D55</f>
        <v>691.86545382310635</v>
      </c>
      <c r="E57" s="1445">
        <f t="shared" si="227"/>
        <v>1299.4233384141353</v>
      </c>
      <c r="F57" s="1445">
        <f t="shared" si="227"/>
        <v>1050.7074419973942</v>
      </c>
      <c r="G57" s="1445">
        <f t="shared" si="227"/>
        <v>1101.3175912418387</v>
      </c>
      <c r="H57" s="1445">
        <f t="shared" si="227"/>
        <v>814.19093322097763</v>
      </c>
      <c r="I57" s="1445">
        <f t="shared" si="227"/>
        <v>919.52317110986689</v>
      </c>
      <c r="J57" s="1445">
        <f t="shared" si="227"/>
        <v>983.44658133072755</v>
      </c>
      <c r="K57" s="1445">
        <f t="shared" si="227"/>
        <v>1184.260888913986</v>
      </c>
      <c r="L57" s="1445">
        <f t="shared" si="227"/>
        <v>798.23504773245133</v>
      </c>
      <c r="M57" s="1445">
        <f t="shared" si="227"/>
        <v>871.84555136354913</v>
      </c>
      <c r="N57" s="1445">
        <f t="shared" si="227"/>
        <v>730.33392401243157</v>
      </c>
      <c r="O57" s="1445">
        <f t="shared" si="227"/>
        <v>647.18570698285305</v>
      </c>
      <c r="P57" s="1445">
        <f t="shared" si="227"/>
        <v>989.18220045377404</v>
      </c>
      <c r="Q57" s="1445">
        <f t="shared" si="227"/>
        <v>1525.8569640003657</v>
      </c>
      <c r="R57" s="1445"/>
      <c r="S57" s="1445">
        <f t="shared" si="227"/>
        <v>1007.8045026421647</v>
      </c>
      <c r="T57" s="1445">
        <f t="shared" si="227"/>
        <v>979.58623879041909</v>
      </c>
      <c r="U57" s="1445">
        <f t="shared" si="227"/>
        <v>929.98763169342158</v>
      </c>
      <c r="V57" s="1445">
        <f t="shared" si="227"/>
        <v>828.2364813985597</v>
      </c>
      <c r="W57" s="1445"/>
      <c r="X57" s="1445">
        <f t="shared" si="227"/>
        <v>361.91377975147202</v>
      </c>
      <c r="Y57" s="1445">
        <f t="shared" si="227"/>
        <v>556.12788048568632</v>
      </c>
      <c r="Z57" s="1445">
        <f t="shared" si="227"/>
        <v>554.31130552566015</v>
      </c>
      <c r="AA57" s="1445">
        <f t="shared" si="227"/>
        <v>1040.3985773846475</v>
      </c>
      <c r="AB57" s="1445">
        <f t="shared" si="227"/>
        <v>7286.5628949362308</v>
      </c>
      <c r="AC57" s="1445">
        <f t="shared" si="227"/>
        <v>9409.6908835953091</v>
      </c>
      <c r="AD57" s="1445">
        <f t="shared" si="227"/>
        <v>7044.0721541077046</v>
      </c>
      <c r="AE57" s="1445">
        <f t="shared" si="227"/>
        <v>7758.1908313527001</v>
      </c>
      <c r="AF57" s="1445">
        <f t="shared" si="227"/>
        <v>647</v>
      </c>
      <c r="AG57" s="1445">
        <f t="shared" si="227"/>
        <v>-1215.5446747883616</v>
      </c>
      <c r="AH57" s="1445">
        <f t="shared" si="227"/>
        <v>-635.82045068879268</v>
      </c>
      <c r="AI57" s="1442"/>
      <c r="AJ57" s="1443">
        <f t="shared" ref="AJ57:BN57" si="228">AJ53-AJ55</f>
        <v>958.13862708762247</v>
      </c>
      <c r="AK57" s="1445">
        <f t="shared" si="228"/>
        <v>1499.7435373928352</v>
      </c>
      <c r="AL57" s="1445">
        <f t="shared" si="228"/>
        <v>1232.2551543094273</v>
      </c>
      <c r="AM57" s="1445">
        <f t="shared" si="228"/>
        <v>1245.4774051815753</v>
      </c>
      <c r="AN57" s="1445">
        <f t="shared" si="228"/>
        <v>928.11130383223838</v>
      </c>
      <c r="AO57" s="1445">
        <f t="shared" si="228"/>
        <v>1071.2616816934237</v>
      </c>
      <c r="AP57" s="1445">
        <f t="shared" si="228"/>
        <v>1135.0313185809509</v>
      </c>
      <c r="AQ57" s="1445">
        <f t="shared" si="228"/>
        <v>1338.5588708092787</v>
      </c>
      <c r="AR57" s="1445">
        <f t="shared" si="228"/>
        <v>1016.4091160657846</v>
      </c>
      <c r="AS57" s="1445">
        <f t="shared" si="228"/>
        <v>989.3555327324508</v>
      </c>
      <c r="AT57" s="1445">
        <f t="shared" si="228"/>
        <v>823.51933871466656</v>
      </c>
      <c r="AU57" s="1445">
        <f t="shared" si="228"/>
        <v>790.36852149244453</v>
      </c>
      <c r="AV57" s="1445">
        <f t="shared" si="228"/>
        <v>1153.7971025071274</v>
      </c>
      <c r="AW57" s="1445">
        <f t="shared" si="228"/>
        <v>1772.1099178492809</v>
      </c>
      <c r="AX57" s="1445"/>
      <c r="AY57" s="1445">
        <f t="shared" si="228"/>
        <v>1232.172000807619</v>
      </c>
      <c r="AZ57" s="1445">
        <f t="shared" si="228"/>
        <v>1143.768402585783</v>
      </c>
      <c r="BA57" s="1445">
        <f t="shared" si="228"/>
        <v>1070.1207573778725</v>
      </c>
      <c r="BB57" s="1445">
        <f t="shared" si="228"/>
        <v>940.27498681901955</v>
      </c>
      <c r="BC57" s="1445"/>
      <c r="BD57" s="1445">
        <f t="shared" si="228"/>
        <v>505.56273808480557</v>
      </c>
      <c r="BE57" s="1445">
        <f t="shared" si="228"/>
        <v>713.01398530702738</v>
      </c>
      <c r="BF57" s="1445">
        <f t="shared" si="228"/>
        <v>672.46180424567967</v>
      </c>
      <c r="BG57" s="1445">
        <f t="shared" si="228"/>
        <v>1988.62046460687</v>
      </c>
      <c r="BH57" s="1445">
        <f t="shared" si="228"/>
        <v>7475.7785160809926</v>
      </c>
      <c r="BI57" s="1445">
        <f t="shared" si="228"/>
        <v>9585.3229027104917</v>
      </c>
      <c r="BJ57" s="1445">
        <f t="shared" si="228"/>
        <v>7142.3970710857984</v>
      </c>
      <c r="BK57" s="1445">
        <f t="shared" si="228"/>
        <v>7909.060486780967</v>
      </c>
      <c r="BL57" s="1445">
        <f t="shared" si="228"/>
        <v>697.00000000000011</v>
      </c>
      <c r="BM57" s="1445">
        <f t="shared" si="228"/>
        <v>-1165.5446747883614</v>
      </c>
      <c r="BN57" s="1445">
        <f t="shared" si="228"/>
        <v>-329.15378402212605</v>
      </c>
      <c r="BO57" s="1442"/>
      <c r="BP57" s="1443">
        <f t="shared" ref="BP57:CT57" si="229">BP53-BP55</f>
        <v>1110.7001002396664</v>
      </c>
      <c r="BQ57" s="1445">
        <f t="shared" si="229"/>
        <v>1680.2957697048687</v>
      </c>
      <c r="BR57" s="1445">
        <f t="shared" si="229"/>
        <v>1408.2993999547939</v>
      </c>
      <c r="BS57" s="1445">
        <f t="shared" si="229"/>
        <v>1389.6372191213113</v>
      </c>
      <c r="BT57" s="1445">
        <f t="shared" si="229"/>
        <v>1077.7106040595022</v>
      </c>
      <c r="BU57" s="1445">
        <f t="shared" si="229"/>
        <v>1241.6386547555312</v>
      </c>
      <c r="BV57" s="1445">
        <f t="shared" si="229"/>
        <v>1323.286785559651</v>
      </c>
      <c r="BW57" s="1445">
        <f t="shared" si="229"/>
        <v>1455.6904063094271</v>
      </c>
      <c r="BX57" s="1445">
        <f t="shared" si="229"/>
        <v>997.97776773245107</v>
      </c>
      <c r="BY57" s="1445">
        <f t="shared" si="229"/>
        <v>1106.8655141013528</v>
      </c>
      <c r="BZ57" s="1445">
        <f t="shared" si="229"/>
        <v>916.70475341690201</v>
      </c>
      <c r="CA57" s="1445">
        <f t="shared" si="229"/>
        <v>904.06673397245788</v>
      </c>
      <c r="CB57" s="1445">
        <f t="shared" si="229"/>
        <v>1242.0020698582448</v>
      </c>
      <c r="CC57" s="1445">
        <f t="shared" si="229"/>
        <v>2018.3628716981957</v>
      </c>
      <c r="CD57" s="1445"/>
      <c r="CE57" s="1445">
        <f t="shared" si="229"/>
        <v>1416.2957657522124</v>
      </c>
      <c r="CF57" s="1445">
        <f t="shared" si="229"/>
        <v>1267.7977976849015</v>
      </c>
      <c r="CG57" s="1445">
        <f t="shared" si="229"/>
        <v>1210.2538830623234</v>
      </c>
      <c r="CH57" s="1445">
        <f t="shared" si="229"/>
        <v>1052.3134922394797</v>
      </c>
      <c r="CI57" s="1445"/>
      <c r="CJ57" s="1445">
        <f t="shared" si="229"/>
        <v>654.77920606082091</v>
      </c>
      <c r="CK57" s="1445">
        <f t="shared" si="229"/>
        <v>872.68384494970962</v>
      </c>
      <c r="CL57" s="1445">
        <f t="shared" si="229"/>
        <v>790.61230296569931</v>
      </c>
      <c r="CM57" s="1445">
        <f t="shared" si="229"/>
        <v>2032.9702405253374</v>
      </c>
      <c r="CN57" s="1445">
        <f t="shared" si="229"/>
        <v>7664.9941372257545</v>
      </c>
      <c r="CO57" s="1445">
        <f t="shared" si="229"/>
        <v>9788.1221258848327</v>
      </c>
      <c r="CP57" s="1445">
        <f t="shared" si="229"/>
        <v>7287.2150005638941</v>
      </c>
      <c r="CQ57" s="1445">
        <f t="shared" si="229"/>
        <v>8057.8688496196701</v>
      </c>
      <c r="CR57" s="1445">
        <f>CR53-CR55</f>
        <v>747.00000000000011</v>
      </c>
      <c r="CS57" s="1445">
        <f t="shared" si="229"/>
        <v>-1115.5446747883614</v>
      </c>
      <c r="CT57" s="1445">
        <f t="shared" si="229"/>
        <v>-279.15378402212605</v>
      </c>
      <c r="CV57" s="1457" t="s">
        <v>1108</v>
      </c>
      <c r="CW57" s="1456" t="s">
        <v>171</v>
      </c>
      <c r="CX57" s="1445" t="e">
        <f>CX53-CX55</f>
        <v>#N/A</v>
      </c>
      <c r="CY57" s="1445" t="e">
        <f>CY53-CY55</f>
        <v>#N/A</v>
      </c>
      <c r="CZ57" s="1445" t="e">
        <f>CZ53-CZ55</f>
        <v>#N/A</v>
      </c>
      <c r="DA57" s="1445" t="e">
        <f>DA53-DA55</f>
        <v>#N/A</v>
      </c>
      <c r="DB57" s="1445" t="e">
        <f t="shared" ref="DB57:DJ57" si="230">DB53-DB55</f>
        <v>#N/A</v>
      </c>
      <c r="DC57" s="1445" t="e">
        <f t="shared" si="230"/>
        <v>#N/A</v>
      </c>
      <c r="DD57" s="1445" t="e">
        <f>DD53-DD55</f>
        <v>#N/A</v>
      </c>
      <c r="DE57" s="1445" t="e">
        <f t="shared" si="230"/>
        <v>#N/A</v>
      </c>
      <c r="DF57" s="1445" t="e">
        <f t="shared" si="230"/>
        <v>#N/A</v>
      </c>
      <c r="DG57" s="1445" t="e">
        <f t="shared" si="230"/>
        <v>#N/A</v>
      </c>
      <c r="DH57" s="1445" t="e">
        <f>DH53-DH55</f>
        <v>#N/A</v>
      </c>
      <c r="DI57" s="1445" t="e">
        <f t="shared" si="230"/>
        <v>#N/A</v>
      </c>
      <c r="DJ57" s="1445" t="e">
        <f t="shared" si="230"/>
        <v>#N/A</v>
      </c>
      <c r="DK57" s="1445" t="e">
        <f>DK53-DK55</f>
        <v>#N/A</v>
      </c>
      <c r="DL57" s="1445" t="e">
        <f t="shared" ref="DL57:DS57" si="231">DL53-DL55</f>
        <v>#N/A</v>
      </c>
      <c r="DM57" s="1445" t="e">
        <f t="shared" si="231"/>
        <v>#N/A</v>
      </c>
      <c r="DN57" s="1445" t="e">
        <f t="shared" si="231"/>
        <v>#N/A</v>
      </c>
      <c r="DO57" s="1445" t="e">
        <f t="shared" si="231"/>
        <v>#N/A</v>
      </c>
      <c r="DP57" s="1445" t="e">
        <f t="shared" si="231"/>
        <v>#N/A</v>
      </c>
      <c r="DQ57" s="1445"/>
      <c r="DR57" s="1445" t="e">
        <f t="shared" si="231"/>
        <v>#N/A</v>
      </c>
      <c r="DS57" s="1445" t="e">
        <f t="shared" si="231"/>
        <v>#N/A</v>
      </c>
      <c r="DU57" s="1445" t="e">
        <f>DU53-DU55</f>
        <v>#N/A</v>
      </c>
      <c r="DV57" s="1445" t="e">
        <f>DV53-DV55</f>
        <v>#N/A</v>
      </c>
      <c r="DW57" s="1445" t="e">
        <f>DW53-DW55</f>
        <v>#N/A</v>
      </c>
      <c r="DX57" s="1445" t="e">
        <f>DX53-DX55</f>
        <v>#N/A</v>
      </c>
      <c r="DY57" s="1443" t="e">
        <f t="shared" ref="DY57:EG57" si="232">DY53-DY55</f>
        <v>#N/A</v>
      </c>
      <c r="DZ57" s="1445" t="e">
        <f t="shared" si="232"/>
        <v>#N/A</v>
      </c>
      <c r="EA57" s="1445" t="e">
        <f t="shared" si="232"/>
        <v>#N/A</v>
      </c>
      <c r="EB57" s="1445" t="e">
        <f t="shared" si="232"/>
        <v>#N/A</v>
      </c>
      <c r="EC57" s="1445" t="e">
        <f t="shared" si="232"/>
        <v>#N/A</v>
      </c>
      <c r="ED57" s="1445" t="e">
        <f t="shared" si="232"/>
        <v>#N/A</v>
      </c>
      <c r="EE57" s="1445" t="e">
        <f>EE53-EE55</f>
        <v>#N/A</v>
      </c>
      <c r="EF57" s="1445" t="e">
        <f t="shared" si="232"/>
        <v>#N/A</v>
      </c>
      <c r="EG57" s="1445" t="e">
        <f t="shared" si="232"/>
        <v>#N/A</v>
      </c>
      <c r="EH57" s="1445" t="e">
        <f t="shared" ref="EH57:EM57" si="233">EH53-EH55</f>
        <v>#N/A</v>
      </c>
      <c r="EI57" s="1445" t="e">
        <f t="shared" si="233"/>
        <v>#N/A</v>
      </c>
      <c r="EJ57" s="1445" t="e">
        <f t="shared" si="233"/>
        <v>#N/A</v>
      </c>
      <c r="EK57" s="1445" t="e">
        <f t="shared" si="233"/>
        <v>#N/A</v>
      </c>
      <c r="EL57" s="1445" t="e">
        <f t="shared" si="233"/>
        <v>#N/A</v>
      </c>
      <c r="EM57" s="1445" t="e">
        <f t="shared" si="233"/>
        <v>#N/A</v>
      </c>
      <c r="EN57" s="1445"/>
      <c r="EO57" s="1445" t="e">
        <f>EO53-EO55</f>
        <v>#N/A</v>
      </c>
      <c r="EP57" s="1445" t="e">
        <f>EP53-EP55</f>
        <v>#N/A</v>
      </c>
      <c r="ER57" s="1445" t="e">
        <f>ER53-ER55</f>
        <v>#N/A</v>
      </c>
      <c r="ES57" s="1445" t="e">
        <f>ES53-ES55</f>
        <v>#N/A</v>
      </c>
      <c r="ET57" s="1445" t="e">
        <f>ET53-ET55</f>
        <v>#N/A</v>
      </c>
      <c r="EU57" s="1445" t="e">
        <f>EU53-EU55</f>
        <v>#N/A</v>
      </c>
      <c r="EV57" s="1443" t="e">
        <f t="shared" ref="EV57:FD57" si="234">EV53-EV55</f>
        <v>#N/A</v>
      </c>
      <c r="EW57" s="1445" t="e">
        <f t="shared" si="234"/>
        <v>#N/A</v>
      </c>
      <c r="EX57" s="1445" t="e">
        <f t="shared" si="234"/>
        <v>#N/A</v>
      </c>
      <c r="EY57" s="1445" t="e">
        <f t="shared" si="234"/>
        <v>#N/A</v>
      </c>
      <c r="EZ57" s="1445" t="e">
        <f t="shared" si="234"/>
        <v>#N/A</v>
      </c>
      <c r="FA57" s="1445" t="e">
        <f t="shared" si="234"/>
        <v>#N/A</v>
      </c>
      <c r="FB57" s="1445" t="e">
        <f>FB53-FB55</f>
        <v>#N/A</v>
      </c>
      <c r="FC57" s="1445" t="e">
        <f t="shared" si="234"/>
        <v>#N/A</v>
      </c>
      <c r="FD57" s="1445" t="e">
        <f t="shared" si="234"/>
        <v>#N/A</v>
      </c>
      <c r="FE57" s="1445" t="e">
        <f t="shared" ref="FE57:FJ57" si="235">FE53-FE55</f>
        <v>#N/A</v>
      </c>
      <c r="FF57" s="1445" t="e">
        <f t="shared" si="235"/>
        <v>#N/A</v>
      </c>
      <c r="FG57" s="1445" t="e">
        <f t="shared" si="235"/>
        <v>#N/A</v>
      </c>
      <c r="FH57" s="1445" t="e">
        <f t="shared" si="235"/>
        <v>#N/A</v>
      </c>
      <c r="FI57" s="1445" t="e">
        <f t="shared" si="235"/>
        <v>#N/A</v>
      </c>
      <c r="FJ57" s="1445" t="e">
        <f t="shared" si="235"/>
        <v>#N/A</v>
      </c>
      <c r="FK57" s="1445"/>
      <c r="FL57" s="1445" t="e">
        <f>FL53-FL55</f>
        <v>#N/A</v>
      </c>
      <c r="FM57" s="1445" t="e">
        <f>FM53-FM55</f>
        <v>#N/A</v>
      </c>
    </row>
    <row r="58" spans="1:171" s="1450" customFormat="1" ht="16.149999999999999" customHeight="1" thickBot="1">
      <c r="A58" s="1440">
        <f>ROWS($A$1:A58)</f>
        <v>58</v>
      </c>
      <c r="B58" s="1455" t="s">
        <v>1107</v>
      </c>
      <c r="C58" s="1454" t="s">
        <v>228</v>
      </c>
      <c r="D58" s="1451">
        <f t="shared" ref="D58:AH58" si="236">IF(D6=0,0,D57/D6)</f>
        <v>10.644083904970866</v>
      </c>
      <c r="E58" s="1451">
        <f t="shared" si="236"/>
        <v>21.657055640235587</v>
      </c>
      <c r="F58" s="1451">
        <f t="shared" si="236"/>
        <v>19.103771672679894</v>
      </c>
      <c r="G58" s="1451">
        <f t="shared" si="236"/>
        <v>20.023956204397066</v>
      </c>
      <c r="H58" s="1451">
        <f t="shared" si="236"/>
        <v>14.803471513108684</v>
      </c>
      <c r="I58" s="1451">
        <f t="shared" si="236"/>
        <v>15.325386185164449</v>
      </c>
      <c r="J58" s="1451">
        <f t="shared" si="236"/>
        <v>17.880846933285955</v>
      </c>
      <c r="K58" s="1451">
        <f t="shared" si="236"/>
        <v>23.685217778279721</v>
      </c>
      <c r="L58" s="1451">
        <f t="shared" si="236"/>
        <v>14.513364504226388</v>
      </c>
      <c r="M58" s="1451">
        <f t="shared" si="236"/>
        <v>17.436911027270984</v>
      </c>
      <c r="N58" s="1451">
        <f t="shared" si="236"/>
        <v>18.258348100310791</v>
      </c>
      <c r="O58" s="1451">
        <f t="shared" si="236"/>
        <v>14.381904599618956</v>
      </c>
      <c r="P58" s="1451">
        <f t="shared" si="236"/>
        <v>24.729555011344353</v>
      </c>
      <c r="Q58" s="1451">
        <f t="shared" si="236"/>
        <v>19.073212050004571</v>
      </c>
      <c r="R58" s="1451"/>
      <c r="S58" s="1451">
        <f t="shared" si="236"/>
        <v>33.593483421405487</v>
      </c>
      <c r="T58" s="1451">
        <f t="shared" si="236"/>
        <v>48.979311939520954</v>
      </c>
      <c r="U58" s="1451">
        <f t="shared" si="236"/>
        <v>37.199505267736861</v>
      </c>
      <c r="V58" s="1451">
        <f t="shared" si="236"/>
        <v>41.411824069927988</v>
      </c>
      <c r="W58" s="1451"/>
      <c r="X58" s="1451">
        <f t="shared" si="236"/>
        <v>18.095688987573602</v>
      </c>
      <c r="Y58" s="1451">
        <f t="shared" si="236"/>
        <v>27.806394024284316</v>
      </c>
      <c r="Z58" s="1451">
        <f t="shared" si="236"/>
        <v>55.431130552566017</v>
      </c>
      <c r="AA58" s="1451">
        <f t="shared" si="236"/>
        <v>2.9725673639561356</v>
      </c>
      <c r="AB58" s="1451">
        <f t="shared" si="236"/>
        <v>29.146251579744924</v>
      </c>
      <c r="AC58" s="1451">
        <f t="shared" si="236"/>
        <v>31.365636278651031</v>
      </c>
      <c r="AD58" s="1451">
        <f t="shared" si="236"/>
        <v>19.298827819473164</v>
      </c>
      <c r="AE58" s="1451">
        <f t="shared" si="236"/>
        <v>20.256372927813839</v>
      </c>
      <c r="AF58" s="1451">
        <f t="shared" si="236"/>
        <v>0</v>
      </c>
      <c r="AG58" s="1451">
        <f t="shared" si="236"/>
        <v>-1215.5446747883616</v>
      </c>
      <c r="AH58" s="1451">
        <f t="shared" si="236"/>
        <v>-635.82045068879268</v>
      </c>
      <c r="AI58" s="1453"/>
      <c r="AJ58" s="1452">
        <f t="shared" ref="AJ58:BN58" si="237">IF(AJ6=0,0,AJ57/AJ6)</f>
        <v>11.97673283859528</v>
      </c>
      <c r="AK58" s="1451">
        <f t="shared" si="237"/>
        <v>19.996580498571134</v>
      </c>
      <c r="AL58" s="1451">
        <f t="shared" si="237"/>
        <v>17.603645061563249</v>
      </c>
      <c r="AM58" s="1451">
        <f t="shared" si="237"/>
        <v>19.16119084894731</v>
      </c>
      <c r="AN58" s="1451">
        <f t="shared" si="237"/>
        <v>14.278635443572899</v>
      </c>
      <c r="AO58" s="1451">
        <f t="shared" si="237"/>
        <v>14.28348908924565</v>
      </c>
      <c r="AP58" s="1451">
        <f t="shared" si="237"/>
        <v>16.214733122585013</v>
      </c>
      <c r="AQ58" s="1451">
        <f t="shared" si="237"/>
        <v>22.30931451348798</v>
      </c>
      <c r="AR58" s="1451">
        <f t="shared" si="237"/>
        <v>15.637063324088993</v>
      </c>
      <c r="AS58" s="1451">
        <f t="shared" si="237"/>
        <v>16.489258878874178</v>
      </c>
      <c r="AT58" s="1451">
        <f t="shared" si="237"/>
        <v>16.806517116625848</v>
      </c>
      <c r="AU58" s="1451">
        <f t="shared" si="237"/>
        <v>14.370336754408083</v>
      </c>
      <c r="AV58" s="1451">
        <f t="shared" si="237"/>
        <v>20.978129136493227</v>
      </c>
      <c r="AW58" s="1451">
        <f t="shared" si="237"/>
        <v>17.72109917849281</v>
      </c>
      <c r="AX58" s="1451"/>
      <c r="AY58" s="1451">
        <f t="shared" si="237"/>
        <v>30.804300020190475</v>
      </c>
      <c r="AZ58" s="1451">
        <f t="shared" si="237"/>
        <v>45.750736103431315</v>
      </c>
      <c r="BA58" s="1451">
        <f t="shared" si="237"/>
        <v>35.67069191259575</v>
      </c>
      <c r="BB58" s="1451">
        <f t="shared" si="237"/>
        <v>34.824999511815541</v>
      </c>
      <c r="BC58" s="1451"/>
      <c r="BD58" s="1451">
        <f t="shared" si="237"/>
        <v>14.444649659565874</v>
      </c>
      <c r="BE58" s="1451">
        <f t="shared" si="237"/>
        <v>20.371828151629355</v>
      </c>
      <c r="BF58" s="1451">
        <f t="shared" si="237"/>
        <v>26.898472169827187</v>
      </c>
      <c r="BG58" s="1451">
        <f t="shared" si="237"/>
        <v>2.724137622749137</v>
      </c>
      <c r="BH58" s="1451">
        <f t="shared" si="237"/>
        <v>24.919261720269976</v>
      </c>
      <c r="BI58" s="1451">
        <f t="shared" si="237"/>
        <v>27.386636864887119</v>
      </c>
      <c r="BJ58" s="1451">
        <f t="shared" si="237"/>
        <v>19.514746095862836</v>
      </c>
      <c r="BK58" s="1451">
        <f t="shared" si="237"/>
        <v>18.609554086543451</v>
      </c>
      <c r="BL58" s="1451">
        <f t="shared" si="237"/>
        <v>0</v>
      </c>
      <c r="BM58" s="1451">
        <f t="shared" si="237"/>
        <v>-1165.5446747883614</v>
      </c>
      <c r="BN58" s="1451">
        <f t="shared" si="237"/>
        <v>-329.15378402212605</v>
      </c>
      <c r="BO58" s="1453"/>
      <c r="BP58" s="1452">
        <f t="shared" ref="BP58:CT58" si="238">IF(BP6=0,0,BP57/BP6)</f>
        <v>11.691580002522805</v>
      </c>
      <c r="BQ58" s="1451">
        <f t="shared" si="238"/>
        <v>18.669952996720763</v>
      </c>
      <c r="BR58" s="1451">
        <f t="shared" si="238"/>
        <v>16.56822823476228</v>
      </c>
      <c r="BS58" s="1451">
        <f t="shared" si="238"/>
        <v>18.528496254950817</v>
      </c>
      <c r="BT58" s="1451">
        <f t="shared" si="238"/>
        <v>14.369474720793363</v>
      </c>
      <c r="BU58" s="1451">
        <f t="shared" si="238"/>
        <v>13.795985052839235</v>
      </c>
      <c r="BV58" s="1451">
        <f t="shared" si="238"/>
        <v>15.568079830113541</v>
      </c>
      <c r="BW58" s="1451">
        <f t="shared" si="238"/>
        <v>20.795577232991814</v>
      </c>
      <c r="BX58" s="1451">
        <f t="shared" si="238"/>
        <v>13.306370236432681</v>
      </c>
      <c r="BY58" s="1451">
        <f t="shared" si="238"/>
        <v>15.812364487162183</v>
      </c>
      <c r="BZ58" s="1451">
        <f t="shared" si="238"/>
        <v>15.805254369256931</v>
      </c>
      <c r="CA58" s="1451">
        <f t="shared" si="238"/>
        <v>13.90871898419166</v>
      </c>
      <c r="CB58" s="1451">
        <f t="shared" si="238"/>
        <v>20.700034497637414</v>
      </c>
      <c r="CC58" s="1451">
        <f t="shared" si="238"/>
        <v>16.819690597484964</v>
      </c>
      <c r="CD58" s="1451"/>
      <c r="CE58" s="1451">
        <f t="shared" si="238"/>
        <v>28.325915315044249</v>
      </c>
      <c r="CF58" s="1451">
        <f t="shared" si="238"/>
        <v>42.259926589496715</v>
      </c>
      <c r="CG58" s="1451">
        <f t="shared" si="238"/>
        <v>34.57868237320924</v>
      </c>
      <c r="CH58" s="1451">
        <f t="shared" si="238"/>
        <v>30.950396830572934</v>
      </c>
      <c r="CI58" s="1451"/>
      <c r="CJ58" s="1451">
        <f t="shared" si="238"/>
        <v>13.095584121216419</v>
      </c>
      <c r="CK58" s="1451">
        <f t="shared" si="238"/>
        <v>17.453676898994193</v>
      </c>
      <c r="CL58" s="1451">
        <f t="shared" si="238"/>
        <v>19.765307574142483</v>
      </c>
      <c r="CM58" s="1451">
        <f t="shared" si="238"/>
        <v>2.391729694735691</v>
      </c>
      <c r="CN58" s="1451">
        <f t="shared" si="238"/>
        <v>21.89998324921644</v>
      </c>
      <c r="CO58" s="1451">
        <f t="shared" si="238"/>
        <v>24.470305314712082</v>
      </c>
      <c r="CP58" s="1451">
        <f t="shared" si="238"/>
        <v>18.218037501409736</v>
      </c>
      <c r="CQ58" s="1451">
        <f t="shared" si="238"/>
        <v>17.291564054977833</v>
      </c>
      <c r="CR58" s="1451">
        <f>IF(CR6=0,0,CR57/CR6)</f>
        <v>0</v>
      </c>
      <c r="CS58" s="1451">
        <f t="shared" si="238"/>
        <v>-1115.5446747883614</v>
      </c>
      <c r="CT58" s="1451">
        <f t="shared" si="238"/>
        <v>-279.15378402212605</v>
      </c>
      <c r="CV58" s="1455" t="s">
        <v>1107</v>
      </c>
      <c r="CW58" s="1454" t="s">
        <v>228</v>
      </c>
      <c r="CX58" s="1451" t="e">
        <f>IF(CX6=0,0,CX57/CX6)</f>
        <v>#N/A</v>
      </c>
      <c r="CY58" s="1451" t="e">
        <f>IF(CY6=0,0,CY57/CY6)</f>
        <v>#N/A</v>
      </c>
      <c r="CZ58" s="1451" t="e">
        <f>IF(CZ6=0,0,CZ57/CZ6)</f>
        <v>#N/A</v>
      </c>
      <c r="DA58" s="1451" t="e">
        <f>IF(DA6=0,0,DA57/DA6)</f>
        <v>#N/A</v>
      </c>
      <c r="DB58" s="1451" t="e">
        <f t="shared" ref="DB58:DJ58" si="239">IF(DB6=0,0,DB57/DB6)</f>
        <v>#N/A</v>
      </c>
      <c r="DC58" s="1451" t="e">
        <f t="shared" si="239"/>
        <v>#N/A</v>
      </c>
      <c r="DD58" s="1451" t="e">
        <f>IF(DD6=0,0,DD57/DD6)</f>
        <v>#N/A</v>
      </c>
      <c r="DE58" s="1451" t="e">
        <f t="shared" si="239"/>
        <v>#N/A</v>
      </c>
      <c r="DF58" s="1451" t="e">
        <f t="shared" si="239"/>
        <v>#N/A</v>
      </c>
      <c r="DG58" s="1451" t="e">
        <f t="shared" si="239"/>
        <v>#N/A</v>
      </c>
      <c r="DH58" s="1451" t="e">
        <f>IF(DH6=0,0,DH57/DH6)</f>
        <v>#N/A</v>
      </c>
      <c r="DI58" s="1451" t="e">
        <f t="shared" si="239"/>
        <v>#N/A</v>
      </c>
      <c r="DJ58" s="1451" t="e">
        <f t="shared" si="239"/>
        <v>#N/A</v>
      </c>
      <c r="DK58" s="1451" t="e">
        <f>IF(DK6=0,0,DK57/DK6)</f>
        <v>#N/A</v>
      </c>
      <c r="DL58" s="1451" t="e">
        <f t="shared" ref="DL58:DS58" si="240">IF(DL6=0,0,DL57/DL6)</f>
        <v>#N/A</v>
      </c>
      <c r="DM58" s="1451" t="e">
        <f t="shared" si="240"/>
        <v>#N/A</v>
      </c>
      <c r="DN58" s="1451" t="e">
        <f t="shared" si="240"/>
        <v>#N/A</v>
      </c>
      <c r="DO58" s="1451" t="e">
        <f t="shared" si="240"/>
        <v>#N/A</v>
      </c>
      <c r="DP58" s="1451" t="e">
        <f t="shared" si="240"/>
        <v>#N/A</v>
      </c>
      <c r="DQ58" s="1451"/>
      <c r="DR58" s="1451">
        <f t="shared" si="240"/>
        <v>0</v>
      </c>
      <c r="DS58" s="1451">
        <f t="shared" si="240"/>
        <v>0</v>
      </c>
      <c r="DU58" s="1451" t="e">
        <f>IF(DU6=0,0,DU57/DU6)</f>
        <v>#N/A</v>
      </c>
      <c r="DV58" s="1451" t="e">
        <f>IF(DV6=0,0,DV57/DV6)</f>
        <v>#N/A</v>
      </c>
      <c r="DW58" s="1451" t="e">
        <f>IF(DW6=0,0,DW57/DW6)</f>
        <v>#N/A</v>
      </c>
      <c r="DX58" s="1451" t="e">
        <f>IF(DX6=0,0,DX57/DX6)</f>
        <v>#N/A</v>
      </c>
      <c r="DY58" s="1452" t="e">
        <f t="shared" ref="DY58:EG58" si="241">IF(DY6=0,0,DY57/DY6)</f>
        <v>#N/A</v>
      </c>
      <c r="DZ58" s="1451" t="e">
        <f t="shared" si="241"/>
        <v>#N/A</v>
      </c>
      <c r="EA58" s="1451" t="e">
        <f t="shared" si="241"/>
        <v>#N/A</v>
      </c>
      <c r="EB58" s="1451" t="e">
        <f t="shared" si="241"/>
        <v>#N/A</v>
      </c>
      <c r="EC58" s="1451" t="e">
        <f t="shared" si="241"/>
        <v>#N/A</v>
      </c>
      <c r="ED58" s="1451" t="e">
        <f t="shared" si="241"/>
        <v>#N/A</v>
      </c>
      <c r="EE58" s="1451" t="e">
        <f>IF(EE6=0,0,EE57/EE6)</f>
        <v>#N/A</v>
      </c>
      <c r="EF58" s="1451" t="e">
        <f t="shared" si="241"/>
        <v>#N/A</v>
      </c>
      <c r="EG58" s="1451" t="e">
        <f t="shared" si="241"/>
        <v>#N/A</v>
      </c>
      <c r="EH58" s="1451" t="e">
        <f t="shared" ref="EH58:EM58" si="242">IF(EH6=0,0,EH57/EH6)</f>
        <v>#N/A</v>
      </c>
      <c r="EI58" s="1451" t="e">
        <f t="shared" si="242"/>
        <v>#N/A</v>
      </c>
      <c r="EJ58" s="1451" t="e">
        <f t="shared" si="242"/>
        <v>#N/A</v>
      </c>
      <c r="EK58" s="1451" t="e">
        <f t="shared" si="242"/>
        <v>#N/A</v>
      </c>
      <c r="EL58" s="1451" t="e">
        <f t="shared" si="242"/>
        <v>#N/A</v>
      </c>
      <c r="EM58" s="1451" t="e">
        <f t="shared" si="242"/>
        <v>#N/A</v>
      </c>
      <c r="EN58" s="1451"/>
      <c r="EO58" s="1451">
        <f>IF(EO6=0,0,EO57/EO6)</f>
        <v>0</v>
      </c>
      <c r="EP58" s="1451">
        <f>IF(EP6=0,0,EP57/EP6)</f>
        <v>0</v>
      </c>
      <c r="ER58" s="1451" t="e">
        <f>IF(ER6=0,0,ER57/ER6)</f>
        <v>#N/A</v>
      </c>
      <c r="ES58" s="1451" t="e">
        <f>IF(ES6=0,0,ES57/ES6)</f>
        <v>#N/A</v>
      </c>
      <c r="ET58" s="1451" t="e">
        <f>IF(ET6=0,0,ET57/ET6)</f>
        <v>#N/A</v>
      </c>
      <c r="EU58" s="1451" t="e">
        <f>IF(EU6=0,0,EU57/EU6)</f>
        <v>#N/A</v>
      </c>
      <c r="EV58" s="1452" t="e">
        <f t="shared" ref="EV58:FD58" si="243">IF(EV6=0,0,EV57/EV6)</f>
        <v>#N/A</v>
      </c>
      <c r="EW58" s="1451" t="e">
        <f t="shared" si="243"/>
        <v>#N/A</v>
      </c>
      <c r="EX58" s="1451" t="e">
        <f t="shared" si="243"/>
        <v>#N/A</v>
      </c>
      <c r="EY58" s="1451" t="e">
        <f t="shared" si="243"/>
        <v>#N/A</v>
      </c>
      <c r="EZ58" s="1451" t="e">
        <f t="shared" si="243"/>
        <v>#N/A</v>
      </c>
      <c r="FA58" s="1451" t="e">
        <f t="shared" si="243"/>
        <v>#N/A</v>
      </c>
      <c r="FB58" s="1451" t="e">
        <f>IF(FB6=0,0,FB57/FB6)</f>
        <v>#N/A</v>
      </c>
      <c r="FC58" s="1451" t="e">
        <f t="shared" si="243"/>
        <v>#N/A</v>
      </c>
      <c r="FD58" s="1451" t="e">
        <f t="shared" si="243"/>
        <v>#N/A</v>
      </c>
      <c r="FE58" s="1451" t="e">
        <f t="shared" ref="FE58:FJ58" si="244">IF(FE6=0,0,FE57/FE6)</f>
        <v>#N/A</v>
      </c>
      <c r="FF58" s="1451" t="e">
        <f t="shared" si="244"/>
        <v>#N/A</v>
      </c>
      <c r="FG58" s="1451" t="e">
        <f t="shared" si="244"/>
        <v>#N/A</v>
      </c>
      <c r="FH58" s="1451" t="e">
        <f t="shared" si="244"/>
        <v>#N/A</v>
      </c>
      <c r="FI58" s="1451" t="e">
        <f t="shared" si="244"/>
        <v>#N/A</v>
      </c>
      <c r="FJ58" s="1451" t="e">
        <f t="shared" si="244"/>
        <v>#N/A</v>
      </c>
      <c r="FK58" s="1451"/>
      <c r="FL58" s="1451">
        <f>IF(FL6=0,0,FL57/FL6)</f>
        <v>0</v>
      </c>
      <c r="FM58" s="1451">
        <f>IF(FM6=0,0,FM57/FM6)</f>
        <v>0</v>
      </c>
    </row>
    <row r="59" spans="1:171" ht="16.149999999999999" customHeight="1">
      <c r="A59" s="1440">
        <f>ROWS($A$1:A59)</f>
        <v>59</v>
      </c>
      <c r="B59" s="1449" t="s">
        <v>1106</v>
      </c>
      <c r="C59" s="1448"/>
      <c r="D59" s="1447">
        <f t="shared" ref="D59:AH59" si="245">SUM(D17,D18,D19,D20,D24)</f>
        <v>154.76076986836094</v>
      </c>
      <c r="E59" s="1447">
        <f t="shared" si="245"/>
        <v>119.38024278237059</v>
      </c>
      <c r="F59" s="1447">
        <f t="shared" si="245"/>
        <v>134.12706605268824</v>
      </c>
      <c r="G59" s="1447">
        <f t="shared" si="245"/>
        <v>136.58921529713268</v>
      </c>
      <c r="H59" s="1447">
        <f t="shared" si="245"/>
        <v>128.61191466097779</v>
      </c>
      <c r="I59" s="1447">
        <f t="shared" si="245"/>
        <v>139.67295254986666</v>
      </c>
      <c r="J59" s="1447">
        <f t="shared" si="245"/>
        <v>129.03940538602157</v>
      </c>
      <c r="K59" s="1447">
        <f t="shared" si="245"/>
        <v>119.32923265633923</v>
      </c>
      <c r="L59" s="1447">
        <f t="shared" si="245"/>
        <v>28.021909485392158</v>
      </c>
      <c r="M59" s="1447">
        <f t="shared" si="245"/>
        <v>114.14525249060786</v>
      </c>
      <c r="N59" s="1447">
        <f t="shared" si="245"/>
        <v>109.78554482654903</v>
      </c>
      <c r="O59" s="1447">
        <f t="shared" si="245"/>
        <v>102.82048518167647</v>
      </c>
      <c r="P59" s="1447">
        <f t="shared" si="245"/>
        <v>102.04629917730392</v>
      </c>
      <c r="Q59" s="1447">
        <f t="shared" si="245"/>
        <v>479.41849832507188</v>
      </c>
      <c r="R59" s="1447"/>
      <c r="S59" s="1447">
        <f t="shared" si="245"/>
        <v>157.39323973392942</v>
      </c>
      <c r="T59" s="1447">
        <f t="shared" si="245"/>
        <v>132.10454852994835</v>
      </c>
      <c r="U59" s="1447">
        <f t="shared" si="245"/>
        <v>228.43788951812743</v>
      </c>
      <c r="V59" s="1447">
        <f t="shared" si="245"/>
        <v>150.6289913063242</v>
      </c>
      <c r="W59" s="1447"/>
      <c r="X59" s="1447">
        <f t="shared" si="245"/>
        <v>80.249658785824835</v>
      </c>
      <c r="Y59" s="1447">
        <f t="shared" si="245"/>
        <v>80.403503144509813</v>
      </c>
      <c r="Z59" s="1447">
        <f t="shared" si="245"/>
        <v>25.375806932718955</v>
      </c>
      <c r="AA59" s="1447">
        <f t="shared" si="245"/>
        <v>130.54964802246266</v>
      </c>
      <c r="AB59" s="1447">
        <f t="shared" si="245"/>
        <v>485.02729665236552</v>
      </c>
      <c r="AC59" s="1447">
        <f t="shared" si="245"/>
        <v>1866.5290155669034</v>
      </c>
      <c r="AD59" s="1447">
        <f t="shared" si="245"/>
        <v>635.91685664551812</v>
      </c>
      <c r="AE59" s="1447">
        <f t="shared" si="245"/>
        <v>1003.6567217467166</v>
      </c>
      <c r="AF59" s="1447">
        <f t="shared" si="245"/>
        <v>0</v>
      </c>
      <c r="AG59" s="1447">
        <f t="shared" si="245"/>
        <v>1.5675316133193278</v>
      </c>
      <c r="AH59" s="1447">
        <f t="shared" si="245"/>
        <v>1.300558258770308</v>
      </c>
      <c r="AI59" s="1442"/>
      <c r="AJ59" s="1448">
        <f t="shared" ref="AJ59:BN59" si="246">SUM(AJ17,AJ18,AJ19,AJ20,AJ24)</f>
        <v>334.71992310205383</v>
      </c>
      <c r="AK59" s="1448">
        <f t="shared" si="246"/>
        <v>177.94619730107058</v>
      </c>
      <c r="AL59" s="1448">
        <f t="shared" si="246"/>
        <v>168.48053390472157</v>
      </c>
      <c r="AM59" s="1448">
        <f t="shared" si="246"/>
        <v>159.86150446392813</v>
      </c>
      <c r="AN59" s="1448">
        <f t="shared" si="246"/>
        <v>150.79884589812028</v>
      </c>
      <c r="AO59" s="1448">
        <f t="shared" si="246"/>
        <v>172.79690407224706</v>
      </c>
      <c r="AP59" s="1448">
        <f t="shared" si="246"/>
        <v>162.00958357506863</v>
      </c>
      <c r="AQ59" s="1448">
        <f t="shared" si="246"/>
        <v>141.76888977869021</v>
      </c>
      <c r="AR59" s="1448">
        <f t="shared" si="246"/>
        <v>150.49677781872552</v>
      </c>
      <c r="AS59" s="1448">
        <f t="shared" si="246"/>
        <v>135.91219448539218</v>
      </c>
      <c r="AT59" s="1448">
        <f t="shared" si="246"/>
        <v>132.99912015466666</v>
      </c>
      <c r="AU59" s="1448">
        <f t="shared" si="246"/>
        <v>124.92450293244444</v>
      </c>
      <c r="AV59" s="1448">
        <f t="shared" si="246"/>
        <v>137.95104216948039</v>
      </c>
      <c r="AW59" s="1448">
        <f t="shared" si="246"/>
        <v>597.88777342575167</v>
      </c>
      <c r="AX59" s="1447"/>
      <c r="AY59" s="1448">
        <f t="shared" si="246"/>
        <v>207.52714114056013</v>
      </c>
      <c r="AZ59" s="1448">
        <f t="shared" si="246"/>
        <v>163.74461131613597</v>
      </c>
      <c r="BA59" s="1448">
        <f t="shared" si="246"/>
        <v>273.15529551551958</v>
      </c>
      <c r="BB59" s="1448">
        <f t="shared" si="246"/>
        <v>190.56744947784316</v>
      </c>
      <c r="BC59" s="1448"/>
      <c r="BD59" s="1448">
        <f t="shared" si="246"/>
        <v>136.97161711915817</v>
      </c>
      <c r="BE59" s="1448">
        <f t="shared" si="246"/>
        <v>137.35986434138039</v>
      </c>
      <c r="BF59" s="1448">
        <f t="shared" si="246"/>
        <v>55.483546591562103</v>
      </c>
      <c r="BG59" s="1448">
        <f t="shared" si="246"/>
        <v>151.84620191135153</v>
      </c>
      <c r="BH59" s="1448">
        <f t="shared" si="246"/>
        <v>528.75883071141311</v>
      </c>
      <c r="BI59" s="1448">
        <f t="shared" si="246"/>
        <v>1910.2063049810786</v>
      </c>
      <c r="BJ59" s="1448">
        <f t="shared" si="246"/>
        <v>637.75768653789919</v>
      </c>
      <c r="BK59" s="1448">
        <f t="shared" si="246"/>
        <v>1022.2375040229832</v>
      </c>
      <c r="BL59" s="1447">
        <f t="shared" si="246"/>
        <v>0</v>
      </c>
      <c r="BM59" s="1447">
        <f t="shared" si="246"/>
        <v>1.5675316133193278</v>
      </c>
      <c r="BN59" s="1447">
        <f t="shared" si="246"/>
        <v>1.300558258770308</v>
      </c>
      <c r="BO59" s="1442"/>
      <c r="BP59" s="1448">
        <f t="shared" ref="BP59:CT59" si="247">SUM(BP17,BP18,BP19,BP20,BP24)</f>
        <v>310.72201883856837</v>
      </c>
      <c r="BQ59" s="1448">
        <f t="shared" si="247"/>
        <v>211.98418515310394</v>
      </c>
      <c r="BR59" s="1448">
        <f t="shared" si="247"/>
        <v>202.77053509008826</v>
      </c>
      <c r="BS59" s="1448">
        <f t="shared" si="247"/>
        <v>183.13379363072352</v>
      </c>
      <c r="BT59" s="1448">
        <f t="shared" si="247"/>
        <v>173.11326396773725</v>
      </c>
      <c r="BU59" s="1448">
        <f t="shared" si="247"/>
        <v>205.98011298729611</v>
      </c>
      <c r="BV59" s="1448">
        <f t="shared" si="247"/>
        <v>195.26440609376863</v>
      </c>
      <c r="BW59" s="1448">
        <f t="shared" si="247"/>
        <v>163.91818590472158</v>
      </c>
      <c r="BX59" s="1448">
        <f t="shared" si="247"/>
        <v>36.366229485392154</v>
      </c>
      <c r="BY59" s="1448">
        <f t="shared" si="247"/>
        <v>157.67913648017648</v>
      </c>
      <c r="BZ59" s="1448">
        <f t="shared" si="247"/>
        <v>156.21269548278434</v>
      </c>
      <c r="CA59" s="1448">
        <f t="shared" si="247"/>
        <v>146.88927603833989</v>
      </c>
      <c r="CB59" s="1448">
        <f t="shared" si="247"/>
        <v>149.91928983353924</v>
      </c>
      <c r="CC59" s="1448">
        <f t="shared" si="247"/>
        <v>716.35704852643141</v>
      </c>
      <c r="CD59" s="1447"/>
      <c r="CE59" s="1448">
        <f t="shared" si="247"/>
        <v>257.34266671103592</v>
      </c>
      <c r="CF59" s="1448">
        <f t="shared" si="247"/>
        <v>195.1572627907843</v>
      </c>
      <c r="CG59" s="1448">
        <f t="shared" si="247"/>
        <v>317.87270151291176</v>
      </c>
      <c r="CH59" s="1448">
        <f t="shared" si="247"/>
        <v>230.50590764936209</v>
      </c>
      <c r="CI59" s="1448"/>
      <c r="CJ59" s="1448">
        <f t="shared" si="247"/>
        <v>193.7095978462327</v>
      </c>
      <c r="CK59" s="1448">
        <f t="shared" si="247"/>
        <v>194.32423673512162</v>
      </c>
      <c r="CL59" s="1448">
        <f t="shared" si="247"/>
        <v>85.591286250405233</v>
      </c>
      <c r="CM59" s="1448">
        <f t="shared" si="247"/>
        <v>171.39195377844632</v>
      </c>
      <c r="CN59" s="1448">
        <f t="shared" si="247"/>
        <v>572.4903647704607</v>
      </c>
      <c r="CO59" s="1448">
        <f t="shared" si="247"/>
        <v>1953.9920836849988</v>
      </c>
      <c r="CP59" s="1448">
        <f t="shared" si="247"/>
        <v>653.09152893027999</v>
      </c>
      <c r="CQ59" s="1448">
        <f t="shared" si="247"/>
        <v>1040.4063954514022</v>
      </c>
      <c r="CR59" s="1448">
        <f>SUM(CR17,CR18,CR19,CR20,CR24)</f>
        <v>0</v>
      </c>
      <c r="CS59" s="1447">
        <f t="shared" si="247"/>
        <v>1.5675316133193278</v>
      </c>
      <c r="CT59" s="1447">
        <f t="shared" si="247"/>
        <v>1.300558258770308</v>
      </c>
      <c r="CV59" s="1449" t="s">
        <v>1106</v>
      </c>
      <c r="CW59" s="1448"/>
      <c r="CX59" s="1447">
        <f t="shared" ref="CX59:EM59" si="248">SUM(CX17,CX18,CX19,CX20,CX24)</f>
        <v>-0.69268818495686313</v>
      </c>
      <c r="CY59" s="1447">
        <f t="shared" si="248"/>
        <v>-2.1497977808294122</v>
      </c>
      <c r="CZ59" s="1447">
        <f t="shared" si="248"/>
        <v>-1.1010215182901963</v>
      </c>
      <c r="DA59" s="1447">
        <f t="shared" si="248"/>
        <v>-1.5362769474960791</v>
      </c>
      <c r="DB59" s="1447">
        <f t="shared" si="248"/>
        <v>83.225703800349038</v>
      </c>
      <c r="DC59" s="1447">
        <f t="shared" si="248"/>
        <v>90.786020467015703</v>
      </c>
      <c r="DD59" s="1447">
        <f>SUM(DD17,DD18,DD19,DD20,DD24)</f>
        <v>77.568243205683032</v>
      </c>
      <c r="DE59" s="1447">
        <f t="shared" si="248"/>
        <v>298.67444763901642</v>
      </c>
      <c r="DF59" s="1447">
        <f t="shared" si="248"/>
        <v>82.23536344912236</v>
      </c>
      <c r="DG59" s="1447">
        <f t="shared" si="248"/>
        <v>83.770784237431968</v>
      </c>
      <c r="DH59" s="1447">
        <f>SUM(DH17,DH18,DH19,DH20,DH24)</f>
        <v>82.335724536912551</v>
      </c>
      <c r="DI59" s="1447">
        <f t="shared" si="248"/>
        <v>77.97350486913372</v>
      </c>
      <c r="DJ59" s="1447">
        <f t="shared" si="248"/>
        <v>385.13497476911306</v>
      </c>
      <c r="DK59" s="1447">
        <f t="shared" si="248"/>
        <v>88.825854240920592</v>
      </c>
      <c r="DL59" s="1447">
        <f t="shared" ref="DL59:DP59" si="249">SUM(DL17,DL18,DL19,DL20,DL24)</f>
        <v>76.479891970710383</v>
      </c>
      <c r="DM59" s="1447">
        <f t="shared" si="249"/>
        <v>248.60763590063758</v>
      </c>
      <c r="DN59" s="1447">
        <f t="shared" si="249"/>
        <v>316.3494875197506</v>
      </c>
      <c r="DO59" s="1447">
        <f t="shared" si="249"/>
        <v>64.197566108204185</v>
      </c>
      <c r="DP59" s="1447">
        <f t="shared" si="249"/>
        <v>197.11417418989214</v>
      </c>
      <c r="DQ59" s="1447"/>
      <c r="DR59" s="1447">
        <f t="shared" si="248"/>
        <v>3.7619810691176472</v>
      </c>
      <c r="DS59" s="1447">
        <f t="shared" si="248"/>
        <v>2.6178879539450981</v>
      </c>
      <c r="DT59" s="1434"/>
      <c r="DU59" s="1447">
        <f t="shared" si="248"/>
        <v>-2.7320215182901975</v>
      </c>
      <c r="DV59" s="1447">
        <f t="shared" si="248"/>
        <v>-3.551839447496079</v>
      </c>
      <c r="DW59" s="1447">
        <f t="shared" si="248"/>
        <v>-3.1403548516235307</v>
      </c>
      <c r="DX59" s="1447">
        <f t="shared" si="248"/>
        <v>-2.9383186141627458</v>
      </c>
      <c r="DY59" s="1448">
        <f t="shared" si="248"/>
        <v>108.95787705279163</v>
      </c>
      <c r="DZ59" s="1447">
        <f t="shared" si="248"/>
        <v>118.90448230818903</v>
      </c>
      <c r="EA59" s="1447">
        <f t="shared" si="248"/>
        <v>100.97748514879254</v>
      </c>
      <c r="EB59" s="1447">
        <f t="shared" si="248"/>
        <v>395.78575772657035</v>
      </c>
      <c r="EC59" s="1447">
        <f t="shared" si="248"/>
        <v>107.73308991782275</v>
      </c>
      <c r="ED59" s="1447">
        <f t="shared" si="248"/>
        <v>109.79587319112444</v>
      </c>
      <c r="EE59" s="1447">
        <f>SUM(EE17,EE18,EE19,EE20,EE24)</f>
        <v>180.82211658448941</v>
      </c>
      <c r="EF59" s="1447">
        <f t="shared" si="248"/>
        <v>102.00355625561569</v>
      </c>
      <c r="EG59" s="1447">
        <f t="shared" si="248"/>
        <v>511.01464616906071</v>
      </c>
      <c r="EH59" s="1447">
        <f t="shared" si="248"/>
        <v>193.64366491272168</v>
      </c>
      <c r="EI59" s="1447">
        <f t="shared" si="248"/>
        <v>99.722178862495682</v>
      </c>
      <c r="EJ59" s="1447">
        <f t="shared" si="248"/>
        <v>291.13712242085882</v>
      </c>
      <c r="EK59" s="1447">
        <f t="shared" si="248"/>
        <v>528.90707737546438</v>
      </c>
      <c r="EL59" s="1447">
        <f t="shared" si="248"/>
        <v>135.71381954501322</v>
      </c>
      <c r="EM59" s="1447">
        <f t="shared" si="248"/>
        <v>237.19837618563722</v>
      </c>
      <c r="EN59" s="1447"/>
      <c r="EO59" s="1447">
        <f>SUM(EO17,EO18,EO19,EO20,EO24)</f>
        <v>3.7619810691176472</v>
      </c>
      <c r="EP59" s="1447">
        <f>SUM(EP17,EP18,EP19,EP20,EP24)</f>
        <v>2.6178879539450981</v>
      </c>
      <c r="EQ59" s="1434"/>
      <c r="ER59" s="1447">
        <f t="shared" ref="ER59:FO59" si="250">SUM(ER17,ER18,ER19,ER20,ER24)</f>
        <v>-4.7713548516235305</v>
      </c>
      <c r="ES59" s="1447">
        <f t="shared" si="250"/>
        <v>-4.9538811141627459</v>
      </c>
      <c r="ET59" s="1447">
        <f t="shared" si="250"/>
        <v>-5.1796881849568628</v>
      </c>
      <c r="EU59" s="1447">
        <f t="shared" si="250"/>
        <v>-4.3403602808294126</v>
      </c>
      <c r="EV59" s="1448">
        <f t="shared" si="250"/>
        <v>183.58117948487524</v>
      </c>
      <c r="EW59" s="1447">
        <f t="shared" si="250"/>
        <v>175.1414059905357</v>
      </c>
      <c r="EX59" s="1447">
        <f t="shared" si="250"/>
        <v>127.73090451234627</v>
      </c>
      <c r="EY59" s="1447">
        <f t="shared" si="250"/>
        <v>492.89706781412428</v>
      </c>
      <c r="EZ59" s="1447">
        <f t="shared" si="250"/>
        <v>133.05697341443138</v>
      </c>
      <c r="FA59" s="1447">
        <f t="shared" si="250"/>
        <v>135.82096214481695</v>
      </c>
      <c r="FB59" s="1447">
        <f>SUM(FB17,FB18,FB19,FB20,FB24)</f>
        <v>179.08284971985648</v>
      </c>
      <c r="FC59" s="1447">
        <f t="shared" si="250"/>
        <v>165.86798264209764</v>
      </c>
      <c r="FD59" s="1447">
        <f t="shared" si="250"/>
        <v>697.59431756900835</v>
      </c>
      <c r="FE59" s="1447">
        <f t="shared" si="250"/>
        <v>143.37297558452281</v>
      </c>
      <c r="FF59" s="1447">
        <f t="shared" si="250"/>
        <v>123.17059892998687</v>
      </c>
      <c r="FG59" s="1447">
        <f t="shared" si="250"/>
        <v>389.58126785328983</v>
      </c>
      <c r="FH59" s="1447">
        <f t="shared" si="250"/>
        <v>779.86874569984548</v>
      </c>
      <c r="FI59" s="1447">
        <f t="shared" si="250"/>
        <v>209.77238703290169</v>
      </c>
      <c r="FJ59" s="1447">
        <f t="shared" si="250"/>
        <v>277.28257818138229</v>
      </c>
      <c r="FK59" s="1447"/>
      <c r="FL59" s="1447">
        <f t="shared" si="250"/>
        <v>3.7619810691176472</v>
      </c>
      <c r="FM59" s="1447">
        <f>SUM(FM17,FM18,FM19,FM20,FM24)</f>
        <v>2.6178879539450981</v>
      </c>
      <c r="FO59" s="1433">
        <f t="shared" si="250"/>
        <v>0</v>
      </c>
    </row>
    <row r="60" spans="1:171" ht="16.149999999999999" customHeight="1">
      <c r="A60" s="1440">
        <f>ROWS($A$1:A60)</f>
        <v>60</v>
      </c>
      <c r="B60" s="1446" t="s">
        <v>1105</v>
      </c>
      <c r="C60" s="1443"/>
      <c r="D60" s="1445">
        <f t="shared" ref="D60:AH60" si="251">SUM(D15:D16)</f>
        <v>470.57551062141169</v>
      </c>
      <c r="E60" s="1445">
        <f t="shared" si="251"/>
        <v>321.98789563176467</v>
      </c>
      <c r="F60" s="1445">
        <f t="shared" si="251"/>
        <v>321.18677594470586</v>
      </c>
      <c r="G60" s="1445">
        <f t="shared" si="251"/>
        <v>321.18677594470586</v>
      </c>
      <c r="H60" s="1445">
        <f t="shared" si="251"/>
        <v>314.67741855999998</v>
      </c>
      <c r="I60" s="1445">
        <f t="shared" si="251"/>
        <v>314.67741855999998</v>
      </c>
      <c r="J60" s="1445">
        <f t="shared" si="251"/>
        <v>321.18677594470586</v>
      </c>
      <c r="K60" s="1445">
        <f t="shared" si="251"/>
        <v>320.38565625764704</v>
      </c>
      <c r="L60" s="1445">
        <f t="shared" si="251"/>
        <v>315.47853824705879</v>
      </c>
      <c r="M60" s="1445">
        <f t="shared" si="251"/>
        <v>313.87629887294111</v>
      </c>
      <c r="N60" s="1445">
        <f t="shared" si="251"/>
        <v>313.07517918588235</v>
      </c>
      <c r="O60" s="1445">
        <f t="shared" si="251"/>
        <v>306.56582180117641</v>
      </c>
      <c r="P60" s="1445">
        <f t="shared" si="251"/>
        <v>328.66510127647052</v>
      </c>
      <c r="Q60" s="1445">
        <f t="shared" si="251"/>
        <v>322.89566567529414</v>
      </c>
      <c r="R60" s="1445"/>
      <c r="S60" s="1445">
        <f t="shared" si="251"/>
        <v>338.95926290823525</v>
      </c>
      <c r="T60" s="1445">
        <f t="shared" si="251"/>
        <v>332.75849026047058</v>
      </c>
      <c r="U60" s="1445">
        <f t="shared" si="251"/>
        <v>329.90874217529415</v>
      </c>
      <c r="V60" s="1445">
        <f t="shared" si="251"/>
        <v>325.36169009223528</v>
      </c>
      <c r="W60" s="1445"/>
      <c r="X60" s="1445">
        <f t="shared" si="251"/>
        <v>328.24572096564702</v>
      </c>
      <c r="Y60" s="1445">
        <f t="shared" si="251"/>
        <v>327.28437734117642</v>
      </c>
      <c r="Z60" s="1445">
        <f t="shared" si="251"/>
        <v>324.07989859294116</v>
      </c>
      <c r="AA60" s="1445">
        <f t="shared" si="251"/>
        <v>549.75292936218489</v>
      </c>
      <c r="AB60" s="1445">
        <f t="shared" si="251"/>
        <v>897.18959828386551</v>
      </c>
      <c r="AC60" s="1445">
        <f t="shared" si="251"/>
        <v>1137.8418680284033</v>
      </c>
      <c r="AD60" s="1445">
        <f t="shared" si="251"/>
        <v>957.14729746218484</v>
      </c>
      <c r="AE60" s="1445">
        <f t="shared" si="251"/>
        <v>1100.8401096059831</v>
      </c>
      <c r="AF60" s="1445">
        <f t="shared" si="251"/>
        <v>0</v>
      </c>
      <c r="AG60" s="1445">
        <f t="shared" si="251"/>
        <v>119.70379359831931</v>
      </c>
      <c r="AH60" s="1445">
        <f t="shared" si="251"/>
        <v>93.566991052436961</v>
      </c>
      <c r="AI60" s="1442"/>
      <c r="AJ60" s="1443">
        <f t="shared" ref="AJ60:BN60" si="252">SUM(AJ15:AJ16)</f>
        <v>511.96249065223526</v>
      </c>
      <c r="AK60" s="1445">
        <f t="shared" si="252"/>
        <v>328.66934009176464</v>
      </c>
      <c r="AL60" s="1445">
        <f t="shared" si="252"/>
        <v>327.86822040470588</v>
      </c>
      <c r="AM60" s="1445">
        <f t="shared" si="252"/>
        <v>327.06710071764701</v>
      </c>
      <c r="AN60" s="1445">
        <f t="shared" si="252"/>
        <v>316.27965793411761</v>
      </c>
      <c r="AO60" s="1445">
        <f t="shared" si="252"/>
        <v>317.08077762117648</v>
      </c>
      <c r="AP60" s="1445">
        <f t="shared" si="252"/>
        <v>323.5901350058823</v>
      </c>
      <c r="AQ60" s="1445">
        <f t="shared" si="252"/>
        <v>326.26598103058819</v>
      </c>
      <c r="AR60" s="1445">
        <f t="shared" si="252"/>
        <v>315.47853824705879</v>
      </c>
      <c r="AS60" s="1445">
        <f t="shared" si="252"/>
        <v>315.47853824705879</v>
      </c>
      <c r="AT60" s="1445">
        <f t="shared" si="252"/>
        <v>314.67741855999998</v>
      </c>
      <c r="AU60" s="1445">
        <f t="shared" si="252"/>
        <v>314.67741855999998</v>
      </c>
      <c r="AV60" s="1445">
        <f t="shared" si="252"/>
        <v>331.06846033764702</v>
      </c>
      <c r="AW60" s="1445">
        <f t="shared" si="252"/>
        <v>326.1001444235294</v>
      </c>
      <c r="AX60" s="1445"/>
      <c r="AY60" s="1445">
        <f t="shared" si="252"/>
        <v>347.07085966705881</v>
      </c>
      <c r="AZ60" s="1445">
        <f t="shared" si="252"/>
        <v>340.229191269647</v>
      </c>
      <c r="BA60" s="1445">
        <f t="shared" si="252"/>
        <v>330.70986186235291</v>
      </c>
      <c r="BB60" s="1445">
        <f t="shared" si="252"/>
        <v>327.28437734117642</v>
      </c>
      <c r="BC60" s="1445"/>
      <c r="BD60" s="1445">
        <f t="shared" si="252"/>
        <v>328.24572096564702</v>
      </c>
      <c r="BE60" s="1445">
        <f t="shared" si="252"/>
        <v>328.24572096564702</v>
      </c>
      <c r="BF60" s="1445">
        <f t="shared" si="252"/>
        <v>326.48325765411766</v>
      </c>
      <c r="BG60" s="1445">
        <f t="shared" si="252"/>
        <v>549.75292936218489</v>
      </c>
      <c r="BH60" s="1445">
        <f t="shared" si="252"/>
        <v>915.25968536957987</v>
      </c>
      <c r="BI60" s="1445">
        <f t="shared" si="252"/>
        <v>1149.4025977294116</v>
      </c>
      <c r="BJ60" s="1445">
        <f t="shared" si="252"/>
        <v>975.2173845478992</v>
      </c>
      <c r="BK60" s="1445">
        <f t="shared" si="252"/>
        <v>1116.0189827579832</v>
      </c>
      <c r="BL60" s="1445">
        <f t="shared" si="252"/>
        <v>0</v>
      </c>
      <c r="BM60" s="1445">
        <f t="shared" si="252"/>
        <v>119.70379359831931</v>
      </c>
      <c r="BN60" s="1445">
        <f t="shared" si="252"/>
        <v>93.566991052436961</v>
      </c>
      <c r="BO60" s="1442"/>
      <c r="BP60" s="1443">
        <f t="shared" ref="BP60:CT60" si="253">SUM(BP15:BP16)</f>
        <v>559.85882806776465</v>
      </c>
      <c r="BQ60" s="1445">
        <f t="shared" si="253"/>
        <v>335.35078455176466</v>
      </c>
      <c r="BR60" s="1445">
        <f t="shared" si="253"/>
        <v>334.54966486470585</v>
      </c>
      <c r="BS60" s="1445">
        <f t="shared" si="253"/>
        <v>332.94742549058822</v>
      </c>
      <c r="BT60" s="1445">
        <f t="shared" si="253"/>
        <v>328.66934009176464</v>
      </c>
      <c r="BU60" s="1445">
        <f t="shared" si="253"/>
        <v>324.56334176823526</v>
      </c>
      <c r="BV60" s="1445">
        <f t="shared" si="253"/>
        <v>330.27157946588233</v>
      </c>
      <c r="BW60" s="1445">
        <f t="shared" si="253"/>
        <v>327.86822040470588</v>
      </c>
      <c r="BX60" s="1445">
        <f t="shared" si="253"/>
        <v>315.47853824705879</v>
      </c>
      <c r="BY60" s="1445">
        <f t="shared" si="253"/>
        <v>317.08077762117648</v>
      </c>
      <c r="BZ60" s="1445">
        <f t="shared" si="253"/>
        <v>316.27965793411761</v>
      </c>
      <c r="CA60" s="1445">
        <f t="shared" si="253"/>
        <v>316.27965793411761</v>
      </c>
      <c r="CB60" s="1445">
        <f t="shared" si="253"/>
        <v>331.86958002470584</v>
      </c>
      <c r="CC60" s="1445">
        <f t="shared" si="253"/>
        <v>329.30462317176466</v>
      </c>
      <c r="CD60" s="1445"/>
      <c r="CE60" s="1445">
        <f t="shared" si="253"/>
        <v>348.67309904117644</v>
      </c>
      <c r="CF60" s="1445">
        <f t="shared" si="253"/>
        <v>341.1905348941176</v>
      </c>
      <c r="CG60" s="1445">
        <f t="shared" si="253"/>
        <v>331.51098154941178</v>
      </c>
      <c r="CH60" s="1445">
        <f t="shared" si="253"/>
        <v>329.20706459011762</v>
      </c>
      <c r="CI60" s="1445"/>
      <c r="CJ60" s="1445">
        <f t="shared" si="253"/>
        <v>330.16840821458823</v>
      </c>
      <c r="CK60" s="1445">
        <f t="shared" si="253"/>
        <v>330.16840821458823</v>
      </c>
      <c r="CL60" s="1445">
        <f t="shared" si="253"/>
        <v>328.88661671529411</v>
      </c>
      <c r="CM60" s="1445">
        <f t="shared" si="253"/>
        <v>556.26228674689082</v>
      </c>
      <c r="CN60" s="1445">
        <f t="shared" si="253"/>
        <v>933.32977245529412</v>
      </c>
      <c r="CO60" s="1445">
        <f t="shared" si="253"/>
        <v>1173.9820421998318</v>
      </c>
      <c r="CP60" s="1445">
        <f t="shared" si="253"/>
        <v>993.28747163361345</v>
      </c>
      <c r="CQ60" s="1445">
        <f t="shared" si="253"/>
        <v>1130.8364541682688</v>
      </c>
      <c r="CR60" s="1445">
        <f>SUM(CR15:CR16)</f>
        <v>0</v>
      </c>
      <c r="CS60" s="1443">
        <f t="shared" si="253"/>
        <v>119.70379359831931</v>
      </c>
      <c r="CT60" s="1443">
        <f t="shared" si="253"/>
        <v>93.566991052436961</v>
      </c>
      <c r="CV60" s="1446" t="s">
        <v>1105</v>
      </c>
      <c r="CW60" s="1443"/>
      <c r="CX60" s="1445">
        <f>SUM(CX15:CX16)</f>
        <v>177.62672700369745</v>
      </c>
      <c r="CY60" s="1445">
        <f>SUM(CY15:CY16)</f>
        <v>119.03161878605039</v>
      </c>
      <c r="CZ60" s="1445">
        <f>SUM(CZ15:CZ16)</f>
        <v>177.62672700369745</v>
      </c>
      <c r="DA60" s="1445">
        <f>SUM(DA15:DA16)</f>
        <v>119.03161878605039</v>
      </c>
      <c r="DB60" s="1445">
        <f t="shared" ref="DB60:DJ60" si="254">SUM(DB15:DB16)</f>
        <v>364.21761145848734</v>
      </c>
      <c r="DC60" s="1445">
        <f t="shared" si="254"/>
        <v>364.21761145848734</v>
      </c>
      <c r="DD60" s="1445">
        <f>SUM(DD15:DD16)</f>
        <v>353.91381048711759</v>
      </c>
      <c r="DE60" s="1445">
        <f t="shared" si="254"/>
        <v>353.91381048711759</v>
      </c>
      <c r="DF60" s="1445">
        <f t="shared" si="254"/>
        <v>373.62015278191592</v>
      </c>
      <c r="DG60" s="1445">
        <f t="shared" si="254"/>
        <v>373.25964892273947</v>
      </c>
      <c r="DH60" s="1445">
        <f>SUM(DH15:DH16)</f>
        <v>367.56367459250419</v>
      </c>
      <c r="DI60" s="1445">
        <f t="shared" si="254"/>
        <v>378.73977449717643</v>
      </c>
      <c r="DJ60" s="1445">
        <f t="shared" si="254"/>
        <v>355.38526592397477</v>
      </c>
      <c r="DK60" s="1445">
        <f>SUM(DK15:DK16)</f>
        <v>356.57189922176468</v>
      </c>
      <c r="DL60" s="1445">
        <f t="shared" ref="DL60:DS60" si="255">SUM(DL15:DL16)</f>
        <v>344.23881177517643</v>
      </c>
      <c r="DM60" s="1445">
        <f t="shared" si="255"/>
        <v>384.74533434036465</v>
      </c>
      <c r="DN60" s="1445">
        <f t="shared" si="255"/>
        <v>342.46167312147895</v>
      </c>
      <c r="DO60" s="1445">
        <f t="shared" si="255"/>
        <v>379.46504736988231</v>
      </c>
      <c r="DP60" s="1445">
        <f t="shared" si="255"/>
        <v>840.79607341932774</v>
      </c>
      <c r="DQ60" s="1445"/>
      <c r="DR60" s="1445">
        <f t="shared" si="255"/>
        <v>77.455520210084018</v>
      </c>
      <c r="DS60" s="1445">
        <f t="shared" si="255"/>
        <v>89.390396052436969</v>
      </c>
      <c r="DT60" s="1434"/>
      <c r="DU60" s="1445">
        <f>SUM(DU15:DU16)</f>
        <v>177.62672700369745</v>
      </c>
      <c r="DV60" s="1445">
        <f>SUM(DV15:DV16)</f>
        <v>119.03161878605039</v>
      </c>
      <c r="DW60" s="1445">
        <f>SUM(DW15:DW16)</f>
        <v>177.62672700369745</v>
      </c>
      <c r="DX60" s="1445">
        <f>SUM(DX15:DX16)</f>
        <v>119.03161878605039</v>
      </c>
      <c r="DY60" s="1443">
        <f t="shared" ref="DY60:EG60" si="256">SUM(DY15:DY16)</f>
        <v>391.69441404880672</v>
      </c>
      <c r="DZ60" s="1445">
        <f t="shared" si="256"/>
        <v>389.29105498763022</v>
      </c>
      <c r="EA60" s="1445">
        <f t="shared" si="256"/>
        <v>377.95601275364709</v>
      </c>
      <c r="EB60" s="1445">
        <f t="shared" si="256"/>
        <v>377.95601275364709</v>
      </c>
      <c r="EC60" s="1445">
        <f t="shared" si="256"/>
        <v>404.2311358133781</v>
      </c>
      <c r="ED60" s="1445">
        <f t="shared" si="256"/>
        <v>403.75046400114286</v>
      </c>
      <c r="EE60" s="1445">
        <f>SUM(EE15:EE16)</f>
        <v>404.2311358133781</v>
      </c>
      <c r="EF60" s="1445">
        <f t="shared" si="256"/>
        <v>405.22396476705876</v>
      </c>
      <c r="EG60" s="1445">
        <f t="shared" si="256"/>
        <v>358.81005258615124</v>
      </c>
      <c r="EH60" s="1445">
        <f t="shared" ref="EH60:EM60" si="257">SUM(EH15:EH16)</f>
        <v>358.61475442376468</v>
      </c>
      <c r="EI60" s="1445">
        <f t="shared" si="257"/>
        <v>346.04133107105883</v>
      </c>
      <c r="EJ60" s="1445">
        <f t="shared" si="257"/>
        <v>385.57449321647056</v>
      </c>
      <c r="EK60" s="1445">
        <f t="shared" si="257"/>
        <v>344.86503218265545</v>
      </c>
      <c r="EL60" s="1445">
        <f t="shared" si="257"/>
        <v>381.62807052494111</v>
      </c>
      <c r="EM60" s="1445">
        <f t="shared" si="257"/>
        <v>847.2586730546218</v>
      </c>
      <c r="EN60" s="1445"/>
      <c r="EO60" s="1445">
        <f>SUM(EO15:EO16)</f>
        <v>77.455520210084018</v>
      </c>
      <c r="EP60" s="1445">
        <f>SUM(EP15:EP16)</f>
        <v>89.390396052436969</v>
      </c>
      <c r="EQ60" s="1434"/>
      <c r="ER60" s="1445">
        <f>SUM(ER15:ER16)</f>
        <v>177.62672700369745</v>
      </c>
      <c r="ES60" s="1445">
        <f>SUM(ES15:ES16)</f>
        <v>119.03161878605039</v>
      </c>
      <c r="ET60" s="1445">
        <f>SUM(ET15:ET16)</f>
        <v>177.62672700369745</v>
      </c>
      <c r="EU60" s="1445">
        <f>SUM(EU15:EU16)</f>
        <v>119.03161878605039</v>
      </c>
      <c r="EV60" s="1443">
        <f t="shared" ref="EV60:FD60" si="258">SUM(EV15:EV16)</f>
        <v>471.37714156073275</v>
      </c>
      <c r="EW60" s="1445">
        <f t="shared" si="258"/>
        <v>439.43794204591597</v>
      </c>
      <c r="EX60" s="1445">
        <f t="shared" si="258"/>
        <v>405.43281534396635</v>
      </c>
      <c r="EY60" s="1445">
        <f t="shared" si="258"/>
        <v>401.99821502017642</v>
      </c>
      <c r="EZ60" s="1445">
        <f t="shared" si="258"/>
        <v>419.94129266554614</v>
      </c>
      <c r="FA60" s="1445">
        <f t="shared" si="258"/>
        <v>434.24127907954619</v>
      </c>
      <c r="FB60" s="1445">
        <f>SUM(FB15:FB16)</f>
        <v>434.84211884484029</v>
      </c>
      <c r="FC60" s="1445">
        <f t="shared" si="258"/>
        <v>431.70815503694121</v>
      </c>
      <c r="FD60" s="1445">
        <f t="shared" si="258"/>
        <v>362.23483924832772</v>
      </c>
      <c r="FE60" s="1445">
        <f t="shared" ref="FE60:FJ60" si="259">SUM(FE15:FE16)</f>
        <v>360.65760962576468</v>
      </c>
      <c r="FF60" s="1445">
        <f t="shared" si="259"/>
        <v>365.51240828458822</v>
      </c>
      <c r="FG60" s="1445">
        <f t="shared" si="259"/>
        <v>392.4601302819882</v>
      </c>
      <c r="FH60" s="1445">
        <f t="shared" si="259"/>
        <v>343.90368855818485</v>
      </c>
      <c r="FI60" s="1445">
        <f t="shared" si="259"/>
        <v>383.31042186776472</v>
      </c>
      <c r="FJ60" s="1445">
        <f t="shared" si="259"/>
        <v>853.72127268991585</v>
      </c>
      <c r="FK60" s="1445"/>
      <c r="FL60" s="1445">
        <f>SUM(FL15:FL16)</f>
        <v>77.455520210084018</v>
      </c>
      <c r="FM60" s="1445">
        <f>SUM(FM15:FM16)</f>
        <v>89.390396052436969</v>
      </c>
    </row>
    <row r="61" spans="1:171" ht="16.149999999999999" customHeight="1">
      <c r="A61" s="1440">
        <f>ROWS($A$1:A61)</f>
        <v>61</v>
      </c>
      <c r="B61" s="1444" t="s">
        <v>1104</v>
      </c>
      <c r="C61" s="1443"/>
      <c r="D61" s="3610" t="str">
        <f>'WW1'!$E$10</f>
        <v>Stroh</v>
      </c>
      <c r="E61" s="1445">
        <f>'WW2'!$E$10</f>
        <v>0</v>
      </c>
      <c r="F61" s="1445">
        <f>'WW3'!$E$10</f>
        <v>0</v>
      </c>
      <c r="G61" s="1445">
        <f>'WW4'!$E$10</f>
        <v>0</v>
      </c>
      <c r="H61" s="1445">
        <f>WRo!$E$10</f>
        <v>0</v>
      </c>
      <c r="I61" s="1445">
        <f>Tr!$E$10</f>
        <v>0</v>
      </c>
      <c r="J61" s="1445">
        <f>WG!$E$10</f>
        <v>0</v>
      </c>
      <c r="K61" s="1445">
        <f>Di!$E$10</f>
        <v>0</v>
      </c>
      <c r="L61" s="1445">
        <f>SW!$E$10</f>
        <v>0</v>
      </c>
      <c r="M61" s="1445">
        <f>'SG-Fu'!$E$10</f>
        <v>0</v>
      </c>
      <c r="N61" s="1445" t="str">
        <f>BG!$E$10</f>
        <v>Sortiergerste</v>
      </c>
      <c r="O61" s="1445">
        <f>Ha!$E$10</f>
        <v>0</v>
      </c>
      <c r="P61" s="1445">
        <f>Du!$E$10</f>
        <v>0</v>
      </c>
      <c r="Q61" s="1445">
        <f>KöM!$E$10</f>
        <v>0</v>
      </c>
      <c r="R61" s="1445"/>
      <c r="S61" s="1445">
        <f>WR!E10</f>
        <v>0</v>
      </c>
      <c r="T61" s="1445">
        <f>SR!$E$10</f>
        <v>0</v>
      </c>
      <c r="U61" s="1445">
        <f>SoBl!$E$10</f>
        <v>0</v>
      </c>
      <c r="V61" s="1445">
        <f>Soja!$E$10</f>
        <v>0</v>
      </c>
      <c r="W61" s="1445"/>
      <c r="X61" s="1445">
        <f>FE!$E$10</f>
        <v>0</v>
      </c>
      <c r="Y61" s="1445">
        <f>AB!$E$10</f>
        <v>0</v>
      </c>
      <c r="Z61" s="1445">
        <f>Lu!$E$10</f>
        <v>0</v>
      </c>
      <c r="AA61" s="1445">
        <f>ZR!$E$10</f>
        <v>0</v>
      </c>
      <c r="AB61" s="1445">
        <f>FrühKa!$E$10</f>
        <v>0</v>
      </c>
      <c r="AC61" s="1445">
        <f>FrühKaFolieBer!$E$10</f>
        <v>0</v>
      </c>
      <c r="AD61" s="1445">
        <f>SpKa!$E$10</f>
        <v>0</v>
      </c>
      <c r="AE61" s="1445">
        <f>SpKaBer!$E$10</f>
        <v>0</v>
      </c>
      <c r="AF61" s="1445">
        <f>'Kultur A'!$E$10</f>
        <v>0</v>
      </c>
      <c r="AG61" s="1445">
        <f>'FAKT-Brachebegrünung'!$E$10</f>
        <v>0</v>
      </c>
      <c r="AH61" s="1445">
        <f>Begr!$E$10</f>
        <v>0</v>
      </c>
      <c r="AI61" s="1442"/>
      <c r="AJ61" s="1443"/>
      <c r="AK61" s="1445"/>
      <c r="AL61" s="1445"/>
      <c r="AM61" s="1445"/>
      <c r="AN61" s="1445"/>
      <c r="AO61" s="1445"/>
      <c r="AP61" s="1445"/>
      <c r="AQ61" s="1445"/>
      <c r="AR61" s="1445"/>
      <c r="AS61" s="1445"/>
      <c r="AT61" s="1445"/>
      <c r="AU61" s="1445"/>
      <c r="AV61" s="1445"/>
      <c r="AW61" s="1445"/>
      <c r="AX61" s="1445"/>
      <c r="AY61" s="1445"/>
      <c r="AZ61" s="1445"/>
      <c r="BA61" s="1445"/>
      <c r="BB61" s="1445"/>
      <c r="BC61" s="1445"/>
      <c r="BD61" s="1445"/>
      <c r="BE61" s="1445"/>
      <c r="BF61" s="1445"/>
      <c r="BG61" s="1445"/>
      <c r="BH61" s="1445"/>
      <c r="BI61" s="1445"/>
      <c r="BJ61" s="1445"/>
      <c r="BK61" s="1445"/>
      <c r="BL61" s="1445"/>
      <c r="BM61" s="1445"/>
      <c r="BN61" s="1445"/>
      <c r="BO61" s="1442"/>
      <c r="BP61" s="1443"/>
      <c r="BQ61" s="1445"/>
      <c r="BR61" s="1445"/>
      <c r="BS61" s="1445"/>
      <c r="BT61" s="1445"/>
      <c r="BU61" s="1445"/>
      <c r="BV61" s="1445"/>
      <c r="BW61" s="1445"/>
      <c r="BX61" s="1445"/>
      <c r="BY61" s="1445"/>
      <c r="BZ61" s="1445"/>
      <c r="CA61" s="1445"/>
      <c r="CB61" s="1445"/>
      <c r="CC61" s="1445"/>
      <c r="CD61" s="1445"/>
      <c r="CE61" s="1445"/>
      <c r="CF61" s="1445"/>
      <c r="CG61" s="1445"/>
      <c r="CH61" s="1445"/>
      <c r="CI61" s="1445"/>
      <c r="CJ61" s="1445"/>
      <c r="CK61" s="1445"/>
      <c r="CL61" s="1445"/>
      <c r="CM61" s="1445"/>
      <c r="CN61" s="1445"/>
      <c r="CO61" s="1445"/>
      <c r="CP61" s="1445"/>
      <c r="CQ61" s="1445"/>
      <c r="CR61" s="1445"/>
      <c r="CS61" s="1443"/>
      <c r="CT61" s="1443"/>
      <c r="CV61" s="1444" t="s">
        <v>1104</v>
      </c>
      <c r="CW61" s="1443"/>
      <c r="CX61" s="3610">
        <f>'Öko-KG1'!$E$10</f>
        <v>0</v>
      </c>
      <c r="CY61" s="1445">
        <f>'Öko-KG2'!$E$10</f>
        <v>0</v>
      </c>
      <c r="CZ61" s="1445">
        <f>'Öko-LU1'!$E$10</f>
        <v>0</v>
      </c>
      <c r="DA61" s="1445">
        <f>'Öko-LU2'!$E$10</f>
        <v>0</v>
      </c>
      <c r="DB61" s="1445">
        <f>'Öko-WW-Futter'!$E$10</f>
        <v>0</v>
      </c>
      <c r="DC61" s="1445">
        <f>'Öko-WW-Brot'!$E$10</f>
        <v>0</v>
      </c>
      <c r="DD61" s="1445">
        <f>'Öko-Dinkel'!$E$10</f>
        <v>0</v>
      </c>
      <c r="DE61" s="1445">
        <f>'Öko-Dinkel,gegerbt'!$E$10</f>
        <v>0</v>
      </c>
      <c r="DF61" s="1445">
        <f>'Öko-Roggen'!$E$10</f>
        <v>0</v>
      </c>
      <c r="DG61" s="1445">
        <f>'Öko-Hafer'!$E$10</f>
        <v>0</v>
      </c>
      <c r="DH61" s="1445">
        <f>'Öko-Wintergerste'!$E$10</f>
        <v>0</v>
      </c>
      <c r="DI61" s="1445" t="str">
        <f>'Öko-Braugerste'!$E$10</f>
        <v>Sortiergerste</v>
      </c>
      <c r="DJ61" s="1445">
        <f>'Öko-Körnermais'!$E$10</f>
        <v>0</v>
      </c>
      <c r="DK61" s="1445">
        <f>'Öko-Ackerbohnen'!$E$10</f>
        <v>0</v>
      </c>
      <c r="DL61" s="1445">
        <f>'Öko-Erbsen'!$E$10</f>
        <v>0</v>
      </c>
      <c r="DM61" s="1445">
        <f>'Öko-Sojabohnen'!$E$10</f>
        <v>0</v>
      </c>
      <c r="DN61" s="1445">
        <f>'Öko-Soblu'!$E$10</f>
        <v>0</v>
      </c>
      <c r="DO61" s="1445">
        <f>'Öko-Raps'!$E$10</f>
        <v>0</v>
      </c>
      <c r="DP61" s="1445" t="str">
        <f>'Öko-Kartoffel'!$E$10</f>
        <v>Futterkartoffeln</v>
      </c>
      <c r="DQ61" s="1445"/>
      <c r="DR61" s="1445">
        <f>Begrün.!$E$10</f>
        <v>0</v>
      </c>
      <c r="DS61" s="1445">
        <f>Blühm.!$E$10</f>
        <v>0</v>
      </c>
      <c r="DT61" s="1434"/>
      <c r="DU61" s="1445">
        <f>'Öko-KG1'!$E$10</f>
        <v>0</v>
      </c>
      <c r="DV61" s="1445">
        <f>'Öko-KG2'!$E$10</f>
        <v>0</v>
      </c>
      <c r="DW61" s="1445">
        <f>'Öko-LU1'!$E$10</f>
        <v>0</v>
      </c>
      <c r="DX61" s="1445">
        <f>'Öko-LU2'!$E$10</f>
        <v>0</v>
      </c>
      <c r="DY61" s="1443">
        <f>'Öko-WW-Futter'!$E$10</f>
        <v>0</v>
      </c>
      <c r="DZ61" s="1445">
        <f>'Öko-WW-Brot'!$E$10</f>
        <v>0</v>
      </c>
      <c r="EA61" s="1445">
        <f>'Öko-Dinkel'!$E$10</f>
        <v>0</v>
      </c>
      <c r="EB61" s="1445">
        <f>'Öko-Dinkel,gegerbt'!$E$10</f>
        <v>0</v>
      </c>
      <c r="EC61" s="1445">
        <f>'Öko-Roggen'!$E$10</f>
        <v>0</v>
      </c>
      <c r="ED61" s="1445">
        <f>'Öko-Hafer'!$E$10</f>
        <v>0</v>
      </c>
      <c r="EE61" s="1445">
        <f>'Öko-Wintergerste'!$E$10</f>
        <v>0</v>
      </c>
      <c r="EF61" s="1445" t="str">
        <f>'Öko-Braugerste'!$E$10</f>
        <v>Sortiergerste</v>
      </c>
      <c r="EG61" s="1445">
        <f>'Öko-Körnermais'!$E$10</f>
        <v>0</v>
      </c>
      <c r="EH61" s="1445">
        <f>'Öko-Ackerbohnen'!$E$10</f>
        <v>0</v>
      </c>
      <c r="EI61" s="1445">
        <f>'Öko-Erbsen'!$E$10</f>
        <v>0</v>
      </c>
      <c r="EJ61" s="1445">
        <f>'Öko-Sojabohnen'!$E$10</f>
        <v>0</v>
      </c>
      <c r="EK61" s="1445">
        <f>'Öko-Soblu'!$E$10</f>
        <v>0</v>
      </c>
      <c r="EL61" s="1445">
        <f>'Öko-Raps'!$E$10</f>
        <v>0</v>
      </c>
      <c r="EM61" s="1445" t="str">
        <f>'Öko-Kartoffel'!$E$10</f>
        <v>Futterkartoffeln</v>
      </c>
      <c r="EN61" s="1445"/>
      <c r="EO61" s="1445">
        <f>Begrün.!$E$10</f>
        <v>0</v>
      </c>
      <c r="EP61" s="1445">
        <f>Blühm.!$E$10</f>
        <v>0</v>
      </c>
      <c r="EQ61" s="1434"/>
      <c r="ER61" s="1445">
        <f>'Öko-KG1'!$E$10</f>
        <v>0</v>
      </c>
      <c r="ES61" s="1445">
        <f>'Öko-KG2'!$E$10</f>
        <v>0</v>
      </c>
      <c r="ET61" s="1445">
        <f>'Öko-LU1'!$E$10</f>
        <v>0</v>
      </c>
      <c r="EU61" s="1445">
        <f>'Öko-LU2'!$E$10</f>
        <v>0</v>
      </c>
      <c r="EV61" s="1443">
        <f>'Öko-WW-Futter'!$E$10</f>
        <v>0</v>
      </c>
      <c r="EW61" s="1445">
        <f>'Öko-WW-Brot'!$E$10</f>
        <v>0</v>
      </c>
      <c r="EX61" s="1445">
        <f>'Öko-Dinkel'!$E$10</f>
        <v>0</v>
      </c>
      <c r="EY61" s="1445">
        <f>'Öko-Dinkel,gegerbt'!$E$10</f>
        <v>0</v>
      </c>
      <c r="EZ61" s="1445">
        <f>'Öko-Roggen'!$E$10</f>
        <v>0</v>
      </c>
      <c r="FA61" s="1445">
        <f>'Öko-Hafer'!$E$10</f>
        <v>0</v>
      </c>
      <c r="FB61" s="1445">
        <f>'Öko-Wintergerste'!$E$10</f>
        <v>0</v>
      </c>
      <c r="FC61" s="1445" t="str">
        <f>'Öko-Braugerste'!$E$10</f>
        <v>Sortiergerste</v>
      </c>
      <c r="FD61" s="1445">
        <f>'Öko-Körnermais'!$E$10</f>
        <v>0</v>
      </c>
      <c r="FE61" s="1445">
        <f>'Öko-Ackerbohnen'!$E$10</f>
        <v>0</v>
      </c>
      <c r="FF61" s="1445">
        <f>'Öko-Erbsen'!$E$10</f>
        <v>0</v>
      </c>
      <c r="FG61" s="1445">
        <f>'Öko-Sojabohnen'!$E$10</f>
        <v>0</v>
      </c>
      <c r="FH61" s="1445">
        <f>'Öko-Soblu'!$E$10</f>
        <v>0</v>
      </c>
      <c r="FI61" s="1445">
        <f>'Öko-Raps'!$E$10</f>
        <v>0</v>
      </c>
      <c r="FJ61" s="1445" t="str">
        <f>'Öko-Kartoffel'!$E$10</f>
        <v>Futterkartoffeln</v>
      </c>
      <c r="FK61" s="1445"/>
      <c r="FL61" s="1445">
        <f>Begrün.!$E$10</f>
        <v>0</v>
      </c>
      <c r="FM61" s="1445">
        <f>Blühm.!$E$10</f>
        <v>0</v>
      </c>
    </row>
    <row r="62" spans="1:171" s="3625" customFormat="1" ht="16.149999999999999" customHeight="1">
      <c r="A62" s="3619">
        <f>ROWS($A$1:A62)</f>
        <v>62</v>
      </c>
      <c r="B62" s="3620" t="s">
        <v>1103</v>
      </c>
      <c r="C62" s="3621"/>
      <c r="D62" s="3622" t="str">
        <f>'WW1'!$E$4</f>
        <v>Lohndrusch, 2 ha-Schlag</v>
      </c>
      <c r="E62" s="3623" t="str">
        <f>'WW2'!$E$4</f>
        <v>Lohndrusch, 2 ha-Schlag</v>
      </c>
      <c r="F62" s="3623" t="str">
        <f>'WW3'!$E$4</f>
        <v>Lohndrusch, 2 ha-Schlag</v>
      </c>
      <c r="G62" s="3623" t="str">
        <f>'WW4'!$E$4</f>
        <v>Lohndrusch, 2 ha-Schlag</v>
      </c>
      <c r="H62" s="3623" t="str">
        <f>WRo!$E$4</f>
        <v>Lohndrusch, 2 ha-Schlag</v>
      </c>
      <c r="I62" s="3623" t="str">
        <f>Tr!$E$4</f>
        <v>Lohndrusch, 2 ha-Schlag</v>
      </c>
      <c r="J62" s="3623" t="str">
        <f>WG!$E$4</f>
        <v>Lohndrusch, 2 ha-Schlag</v>
      </c>
      <c r="K62" s="3623" t="str">
        <f>Di!$E$4</f>
        <v>Lohndrusch, 2 ha-Schlag</v>
      </c>
      <c r="L62" s="3623" t="str">
        <f>SW!$E$4</f>
        <v>Lohndrusch, 2 ha-Schlag</v>
      </c>
      <c r="M62" s="3623" t="str">
        <f>'SG-Fu'!$E$4</f>
        <v>Lohndrusch, 2 ha-Schlag</v>
      </c>
      <c r="N62" s="3623" t="str">
        <f>BG!$E$4</f>
        <v>Lohndrusch, 2 ha-Schlag</v>
      </c>
      <c r="O62" s="3623" t="str">
        <f>Ha!$E$4</f>
        <v>Lohndrusch, 2 ha-Schlag</v>
      </c>
      <c r="P62" s="3623" t="str">
        <f>Du!$E$4</f>
        <v>Lohndrusch, 2 ha-Schlag</v>
      </c>
      <c r="Q62" s="3623" t="str">
        <f>KöM!$E$4</f>
        <v>Lohndrusch, 2 ha-Schlag</v>
      </c>
      <c r="R62" s="3623"/>
      <c r="S62" s="3623" t="str">
        <f>WR!$E$4</f>
        <v>Lohndrusch, 2 ha-Schlag</v>
      </c>
      <c r="T62" s="3623" t="str">
        <f>SR!$E$4</f>
        <v>Lohndrusch, 2 ha-Schlag</v>
      </c>
      <c r="U62" s="3623" t="str">
        <f>SoBl!$E$4</f>
        <v>Lohndrusch, 2 ha-Schlag</v>
      </c>
      <c r="V62" s="3623" t="str">
        <f>Soja!$E$4</f>
        <v>Lohndrusch, 2 ha-Schlag</v>
      </c>
      <c r="W62" s="3623"/>
      <c r="X62" s="3623" t="str">
        <f>FE!$E$4</f>
        <v>Lohndrusch, 2 ha-Schlag</v>
      </c>
      <c r="Y62" s="3623" t="str">
        <f>AB!$E$4</f>
        <v>Lohndrusch, 2 ha-Schlag</v>
      </c>
      <c r="Z62" s="3623" t="str">
        <f>Lu!$E$4</f>
        <v>Lohndrusch, 2 ha-Schlag</v>
      </c>
      <c r="AA62" s="3623" t="str">
        <f>ZR!$E$4</f>
        <v>Ernte im Lohn</v>
      </c>
      <c r="AB62" s="3623" t="str">
        <f>FrühKa!$E$4</f>
        <v>Frühkartoffeln, Verkauf ab Feld</v>
      </c>
      <c r="AC62" s="3623" t="str">
        <f>FrühKaFolieBer!$E$4</f>
        <v>Frühkartoffeln ab Feld / Folie</v>
      </c>
      <c r="AD62" s="3623" t="str">
        <f>SpKa!$E$4</f>
        <v>Speisekartoffeln ab Feld</v>
      </c>
      <c r="AE62" s="3623" t="str">
        <f>SpKaBer!$E$4</f>
        <v>Speisekartoffeln ab Feld</v>
      </c>
      <c r="AF62" s="3623" t="str">
        <f>'Kultur A'!$E$4</f>
        <v>Lohndrusch, 2 ha-Schlag</v>
      </c>
      <c r="AG62" s="3623" t="str">
        <f>'FAKT-Brachebegrünung'!$E$4</f>
        <v xml:space="preserve">FAKT - Brachebegrünung mit Blühmischung </v>
      </c>
      <c r="AH62" s="3623" t="str">
        <f>Begr!$E$4</f>
        <v>Zwischenfrucht (bei ÖVF 2 Arten (ohne FAKT-Teilnahme))</v>
      </c>
      <c r="AI62" s="3624"/>
      <c r="AJ62" s="3623" t="str">
        <f>'WW1'!$E$4</f>
        <v>Lohndrusch, 2 ha-Schlag</v>
      </c>
      <c r="AK62" s="3623" t="str">
        <f>'WW2'!$E$4</f>
        <v>Lohndrusch, 2 ha-Schlag</v>
      </c>
      <c r="AL62" s="3623" t="str">
        <f>'WW3'!$E$4</f>
        <v>Lohndrusch, 2 ha-Schlag</v>
      </c>
      <c r="AM62" s="3623" t="str">
        <f>'WW4'!$E$4</f>
        <v>Lohndrusch, 2 ha-Schlag</v>
      </c>
      <c r="AN62" s="3623" t="str">
        <f>WRo!$E$4</f>
        <v>Lohndrusch, 2 ha-Schlag</v>
      </c>
      <c r="AO62" s="3623" t="str">
        <f>Tr!$E$4</f>
        <v>Lohndrusch, 2 ha-Schlag</v>
      </c>
      <c r="AP62" s="3623" t="str">
        <f>WG!$E$4</f>
        <v>Lohndrusch, 2 ha-Schlag</v>
      </c>
      <c r="AQ62" s="3623" t="str">
        <f>Di!$E$4</f>
        <v>Lohndrusch, 2 ha-Schlag</v>
      </c>
      <c r="AR62" s="3623" t="str">
        <f>SW!$E$4</f>
        <v>Lohndrusch, 2 ha-Schlag</v>
      </c>
      <c r="AS62" s="3623" t="str">
        <f>'SG-Fu'!$E$4</f>
        <v>Lohndrusch, 2 ha-Schlag</v>
      </c>
      <c r="AT62" s="3623" t="str">
        <f>BG!$E$4</f>
        <v>Lohndrusch, 2 ha-Schlag</v>
      </c>
      <c r="AU62" s="3623" t="str">
        <f>Ha!$E$4</f>
        <v>Lohndrusch, 2 ha-Schlag</v>
      </c>
      <c r="AV62" s="3623" t="str">
        <f>Du!$E$4</f>
        <v>Lohndrusch, 2 ha-Schlag</v>
      </c>
      <c r="AW62" s="3623" t="str">
        <f>KöM!$E$4</f>
        <v>Lohndrusch, 2 ha-Schlag</v>
      </c>
      <c r="AX62" s="3623"/>
      <c r="AY62" s="3623" t="str">
        <f>WR!$E$4</f>
        <v>Lohndrusch, 2 ha-Schlag</v>
      </c>
      <c r="AZ62" s="3623" t="str">
        <f>SR!$E$4</f>
        <v>Lohndrusch, 2 ha-Schlag</v>
      </c>
      <c r="BA62" s="3623" t="str">
        <f>SoBl!$E$4</f>
        <v>Lohndrusch, 2 ha-Schlag</v>
      </c>
      <c r="BB62" s="3623" t="str">
        <f>Soja!$E$4</f>
        <v>Lohndrusch, 2 ha-Schlag</v>
      </c>
      <c r="BC62" s="3623"/>
      <c r="BD62" s="3623" t="str">
        <f>FE!$E$4</f>
        <v>Lohndrusch, 2 ha-Schlag</v>
      </c>
      <c r="BE62" s="3623" t="str">
        <f>AB!$E$4</f>
        <v>Lohndrusch, 2 ha-Schlag</v>
      </c>
      <c r="BF62" s="3623" t="str">
        <f>Lu!$E$4</f>
        <v>Lohndrusch, 2 ha-Schlag</v>
      </c>
      <c r="BG62" s="3623" t="str">
        <f>ZR!$E$4</f>
        <v>Ernte im Lohn</v>
      </c>
      <c r="BH62" s="3623" t="str">
        <f>FrühKa!$E$4</f>
        <v>Frühkartoffeln, Verkauf ab Feld</v>
      </c>
      <c r="BI62" s="3623" t="str">
        <f>FrühKaFolieBer!$E$4</f>
        <v>Frühkartoffeln ab Feld / Folie</v>
      </c>
      <c r="BJ62" s="3623" t="str">
        <f>SpKa!$E$4</f>
        <v>Speisekartoffeln ab Feld</v>
      </c>
      <c r="BK62" s="3623" t="str">
        <f>SpKaBer!$E$4</f>
        <v>Speisekartoffeln ab Feld</v>
      </c>
      <c r="BL62" s="3623" t="s">
        <v>1211</v>
      </c>
      <c r="BM62" s="3623" t="str">
        <f>'FAKT-Brachebegrünung'!$E$4</f>
        <v xml:space="preserve">FAKT - Brachebegrünung mit Blühmischung </v>
      </c>
      <c r="BN62" s="3623" t="str">
        <f>Begr!$E$4</f>
        <v>Zwischenfrucht (bei ÖVF 2 Arten (ohne FAKT-Teilnahme))</v>
      </c>
      <c r="BO62" s="3624"/>
      <c r="BP62" s="3623" t="str">
        <f>'WW1'!$E$4</f>
        <v>Lohndrusch, 2 ha-Schlag</v>
      </c>
      <c r="BQ62" s="3623" t="str">
        <f>'WW2'!$E$4</f>
        <v>Lohndrusch, 2 ha-Schlag</v>
      </c>
      <c r="BR62" s="3623" t="str">
        <f>'WW3'!$E$4</f>
        <v>Lohndrusch, 2 ha-Schlag</v>
      </c>
      <c r="BS62" s="3623" t="str">
        <f>'WW4'!$E$4</f>
        <v>Lohndrusch, 2 ha-Schlag</v>
      </c>
      <c r="BT62" s="3623" t="str">
        <f>WRo!$E$4</f>
        <v>Lohndrusch, 2 ha-Schlag</v>
      </c>
      <c r="BU62" s="3623" t="str">
        <f>Tr!$E$4</f>
        <v>Lohndrusch, 2 ha-Schlag</v>
      </c>
      <c r="BV62" s="3623" t="str">
        <f>WG!$E$4</f>
        <v>Lohndrusch, 2 ha-Schlag</v>
      </c>
      <c r="BW62" s="3623" t="str">
        <f>Di!$E$4</f>
        <v>Lohndrusch, 2 ha-Schlag</v>
      </c>
      <c r="BX62" s="3623" t="str">
        <f>SW!$E$4</f>
        <v>Lohndrusch, 2 ha-Schlag</v>
      </c>
      <c r="BY62" s="3623" t="str">
        <f>'SG-Fu'!$E$4</f>
        <v>Lohndrusch, 2 ha-Schlag</v>
      </c>
      <c r="BZ62" s="3623" t="str">
        <f>BG!$E$4</f>
        <v>Lohndrusch, 2 ha-Schlag</v>
      </c>
      <c r="CA62" s="3623" t="str">
        <f>Ha!$E$4</f>
        <v>Lohndrusch, 2 ha-Schlag</v>
      </c>
      <c r="CB62" s="3623" t="str">
        <f>Du!$E$4</f>
        <v>Lohndrusch, 2 ha-Schlag</v>
      </c>
      <c r="CC62" s="3623" t="str">
        <f>KöM!$E$4</f>
        <v>Lohndrusch, 2 ha-Schlag</v>
      </c>
      <c r="CD62" s="3623"/>
      <c r="CE62" s="3623" t="str">
        <f>KH!$E$4</f>
        <v>Lohndrusch, 2 ha-Schlag</v>
      </c>
      <c r="CF62" s="3623" t="str">
        <f>SR!$E$4</f>
        <v>Lohndrusch, 2 ha-Schlag</v>
      </c>
      <c r="CG62" s="3623" t="str">
        <f>SoBl!$E$4</f>
        <v>Lohndrusch, 2 ha-Schlag</v>
      </c>
      <c r="CH62" s="3623" t="str">
        <f>Soja!$E$4</f>
        <v>Lohndrusch, 2 ha-Schlag</v>
      </c>
      <c r="CI62" s="3623"/>
      <c r="CJ62" s="3623" t="str">
        <f>FE!$E$4</f>
        <v>Lohndrusch, 2 ha-Schlag</v>
      </c>
      <c r="CK62" s="3623" t="str">
        <f>AB!$E$4</f>
        <v>Lohndrusch, 2 ha-Schlag</v>
      </c>
      <c r="CL62" s="3623" t="str">
        <f>Lu!$E$4</f>
        <v>Lohndrusch, 2 ha-Schlag</v>
      </c>
      <c r="CM62" s="3623" t="str">
        <f>ZR!$E$4</f>
        <v>Ernte im Lohn</v>
      </c>
      <c r="CN62" s="3623" t="str">
        <f>FrühKa!$E$4</f>
        <v>Frühkartoffeln, Verkauf ab Feld</v>
      </c>
      <c r="CO62" s="3623" t="str">
        <f>FrühKaFolieBer!$E$4</f>
        <v>Frühkartoffeln ab Feld / Folie</v>
      </c>
      <c r="CP62" s="3623" t="str">
        <f>SpKa!$E$4</f>
        <v>Speisekartoffeln ab Feld</v>
      </c>
      <c r="CQ62" s="3623" t="str">
        <f>SpKaBer!$E$4</f>
        <v>Speisekartoffeln ab Feld</v>
      </c>
      <c r="CR62" s="3623" t="str">
        <f>'Kultur A'!$E$4</f>
        <v>Lohndrusch, 2 ha-Schlag</v>
      </c>
      <c r="CS62" s="3623" t="str">
        <f>'FAKT-Brachebegrünung'!$E$4</f>
        <v xml:space="preserve">FAKT - Brachebegrünung mit Blühmischung </v>
      </c>
      <c r="CT62" s="3623" t="str">
        <f>Begr!$E$4</f>
        <v>Zwischenfrucht (bei ÖVF 2 Arten (ohne FAKT-Teilnahme))</v>
      </c>
      <c r="CV62" s="3620" t="s">
        <v>1103</v>
      </c>
      <c r="CW62" s="3621"/>
      <c r="CX62" s="3622" t="str">
        <f>'Öko-KG1'!$E$4</f>
        <v>Kleegras 1jährig, 2mal mulchen</v>
      </c>
      <c r="CY62" s="3623" t="str">
        <f>'Öko-KG2'!$E$4</f>
        <v>Kleegras 2jährig, 2mal mulchen /Jahr</v>
      </c>
      <c r="CZ62" s="3623" t="str">
        <f>'Öko-LU1'!$E$4</f>
        <v>Luzernegras 1jährig, 2mal mulchen</v>
      </c>
      <c r="DA62" s="3623" t="str">
        <f>'Öko-LU2'!$E$4</f>
        <v>Luzernegras 2jährig, 2mal mulchen/Jahr</v>
      </c>
      <c r="DB62" s="3623" t="str">
        <f>'Öko-WW-Futter'!$E$4</f>
        <v>Lohndrusch, 2 ha-Schlag</v>
      </c>
      <c r="DC62" s="3623" t="str">
        <f>'Öko-WW-Brot'!$E$4</f>
        <v>Lohndrusch, 2 ha-Schlag</v>
      </c>
      <c r="DD62" s="3623" t="str">
        <f>'Öko-Dinkel'!$E$4</f>
        <v>Lohndrusch, 2 ha-Schlag</v>
      </c>
      <c r="DE62" s="3623" t="str">
        <f>'Öko-Dinkel,gegerbt'!$E$4</f>
        <v>Lohndrusch, 2 ha, inkl Entspelzung</v>
      </c>
      <c r="DF62" s="3623" t="str">
        <f>'Öko-Roggen'!$E$4</f>
        <v>Lohndrusch, 2 ha-Schlag</v>
      </c>
      <c r="DG62" s="3623" t="str">
        <f>'Öko-Hafer'!$E$4</f>
        <v>Lohndrusch, 2 ha-Schlag</v>
      </c>
      <c r="DH62" s="3623" t="str">
        <f>'Öko-Wintergerste'!$E$4</f>
        <v>Lohndrusch, 2 ha-Schlag</v>
      </c>
      <c r="DI62" s="3623" t="str">
        <f>'Öko-Braugerste'!$E$4</f>
        <v>Lohndrusch, 2 ha-Schlag</v>
      </c>
      <c r="DJ62" s="3623" t="str">
        <f>'Öko-Körnermais'!$E$4</f>
        <v>Lohnsaat,Lohndrusch, 2 ha-Schlag</v>
      </c>
      <c r="DK62" s="3623" t="str">
        <f>'Öko-Ackerbohnen'!$E$4</f>
        <v>Lohndrusch,  2 ha-Schlag</v>
      </c>
      <c r="DL62" s="3623" t="str">
        <f>'Öko-Erbsen'!$E$4</f>
        <v>Lohndrusch, 2 ha-Schlag</v>
      </c>
      <c r="DM62" s="3623" t="str">
        <f>'Öko-Sojabohnen'!$E$4</f>
        <v>Lohndrusch, 2 ha-Schlag</v>
      </c>
      <c r="DN62" s="3623" t="str">
        <f>'Öko-Soblu'!$E$4</f>
        <v xml:space="preserve">2 ha-Schlag, ohne Einlagerung </v>
      </c>
      <c r="DO62" s="3623" t="str">
        <f>'Öko-Raps'!$E$4</f>
        <v xml:space="preserve">2 ha-Schlag, ohne Einlagerung </v>
      </c>
      <c r="DP62" s="3623" t="str">
        <f>'Öko-Kartoffel'!$E$4</f>
        <v>2 ha-Schlag, Lohnernte, ab Feld</v>
      </c>
      <c r="DQ62" s="3623"/>
      <c r="DR62" s="3623" t="str">
        <f>Begrün.!$E$4</f>
        <v>Zwischenfrucht mit Leguminosen</v>
      </c>
      <c r="DS62" s="3623" t="str">
        <f>Blühm.!$E$4</f>
        <v>Saat: Bis 15. Mai (1jährig) bzw. 15. Sept. (überj.), Mulchen ab Sept. bei Anbau einer Winterkultur</v>
      </c>
      <c r="DU62" s="3623" t="str">
        <f>'Öko-KG1'!$E$4</f>
        <v>Kleegras 1jährig, 2mal mulchen</v>
      </c>
      <c r="DV62" s="3623" t="str">
        <f>'Öko-KG2'!$E$4</f>
        <v>Kleegras 2jährig, 2mal mulchen /Jahr</v>
      </c>
      <c r="DW62" s="3623" t="str">
        <f>'Öko-LU2'!$E$4</f>
        <v>Luzernegras 2jährig, 2mal mulchen/Jahr</v>
      </c>
      <c r="DX62" s="3623" t="str">
        <f>'Öko-LU2'!$E$4</f>
        <v>Luzernegras 2jährig, 2mal mulchen/Jahr</v>
      </c>
      <c r="DY62" s="3621" t="str">
        <f>'Öko-WW-Futter'!$E$4</f>
        <v>Lohndrusch, 2 ha-Schlag</v>
      </c>
      <c r="DZ62" s="3623" t="str">
        <f>'Öko-WW-Brot'!$E$4</f>
        <v>Lohndrusch, 2 ha-Schlag</v>
      </c>
      <c r="EA62" s="3623" t="str">
        <f>'Öko-Dinkel'!$E$4</f>
        <v>Lohndrusch, 2 ha-Schlag</v>
      </c>
      <c r="EB62" s="3623" t="str">
        <f>'Öko-Dinkel,gegerbt'!$E$4</f>
        <v>Lohndrusch, 2 ha, inkl Entspelzung</v>
      </c>
      <c r="EC62" s="3623" t="str">
        <f>'Öko-Roggen'!$E$4</f>
        <v>Lohndrusch, 2 ha-Schlag</v>
      </c>
      <c r="ED62" s="3623" t="str">
        <f>'Öko-Hafer'!$E$4</f>
        <v>Lohndrusch, 2 ha-Schlag</v>
      </c>
      <c r="EE62" s="3623" t="str">
        <f>'Öko-Wintergerste'!$E$4</f>
        <v>Lohndrusch, 2 ha-Schlag</v>
      </c>
      <c r="EF62" s="3623" t="str">
        <f>'Öko-Braugerste'!$E$4</f>
        <v>Lohndrusch, 2 ha-Schlag</v>
      </c>
      <c r="EG62" s="3623" t="str">
        <f>'Öko-Körnermais'!$E$4</f>
        <v>Lohnsaat,Lohndrusch, 2 ha-Schlag</v>
      </c>
      <c r="EH62" s="3623" t="str">
        <f>'Öko-Ackerbohnen'!$E$4</f>
        <v>Lohndrusch,  2 ha-Schlag</v>
      </c>
      <c r="EI62" s="3623" t="str">
        <f>'Öko-Erbsen'!$E$4</f>
        <v>Lohndrusch, 2 ha-Schlag</v>
      </c>
      <c r="EJ62" s="3623" t="str">
        <f>'Öko-Sojabohnen'!$E$4</f>
        <v>Lohndrusch, 2 ha-Schlag</v>
      </c>
      <c r="EK62" s="3623" t="str">
        <f>'Öko-Soblu'!$E$4</f>
        <v xml:space="preserve">2 ha-Schlag, ohne Einlagerung </v>
      </c>
      <c r="EL62" s="3623" t="str">
        <f>'Öko-Raps'!$E$4</f>
        <v xml:space="preserve">2 ha-Schlag, ohne Einlagerung </v>
      </c>
      <c r="EM62" s="3623" t="str">
        <f>'Öko-Kartoffel'!$E$4</f>
        <v>2 ha-Schlag, Lohnernte, ab Feld</v>
      </c>
      <c r="EN62" s="3623"/>
      <c r="EO62" s="3623">
        <f>Begrün.!E68</f>
        <v>0</v>
      </c>
      <c r="EP62" s="3623" t="str">
        <f>Blühm.!$E$4</f>
        <v>Saat: Bis 15. Mai (1jährig) bzw. 15. Sept. (überj.), Mulchen ab Sept. bei Anbau einer Winterkultur</v>
      </c>
      <c r="ER62" s="3623" t="str">
        <f>'Öko-KG1'!$E$4</f>
        <v>Kleegras 1jährig, 2mal mulchen</v>
      </c>
      <c r="ES62" s="3623" t="str">
        <f>'Öko-KG2'!$E$4</f>
        <v>Kleegras 2jährig, 2mal mulchen /Jahr</v>
      </c>
      <c r="ET62" s="3623" t="str">
        <f>'Öko-LU2'!$E$4</f>
        <v>Luzernegras 2jährig, 2mal mulchen/Jahr</v>
      </c>
      <c r="EU62" s="3623" t="str">
        <f>'Öko-LU2'!$E$4</f>
        <v>Luzernegras 2jährig, 2mal mulchen/Jahr</v>
      </c>
      <c r="EV62" s="3621" t="str">
        <f>'Öko-WW-Futter'!$E$4</f>
        <v>Lohndrusch, 2 ha-Schlag</v>
      </c>
      <c r="EW62" s="3623" t="str">
        <f>'Öko-WW-Brot'!$E$4</f>
        <v>Lohndrusch, 2 ha-Schlag</v>
      </c>
      <c r="EX62" s="3623" t="str">
        <f>'Öko-Dinkel'!$E$4</f>
        <v>Lohndrusch, 2 ha-Schlag</v>
      </c>
      <c r="EY62" s="3623" t="str">
        <f>'Öko-Dinkel,gegerbt'!$E$4</f>
        <v>Lohndrusch, 2 ha, inkl Entspelzung</v>
      </c>
      <c r="EZ62" s="3623" t="str">
        <f>'Öko-Roggen'!$E$4</f>
        <v>Lohndrusch, 2 ha-Schlag</v>
      </c>
      <c r="FA62" s="3623" t="str">
        <f>'Öko-Hafer'!$E$4</f>
        <v>Lohndrusch, 2 ha-Schlag</v>
      </c>
      <c r="FB62" s="3623" t="str">
        <f>'Öko-Wintergerste'!$E$4</f>
        <v>Lohndrusch, 2 ha-Schlag</v>
      </c>
      <c r="FC62" s="3623" t="str">
        <f>'Öko-Braugerste'!$E$4</f>
        <v>Lohndrusch, 2 ha-Schlag</v>
      </c>
      <c r="FD62" s="3623" t="str">
        <f>'Öko-Körnermais'!$E$4</f>
        <v>Lohnsaat,Lohndrusch, 2 ha-Schlag</v>
      </c>
      <c r="FE62" s="3623" t="str">
        <f>'Öko-Ackerbohnen'!$E$4</f>
        <v>Lohndrusch,  2 ha-Schlag</v>
      </c>
      <c r="FF62" s="3623" t="str">
        <f>'Öko-Erbsen'!$E$4</f>
        <v>Lohndrusch, 2 ha-Schlag</v>
      </c>
      <c r="FG62" s="3623" t="str">
        <f>'Öko-Sojabohnen'!$E$4</f>
        <v>Lohndrusch, 2 ha-Schlag</v>
      </c>
      <c r="FH62" s="3623" t="str">
        <f>'Öko-Soblu'!$E$4</f>
        <v xml:space="preserve">2 ha-Schlag, ohne Einlagerung </v>
      </c>
      <c r="FI62" s="3623" t="str">
        <f>'Öko-Raps'!$E$4</f>
        <v xml:space="preserve">2 ha-Schlag, ohne Einlagerung </v>
      </c>
      <c r="FJ62" s="3623" t="str">
        <f>'Öko-Kartoffel'!$E$4</f>
        <v>2 ha-Schlag, Lohnernte, ab Feld</v>
      </c>
      <c r="FK62" s="3623"/>
      <c r="FL62" s="3623">
        <f>Begrün.!AN72</f>
        <v>0</v>
      </c>
      <c r="FM62" s="3623" t="str">
        <f>Blühm.!$E$4</f>
        <v>Saat: Bis 15. Mai (1jährig) bzw. 15. Sept. (überj.), Mulchen ab Sept. bei Anbau einer Winterkultur</v>
      </c>
    </row>
    <row r="63" spans="1:171" ht="18" customHeight="1" thickBot="1">
      <c r="A63" s="1440">
        <f>ROWS($A$1:A63)</f>
        <v>63</v>
      </c>
      <c r="B63" s="1439" t="s">
        <v>1102</v>
      </c>
      <c r="C63" s="1441"/>
      <c r="D63" s="3609">
        <f>'WW1'!J18</f>
        <v>355.4</v>
      </c>
      <c r="E63" s="1436">
        <f>'WW2'!J18</f>
        <v>221.4</v>
      </c>
      <c r="F63" s="1436">
        <f>'WW3'!J18</f>
        <v>355.4</v>
      </c>
      <c r="G63" s="1436">
        <f>'WW4'!J18</f>
        <v>355.4</v>
      </c>
      <c r="H63" s="1436">
        <f>WRo!J18</f>
        <v>355.4</v>
      </c>
      <c r="I63" s="1436">
        <f>Tr!J18</f>
        <v>355.4</v>
      </c>
      <c r="J63" s="1436">
        <f>WG!J18</f>
        <v>355.4</v>
      </c>
      <c r="K63" s="1436">
        <f>Di!J18</f>
        <v>355.4</v>
      </c>
      <c r="L63" s="1436">
        <f>SW!J18</f>
        <v>355.4</v>
      </c>
      <c r="M63" s="1436">
        <f>'SG-Fu'!J18</f>
        <v>355.4</v>
      </c>
      <c r="N63" s="1436">
        <f>BG!J18</f>
        <v>355.4</v>
      </c>
      <c r="O63" s="1436">
        <f>Ha!J18</f>
        <v>355.4</v>
      </c>
      <c r="P63" s="1436">
        <f>Du!J18</f>
        <v>355.4</v>
      </c>
      <c r="Q63" s="1436">
        <f>KöM!J18</f>
        <v>355.4</v>
      </c>
      <c r="R63" s="1436"/>
      <c r="S63" s="1436">
        <f>WR!J18</f>
        <v>355.4</v>
      </c>
      <c r="T63" s="1436">
        <f>SR!J18</f>
        <v>355.4</v>
      </c>
      <c r="U63" s="1436">
        <f>SoBl!J18</f>
        <v>355.4</v>
      </c>
      <c r="V63" s="1436">
        <f>Soja!J18</f>
        <v>355.4</v>
      </c>
      <c r="W63" s="1436"/>
      <c r="X63" s="1436">
        <f>FE!J18</f>
        <v>355.4</v>
      </c>
      <c r="Y63" s="1436">
        <f>AB!J18</f>
        <v>355.4</v>
      </c>
      <c r="Z63" s="1436">
        <f>Lu!J18</f>
        <v>355.4</v>
      </c>
      <c r="AA63" s="1436">
        <f>ZR!J18</f>
        <v>355.4</v>
      </c>
      <c r="AB63" s="1436">
        <f>FrühKa!J18</f>
        <v>355.4</v>
      </c>
      <c r="AC63" s="1436">
        <f>FrühKaFolieBer!J18</f>
        <v>355.4</v>
      </c>
      <c r="AD63" s="1436">
        <f>SpKa!J18</f>
        <v>355.4</v>
      </c>
      <c r="AE63" s="1436">
        <f>SpKaBer!J18</f>
        <v>355.4</v>
      </c>
      <c r="AF63" s="1436">
        <f>'Kultur A'!J18</f>
        <v>0</v>
      </c>
      <c r="AG63" s="1436">
        <f>'FAKT-Brachebegrünung'!J18</f>
        <v>355.4</v>
      </c>
      <c r="AH63" s="1436">
        <f>Begr!J18</f>
        <v>355.4</v>
      </c>
      <c r="AI63" s="1489"/>
      <c r="AJ63" s="1437">
        <f>'WW1'!M18</f>
        <v>355.4</v>
      </c>
      <c r="AK63" s="1436">
        <f>'WW2'!M18</f>
        <v>221.4</v>
      </c>
      <c r="AL63" s="1436">
        <f>'WW3'!M18</f>
        <v>355.4</v>
      </c>
      <c r="AM63" s="1436">
        <f>'WW4'!M18</f>
        <v>355.4</v>
      </c>
      <c r="AN63" s="1436">
        <f>WRo!M18</f>
        <v>355.4</v>
      </c>
      <c r="AO63" s="1436">
        <f>Tr!M18</f>
        <v>355.4</v>
      </c>
      <c r="AP63" s="1436">
        <f>WG!M18</f>
        <v>355.4</v>
      </c>
      <c r="AQ63" s="1436">
        <f>Di!M18</f>
        <v>355.4</v>
      </c>
      <c r="AR63" s="1436">
        <f>SW!M18</f>
        <v>355.4</v>
      </c>
      <c r="AS63" s="1436">
        <f>'SG-Fu'!M18</f>
        <v>355.4</v>
      </c>
      <c r="AT63" s="1436">
        <f>BG!M18</f>
        <v>355.4</v>
      </c>
      <c r="AU63" s="1436">
        <f>Ha!M18</f>
        <v>355.4</v>
      </c>
      <c r="AV63" s="1436">
        <f>Du!M18</f>
        <v>355.4</v>
      </c>
      <c r="AW63" s="1436">
        <f>KöM!M18</f>
        <v>355.4</v>
      </c>
      <c r="AX63" s="1436"/>
      <c r="AY63" s="1436">
        <f>WR!M18</f>
        <v>355.4</v>
      </c>
      <c r="AZ63" s="1436">
        <f>SR!M18</f>
        <v>355.4</v>
      </c>
      <c r="BA63" s="1436">
        <f>SoBl!M18</f>
        <v>355.4</v>
      </c>
      <c r="BB63" s="1436">
        <f>Soja!M18</f>
        <v>355.4</v>
      </c>
      <c r="BC63" s="1436"/>
      <c r="BD63" s="1436">
        <f>FE!M18</f>
        <v>355.4</v>
      </c>
      <c r="BE63" s="1436">
        <f>AB!M18</f>
        <v>355.4</v>
      </c>
      <c r="BF63" s="1436">
        <f>Lu!M18</f>
        <v>355.4</v>
      </c>
      <c r="BG63" s="1436">
        <f>ZR!M18</f>
        <v>355.4</v>
      </c>
      <c r="BH63" s="1436">
        <f>FrühKa!M18</f>
        <v>355.4</v>
      </c>
      <c r="BI63" s="1436">
        <f>FrühKaFolieBer!M18</f>
        <v>355.4</v>
      </c>
      <c r="BJ63" s="1436">
        <f>SpKa!M18</f>
        <v>355.4</v>
      </c>
      <c r="BK63" s="1436">
        <f>SpKaBer!M18</f>
        <v>355.4</v>
      </c>
      <c r="BL63" s="1436">
        <f>'Kultur A'!M18</f>
        <v>0</v>
      </c>
      <c r="BM63" s="1436">
        <f>'FAKT-Brachebegrünung'!M18</f>
        <v>355.4</v>
      </c>
      <c r="BN63" s="1436">
        <f>Begr!M18</f>
        <v>355.4</v>
      </c>
      <c r="BO63" s="1489"/>
      <c r="BP63" s="1437">
        <f>'WW1'!P18</f>
        <v>355.4</v>
      </c>
      <c r="BQ63" s="1436">
        <f>'WW2'!P18</f>
        <v>221.4</v>
      </c>
      <c r="BR63" s="1436">
        <f>'WW3'!P18</f>
        <v>355.4</v>
      </c>
      <c r="BS63" s="1436">
        <f>'WW4'!P18</f>
        <v>355.4</v>
      </c>
      <c r="BT63" s="1436">
        <f>WRo!P18</f>
        <v>355.4</v>
      </c>
      <c r="BU63" s="1436">
        <f>Tr!P18</f>
        <v>355.4</v>
      </c>
      <c r="BV63" s="1436">
        <f>WG!P18</f>
        <v>355.4</v>
      </c>
      <c r="BW63" s="1436">
        <f>Di!P18</f>
        <v>355.4</v>
      </c>
      <c r="BX63" s="1436">
        <f>SW!P18</f>
        <v>355.4</v>
      </c>
      <c r="BY63" s="1436">
        <f>'SG-Fu'!P18</f>
        <v>355.4</v>
      </c>
      <c r="BZ63" s="1436">
        <f>BG!P18</f>
        <v>355.4</v>
      </c>
      <c r="CA63" s="1436">
        <f>Ha!P18</f>
        <v>355.4</v>
      </c>
      <c r="CB63" s="1436">
        <f>Du!P18</f>
        <v>355.4</v>
      </c>
      <c r="CC63" s="1436">
        <f>KöM!P18</f>
        <v>355.4</v>
      </c>
      <c r="CD63" s="1436"/>
      <c r="CE63" s="1436">
        <f>WR!P18</f>
        <v>355.4</v>
      </c>
      <c r="CF63" s="1436">
        <f>SR!P18</f>
        <v>355.4</v>
      </c>
      <c r="CG63" s="1436">
        <f>SoBl!P18</f>
        <v>355.4</v>
      </c>
      <c r="CH63" s="1436">
        <f>Soja!P18</f>
        <v>355.4</v>
      </c>
      <c r="CI63" s="1436"/>
      <c r="CJ63" s="1436">
        <f>FE!P18</f>
        <v>355.4</v>
      </c>
      <c r="CK63" s="1436">
        <f>AB!P18</f>
        <v>355.4</v>
      </c>
      <c r="CL63" s="1436">
        <f>Lu!P18</f>
        <v>355.4</v>
      </c>
      <c r="CM63" s="1436">
        <f>ZR!P18</f>
        <v>355.4</v>
      </c>
      <c r="CN63" s="1436">
        <f>FrühKa!P18</f>
        <v>355.4</v>
      </c>
      <c r="CO63" s="1436">
        <f>FrühKaFolieBer!P18</f>
        <v>355.4</v>
      </c>
      <c r="CP63" s="1436">
        <f>SpKa!P18</f>
        <v>355.4</v>
      </c>
      <c r="CQ63" s="1436">
        <f>SpKaBer!P18</f>
        <v>355.4</v>
      </c>
      <c r="CR63" s="1436">
        <f>'Kultur A'!P18</f>
        <v>0</v>
      </c>
      <c r="CS63" s="1436">
        <f>'FAKT-Brachebegrünung'!P18</f>
        <v>355.4</v>
      </c>
      <c r="CT63" s="1436">
        <f>Begr!P18</f>
        <v>355.4</v>
      </c>
      <c r="CV63" s="1439" t="s">
        <v>1102</v>
      </c>
      <c r="CW63" s="1441"/>
      <c r="CX63" s="3609">
        <f>'Öko-KG1'!$J$18</f>
        <v>355.4</v>
      </c>
      <c r="CY63" s="1436">
        <f>'Öko-KG2'!$J$18</f>
        <v>355.4</v>
      </c>
      <c r="CZ63" s="1436">
        <f>'Öko-LU1'!$J$18</f>
        <v>355.4</v>
      </c>
      <c r="DA63" s="1436">
        <f>'Öko-LU2'!$J$18</f>
        <v>355.4</v>
      </c>
      <c r="DB63" s="1436">
        <f>'Öko-WW-Futter'!$J$18</f>
        <v>355.4</v>
      </c>
      <c r="DC63" s="1436">
        <f>'Öko-WW-Brot'!$J$18</f>
        <v>355.4</v>
      </c>
      <c r="DD63" s="1436">
        <f>'Öko-Dinkel'!$J$18</f>
        <v>355.4</v>
      </c>
      <c r="DE63" s="1436">
        <f>'Öko-Dinkel,gegerbt'!$J$18</f>
        <v>355.4</v>
      </c>
      <c r="DF63" s="1436">
        <f>'Öko-Roggen'!$J$18</f>
        <v>355.4</v>
      </c>
      <c r="DG63" s="1436">
        <f>'Öko-Hafer'!$J$18</f>
        <v>355.4</v>
      </c>
      <c r="DH63" s="1436">
        <f>'Öko-Wintergerste'!$J$18</f>
        <v>355.4</v>
      </c>
      <c r="DI63" s="1436">
        <f>'Öko-Braugerste'!$J$18</f>
        <v>355.4</v>
      </c>
      <c r="DJ63" s="1436">
        <f>'Öko-Körnermais'!$J$18</f>
        <v>355.4</v>
      </c>
      <c r="DK63" s="1436">
        <f>'Öko-Ackerbohnen'!$J$18</f>
        <v>355.4</v>
      </c>
      <c r="DL63" s="1436">
        <f>'Öko-Erbsen'!$J$18</f>
        <v>355.4</v>
      </c>
      <c r="DM63" s="1436">
        <f>'Öko-Sojabohnen'!$J$18</f>
        <v>355.4</v>
      </c>
      <c r="DN63" s="1436">
        <f>'Öko-Soblu'!$J$18</f>
        <v>355.4</v>
      </c>
      <c r="DO63" s="1436">
        <f>'Öko-Raps'!$J$18</f>
        <v>355.4</v>
      </c>
      <c r="DP63" s="1436">
        <f>'Öko-Kartoffel'!$J$18</f>
        <v>355.4</v>
      </c>
      <c r="DQ63" s="1436"/>
      <c r="DR63" s="1436">
        <f>Begrün.!$J$18</f>
        <v>0</v>
      </c>
      <c r="DS63" s="1436">
        <f>Blühm.!$J$18</f>
        <v>0</v>
      </c>
      <c r="DT63" s="1434"/>
      <c r="DU63" s="1436">
        <f>'Öko-KG1'!M18</f>
        <v>355.4</v>
      </c>
      <c r="DV63" s="1436">
        <f>'Öko-KG2'!M18</f>
        <v>355.4</v>
      </c>
      <c r="DW63" s="1436">
        <f>'Öko-LU1'!M18</f>
        <v>355.4</v>
      </c>
      <c r="DX63" s="1436">
        <f>'Öko-LU2'!M18</f>
        <v>355.4</v>
      </c>
      <c r="DY63" s="1437">
        <f>'Öko-WW-Futter'!$M$18</f>
        <v>355.4</v>
      </c>
      <c r="DZ63" s="1436">
        <f>'Öko-WW-Brot'!$M$18</f>
        <v>355.4</v>
      </c>
      <c r="EA63" s="1436">
        <f>'Öko-Dinkel'!$M$18</f>
        <v>355.4</v>
      </c>
      <c r="EB63" s="1436">
        <f>'Öko-Dinkel,gegerbt'!$M$18</f>
        <v>355.4</v>
      </c>
      <c r="EC63" s="1436">
        <f>'Öko-Roggen'!$M$18</f>
        <v>355.4</v>
      </c>
      <c r="ED63" s="1436">
        <f>'Öko-Hafer'!$M$18</f>
        <v>355.4</v>
      </c>
      <c r="EE63" s="1436">
        <f>'Öko-Wintergerste'!$M$18</f>
        <v>355.4</v>
      </c>
      <c r="EF63" s="1436">
        <f>'Öko-Braugerste'!$M$18</f>
        <v>355.4</v>
      </c>
      <c r="EG63" s="1436">
        <f>'Öko-Körnermais'!$M$18</f>
        <v>355.4</v>
      </c>
      <c r="EH63" s="1436">
        <f>'Öko-Ackerbohnen'!$M$18</f>
        <v>355.4</v>
      </c>
      <c r="EI63" s="1436">
        <f>'Öko-Erbsen'!$M$18</f>
        <v>355.4</v>
      </c>
      <c r="EJ63" s="1436">
        <f>'Öko-Sojabohnen'!$M$18</f>
        <v>355.4</v>
      </c>
      <c r="EK63" s="1436">
        <f>'Öko-Soblu'!$M$18</f>
        <v>355.4</v>
      </c>
      <c r="EL63" s="1436">
        <f>'Öko-Raps'!$M$18</f>
        <v>355.4</v>
      </c>
      <c r="EM63" s="1436">
        <f>'Öko-Kartoffel'!$M$18</f>
        <v>355.4</v>
      </c>
      <c r="EN63" s="1436"/>
      <c r="EO63" s="1436">
        <f>Begrün.!$M$18</f>
        <v>0</v>
      </c>
      <c r="EP63" s="1436">
        <f>Blühm.!$M$18</f>
        <v>0</v>
      </c>
      <c r="EQ63" s="1434"/>
      <c r="ER63" s="1436">
        <f>'Öko-KG1'!$P$18</f>
        <v>355.4</v>
      </c>
      <c r="ES63" s="1436">
        <f>'Öko-KG2'!$P$18</f>
        <v>355.4</v>
      </c>
      <c r="ET63" s="1436">
        <f>'Öko-LU1'!$P$18</f>
        <v>355.4</v>
      </c>
      <c r="EU63" s="1436">
        <f>'Öko-LU2'!$P$18</f>
        <v>355.4</v>
      </c>
      <c r="EV63" s="1436">
        <f>'Öko-WW-Futter'!$P$18</f>
        <v>355.4</v>
      </c>
      <c r="EW63" s="1436">
        <f>'Öko-WW-Brot'!$P$18</f>
        <v>355.4</v>
      </c>
      <c r="EX63" s="1436">
        <f>'Öko-Dinkel'!$P$18</f>
        <v>355.4</v>
      </c>
      <c r="EY63" s="1436">
        <f>'Öko-Dinkel,gegerbt'!$P$18</f>
        <v>355.4</v>
      </c>
      <c r="EZ63" s="1436">
        <f>'Öko-Roggen'!$P$18</f>
        <v>355.4</v>
      </c>
      <c r="FA63" s="1436">
        <f>'Öko-Hafer'!$P$18</f>
        <v>355.4</v>
      </c>
      <c r="FB63" s="1436">
        <f>'Öko-Wintergerste'!$P$18</f>
        <v>355.4</v>
      </c>
      <c r="FC63" s="1436">
        <f>'Öko-Braugerste'!$P$18</f>
        <v>355.4</v>
      </c>
      <c r="FD63" s="1436">
        <f>'Öko-Körnermais'!$P$18</f>
        <v>355.4</v>
      </c>
      <c r="FE63" s="1436">
        <f>'Öko-Ackerbohnen'!$P$18</f>
        <v>355.4</v>
      </c>
      <c r="FF63" s="1436">
        <f>'Öko-Erbsen'!$P$18</f>
        <v>355.4</v>
      </c>
      <c r="FG63" s="1436">
        <f>'Öko-Sojabohnen'!$P$18</f>
        <v>355.4</v>
      </c>
      <c r="FH63" s="1436">
        <f>'Öko-Soblu'!$P$18</f>
        <v>355.4</v>
      </c>
      <c r="FI63" s="1436">
        <f>'Öko-Raps'!$P$18</f>
        <v>355.4</v>
      </c>
      <c r="FJ63" s="1436">
        <f>'Öko-Kartoffel'!$P$18</f>
        <v>355.4</v>
      </c>
      <c r="FK63" s="1436"/>
      <c r="FL63" s="1436">
        <f>Begrün.!$P$18</f>
        <v>0</v>
      </c>
      <c r="FM63" s="1436">
        <f>Blühm.!$P$18</f>
        <v>0</v>
      </c>
    </row>
    <row r="64" spans="1:171" ht="16.149999999999999" customHeight="1" thickBot="1">
      <c r="A64" s="1440">
        <f>ROWS($A$1:A64)</f>
        <v>64</v>
      </c>
      <c r="B64" s="1439" t="s">
        <v>1101</v>
      </c>
      <c r="C64" s="1438"/>
      <c r="D64" s="3609">
        <f>'WW1'!J13</f>
        <v>100</v>
      </c>
      <c r="E64" s="1436">
        <f>'WW2'!J13</f>
        <v>100</v>
      </c>
      <c r="F64" s="1436">
        <f>'WW3'!J13</f>
        <v>100</v>
      </c>
      <c r="G64" s="1436">
        <f>'WW4'!J13</f>
        <v>100</v>
      </c>
      <c r="H64" s="1436">
        <f>WRo!J13</f>
        <v>100</v>
      </c>
      <c r="I64" s="1436">
        <f>Tr!J13</f>
        <v>100</v>
      </c>
      <c r="J64" s="1436">
        <f>WG!J13</f>
        <v>100</v>
      </c>
      <c r="K64" s="1436">
        <f>Di!J13</f>
        <v>0</v>
      </c>
      <c r="L64" s="1436">
        <f>SW!J13</f>
        <v>100</v>
      </c>
      <c r="M64" s="1436">
        <f>'SG-Fu'!J13</f>
        <v>100</v>
      </c>
      <c r="N64" s="1436">
        <f>BG!J13</f>
        <v>100</v>
      </c>
      <c r="O64" s="1436">
        <f>Ha!J13</f>
        <v>100</v>
      </c>
      <c r="P64" s="1436">
        <f>Du!J13</f>
        <v>100</v>
      </c>
      <c r="Q64" s="1436">
        <f>KöM!J13</f>
        <v>0</v>
      </c>
      <c r="R64" s="1436"/>
      <c r="S64" s="1436">
        <f>WR!J13</f>
        <v>100</v>
      </c>
      <c r="T64" s="1436">
        <f>SR!J13</f>
        <v>100</v>
      </c>
      <c r="U64" s="1436">
        <f>SoBl!J13</f>
        <v>100</v>
      </c>
      <c r="V64" s="1436">
        <f>Soja!J13</f>
        <v>100</v>
      </c>
      <c r="W64" s="1436"/>
      <c r="X64" s="1436">
        <f>FE!J13</f>
        <v>200</v>
      </c>
      <c r="Y64" s="1436">
        <f>AB!J13</f>
        <v>100</v>
      </c>
      <c r="Z64" s="1436">
        <f>Lu!J13</f>
        <v>100</v>
      </c>
      <c r="AA64" s="1436">
        <f>ZR!J13</f>
        <v>100</v>
      </c>
      <c r="AB64" s="1436">
        <f>FrühKa!J13</f>
        <v>100</v>
      </c>
      <c r="AC64" s="1436">
        <f>FrühKaFolieBer!J13</f>
        <v>100</v>
      </c>
      <c r="AD64" s="1436">
        <f>SpKa!J13</f>
        <v>100</v>
      </c>
      <c r="AE64" s="1436">
        <f>SpKaBer!J13</f>
        <v>100</v>
      </c>
      <c r="AF64" s="1436">
        <f>'Kultur A'!J13</f>
        <v>0</v>
      </c>
      <c r="AG64" s="1436">
        <f>'FAKT-Brachebegrünung'!J13</f>
        <v>730</v>
      </c>
      <c r="AH64" s="1436">
        <f>Begr!J13</f>
        <v>100</v>
      </c>
      <c r="AI64" s="1489"/>
      <c r="AJ64" s="1437">
        <f>'WW1'!M13</f>
        <v>100</v>
      </c>
      <c r="AK64" s="1436">
        <f>'WW2'!M13</f>
        <v>100</v>
      </c>
      <c r="AL64" s="1436">
        <f>'WW3'!M13</f>
        <v>100</v>
      </c>
      <c r="AM64" s="1436">
        <f>'WW4'!M13</f>
        <v>100</v>
      </c>
      <c r="AN64" s="1436">
        <f>WRo!M13</f>
        <v>100</v>
      </c>
      <c r="AO64" s="1436">
        <f>Tr!M13</f>
        <v>100</v>
      </c>
      <c r="AP64" s="1436">
        <f>WG!M13</f>
        <v>100</v>
      </c>
      <c r="AQ64" s="1436">
        <f>Di!M13</f>
        <v>0</v>
      </c>
      <c r="AR64" s="1436">
        <f>SW!M13</f>
        <v>100</v>
      </c>
      <c r="AS64" s="1436">
        <f>'SG-Fu'!M13</f>
        <v>100</v>
      </c>
      <c r="AT64" s="1436">
        <f>BG!M13</f>
        <v>100</v>
      </c>
      <c r="AU64" s="1436">
        <f>Ha!M13</f>
        <v>100</v>
      </c>
      <c r="AV64" s="1436">
        <f>Du!M13</f>
        <v>100</v>
      </c>
      <c r="AW64" s="1436">
        <f>KöM!M13</f>
        <v>0</v>
      </c>
      <c r="AX64" s="1436"/>
      <c r="AY64" s="1436">
        <f>WR!M13</f>
        <v>100</v>
      </c>
      <c r="AZ64" s="1436">
        <f>SR!M13</f>
        <v>100</v>
      </c>
      <c r="BA64" s="1436">
        <f>SoBl!M13</f>
        <v>100</v>
      </c>
      <c r="BB64" s="1436">
        <f>Soja!M13</f>
        <v>100</v>
      </c>
      <c r="BC64" s="1436"/>
      <c r="BD64" s="1436">
        <f>FE!M13</f>
        <v>200</v>
      </c>
      <c r="BE64" s="1436">
        <f>AB!M13</f>
        <v>100</v>
      </c>
      <c r="BF64" s="1436">
        <f>Lu!M13</f>
        <v>100</v>
      </c>
      <c r="BG64" s="1436">
        <f>ZR!M13</f>
        <v>0</v>
      </c>
      <c r="BH64" s="1436">
        <f>FrühKa!M13</f>
        <v>100</v>
      </c>
      <c r="BI64" s="1436">
        <f>FrühKaFolieBer!M13</f>
        <v>100</v>
      </c>
      <c r="BJ64" s="1436">
        <f>SpKa!M13</f>
        <v>100</v>
      </c>
      <c r="BK64" s="1436">
        <f>SpKaBer!M13</f>
        <v>100</v>
      </c>
      <c r="BL64" s="1436">
        <f>'Kultur A'!M13</f>
        <v>0</v>
      </c>
      <c r="BM64" s="1436">
        <f>'FAKT-Brachebegrünung'!M13</f>
        <v>730</v>
      </c>
      <c r="BN64" s="1436">
        <f>Begr!M13</f>
        <v>100</v>
      </c>
      <c r="BO64" s="1489"/>
      <c r="BP64" s="1437">
        <f>'WW1'!P13</f>
        <v>100</v>
      </c>
      <c r="BQ64" s="1436">
        <f>'WW2'!P13</f>
        <v>100</v>
      </c>
      <c r="BR64" s="1436">
        <f>'WW3'!P13</f>
        <v>100</v>
      </c>
      <c r="BS64" s="1436">
        <f>'WW4'!P13</f>
        <v>100</v>
      </c>
      <c r="BT64" s="1436">
        <f>WRo!P13</f>
        <v>100</v>
      </c>
      <c r="BU64" s="1436">
        <f>Tr!P13</f>
        <v>100</v>
      </c>
      <c r="BV64" s="1436">
        <f>WG!P13</f>
        <v>100</v>
      </c>
      <c r="BW64" s="1436">
        <f>Di!P13</f>
        <v>0</v>
      </c>
      <c r="BX64" s="1436">
        <f>SW!P13</f>
        <v>100</v>
      </c>
      <c r="BY64" s="1436">
        <f>'SG-Fu'!P13</f>
        <v>100</v>
      </c>
      <c r="BZ64" s="1436">
        <f>BG!P13</f>
        <v>100</v>
      </c>
      <c r="CA64" s="1436">
        <f>Ha!P13</f>
        <v>100</v>
      </c>
      <c r="CB64" s="1436">
        <f>Du!P13</f>
        <v>100</v>
      </c>
      <c r="CC64" s="1436">
        <f>KöM!P13</f>
        <v>0</v>
      </c>
      <c r="CD64" s="1436"/>
      <c r="CE64" s="1436">
        <f>WR!P13</f>
        <v>100</v>
      </c>
      <c r="CF64" s="1436">
        <f>SR!P13</f>
        <v>100</v>
      </c>
      <c r="CG64" s="1436">
        <f>SoBl!P13</f>
        <v>100</v>
      </c>
      <c r="CH64" s="1436">
        <f>Soja!P13</f>
        <v>100</v>
      </c>
      <c r="CI64" s="1436"/>
      <c r="CJ64" s="1436">
        <f>FE!P13</f>
        <v>200</v>
      </c>
      <c r="CK64" s="1436">
        <f>AB!P13</f>
        <v>100</v>
      </c>
      <c r="CL64" s="1436">
        <f>Lu!P13</f>
        <v>100</v>
      </c>
      <c r="CM64" s="1436">
        <f>ZR!P13</f>
        <v>100</v>
      </c>
      <c r="CN64" s="1436">
        <f>FrühKa!P13</f>
        <v>100</v>
      </c>
      <c r="CO64" s="1436">
        <f>FrühKaFolieBer!P13</f>
        <v>100</v>
      </c>
      <c r="CP64" s="1436">
        <f>SpKa!P13</f>
        <v>100</v>
      </c>
      <c r="CQ64" s="1436">
        <f>SpKaBer!P13</f>
        <v>100</v>
      </c>
      <c r="CR64" s="1436">
        <f>'Kultur A'!P13</f>
        <v>0</v>
      </c>
      <c r="CS64" s="1436">
        <f>'FAKT-Brachebegrünung'!P13</f>
        <v>730</v>
      </c>
      <c r="CT64" s="1436">
        <f>Begr!P13</f>
        <v>100</v>
      </c>
      <c r="CV64" s="1439" t="s">
        <v>1101</v>
      </c>
      <c r="CW64" s="1438"/>
      <c r="CX64" s="3609">
        <f>'Öko-KG1'!$J$13</f>
        <v>100</v>
      </c>
      <c r="CY64" s="1436">
        <f>'Öko-KG2'!$J$13</f>
        <v>340</v>
      </c>
      <c r="CZ64" s="1436">
        <f>'Öko-LU1'!$J$13</f>
        <v>340</v>
      </c>
      <c r="DA64" s="1436">
        <f>'Öko-LU2'!$J$13</f>
        <v>340</v>
      </c>
      <c r="DB64" s="1436">
        <f>'Öko-WW-Futter'!$J$13</f>
        <v>240</v>
      </c>
      <c r="DC64" s="1436">
        <f>'Öko-WW-Brot'!$J$13</f>
        <v>340</v>
      </c>
      <c r="DD64" s="1436">
        <f>'Öko-Dinkel'!$J$13</f>
        <v>240</v>
      </c>
      <c r="DE64" s="1436">
        <f>'Öko-Dinkel,gegerbt'!$J$13</f>
        <v>240</v>
      </c>
      <c r="DF64" s="1436">
        <f>'Öko-Roggen'!$J$13</f>
        <v>240</v>
      </c>
      <c r="DG64" s="1436">
        <f>'Öko-Hafer'!$J$13</f>
        <v>240</v>
      </c>
      <c r="DH64" s="1436">
        <f>'Öko-Wintergerste'!$J$13</f>
        <v>240</v>
      </c>
      <c r="DI64" s="1436">
        <f>'Öko-Braugerste'!$J$13</f>
        <v>240</v>
      </c>
      <c r="DJ64" s="1436">
        <f>'Öko-Körnermais'!$J$13</f>
        <v>240</v>
      </c>
      <c r="DK64" s="1436">
        <f>'Öko-Ackerbohnen'!$J$13</f>
        <v>240</v>
      </c>
      <c r="DL64" s="1436">
        <f>'Öko-Erbsen'!$J$13</f>
        <v>240</v>
      </c>
      <c r="DM64" s="1436">
        <f>'Öko-Sojabohnen'!$J$13</f>
        <v>240</v>
      </c>
      <c r="DN64" s="1436">
        <f>'Öko-Soblu'!$J$13</f>
        <v>240</v>
      </c>
      <c r="DO64" s="1436">
        <f>'Öko-Raps'!$J$13</f>
        <v>240</v>
      </c>
      <c r="DP64" s="1436">
        <f>'Öko-Kartoffel'!$J$13</f>
        <v>240</v>
      </c>
      <c r="DQ64" s="1436"/>
      <c r="DR64" s="1436">
        <f>Begrün.!$J$13</f>
        <v>0</v>
      </c>
      <c r="DS64" s="1436">
        <f>Blühm.!$J$13</f>
        <v>100</v>
      </c>
      <c r="DT64" s="1434"/>
      <c r="DU64" s="1436">
        <f>'Öko-KG1'!$M$13</f>
        <v>100</v>
      </c>
      <c r="DV64" s="1436">
        <f>'Öko-KG2'!$M$13</f>
        <v>340</v>
      </c>
      <c r="DW64" s="1436">
        <f>'Öko-LU1'!$M$13</f>
        <v>340</v>
      </c>
      <c r="DX64" s="1436">
        <f>'Öko-LU2'!$M$13</f>
        <v>340</v>
      </c>
      <c r="DY64" s="1437">
        <f>'Öko-WW-Futter'!$M$13</f>
        <v>240</v>
      </c>
      <c r="DZ64" s="1436">
        <f>'Öko-WW-Brot'!$M$13</f>
        <v>340</v>
      </c>
      <c r="EA64" s="1436">
        <f>'Öko-Dinkel'!$M$13</f>
        <v>240</v>
      </c>
      <c r="EB64" s="1436">
        <f>'Öko-Dinkel,gegerbt'!$M$13</f>
        <v>240</v>
      </c>
      <c r="EC64" s="1436">
        <f>'Öko-Roggen'!$M$13</f>
        <v>240</v>
      </c>
      <c r="ED64" s="1436">
        <f>'Öko-Hafer'!$M$13</f>
        <v>240</v>
      </c>
      <c r="EE64" s="1436">
        <f>'Öko-Wintergerste'!$M$13</f>
        <v>240</v>
      </c>
      <c r="EF64" s="1436">
        <f>'Öko-Braugerste'!$M$13</f>
        <v>240</v>
      </c>
      <c r="EG64" s="1436">
        <f>'Öko-Körnermais'!$M$13</f>
        <v>240</v>
      </c>
      <c r="EH64" s="1436">
        <f>'Öko-Ackerbohnen'!$M$13</f>
        <v>240</v>
      </c>
      <c r="EI64" s="1436">
        <f>'Öko-Erbsen'!$M$13</f>
        <v>240</v>
      </c>
      <c r="EJ64" s="1436">
        <f>'Öko-Sojabohnen'!$M$13</f>
        <v>240</v>
      </c>
      <c r="EK64" s="1436">
        <f>'Öko-Soblu'!$M$13</f>
        <v>240</v>
      </c>
      <c r="EL64" s="1436">
        <f>'Öko-Raps'!$M$13</f>
        <v>240</v>
      </c>
      <c r="EM64" s="1436">
        <f>'Öko-Kartoffel'!$M$13</f>
        <v>240</v>
      </c>
      <c r="EN64" s="1436"/>
      <c r="EO64" s="1436">
        <f>Begrün.!$M$13</f>
        <v>0</v>
      </c>
      <c r="EP64" s="1436">
        <f>Blühm.!$M$13</f>
        <v>100</v>
      </c>
      <c r="EQ64" s="1434"/>
      <c r="ER64" s="1436">
        <f>'Öko-KG1'!$P$13</f>
        <v>100</v>
      </c>
      <c r="ES64" s="1436">
        <f>'Öko-KG2'!$P$13</f>
        <v>340</v>
      </c>
      <c r="ET64" s="1436">
        <f>'Öko-LU1'!$P$13</f>
        <v>340</v>
      </c>
      <c r="EU64" s="1436">
        <f>'Öko-LU2'!$P$13</f>
        <v>340</v>
      </c>
      <c r="EV64" s="1436">
        <f>'Öko-WW-Futter'!$P$13</f>
        <v>240</v>
      </c>
      <c r="EW64" s="1436">
        <f>'Öko-WW-Brot'!$P$13</f>
        <v>340</v>
      </c>
      <c r="EX64" s="1436">
        <f>'Öko-Dinkel'!$P$13</f>
        <v>240</v>
      </c>
      <c r="EY64" s="1436">
        <f>'Öko-Dinkel,gegerbt'!$P$13</f>
        <v>240</v>
      </c>
      <c r="EZ64" s="1436">
        <f>'Öko-Roggen'!$P$13</f>
        <v>240</v>
      </c>
      <c r="FA64" s="1436">
        <f>'Öko-Hafer'!$P$13</f>
        <v>240</v>
      </c>
      <c r="FB64" s="1436">
        <f>'Öko-Wintergerste'!$P$13</f>
        <v>240</v>
      </c>
      <c r="FC64" s="1436">
        <f>'Öko-Braugerste'!$P$13</f>
        <v>240</v>
      </c>
      <c r="FD64" s="1436">
        <f>'Öko-Körnermais'!$P$13</f>
        <v>240</v>
      </c>
      <c r="FE64" s="1436">
        <f>'Öko-Ackerbohnen'!$P$13</f>
        <v>240</v>
      </c>
      <c r="FF64" s="1436">
        <f>'Öko-Erbsen'!$P$13</f>
        <v>240</v>
      </c>
      <c r="FG64" s="1436">
        <f>'Öko-Sojabohnen'!$P$13</f>
        <v>240</v>
      </c>
      <c r="FH64" s="1436">
        <f>'Öko-Soblu'!$P$13</f>
        <v>240</v>
      </c>
      <c r="FI64" s="1436">
        <f>'Öko-Raps'!$P$13</f>
        <v>240</v>
      </c>
      <c r="FJ64" s="1436">
        <f>'Öko-Kartoffel'!$P$13</f>
        <v>240</v>
      </c>
      <c r="FK64" s="1436"/>
      <c r="FL64" s="1436">
        <f>Begrün.!$P$13</f>
        <v>0</v>
      </c>
      <c r="FM64" s="1436">
        <f>Blühm.!$P$13</f>
        <v>100</v>
      </c>
    </row>
    <row r="65" spans="2:169" s="3287" customFormat="1" ht="16.149999999999999" customHeight="1" thickBot="1">
      <c r="B65" s="3282" t="s">
        <v>1100</v>
      </c>
      <c r="C65" s="3283"/>
      <c r="D65" s="3284" t="s">
        <v>97</v>
      </c>
      <c r="E65" s="3284" t="s">
        <v>95</v>
      </c>
      <c r="F65" s="3284" t="s">
        <v>93</v>
      </c>
      <c r="G65" s="3284" t="s">
        <v>91</v>
      </c>
      <c r="H65" s="3284" t="s">
        <v>1099</v>
      </c>
      <c r="I65" s="3285" t="s">
        <v>87</v>
      </c>
      <c r="J65" s="3285" t="s">
        <v>85</v>
      </c>
      <c r="K65" s="3285" t="s">
        <v>83</v>
      </c>
      <c r="L65" s="3285" t="s">
        <v>80</v>
      </c>
      <c r="M65" s="3284" t="s">
        <v>78</v>
      </c>
      <c r="N65" s="3285" t="s">
        <v>76</v>
      </c>
      <c r="O65" s="3285" t="s">
        <v>74</v>
      </c>
      <c r="P65" s="3285" t="s">
        <v>72</v>
      </c>
      <c r="Q65" s="3285" t="s">
        <v>69</v>
      </c>
      <c r="R65" s="3285" t="s">
        <v>66</v>
      </c>
      <c r="S65" s="3285" t="s">
        <v>63</v>
      </c>
      <c r="T65" s="3285" t="s">
        <v>61</v>
      </c>
      <c r="U65" s="3285" t="s">
        <v>59</v>
      </c>
      <c r="V65" s="3285" t="s">
        <v>58</v>
      </c>
      <c r="W65" s="3285" t="s">
        <v>56</v>
      </c>
      <c r="X65" s="3285" t="s">
        <v>53</v>
      </c>
      <c r="Y65" s="3285" t="s">
        <v>51</v>
      </c>
      <c r="Z65" s="3285" t="s">
        <v>49</v>
      </c>
      <c r="AA65" s="3285" t="s">
        <v>44</v>
      </c>
      <c r="AB65" s="3285" t="s">
        <v>42</v>
      </c>
      <c r="AC65" s="3285" t="s">
        <v>40</v>
      </c>
      <c r="AD65" s="3285" t="s">
        <v>38</v>
      </c>
      <c r="AE65" s="3285" t="s">
        <v>36</v>
      </c>
      <c r="AF65" s="3284" t="s">
        <v>23</v>
      </c>
      <c r="AG65" s="3284" t="s">
        <v>2213</v>
      </c>
      <c r="AH65" s="3285" t="s">
        <v>987</v>
      </c>
      <c r="AI65" s="4045"/>
      <c r="AJ65" s="3286" t="s">
        <v>97</v>
      </c>
      <c r="AK65" s="3284" t="s">
        <v>95</v>
      </c>
      <c r="AL65" s="3284" t="s">
        <v>93</v>
      </c>
      <c r="AM65" s="3284" t="s">
        <v>91</v>
      </c>
      <c r="AN65" s="3285" t="s">
        <v>1099</v>
      </c>
      <c r="AO65" s="3285" t="s">
        <v>87</v>
      </c>
      <c r="AP65" s="3285" t="s">
        <v>85</v>
      </c>
      <c r="AQ65" s="3285" t="s">
        <v>83</v>
      </c>
      <c r="AR65" s="3285" t="s">
        <v>80</v>
      </c>
      <c r="AS65" s="3284" t="s">
        <v>78</v>
      </c>
      <c r="AT65" s="3285" t="s">
        <v>76</v>
      </c>
      <c r="AU65" s="3285" t="s">
        <v>74</v>
      </c>
      <c r="AV65" s="3285" t="s">
        <v>72</v>
      </c>
      <c r="AW65" s="3285" t="s">
        <v>69</v>
      </c>
      <c r="AX65" s="3285" t="s">
        <v>66</v>
      </c>
      <c r="AY65" s="3285" t="s">
        <v>63</v>
      </c>
      <c r="AZ65" s="3285" t="s">
        <v>61</v>
      </c>
      <c r="BA65" s="3285" t="s">
        <v>59</v>
      </c>
      <c r="BB65" s="3285" t="s">
        <v>58</v>
      </c>
      <c r="BC65" s="3285" t="s">
        <v>56</v>
      </c>
      <c r="BD65" s="3285" t="s">
        <v>53</v>
      </c>
      <c r="BE65" s="3285" t="s">
        <v>51</v>
      </c>
      <c r="BF65" s="3285" t="s">
        <v>49</v>
      </c>
      <c r="BG65" s="3285" t="s">
        <v>44</v>
      </c>
      <c r="BH65" s="3285" t="s">
        <v>42</v>
      </c>
      <c r="BI65" s="3285" t="s">
        <v>40</v>
      </c>
      <c r="BJ65" s="3285" t="s">
        <v>38</v>
      </c>
      <c r="BK65" s="3285" t="s">
        <v>36</v>
      </c>
      <c r="BL65" s="3284" t="s">
        <v>23</v>
      </c>
      <c r="BM65" s="3284" t="s">
        <v>2213</v>
      </c>
      <c r="BN65" s="3285" t="s">
        <v>987</v>
      </c>
      <c r="BO65" s="4045"/>
      <c r="BP65" s="3286" t="s">
        <v>97</v>
      </c>
      <c r="BQ65" s="3284" t="s">
        <v>95</v>
      </c>
      <c r="BR65" s="3284" t="s">
        <v>93</v>
      </c>
      <c r="BS65" s="3284" t="s">
        <v>91</v>
      </c>
      <c r="BT65" s="3285" t="s">
        <v>1099</v>
      </c>
      <c r="BU65" s="3285" t="s">
        <v>87</v>
      </c>
      <c r="BV65" s="3285" t="s">
        <v>85</v>
      </c>
      <c r="BW65" s="3285" t="s">
        <v>83</v>
      </c>
      <c r="BX65" s="3285" t="s">
        <v>80</v>
      </c>
      <c r="BY65" s="3284" t="s">
        <v>78</v>
      </c>
      <c r="BZ65" s="3285" t="s">
        <v>76</v>
      </c>
      <c r="CA65" s="3285" t="s">
        <v>74</v>
      </c>
      <c r="CB65" s="3285" t="s">
        <v>72</v>
      </c>
      <c r="CC65" s="3285" t="s">
        <v>69</v>
      </c>
      <c r="CD65" s="3285" t="s">
        <v>66</v>
      </c>
      <c r="CE65" s="3285" t="s">
        <v>63</v>
      </c>
      <c r="CF65" s="3285" t="s">
        <v>61</v>
      </c>
      <c r="CG65" s="3285" t="s">
        <v>59</v>
      </c>
      <c r="CH65" s="3285" t="s">
        <v>58</v>
      </c>
      <c r="CI65" s="3285" t="s">
        <v>56</v>
      </c>
      <c r="CJ65" s="3285" t="s">
        <v>53</v>
      </c>
      <c r="CK65" s="3285" t="s">
        <v>51</v>
      </c>
      <c r="CL65" s="3285" t="s">
        <v>49</v>
      </c>
      <c r="CM65" s="3285" t="s">
        <v>44</v>
      </c>
      <c r="CN65" s="3285" t="s">
        <v>42</v>
      </c>
      <c r="CO65" s="3285" t="s">
        <v>40</v>
      </c>
      <c r="CP65" s="3285" t="s">
        <v>38</v>
      </c>
      <c r="CQ65" s="3285" t="s">
        <v>36</v>
      </c>
      <c r="CR65" s="3284" t="s">
        <v>23</v>
      </c>
      <c r="CS65" s="3284" t="s">
        <v>2213</v>
      </c>
      <c r="CT65" s="3285" t="s">
        <v>987</v>
      </c>
      <c r="CV65" s="3288"/>
      <c r="CW65" s="3289"/>
      <c r="CX65" s="3284" t="str">
        <f>"'Öko-KG1'"</f>
        <v>'Öko-KG1'</v>
      </c>
      <c r="CY65" s="3291" t="str">
        <f>"'Öko-KG2'"</f>
        <v>'Öko-KG2'</v>
      </c>
      <c r="CZ65" s="3291" t="str">
        <f>"'Öko-LU1'"</f>
        <v>'Öko-LU1'</v>
      </c>
      <c r="DA65" s="3291" t="str">
        <f>"'Öko-LU2'"</f>
        <v>'Öko-LU2'</v>
      </c>
      <c r="DB65" s="3292" t="str">
        <f>"'Öko-WW-Futter'"</f>
        <v>'Öko-WW-Futter'</v>
      </c>
      <c r="DC65" s="3292" t="str">
        <f>"'Öko-WW-Brot'"</f>
        <v>'Öko-WW-Brot'</v>
      </c>
      <c r="DD65" s="3292" t="str">
        <f>"'Öko-Dinkel'"</f>
        <v>'Öko-Dinkel'</v>
      </c>
      <c r="DE65" s="3292" t="str">
        <f>"'Öko-Dinkel,gegerbt'"</f>
        <v>'Öko-Dinkel,gegerbt'</v>
      </c>
      <c r="DF65" s="3292" t="str">
        <f>"'Öko-Roggen'"</f>
        <v>'Öko-Roggen'</v>
      </c>
      <c r="DG65" s="3291" t="str">
        <f>"'Öko-Hafer'"</f>
        <v>'Öko-Hafer'</v>
      </c>
      <c r="DH65" s="3291" t="str">
        <f>"'Öko-Wintergerste'"</f>
        <v>'Öko-Wintergerste'</v>
      </c>
      <c r="DI65" s="3292" t="str">
        <f>"'Öko-Braugerste'"</f>
        <v>'Öko-Braugerste'</v>
      </c>
      <c r="DJ65" s="3292" t="str">
        <f>"'Öko-Körnermais'"</f>
        <v>'Öko-Körnermais'</v>
      </c>
      <c r="DK65" s="3292" t="str">
        <f>"'Öko-Ackerbohnen'"</f>
        <v>'Öko-Ackerbohnen'</v>
      </c>
      <c r="DL65" s="3292" t="str">
        <f>"'Öko-Erbsen'"</f>
        <v>'Öko-Erbsen'</v>
      </c>
      <c r="DM65" s="3292" t="str">
        <f>"'Öko-Sojabohnen'"</f>
        <v>'Öko-Sojabohnen'</v>
      </c>
      <c r="DN65" s="3292" t="str">
        <f>"'Öko-Soblu'"</f>
        <v>'Öko-Soblu'</v>
      </c>
      <c r="DO65" s="3292" t="str">
        <f>"'Öko-Raps'"</f>
        <v>'Öko-Raps'</v>
      </c>
      <c r="DP65" s="3292" t="str">
        <f>"'Öko-Kartoffel'"</f>
        <v>'Öko-Kartoffel'</v>
      </c>
      <c r="DQ65" s="3292"/>
      <c r="DR65" s="3292" t="str">
        <f>"'Begrün.'"</f>
        <v>'Begrün.'</v>
      </c>
      <c r="DS65" s="3293" t="str">
        <f>"'Blühm.'"</f>
        <v>'Blühm.'</v>
      </c>
      <c r="DU65" s="3294" t="str">
        <f>"'Öko-KG1'"</f>
        <v>'Öko-KG1'</v>
      </c>
      <c r="DV65" s="3295" t="str">
        <f>"'Öko-KG2'"</f>
        <v>'Öko-KG2'</v>
      </c>
      <c r="DW65" s="3290" t="str">
        <f>"'Öko-LU1'"</f>
        <v>'Öko-LU1'</v>
      </c>
      <c r="DX65" s="3291" t="str">
        <f>"'Öko-LU2'"</f>
        <v>'Öko-LU2'</v>
      </c>
      <c r="DY65" s="3291" t="str">
        <f>"'Öko-WW-Futter'"</f>
        <v>'Öko-WW-Futter'</v>
      </c>
      <c r="DZ65" s="3291" t="str">
        <f>"'Öko-WW-Brot'"</f>
        <v>'Öko-WW-Brot'</v>
      </c>
      <c r="EA65" s="3292" t="str">
        <f>"'Öko-Dinkel'"</f>
        <v>'Öko-Dinkel'</v>
      </c>
      <c r="EB65" s="3292" t="str">
        <f>"'Öko-Dinkel,gegerbt'"</f>
        <v>'Öko-Dinkel,gegerbt'</v>
      </c>
      <c r="EC65" s="3292" t="str">
        <f>"'Öko-Roggen'"</f>
        <v>'Öko-Roggen'</v>
      </c>
      <c r="ED65" s="3292" t="str">
        <f>"'Öko-Hafer'"</f>
        <v>'Öko-Hafer'</v>
      </c>
      <c r="EE65" s="3292" t="str">
        <f>"'Öko-Wintergerste'"</f>
        <v>'Öko-Wintergerste'</v>
      </c>
      <c r="EF65" s="3292" t="str">
        <f>"'Öko-Braugerste'"</f>
        <v>'Öko-Braugerste'</v>
      </c>
      <c r="EG65" s="3291" t="str">
        <f>"'Öko-Körnermais'"</f>
        <v>'Öko-Körnermais'</v>
      </c>
      <c r="EH65" s="3292" t="str">
        <f>"'Öko-Ackerbohnen'"</f>
        <v>'Öko-Ackerbohnen'</v>
      </c>
      <c r="EI65" s="3292" t="str">
        <f>"'Öko-Erbsen'"</f>
        <v>'Öko-Erbsen'</v>
      </c>
      <c r="EJ65" s="3292" t="str">
        <f>"'Öko-Sojabohnen'"</f>
        <v>'Öko-Sojabohnen'</v>
      </c>
      <c r="EK65" s="3292" t="str">
        <f>"'Öko-Soblu'"</f>
        <v>'Öko-Soblu'</v>
      </c>
      <c r="EL65" s="3292" t="str">
        <f>"'Öko-Raps'"</f>
        <v>'Öko-Raps'</v>
      </c>
      <c r="EM65" s="3292" t="str">
        <f>"'Öko-Kartoffel'"</f>
        <v>'Öko-Kartoffel'</v>
      </c>
      <c r="EN65" s="3292"/>
      <c r="EO65" s="3292" t="str">
        <f>"'Begrün.'"</f>
        <v>'Begrün.'</v>
      </c>
      <c r="EP65" s="3292" t="str">
        <f>"'Blühm.'"</f>
        <v>'Blühm.'</v>
      </c>
      <c r="ER65" s="3296" t="str">
        <f>"'Öko-KG1'"</f>
        <v>'Öko-KG1'</v>
      </c>
      <c r="ES65" s="3292" t="str">
        <f>"'Öko-KG2'"</f>
        <v>'Öko-KG2'</v>
      </c>
      <c r="ET65" s="3290" t="str">
        <f>"'Öko-LU1'"</f>
        <v>'Öko-LU1'</v>
      </c>
      <c r="EU65" s="3291" t="str">
        <f>"'Öko-LU2'"</f>
        <v>'Öko-LU2'</v>
      </c>
      <c r="EV65" s="3291" t="str">
        <f>"'Öko-WW-Futter'"</f>
        <v>'Öko-WW-Futter'</v>
      </c>
      <c r="EW65" s="3291" t="str">
        <f>"'Öko-WW-Brot'"</f>
        <v>'Öko-WW-Brot'</v>
      </c>
      <c r="EX65" s="3292" t="str">
        <f>"'Öko-Dinkel'"</f>
        <v>'Öko-Dinkel'</v>
      </c>
      <c r="EY65" s="3292" t="str">
        <f>"'Öko-Dinkel,gegerbt'"</f>
        <v>'Öko-Dinkel,gegerbt'</v>
      </c>
      <c r="EZ65" s="3292" t="str">
        <f>"'Öko-Roggen'"</f>
        <v>'Öko-Roggen'</v>
      </c>
      <c r="FA65" s="3292" t="str">
        <f>"'Öko-Hafer'"</f>
        <v>'Öko-Hafer'</v>
      </c>
      <c r="FB65" s="3292" t="str">
        <f>"'Öko-Wintergerste'"</f>
        <v>'Öko-Wintergerste'</v>
      </c>
      <c r="FC65" s="3292" t="str">
        <f>"'Öko-Braugerste'"</f>
        <v>'Öko-Braugerste'</v>
      </c>
      <c r="FD65" s="3291" t="str">
        <f>"'Öko-Körnermais'"</f>
        <v>'Öko-Körnermais'</v>
      </c>
      <c r="FE65" s="3292" t="str">
        <f>"'Öko-Ackerbohnen'"</f>
        <v>'Öko-Ackerbohnen'</v>
      </c>
      <c r="FF65" s="3292" t="str">
        <f>"'Öko-Erbsen'"</f>
        <v>'Öko-Erbsen'</v>
      </c>
      <c r="FG65" s="3292" t="str">
        <f>"'Öko-Sojabohnen'"</f>
        <v>'Öko-Sojabohnen'</v>
      </c>
      <c r="FH65" s="3292" t="str">
        <f>"'Öko-Soblu'"</f>
        <v>'Öko-Soblu'</v>
      </c>
      <c r="FI65" s="3292" t="str">
        <f>"'Öko-Raps'"</f>
        <v>'Öko-Raps'</v>
      </c>
      <c r="FJ65" s="3292" t="str">
        <f>"'Öko-Kartoffel'"</f>
        <v>'Öko-Kartoffel'</v>
      </c>
      <c r="FK65" s="3292"/>
      <c r="FL65" s="3292" t="str">
        <f>"'Begrün.'"</f>
        <v>'Begrün.'</v>
      </c>
      <c r="FM65" s="3292" t="str">
        <f>"'Blühm.'"</f>
        <v>'Blühm.'</v>
      </c>
    </row>
    <row r="66" spans="2:169" ht="16.149999999999999" customHeight="1">
      <c r="D66" s="1434" t="str">
        <f ca="1">CELL("filename",Daten!A1)</f>
        <v>P:\SG 2 und SG 5\Infodienst\Dateien neu\[Kalkulationsdaten_Marktfrüchte2023.xlsx]Daten</v>
      </c>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4"/>
      <c r="BM66" s="1434"/>
      <c r="BN66" s="1434"/>
      <c r="BO66" s="1434"/>
      <c r="BP66" s="1434"/>
      <c r="BQ66" s="1434"/>
      <c r="BR66" s="1434"/>
      <c r="BS66" s="1434"/>
      <c r="BT66" s="1434"/>
      <c r="BU66" s="1434"/>
      <c r="BV66" s="1434"/>
      <c r="BW66" s="1434"/>
      <c r="BX66" s="1434"/>
      <c r="BY66" s="1434"/>
      <c r="BZ66" s="1434"/>
      <c r="CA66" s="1434"/>
      <c r="CB66" s="1434"/>
      <c r="CC66" s="1434"/>
      <c r="CD66" s="1434"/>
      <c r="CE66" s="1434"/>
      <c r="CF66" s="1434"/>
      <c r="CG66" s="1434"/>
      <c r="CH66" s="1434"/>
      <c r="CI66" s="1434"/>
      <c r="CJ66" s="1434"/>
      <c r="CK66" s="1434"/>
      <c r="CL66" s="1434"/>
      <c r="CM66" s="1434"/>
      <c r="CN66" s="1434"/>
      <c r="CO66" s="1434"/>
      <c r="CP66" s="1434"/>
      <c r="CQ66" s="1434"/>
      <c r="CR66" s="1434"/>
      <c r="CS66" s="1434"/>
      <c r="CT66" s="1434"/>
      <c r="EP66" s="3608" t="s">
        <v>1993</v>
      </c>
    </row>
    <row r="67" spans="2:169" ht="16.149999999999999" customHeight="1">
      <c r="EP67" s="3608">
        <f ca="1">INDIRECT(EP65&amp;"!$M$13")</f>
        <v>100</v>
      </c>
    </row>
    <row r="68" spans="2:169" ht="16.149999999999999" customHeight="1"/>
    <row r="69" spans="2:169" ht="16.149999999999999" customHeight="1"/>
    <row r="70" spans="2:169" ht="16.149999999999999" customHeight="1"/>
    <row r="71" spans="2:169" ht="16.149999999999999" customHeight="1"/>
    <row r="72" spans="2:169" ht="16.149999999999999" customHeight="1"/>
    <row r="73" spans="2:169" ht="16.149999999999999" customHeight="1"/>
    <row r="74" spans="2:169" ht="16.149999999999999" customHeight="1"/>
    <row r="75" spans="2:169" ht="16.149999999999999" customHeight="1"/>
    <row r="76" spans="2:169" ht="16.149999999999999" customHeight="1"/>
    <row r="77" spans="2:169" ht="16.149999999999999" customHeight="1"/>
    <row r="78" spans="2:169" ht="16.149999999999999" customHeight="1"/>
    <row r="79" spans="2:169" ht="16.149999999999999" customHeight="1"/>
    <row r="80" spans="2:169" ht="16.149999999999999" customHeight="1"/>
    <row r="81" ht="16.149999999999999" customHeight="1"/>
    <row r="82" ht="16.149999999999999" customHeight="1"/>
    <row r="83" ht="16.149999999999999" customHeight="1"/>
    <row r="84" ht="16.149999999999999" customHeight="1"/>
    <row r="85" ht="16.149999999999999" customHeight="1"/>
    <row r="86" ht="16.149999999999999" customHeight="1"/>
    <row r="87" ht="16.149999999999999" customHeight="1"/>
  </sheetData>
  <mergeCells count="1">
    <mergeCell ref="CV31:CW31"/>
  </mergeCells>
  <printOptions horizontalCentered="1"/>
  <pageMargins left="0.59055118110236227" right="0.57999999999999996" top="0.59055118110236227" bottom="0.59055118110236227" header="0.39370078740157483" footer="0.39370078740157483"/>
  <pageSetup paperSize="9" scale="11" fitToHeight="0" orientation="portrait" r:id="rId1"/>
  <headerFooter alignWithMargins="0">
    <oddFooter>&amp;L&amp;11LEL Schwäbisch Gmünd&amp;C&amp;P&amp;R&amp;11Kalkulationsdaten Marktfrüchte 2009</oddFooter>
  </headerFooter>
  <colBreaks count="2" manualBreakCount="2">
    <brk id="35" min="1" max="54" man="1"/>
    <brk id="67" min="1" max="54" man="1"/>
  </colBreaks>
  <ignoredErrors>
    <ignoredError sqref="EF18:EM19 DV18:ED19 EO18:EP19" formula="1"/>
  </ignoredError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6">
    <tabColor rgb="FFFFFF00"/>
    <pageSetUpPr fitToPage="1"/>
  </sheetPr>
  <dimension ref="A1:AO218"/>
  <sheetViews>
    <sheetView showZeros="0" zoomScaleNormal="100" workbookViewId="0">
      <pane ySplit="4" topLeftCell="A5" activePane="bottomLeft" state="frozen"/>
      <selection activeCell="R33" sqref="R33"/>
      <selection pane="bottomLeft" activeCell="A5" sqref="A5"/>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375" style="38" hidden="1" customWidth="1"/>
    <col min="18" max="18" width="34.625" style="35" hidden="1" customWidth="1"/>
    <col min="19" max="19" width="16" style="35" hidden="1" customWidth="1"/>
    <col min="20" max="20" width="8" style="35" hidden="1" customWidth="1"/>
    <col min="21" max="21" width="0" style="35" hidden="1" customWidth="1"/>
    <col min="22" max="22" width="12.875" style="35" hidden="1" customWidth="1"/>
    <col min="23" max="23" width="46.5" style="35" hidden="1" customWidth="1"/>
    <col min="24" max="24" width="4.25" style="35" hidden="1" customWidth="1"/>
    <col min="25" max="25" width="5.375" style="35" hidden="1" customWidth="1"/>
    <col min="26" max="26" width="5.25" style="35" hidden="1" customWidth="1"/>
    <col min="27" max="29" width="0" style="35" hidden="1" customWidth="1"/>
    <col min="30" max="30" width="7.5" style="35" hidden="1" customWidth="1"/>
    <col min="31" max="16384" width="10.5" style="35"/>
  </cols>
  <sheetData>
    <row r="1" spans="1:41" s="1859" customFormat="1" ht="30.4" customHeight="1">
      <c r="A1" s="1863">
        <v>0</v>
      </c>
      <c r="B1" s="319"/>
      <c r="C1" s="1876"/>
      <c r="D1" s="1795"/>
      <c r="E1" s="316"/>
      <c r="F1" s="316"/>
      <c r="G1" s="585"/>
      <c r="H1" s="1870"/>
      <c r="I1" s="1875" t="s">
        <v>1207</v>
      </c>
      <c r="J1" s="1874">
        <f>(J7+J13+J18+J22+I11+I12)-(J23+J27+J34+J43+J60+J65+J67+J69+J71+J75)</f>
        <v>1612.7494795102273</v>
      </c>
      <c r="K1" s="4855">
        <f>M1-J1</f>
        <v>245.82442673548394</v>
      </c>
      <c r="L1" s="4855"/>
      <c r="M1" s="1874">
        <f>(M7+M13+M18+M22+L11+L12)-(M23+M27+M34+M43+M60+M65+M67+M69+M71+M75)</f>
        <v>1858.5739062457112</v>
      </c>
      <c r="N1" s="4855">
        <f>P1-M1</f>
        <v>372.17212684795618</v>
      </c>
      <c r="O1" s="4855"/>
      <c r="P1" s="1874">
        <f>(P7+P13+P18+P22+O11+O12)-(P23+P27+P34+P43+P60+P65+P67+P69+P71+P75)</f>
        <v>2230.7460330936674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98</v>
      </c>
      <c r="L2" s="4867"/>
      <c r="M2" s="4867"/>
      <c r="N2" s="4867"/>
      <c r="O2" s="4867"/>
      <c r="P2" s="4867"/>
      <c r="Q2" s="1872">
        <v>50</v>
      </c>
    </row>
    <row r="3" spans="1:41" s="1859" customFormat="1" ht="21.75" customHeight="1">
      <c r="A3" s="1863"/>
      <c r="B3" s="1871" t="s">
        <v>1206</v>
      </c>
      <c r="H3" s="1870"/>
      <c r="J3" s="4863" t="s">
        <v>1205</v>
      </c>
      <c r="K3" s="4864"/>
      <c r="L3" s="4864"/>
      <c r="M3" s="1869"/>
      <c r="N3" s="4868" t="str">
        <f>IF(AND(T3=TRUE,T4=TRUE),"nur 1 Strohnutzung möglich !","")</f>
        <v/>
      </c>
      <c r="O3" s="4869"/>
      <c r="P3" s="1868"/>
      <c r="Q3" s="1863"/>
      <c r="R3" s="1867"/>
      <c r="S3" s="283" t="s">
        <v>1204</v>
      </c>
      <c r="T3" s="1866" t="b">
        <v>1</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R4" s="1862"/>
      <c r="S4" s="3855" t="s">
        <v>1203</v>
      </c>
      <c r="T4" s="1861" t="b">
        <v>0</v>
      </c>
      <c r="U4" s="1860"/>
    </row>
    <row r="5" spans="1:41" ht="6" customHeight="1"/>
    <row r="6" spans="1:41" s="1853" customFormat="1" ht="24" customHeight="1">
      <c r="A6" s="48"/>
      <c r="B6" s="1858" t="s">
        <v>1151</v>
      </c>
      <c r="C6" s="1857"/>
      <c r="D6" s="1857"/>
      <c r="E6" s="1857"/>
      <c r="F6" s="1857"/>
      <c r="G6" s="1856"/>
      <c r="H6" s="4861" t="s">
        <v>179</v>
      </c>
      <c r="I6" s="4862"/>
      <c r="J6" s="1855">
        <v>65</v>
      </c>
      <c r="K6" s="4874" t="s">
        <v>152</v>
      </c>
      <c r="L6" s="4875"/>
      <c r="M6" s="1855">
        <v>80</v>
      </c>
      <c r="N6" s="4861" t="s">
        <v>178</v>
      </c>
      <c r="O6" s="4862"/>
      <c r="P6" s="1854">
        <v>95</v>
      </c>
      <c r="Q6" s="70"/>
    </row>
    <row r="7" spans="1:41" s="251" customFormat="1" ht="18.75" customHeight="1">
      <c r="A7" s="47"/>
      <c r="B7" s="305" t="s">
        <v>1202</v>
      </c>
      <c r="C7" s="47"/>
      <c r="D7" s="47"/>
      <c r="E7" s="47"/>
      <c r="F7" s="47"/>
      <c r="G7" s="1852"/>
      <c r="H7" s="1849"/>
      <c r="I7" s="1848"/>
      <c r="J7" s="1582">
        <f>SUM(I9:I12)</f>
        <v>1921.8333333333335</v>
      </c>
      <c r="K7" s="1851"/>
      <c r="L7" s="1850"/>
      <c r="M7" s="1585">
        <f>SUM(L9:L12)</f>
        <v>2365.3333333333335</v>
      </c>
      <c r="N7" s="1849"/>
      <c r="O7" s="1848"/>
      <c r="P7" s="1582">
        <f>SUM(O9:O12)</f>
        <v>2808.8333333333335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'SDK1'!O16</f>
        <v>22.233333333333334</v>
      </c>
      <c r="H9" s="1845">
        <f>J6-H10</f>
        <v>65</v>
      </c>
      <c r="I9" s="1841">
        <f>H9*G9</f>
        <v>1445.1666666666667</v>
      </c>
      <c r="J9" s="43"/>
      <c r="K9" s="1844">
        <f>M6-K10</f>
        <v>80</v>
      </c>
      <c r="L9" s="1843">
        <f>K9*G9</f>
        <v>1778.6666666666667</v>
      </c>
      <c r="M9" s="1822"/>
      <c r="N9" s="1842">
        <f>P6-N10</f>
        <v>95</v>
      </c>
      <c r="O9" s="1841">
        <f>N9*G9</f>
        <v>2112.166666666667</v>
      </c>
      <c r="P9" s="43"/>
      <c r="Q9" s="38"/>
      <c r="R9" s="263" t="s">
        <v>1200</v>
      </c>
      <c r="S9" s="1840"/>
    </row>
    <row r="10" spans="1:41" s="1810" customFormat="1" ht="15" customHeight="1">
      <c r="A10" s="370"/>
      <c r="B10" s="239"/>
      <c r="C10" s="279" t="str">
        <f>IF('SDK1'!O9&gt;0,"Nebenprodukt (incl. MwSt.)","Nebenprodukt (ohne MwSt)")</f>
        <v>Nebenprodukt (ohne MwSt)</v>
      </c>
      <c r="D10" s="1819"/>
      <c r="E10" s="4872" t="s">
        <v>1199</v>
      </c>
      <c r="F10" s="4873"/>
      <c r="G10" s="1839"/>
      <c r="H10" s="1834"/>
      <c r="I10" s="1833">
        <f>H10*G10</f>
        <v>0</v>
      </c>
      <c r="J10" s="1838"/>
      <c r="K10" s="1837"/>
      <c r="L10" s="1836">
        <f>K10*G10</f>
        <v>0</v>
      </c>
      <c r="M10" s="1835"/>
      <c r="N10" s="1834"/>
      <c r="O10" s="1833">
        <f>N10*G10</f>
        <v>0</v>
      </c>
      <c r="P10" s="1832"/>
      <c r="Q10" s="38"/>
      <c r="R10" s="1831">
        <f>I10+I11+I12</f>
        <v>476.66666666666663</v>
      </c>
      <c r="S10" s="1830">
        <f>L10+L11+L12</f>
        <v>586.66666666666663</v>
      </c>
      <c r="T10" s="1829">
        <f>O10+O11+O12</f>
        <v>696.66666666666663</v>
      </c>
      <c r="W10" s="251" t="s">
        <v>1198</v>
      </c>
    </row>
    <row r="11" spans="1:41" s="1810" customFormat="1" ht="15" customHeight="1">
      <c r="A11" s="370"/>
      <c r="B11" s="272"/>
      <c r="C11" s="45" t="s">
        <v>1197</v>
      </c>
      <c r="D11" s="370"/>
      <c r="E11" s="1828">
        <v>0.8</v>
      </c>
      <c r="F11" s="45" t="s">
        <v>1196</v>
      </c>
      <c r="G11" s="1827">
        <f>'SDK1'!$O$48</f>
        <v>9.1666666666666661</v>
      </c>
      <c r="H11" s="1826">
        <f>IF($T$3=FALSE,0,J6*$E$11)</f>
        <v>52</v>
      </c>
      <c r="I11" s="1820">
        <f>H11*$G$11</f>
        <v>476.66666666666663</v>
      </c>
      <c r="J11" s="1825"/>
      <c r="K11" s="1824">
        <f>IF($T$3=FALSE,0,M6*$E$11)</f>
        <v>64</v>
      </c>
      <c r="L11" s="1823">
        <f>K11*$G$11</f>
        <v>586.66666666666663</v>
      </c>
      <c r="M11" s="1822"/>
      <c r="N11" s="1821">
        <f>IF($T$3=FALSE,0,P6*$E$11)</f>
        <v>76</v>
      </c>
      <c r="O11" s="1820">
        <f>N11*$G$11</f>
        <v>696.66666666666663</v>
      </c>
      <c r="P11" s="43"/>
      <c r="Q11" s="38"/>
      <c r="U11" s="1810">
        <f>O6*$E$11</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f>IF(OR(T3=TRUE,T4=TRUE),J6*$E$11,"0")</f>
        <v>52</v>
      </c>
      <c r="Y13" s="1807">
        <f>IF(OR(T3=TRUE,T4=TRUE),M6*$E$11,"0")</f>
        <v>64</v>
      </c>
      <c r="Z13" s="1806">
        <f>IF(OR(T3=TRUE,T4=TRUE),P6*$E$11,"0")</f>
        <v>76</v>
      </c>
    </row>
    <row r="14" spans="1:41" s="42" customFormat="1" ht="15" customHeight="1">
      <c r="A14" s="45"/>
      <c r="B14" s="1789"/>
      <c r="C14" s="4860" t="s">
        <v>2045</v>
      </c>
      <c r="D14" s="4860"/>
      <c r="E14" s="4860"/>
      <c r="F14" s="4860"/>
      <c r="G14" s="1805"/>
      <c r="H14" s="1804" t="s">
        <v>1241</v>
      </c>
      <c r="I14" s="1785">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20.799999999999997</v>
      </c>
      <c r="Y14" s="1802">
        <f>$Y$13*F30</f>
        <v>25.599999999999994</v>
      </c>
      <c r="Z14" s="1802">
        <f>$Z$13*F30</f>
        <v>30.399999999999991</v>
      </c>
      <c r="AG14" s="4003"/>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12.48</v>
      </c>
      <c r="Y15" s="1802">
        <f>$Y$13*F31</f>
        <v>15.36</v>
      </c>
      <c r="Z15" s="1802">
        <f>$Z$13*F31</f>
        <v>18.239999999999998</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58.240000000000009</v>
      </c>
      <c r="Y16" s="1802">
        <f>$Y$13*F32</f>
        <v>71.680000000000007</v>
      </c>
      <c r="Z16" s="1802">
        <f>$Z$13*F32</f>
        <v>85.12</v>
      </c>
    </row>
    <row r="17" spans="1:33" s="42" customFormat="1" ht="15" customHeight="1">
      <c r="A17" s="45"/>
      <c r="B17" s="1789"/>
      <c r="C17" s="4899"/>
      <c r="D17" s="4899"/>
      <c r="E17" s="4899"/>
      <c r="F17" s="4899"/>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8.3199999999999985</v>
      </c>
      <c r="Y17" s="1802">
        <f>$Y$13*F33</f>
        <v>10.239999999999998</v>
      </c>
      <c r="Z17" s="1802">
        <f>$Z$13*F33</f>
        <v>12.159999999999998</v>
      </c>
    </row>
    <row r="18" spans="1:33"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33"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IF(OR($C19=0,$M$6=0),0,VLOOKUP($C19,'SD2'!$C$59:$N$74,12,FALSE))</f>
        <v>158</v>
      </c>
      <c r="M19" s="1557"/>
      <c r="N19" s="1786"/>
      <c r="O19" s="1785">
        <f>IF(OR($C19=0,$P$6=0),0,VLOOKUP($C19,'SD2'!C59:N75,12,FALSE))</f>
        <v>158</v>
      </c>
      <c r="P19" s="1554"/>
      <c r="Q19" s="38"/>
      <c r="R19" s="1784">
        <f>J13+J18</f>
        <v>455.4</v>
      </c>
      <c r="S19" s="1783">
        <f>M13+M18</f>
        <v>455.4</v>
      </c>
      <c r="T19" s="1782">
        <f>P13+P18</f>
        <v>455.4</v>
      </c>
      <c r="AG19" s="4003"/>
    </row>
    <row r="20" spans="1:33"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IF(OR($C20=0,$M$6=0),0,VLOOKUP($C20,'SD2'!$C$59:$N$74,12,FALSE))</f>
        <v>63.4</v>
      </c>
      <c r="M20" s="3864"/>
      <c r="N20" s="1786"/>
      <c r="O20" s="3909">
        <f>IF(OR($C20=0,$P$6=0),0,VLOOKUP($C20,'SD2'!C60:N76,12,FALSE))</f>
        <v>63.4</v>
      </c>
      <c r="P20" s="1554"/>
      <c r="Q20" s="38"/>
      <c r="R20" s="3968"/>
      <c r="S20" s="3968"/>
      <c r="T20" s="3968"/>
    </row>
    <row r="21" spans="1:33"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IF(OR($C21=0,$M$6=0),0,VLOOKUP($C21,'SD2'!$C$59:$N$74,12,FALSE))</f>
        <v>134</v>
      </c>
      <c r="M21" s="3864"/>
      <c r="N21" s="1786"/>
      <c r="O21" s="3909">
        <f>IF(OR($C21=0,$P$6=0),0,VLOOKUP($C21,'SD2'!C61:N77,12,FALSE))</f>
        <v>134</v>
      </c>
      <c r="P21" s="1554"/>
      <c r="Q21" s="38"/>
      <c r="R21" s="3968"/>
      <c r="S21" s="3968"/>
      <c r="T21" s="3968"/>
    </row>
    <row r="22" spans="1:33"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33" ht="18.75" customHeight="1">
      <c r="A23" s="370"/>
      <c r="B23" s="264" t="s">
        <v>1186</v>
      </c>
      <c r="C23" s="1769"/>
      <c r="D23" s="1769"/>
      <c r="F23" s="4876" t="s">
        <v>1177</v>
      </c>
      <c r="G23" s="4877"/>
      <c r="H23" s="1584"/>
      <c r="I23" s="1583"/>
      <c r="J23" s="1567">
        <f>SUM(I25:I26)</f>
        <v>158</v>
      </c>
      <c r="K23" s="1587"/>
      <c r="L23" s="1586"/>
      <c r="M23" s="1768">
        <f>SUM(L25:L26)</f>
        <v>158</v>
      </c>
      <c r="N23" s="1584"/>
      <c r="O23" s="1583"/>
      <c r="P23" s="1567">
        <f>SUM(O25:O26)</f>
        <v>158</v>
      </c>
    </row>
    <row r="24" spans="1:33"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33" s="42" customFormat="1" ht="15" customHeight="1">
      <c r="A25" s="1284"/>
      <c r="B25" s="1764"/>
      <c r="C25" s="1284" t="s">
        <v>1185</v>
      </c>
      <c r="D25" s="4878"/>
      <c r="E25" s="4879"/>
      <c r="F25" s="1763">
        <f>'SDK7'!F45/100</f>
        <v>0.79</v>
      </c>
      <c r="G25" s="1762">
        <f>F25*(100+$D$24)/100</f>
        <v>0.79</v>
      </c>
      <c r="H25" s="1761">
        <v>200</v>
      </c>
      <c r="I25" s="1722">
        <f>H25*$G25</f>
        <v>158</v>
      </c>
      <c r="J25" s="45"/>
      <c r="K25" s="1761">
        <f>H25</f>
        <v>200</v>
      </c>
      <c r="L25" s="1564">
        <f>K25*$G25</f>
        <v>158</v>
      </c>
      <c r="M25" s="1557"/>
      <c r="N25" s="1761">
        <f>H25</f>
        <v>200</v>
      </c>
      <c r="O25" s="1722">
        <f>N25*$G25</f>
        <v>158</v>
      </c>
      <c r="P25" s="1686"/>
      <c r="Q25" s="38"/>
    </row>
    <row r="26" spans="1:33"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33" s="686" customFormat="1" ht="18.75" customHeight="1">
      <c r="A27" s="1248"/>
      <c r="B27" s="1756" t="s">
        <v>1184</v>
      </c>
      <c r="C27" s="1248"/>
      <c r="D27" s="73"/>
      <c r="E27" s="38"/>
      <c r="F27" s="38"/>
      <c r="G27" s="1755"/>
      <c r="H27" s="1714"/>
      <c r="I27" s="1713"/>
      <c r="J27" s="1582">
        <f>SUM(I30:I33)</f>
        <v>402.73423999999994</v>
      </c>
      <c r="K27" s="1716"/>
      <c r="L27" s="1715"/>
      <c r="M27" s="1585">
        <f>SUM(L30:L33)</f>
        <v>489.06368000000003</v>
      </c>
      <c r="N27" s="1714"/>
      <c r="O27" s="1713"/>
      <c r="P27" s="1582">
        <f>SUM(O30:O33)</f>
        <v>575.39312000000007</v>
      </c>
      <c r="Q27" s="38"/>
    </row>
    <row r="28" spans="1:33" s="686" customFormat="1" ht="13.7" customHeight="1">
      <c r="A28" s="1248"/>
      <c r="B28" s="1312"/>
      <c r="C28" s="3032"/>
      <c r="D28" s="1754" t="s">
        <v>1019</v>
      </c>
      <c r="E28" s="1754" t="s">
        <v>1183</v>
      </c>
      <c r="F28" s="1754" t="s">
        <v>1183</v>
      </c>
      <c r="G28" s="1753" t="s">
        <v>1182</v>
      </c>
      <c r="H28" s="1713"/>
      <c r="I28" s="1750"/>
      <c r="J28" s="3033"/>
      <c r="K28" s="1716"/>
      <c r="L28" s="1646"/>
      <c r="M28" s="1751"/>
      <c r="N28" s="1714"/>
      <c r="O28" s="1750"/>
      <c r="P28" s="1567"/>
      <c r="Q28" s="38"/>
    </row>
    <row r="29" spans="1:33" s="686" customFormat="1" ht="15" customHeight="1">
      <c r="A29" s="1248"/>
      <c r="B29" s="1749"/>
      <c r="C29" s="1285" t="s">
        <v>1181</v>
      </c>
      <c r="D29" s="1575" t="s">
        <v>852</v>
      </c>
      <c r="E29" s="1575" t="s">
        <v>1180</v>
      </c>
      <c r="F29" s="1575" t="s">
        <v>1179</v>
      </c>
      <c r="G29" s="1575" t="s">
        <v>853</v>
      </c>
      <c r="H29" s="1746" t="s">
        <v>853</v>
      </c>
      <c r="I29" s="1568" t="s">
        <v>171</v>
      </c>
      <c r="J29" s="3032"/>
      <c r="K29" s="1748" t="s">
        <v>853</v>
      </c>
      <c r="L29" s="1571" t="s">
        <v>171</v>
      </c>
      <c r="M29" s="1747"/>
      <c r="N29" s="1746" t="s">
        <v>853</v>
      </c>
      <c r="O29" s="1568" t="s">
        <v>171</v>
      </c>
      <c r="P29" s="1745"/>
      <c r="Q29" s="38"/>
    </row>
    <row r="30" spans="1:33" s="42" customFormat="1" ht="15" customHeight="1">
      <c r="A30" s="1284"/>
      <c r="B30" s="1744"/>
      <c r="C30" s="1743" t="s">
        <v>246</v>
      </c>
      <c r="D30" s="1691">
        <f>'SDK1'!O52</f>
        <v>1.4319999999999999</v>
      </c>
      <c r="E30" s="1742">
        <f>VLOOKUP(K2,'SD8'!B9:L42,3,FALSE)</f>
        <v>1.81</v>
      </c>
      <c r="F30" s="1742">
        <f>VLOOKUP(K2,'SD8'!B9:L40,7,FALSE)</f>
        <v>0.39999999999999991</v>
      </c>
      <c r="G30" s="1741">
        <v>20</v>
      </c>
      <c r="H30" s="1739">
        <f>IF(J$6=0,0,(J$6*$E30+$G30+X14))</f>
        <v>158.44999999999999</v>
      </c>
      <c r="I30" s="1722">
        <f>H30*$D30</f>
        <v>226.90039999999996</v>
      </c>
      <c r="J30" s="45"/>
      <c r="K30" s="1740">
        <f>IF(M$6=0,0,(M$6*$E30+$G30+Y14))</f>
        <v>190.4</v>
      </c>
      <c r="L30" s="1564">
        <f>K30*$D30</f>
        <v>272.65280000000001</v>
      </c>
      <c r="M30" s="1557"/>
      <c r="N30" s="1739">
        <f>IF(P$6=0,0,(P$6*$E30+$G30+Z14))</f>
        <v>222.35000000000002</v>
      </c>
      <c r="O30" s="1722">
        <f>N30*$D30</f>
        <v>318.40520000000004</v>
      </c>
      <c r="P30" s="1686"/>
      <c r="Q30" s="38"/>
    </row>
    <row r="31" spans="1:33" s="42" customFormat="1" ht="15" customHeight="1">
      <c r="A31" s="1284"/>
      <c r="B31" s="272"/>
      <c r="C31" s="1284" t="s">
        <v>244</v>
      </c>
      <c r="D31" s="1691">
        <f>'SDK1'!O53</f>
        <v>1.05</v>
      </c>
      <c r="E31" s="1742">
        <f>VLOOKUP(K2,'SD8'!B9:L42,4,FALSE)</f>
        <v>0.8</v>
      </c>
      <c r="F31" s="1742">
        <f>VLOOKUP(K2,'SD8'!B9:L42,8,FALSE)</f>
        <v>0.24</v>
      </c>
      <c r="G31" s="1741"/>
      <c r="H31" s="1739">
        <f>IF(J$6=0,0,(J$6*$E31+$G31+X15))</f>
        <v>64.48</v>
      </c>
      <c r="I31" s="1722">
        <f>H31*$D31</f>
        <v>67.704000000000008</v>
      </c>
      <c r="J31" s="45"/>
      <c r="K31" s="1740">
        <f>IF(M$6=0,0,(M$6*$E31+$G31+Y15))</f>
        <v>79.36</v>
      </c>
      <c r="L31" s="1564">
        <f>K31*$D31</f>
        <v>83.328000000000003</v>
      </c>
      <c r="M31" s="1557"/>
      <c r="N31" s="1739">
        <f>IF(P$6=0,0,(P$6*$E31+$G31+Z15))</f>
        <v>94.24</v>
      </c>
      <c r="O31" s="1722">
        <f>N31*$D31</f>
        <v>98.951999999999998</v>
      </c>
      <c r="P31" s="1686"/>
      <c r="Q31" s="38"/>
    </row>
    <row r="32" spans="1:33"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97.240000000000009</v>
      </c>
      <c r="I32" s="1722">
        <f>H32*$D32</f>
        <v>95.295200000000023</v>
      </c>
      <c r="J32" s="45"/>
      <c r="K32" s="1740">
        <f>IF(M$6=0,0,(M$6*$E32+$G32+Y16))</f>
        <v>119.68</v>
      </c>
      <c r="L32" s="1564">
        <f>K32*$D32</f>
        <v>117.28640000000001</v>
      </c>
      <c r="M32" s="1557"/>
      <c r="N32" s="1739">
        <f>IF(P$6=0,0,(P$6*$E32+$G32+Z16))</f>
        <v>142.12</v>
      </c>
      <c r="O32" s="1722">
        <f>N32*$D32</f>
        <v>139.27760000000001</v>
      </c>
      <c r="P32" s="1686"/>
      <c r="Q32" s="38"/>
    </row>
    <row r="33" spans="1:34"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21.32</v>
      </c>
      <c r="I33" s="1718">
        <f>H33*$D33</f>
        <v>12.834640000000002</v>
      </c>
      <c r="J33" s="45"/>
      <c r="K33" s="1736">
        <f>IF(M$6=0,0,(M$6*$E33+$G33+Y17))</f>
        <v>26.24</v>
      </c>
      <c r="L33" s="1558">
        <f>K33*$D33</f>
        <v>15.796480000000001</v>
      </c>
      <c r="M33" s="1557"/>
      <c r="N33" s="1735">
        <f>IF(P$6=0,0,(P$6*$E33+$G33+Z17))</f>
        <v>31.159999999999997</v>
      </c>
      <c r="O33" s="1718">
        <f>N33*$D33</f>
        <v>18.758320000000001</v>
      </c>
      <c r="P33" s="1717"/>
      <c r="Q33" s="38"/>
    </row>
    <row r="34" spans="1:34" s="686" customFormat="1" ht="18.75" customHeight="1">
      <c r="A34" s="1248"/>
      <c r="B34" s="1254" t="s">
        <v>1178</v>
      </c>
      <c r="C34" s="1248"/>
      <c r="D34" s="3032"/>
      <c r="E34" s="3032"/>
      <c r="F34" s="4876" t="s">
        <v>1177</v>
      </c>
      <c r="G34" s="4877"/>
      <c r="H34" s="1732"/>
      <c r="I34" s="1731"/>
      <c r="J34" s="1582">
        <f>SUM(I36:I42)</f>
        <v>55.08</v>
      </c>
      <c r="K34" s="1734"/>
      <c r="L34" s="1733"/>
      <c r="M34" s="1585">
        <f>SUM(L36:L42)</f>
        <v>55.08</v>
      </c>
      <c r="N34" s="1732"/>
      <c r="O34" s="1731"/>
      <c r="P34" s="1582">
        <f>SUM(O36:O42)</f>
        <v>126.18</v>
      </c>
      <c r="Q34" s="38"/>
    </row>
    <row r="35" spans="1:34"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34" s="42" customFormat="1" ht="15" customHeight="1">
      <c r="A36" s="1284"/>
      <c r="B36" s="1562"/>
      <c r="C36" s="4884" t="s">
        <v>650</v>
      </c>
      <c r="D36" s="4884"/>
      <c r="E36" s="4885"/>
      <c r="F36" s="1724">
        <f>IF(C36="",0,VLOOKUP(C36,'SDK5'!C3:AF83,2,FALSE))</f>
        <v>306</v>
      </c>
      <c r="G36" s="1724">
        <f>F36*(100+$D$35)/100</f>
        <v>306</v>
      </c>
      <c r="H36" s="1723">
        <v>0.18</v>
      </c>
      <c r="I36" s="1722">
        <f>$G36*H36</f>
        <v>55.08</v>
      </c>
      <c r="J36" s="45"/>
      <c r="K36" s="1723">
        <v>0.18</v>
      </c>
      <c r="L36" s="1564">
        <f t="shared" ref="L36:L42" si="0">$G36*K36</f>
        <v>55.08</v>
      </c>
      <c r="M36" s="1557"/>
      <c r="N36" s="1723">
        <v>0.18</v>
      </c>
      <c r="O36" s="1722">
        <f t="shared" ref="O36:O42" si="1">$G36*N36</f>
        <v>55.08</v>
      </c>
      <c r="P36" s="1726"/>
      <c r="Q36" s="38" t="str">
        <f>VLOOKUP(C36,'SDK5'!C5:AF85,3,FALSE)</f>
        <v>H</v>
      </c>
    </row>
    <row r="37" spans="1:34" s="42" customFormat="1" ht="15" customHeight="1">
      <c r="A37" s="1284"/>
      <c r="B37" s="1562"/>
      <c r="C37" s="4870" t="s">
        <v>644</v>
      </c>
      <c r="D37" s="4870"/>
      <c r="E37" s="4871"/>
      <c r="F37" s="1724">
        <f>IF(C37="",0,VLOOKUP(C37,'SDK5'!C4:AF84,2,FALSE))</f>
        <v>6.8</v>
      </c>
      <c r="G37" s="1724">
        <f t="shared" ref="G37:G42" si="2">F37*(100+$D$35)/100</f>
        <v>6.8</v>
      </c>
      <c r="H37" s="1723"/>
      <c r="I37" s="1722">
        <f t="shared" ref="I37:I42" si="3">$G37*H37</f>
        <v>0</v>
      </c>
      <c r="J37" s="45"/>
      <c r="K37" s="1723"/>
      <c r="L37" s="1564">
        <f t="shared" si="0"/>
        <v>0</v>
      </c>
      <c r="M37" s="1557"/>
      <c r="N37" s="1723">
        <v>0.5</v>
      </c>
      <c r="O37" s="1722">
        <f t="shared" si="1"/>
        <v>3.4</v>
      </c>
      <c r="P37" s="1686"/>
      <c r="Q37" s="38" t="str">
        <f>VLOOKUP(C37,'SDK5'!C6:AF86,3,FALSE)</f>
        <v>W</v>
      </c>
    </row>
    <row r="38" spans="1:34" s="42" customFormat="1" ht="15" customHeight="1">
      <c r="A38" s="1284"/>
      <c r="B38" s="1725"/>
      <c r="C38" s="4870" t="s">
        <v>628</v>
      </c>
      <c r="D38" s="4870"/>
      <c r="E38" s="4871"/>
      <c r="F38" s="1724">
        <f>IF(C38="",0,VLOOKUP(C38,'SDK5'!C5:AF85,2,FALSE))</f>
        <v>67.7</v>
      </c>
      <c r="G38" s="1724">
        <f t="shared" si="2"/>
        <v>67.7</v>
      </c>
      <c r="H38" s="1723"/>
      <c r="I38" s="1722">
        <f t="shared" si="3"/>
        <v>0</v>
      </c>
      <c r="J38" s="45"/>
      <c r="K38" s="1723"/>
      <c r="L38" s="1564">
        <f t="shared" si="0"/>
        <v>0</v>
      </c>
      <c r="M38" s="1557"/>
      <c r="N38" s="1723">
        <v>1</v>
      </c>
      <c r="O38" s="1722">
        <f t="shared" si="1"/>
        <v>67.7</v>
      </c>
      <c r="P38" s="1686"/>
      <c r="Q38" s="38" t="str">
        <f>VLOOKUP(C38,'SDK5'!C7:AF87,3,FALSE)</f>
        <v>F</v>
      </c>
      <c r="AH38" s="4003"/>
    </row>
    <row r="39" spans="1:34" s="42" customFormat="1" ht="15" customHeight="1">
      <c r="A39" s="1284"/>
      <c r="B39" s="1562"/>
      <c r="C39" s="4870"/>
      <c r="D39" s="4870"/>
      <c r="E39" s="4871"/>
      <c r="F39" s="1724">
        <f>IF(C39="",0,VLOOKUP(C39,'SDK5'!C6:AF86,2,FALSE))</f>
        <v>0</v>
      </c>
      <c r="G39" s="1724">
        <f t="shared" si="2"/>
        <v>0</v>
      </c>
      <c r="H39" s="1723"/>
      <c r="I39" s="1722">
        <f t="shared" si="3"/>
        <v>0</v>
      </c>
      <c r="J39" s="45"/>
      <c r="K39" s="1723"/>
      <c r="L39" s="1564">
        <f t="shared" si="0"/>
        <v>0</v>
      </c>
      <c r="M39" s="1557"/>
      <c r="N39" s="1723"/>
      <c r="O39" s="1722">
        <f t="shared" si="1"/>
        <v>0</v>
      </c>
      <c r="P39" s="1686"/>
      <c r="Q39" s="38" t="e">
        <f>VLOOKUP(C39,'SDK5'!C8:AF88,3,FALSE)</f>
        <v>#N/A</v>
      </c>
    </row>
    <row r="40" spans="1:34" s="42" customFormat="1" ht="15" customHeight="1">
      <c r="A40" s="1284"/>
      <c r="B40" s="1562"/>
      <c r="C40" s="4870"/>
      <c r="D40" s="4870"/>
      <c r="E40" s="4871"/>
      <c r="F40" s="1724">
        <f>IF(C40="",0,VLOOKUP(C40,'SDK5'!C7:AF87,2,FALSE))</f>
        <v>0</v>
      </c>
      <c r="G40" s="1724">
        <f t="shared" si="2"/>
        <v>0</v>
      </c>
      <c r="H40" s="1723"/>
      <c r="I40" s="1722">
        <f t="shared" si="3"/>
        <v>0</v>
      </c>
      <c r="J40" s="45"/>
      <c r="K40" s="1723"/>
      <c r="L40" s="1564">
        <f t="shared" si="0"/>
        <v>0</v>
      </c>
      <c r="M40" s="1557"/>
      <c r="N40" s="1723"/>
      <c r="O40" s="1722">
        <f t="shared" si="1"/>
        <v>0</v>
      </c>
      <c r="P40" s="1686"/>
      <c r="Q40" s="38" t="e">
        <f>VLOOKUP(C40,'SDK5'!C9:AF89,3,FALSE)</f>
        <v>#N/A</v>
      </c>
    </row>
    <row r="41" spans="1:34" s="42" customFormat="1" ht="15" customHeight="1">
      <c r="A41" s="1284"/>
      <c r="B41" s="1562"/>
      <c r="C41" s="4870"/>
      <c r="D41" s="4870"/>
      <c r="E41" s="4871"/>
      <c r="F41" s="1724">
        <f>IF(C41="",0,VLOOKUP(C41,'SDK5'!C8:AF88,2,FALSE))</f>
        <v>0</v>
      </c>
      <c r="G41" s="1724">
        <f t="shared" si="2"/>
        <v>0</v>
      </c>
      <c r="H41" s="1723"/>
      <c r="I41" s="1722">
        <f t="shared" si="3"/>
        <v>0</v>
      </c>
      <c r="J41" s="45"/>
      <c r="K41" s="1723"/>
      <c r="L41" s="1564">
        <f t="shared" si="0"/>
        <v>0</v>
      </c>
      <c r="M41" s="1557"/>
      <c r="N41" s="1723"/>
      <c r="O41" s="1722">
        <f t="shared" si="1"/>
        <v>0</v>
      </c>
      <c r="P41" s="1686"/>
      <c r="Q41" s="38" t="e">
        <f>VLOOKUP(C41,'SDK5'!C10:AF90,3,FALSE)</f>
        <v>#N/A</v>
      </c>
    </row>
    <row r="42" spans="1:34" s="42" customFormat="1" ht="15" customHeight="1">
      <c r="A42" s="1284"/>
      <c r="B42" s="1721"/>
      <c r="C42" s="4856"/>
      <c r="D42" s="4856"/>
      <c r="E42" s="4857"/>
      <c r="F42" s="1720">
        <f>IF(C42="",0,VLOOKUP(C42,'SDK5'!C9:AF89,2,FALSE))</f>
        <v>0</v>
      </c>
      <c r="G42" s="1720">
        <f t="shared" si="2"/>
        <v>0</v>
      </c>
      <c r="H42" s="1719"/>
      <c r="I42" s="1718">
        <f t="shared" si="3"/>
        <v>0</v>
      </c>
      <c r="J42" s="45"/>
      <c r="K42" s="1719"/>
      <c r="L42" s="1558">
        <f t="shared" si="0"/>
        <v>0</v>
      </c>
      <c r="M42" s="1557"/>
      <c r="N42" s="1719"/>
      <c r="O42" s="1718">
        <f t="shared" si="1"/>
        <v>0</v>
      </c>
      <c r="P42" s="1717"/>
      <c r="Q42" s="38" t="e">
        <f>VLOOKUP(C42,'SDK5'!C11:AF91,3,FALSE)</f>
        <v>#N/A</v>
      </c>
    </row>
    <row r="43" spans="1:34" s="686" customFormat="1" ht="18.75" customHeight="1">
      <c r="A43" s="1248"/>
      <c r="B43" s="1254" t="s">
        <v>1175</v>
      </c>
      <c r="C43" s="1248"/>
      <c r="D43" s="1248"/>
      <c r="E43" s="1248"/>
      <c r="F43" s="1248"/>
      <c r="G43" s="1588"/>
      <c r="H43" s="1714"/>
      <c r="I43" s="1713"/>
      <c r="J43" s="1582">
        <f>SUM(J46:J57)</f>
        <v>157.87551062141173</v>
      </c>
      <c r="K43" s="1716"/>
      <c r="L43" s="1715"/>
      <c r="M43" s="1585">
        <f>SUM(M46:M57)</f>
        <v>165.66249065223528</v>
      </c>
      <c r="N43" s="1714"/>
      <c r="O43" s="1713"/>
      <c r="P43" s="1582">
        <f>SUM(P46:P57)</f>
        <v>179.95882806776467</v>
      </c>
      <c r="Q43" s="38"/>
    </row>
    <row r="44" spans="1:34"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34"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c r="AH45" s="4003"/>
    </row>
    <row r="46" spans="1:34"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$F46*H46</f>
        <v>1.44</v>
      </c>
      <c r="J46" s="1686">
        <f>H46*$G46</f>
        <v>59.188918588235289</v>
      </c>
      <c r="K46" s="1696">
        <v>1</v>
      </c>
      <c r="L46" s="1697">
        <f t="shared" ref="L46:L57" si="4">$F46*K46</f>
        <v>1.44</v>
      </c>
      <c r="M46" s="1689">
        <f t="shared" ref="M46:M57" si="5">K46*$G46</f>
        <v>59.188918588235289</v>
      </c>
      <c r="N46" s="1696">
        <v>1</v>
      </c>
      <c r="O46" s="1695">
        <f t="shared" ref="O46:O57" si="6">$F46*N46</f>
        <v>1.44</v>
      </c>
      <c r="P46" s="1686">
        <f t="shared" ref="P46:P57" si="7">N46*$G46</f>
        <v>59.188918588235289</v>
      </c>
      <c r="Q46" s="38"/>
    </row>
    <row r="47" spans="1:34"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ref="I47:I57" si="8">$F47*H47</f>
        <v>1.05</v>
      </c>
      <c r="J47" s="1686">
        <f t="shared" ref="J47:J57" si="9">H47*$G47</f>
        <v>36.26405764705882</v>
      </c>
      <c r="K47" s="1688">
        <v>1</v>
      </c>
      <c r="L47" s="1690">
        <f t="shared" si="4"/>
        <v>1.05</v>
      </c>
      <c r="M47" s="1689">
        <f t="shared" si="5"/>
        <v>36.26405764705882</v>
      </c>
      <c r="N47" s="1688">
        <v>1</v>
      </c>
      <c r="O47" s="1687">
        <f t="shared" si="6"/>
        <v>1.05</v>
      </c>
      <c r="P47" s="1686">
        <f t="shared" si="7"/>
        <v>36.26405764705882</v>
      </c>
      <c r="Q47" s="38"/>
    </row>
    <row r="48" spans="1:34"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8"/>
        <v>0.74</v>
      </c>
      <c r="J48" s="1686">
        <f t="shared" si="9"/>
        <v>8.5561707976470576</v>
      </c>
      <c r="K48" s="1688">
        <v>3</v>
      </c>
      <c r="L48" s="1690">
        <f t="shared" si="4"/>
        <v>1.1099999999999999</v>
      </c>
      <c r="M48" s="1689">
        <f t="shared" si="5"/>
        <v>12.834256196470587</v>
      </c>
      <c r="N48" s="1688">
        <v>4</v>
      </c>
      <c r="O48" s="1687">
        <f t="shared" si="6"/>
        <v>1.48</v>
      </c>
      <c r="P48" s="1686">
        <f t="shared" si="7"/>
        <v>17.112341595294115</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8"/>
        <v>0.39</v>
      </c>
      <c r="J49" s="1686">
        <f t="shared" si="9"/>
        <v>6.5093573847058819</v>
      </c>
      <c r="K49" s="1688">
        <v>1</v>
      </c>
      <c r="L49" s="1690">
        <f t="shared" si="4"/>
        <v>0.39</v>
      </c>
      <c r="M49" s="1689">
        <f t="shared" si="5"/>
        <v>6.5093573847058819</v>
      </c>
      <c r="N49" s="1688">
        <v>2</v>
      </c>
      <c r="O49" s="1687">
        <f t="shared" si="6"/>
        <v>0.78</v>
      </c>
      <c r="P49" s="1686">
        <f t="shared" si="7"/>
        <v>13.018714769411764</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1.0833333333333333</v>
      </c>
      <c r="I50" s="1687">
        <f t="shared" si="8"/>
        <v>0.60666666666666669</v>
      </c>
      <c r="J50" s="1686">
        <f t="shared" si="9"/>
        <v>10.414555931764703</v>
      </c>
      <c r="K50" s="1688">
        <v>1.0833333333333333</v>
      </c>
      <c r="L50" s="1690">
        <f t="shared" si="4"/>
        <v>0.60666666666666669</v>
      </c>
      <c r="M50" s="1689">
        <f t="shared" si="5"/>
        <v>10.414555931764703</v>
      </c>
      <c r="N50" s="1688">
        <v>1.0833333333333333</v>
      </c>
      <c r="O50" s="1687">
        <f t="shared" si="6"/>
        <v>0.60666666666666669</v>
      </c>
      <c r="P50" s="1686">
        <f t="shared" si="7"/>
        <v>10.414555931764703</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8"/>
        <v>0.79</v>
      </c>
      <c r="J51" s="1686">
        <f t="shared" si="9"/>
        <v>21.737240200000002</v>
      </c>
      <c r="K51" s="1688">
        <v>1</v>
      </c>
      <c r="L51" s="1690">
        <f t="shared" si="4"/>
        <v>0.79</v>
      </c>
      <c r="M51" s="1689">
        <f t="shared" si="5"/>
        <v>21.737240200000002</v>
      </c>
      <c r="N51" s="1688">
        <v>1</v>
      </c>
      <c r="O51" s="1687">
        <f t="shared" si="6"/>
        <v>0.79</v>
      </c>
      <c r="P51" s="1686">
        <f t="shared" si="7"/>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8"/>
        <v>0</v>
      </c>
      <c r="J52" s="1686">
        <f t="shared" si="9"/>
        <v>0</v>
      </c>
      <c r="K52" s="1688"/>
      <c r="L52" s="1690">
        <f t="shared" si="4"/>
        <v>0</v>
      </c>
      <c r="M52" s="1689">
        <f t="shared" si="5"/>
        <v>0</v>
      </c>
      <c r="N52" s="1688"/>
      <c r="O52" s="1687">
        <f t="shared" si="6"/>
        <v>0</v>
      </c>
      <c r="P52" s="1686">
        <f t="shared" si="7"/>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8"/>
        <v>0</v>
      </c>
      <c r="J53" s="1686">
        <f t="shared" si="9"/>
        <v>0</v>
      </c>
      <c r="K53" s="1688"/>
      <c r="L53" s="1690">
        <f t="shared" si="4"/>
        <v>0</v>
      </c>
      <c r="M53" s="1689">
        <f t="shared" si="5"/>
        <v>0</v>
      </c>
      <c r="N53" s="1688"/>
      <c r="O53" s="1687">
        <f t="shared" si="6"/>
        <v>0</v>
      </c>
      <c r="P53" s="1686">
        <f t="shared" si="7"/>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8"/>
        <v>0</v>
      </c>
      <c r="J54" s="1686">
        <f t="shared" si="9"/>
        <v>0</v>
      </c>
      <c r="K54" s="1688"/>
      <c r="L54" s="1690">
        <f t="shared" si="4"/>
        <v>0</v>
      </c>
      <c r="M54" s="1689">
        <f t="shared" si="5"/>
        <v>0</v>
      </c>
      <c r="N54" s="1688"/>
      <c r="O54" s="1687">
        <f t="shared" si="6"/>
        <v>0</v>
      </c>
      <c r="P54" s="1686">
        <f t="shared" si="7"/>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8"/>
        <v>0</v>
      </c>
      <c r="J55" s="1686">
        <f t="shared" si="9"/>
        <v>0</v>
      </c>
      <c r="K55" s="1688"/>
      <c r="L55" s="1690">
        <f t="shared" si="4"/>
        <v>0</v>
      </c>
      <c r="M55" s="1689">
        <f t="shared" si="5"/>
        <v>0</v>
      </c>
      <c r="N55" s="1688"/>
      <c r="O55" s="1687">
        <f t="shared" si="6"/>
        <v>0</v>
      </c>
      <c r="P55" s="1686">
        <f t="shared" si="7"/>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8"/>
        <v>0</v>
      </c>
      <c r="J56" s="1877">
        <f t="shared" si="9"/>
        <v>0</v>
      </c>
      <c r="K56" s="1879"/>
      <c r="L56" s="1881">
        <f t="shared" si="4"/>
        <v>0</v>
      </c>
      <c r="M56" s="1880">
        <f t="shared" si="5"/>
        <v>0</v>
      </c>
      <c r="N56" s="1879"/>
      <c r="O56" s="1878">
        <f t="shared" si="6"/>
        <v>0</v>
      </c>
      <c r="P56" s="1877">
        <f t="shared" si="7"/>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H11/40</f>
        <v>1.3</v>
      </c>
      <c r="I57" s="1671">
        <f t="shared" si="8"/>
        <v>0.88400000000000012</v>
      </c>
      <c r="J57" s="1670">
        <f t="shared" si="9"/>
        <v>15.205210072</v>
      </c>
      <c r="K57" s="1672">
        <f>K11/40</f>
        <v>1.6</v>
      </c>
      <c r="L57" s="1673">
        <f t="shared" si="4"/>
        <v>1.0880000000000001</v>
      </c>
      <c r="M57" s="1620">
        <f t="shared" si="5"/>
        <v>18.714104704</v>
      </c>
      <c r="N57" s="1672">
        <f>N11/40</f>
        <v>1.9</v>
      </c>
      <c r="O57" s="1671">
        <f t="shared" si="6"/>
        <v>1.292</v>
      </c>
      <c r="P57" s="1670">
        <f t="shared" si="7"/>
        <v>22.222999335999997</v>
      </c>
      <c r="Q57" s="38">
        <f>$Q$2*H57</f>
        <v>65</v>
      </c>
    </row>
    <row r="58" spans="1:17" s="65" customFormat="1" ht="18.75" customHeight="1">
      <c r="A58" s="1351"/>
      <c r="B58" s="1254" t="s">
        <v>1167</v>
      </c>
      <c r="C58" s="1351"/>
      <c r="D58" s="1351"/>
      <c r="E58" s="1351"/>
      <c r="F58" s="38"/>
      <c r="G58" s="1588"/>
      <c r="H58" s="1665"/>
      <c r="I58" s="1664">
        <f>SUM($I$46:$I$57)</f>
        <v>5.9006666666666678</v>
      </c>
      <c r="J58" s="1669"/>
      <c r="K58" s="1668"/>
      <c r="L58" s="1667">
        <f>SUM($L$46:$L$57)</f>
        <v>6.4746666666666668</v>
      </c>
      <c r="M58" s="1666"/>
      <c r="N58" s="1665"/>
      <c r="O58" s="1664">
        <f>SUM($O$46:$O$57)</f>
        <v>7.4386666666666663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10.621200000000002</v>
      </c>
      <c r="J59" s="1654"/>
      <c r="K59" s="1659"/>
      <c r="L59" s="1658">
        <f>IF(L58+SUM($L$46:$L$57)*$E$59%&gt;L58+10,L58+10,L58+SUM($L$46:$L$57)*$E$59%)</f>
        <v>11.654400000000001</v>
      </c>
      <c r="M59" s="1657"/>
      <c r="N59" s="1656"/>
      <c r="O59" s="1655">
        <f>IF(O58+SUM($O$46:$O$57)*$E$59%&gt;O58+10,O58+10,O58+SUM($O$46:$O$57)*$E$59%)</f>
        <v>13.3896</v>
      </c>
      <c r="P59" s="1654"/>
      <c r="Q59" s="38"/>
    </row>
    <row r="60" spans="1:17" s="42" customFormat="1" ht="18.75" customHeight="1">
      <c r="A60" s="1284"/>
      <c r="B60" s="1254" t="s">
        <v>1164</v>
      </c>
      <c r="C60" s="1351"/>
      <c r="D60" s="1351"/>
      <c r="E60" s="45"/>
      <c r="F60" s="45"/>
      <c r="G60" s="1653"/>
      <c r="H60" s="1645"/>
      <c r="I60" s="1644"/>
      <c r="J60" s="1652">
        <f>IF(J6=0,0,SUM(I62:I64))</f>
        <v>312.7</v>
      </c>
      <c r="K60" s="1648"/>
      <c r="L60" s="1647"/>
      <c r="M60" s="1585">
        <f>IF(M6=0,0,SUM(L62:L64))</f>
        <v>346.29999999999995</v>
      </c>
      <c r="N60" s="1645"/>
      <c r="O60" s="1644"/>
      <c r="P60" s="1652">
        <f>IF(P6=0,0,SUM(O62:O64))</f>
        <v>379.9</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2.8</v>
      </c>
      <c r="G64" s="1623">
        <f>(100+$D$61)/100*F64</f>
        <v>2.8</v>
      </c>
      <c r="H64" s="1619"/>
      <c r="I64" s="1618">
        <f>H11*$G$64</f>
        <v>145.6</v>
      </c>
      <c r="J64" s="227"/>
      <c r="K64" s="1622"/>
      <c r="L64" s="1621">
        <f>K11*$G$64</f>
        <v>179.2</v>
      </c>
      <c r="M64" s="1620"/>
      <c r="N64" s="1619"/>
      <c r="O64" s="1618">
        <f>N11*$G$64</f>
        <v>212.79999999999998</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117.32500000000002</v>
      </c>
      <c r="K67" s="1609" t="s">
        <v>1161</v>
      </c>
      <c r="L67" s="1608" t="s">
        <v>1160</v>
      </c>
      <c r="M67" s="1585">
        <f>S68*(K9+K10)*L68%+F68</f>
        <v>288.39999999999998</v>
      </c>
      <c r="N67" s="1607" t="s">
        <v>1161</v>
      </c>
      <c r="O67" s="1606" t="s">
        <v>1160</v>
      </c>
      <c r="P67" s="1582">
        <f>T68*(N9+N10)*O68%+F68</f>
        <v>256.97500000000002</v>
      </c>
      <c r="Q67" s="38"/>
    </row>
    <row r="68" spans="1:20" s="686" customFormat="1" ht="15" customHeight="1">
      <c r="A68" s="1248"/>
      <c r="B68" s="1605"/>
      <c r="C68" s="4888" t="s">
        <v>1159</v>
      </c>
      <c r="D68" s="4888"/>
      <c r="E68" s="4888"/>
      <c r="F68" s="1604"/>
      <c r="G68" s="1595" t="s">
        <v>171</v>
      </c>
      <c r="H68" s="1602">
        <v>16</v>
      </c>
      <c r="I68" s="1601">
        <v>50</v>
      </c>
      <c r="J68" s="1600"/>
      <c r="K68" s="1602">
        <v>20</v>
      </c>
      <c r="L68" s="1601">
        <v>50</v>
      </c>
      <c r="M68" s="1603"/>
      <c r="N68" s="1602">
        <v>18</v>
      </c>
      <c r="O68" s="1601">
        <v>50</v>
      </c>
      <c r="P68" s="1600"/>
      <c r="Q68" s="38"/>
      <c r="R68" s="1599">
        <f>IF($H$68=0,0,VLOOKUP($H$68,'SD6'!B8:C101,'SD6'!C1,FALSE))*(1+'SDK1'!O11/100)</f>
        <v>3.6100000000000003</v>
      </c>
      <c r="S68" s="1599">
        <f>IF($K$68=0,0,VLOOKUP($K$68,'SD6'!B8:C101,'SD6'!C1,FALSE))*(1+'SDK1'!O11/100)</f>
        <v>7.2099999999999991</v>
      </c>
      <c r="T68" s="1599">
        <f>IF($N$68=0,0,VLOOKUP($N$68,'SD6'!B8:C101,'SD6'!C1,FALSE))*(1+'SDK1'!O11/100)</f>
        <v>5.41</v>
      </c>
    </row>
    <row r="69" spans="1:20" s="686" customFormat="1" ht="18.75" customHeight="1">
      <c r="A69" s="1248"/>
      <c r="B69" s="1254" t="s">
        <v>1158</v>
      </c>
      <c r="C69" s="1248"/>
      <c r="D69" s="1248"/>
      <c r="E69" s="38"/>
      <c r="F69" s="38"/>
      <c r="G69" s="1588"/>
      <c r="H69" s="44"/>
      <c r="I69" s="73"/>
      <c r="J69" s="1582">
        <f>H70*$F70/1000</f>
        <v>23.122666666666667</v>
      </c>
      <c r="K69" s="1598"/>
      <c r="L69" s="1597"/>
      <c r="M69" s="1585">
        <f>K70*$F70/1000</f>
        <v>28.458666666666669</v>
      </c>
      <c r="N69" s="44"/>
      <c r="O69" s="73"/>
      <c r="P69" s="1582">
        <f>N70*$F70/1000</f>
        <v>33.794666666666672</v>
      </c>
      <c r="Q69" s="38"/>
    </row>
    <row r="70" spans="1:20" s="686" customFormat="1" ht="15" customHeight="1">
      <c r="A70" s="1248"/>
      <c r="B70" s="1310"/>
      <c r="C70" s="1309" t="s">
        <v>840</v>
      </c>
      <c r="D70" s="346"/>
      <c r="E70" s="278"/>
      <c r="F70" s="1596">
        <f>'SDK7'!G101</f>
        <v>16</v>
      </c>
      <c r="G70" s="1595" t="s">
        <v>171</v>
      </c>
      <c r="H70" s="1591">
        <f>I9+I10</f>
        <v>1445.1666666666667</v>
      </c>
      <c r="I70" s="1590"/>
      <c r="J70" s="1589"/>
      <c r="K70" s="1594">
        <f>L9+L10</f>
        <v>1778.6666666666667</v>
      </c>
      <c r="L70" s="1593"/>
      <c r="M70" s="1592"/>
      <c r="N70" s="1591">
        <f>O9+O10</f>
        <v>2112.166666666667</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14.313103201694251</v>
      </c>
      <c r="K75" s="3031"/>
      <c r="L75" s="1034"/>
      <c r="M75" s="1546">
        <f>(M23+M27+M34+M43+M60+M65+M67+M69+M71)*('SDK1'!$O$59%*$G$75/12)</f>
        <v>17.861256435387187</v>
      </c>
      <c r="N75" s="1548"/>
      <c r="O75" s="1547"/>
      <c r="P75" s="1546">
        <f>(P23+P27+P34+P43+P60+P65+P67+P69+P71)*('SDK1'!$O$59%*$G$75/12)</f>
        <v>19.952352171901698</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L101" s="15"/>
      <c r="M101" s="35"/>
      <c r="N101" s="35"/>
      <c r="O101" s="35"/>
      <c r="P101" s="35"/>
      <c r="Q101" s="35"/>
    </row>
    <row r="102" spans="1:17">
      <c r="A102" s="35"/>
      <c r="L102" s="15"/>
      <c r="M102" s="35"/>
      <c r="N102" s="35"/>
      <c r="O102" s="35"/>
      <c r="P102" s="35"/>
      <c r="Q102" s="35"/>
    </row>
    <row r="103" spans="1:17">
      <c r="A103" s="35"/>
      <c r="L103" s="15"/>
      <c r="M103" s="35"/>
      <c r="N103" s="35"/>
      <c r="O103" s="35"/>
      <c r="P103" s="35"/>
      <c r="Q103" s="35"/>
    </row>
    <row r="104" spans="1:17">
      <c r="A104" s="35"/>
      <c r="L104" s="15"/>
      <c r="M104" s="35"/>
      <c r="N104" s="35"/>
      <c r="O104" s="35"/>
      <c r="P104" s="35"/>
      <c r="Q104" s="35"/>
    </row>
    <row r="105" spans="1:17">
      <c r="A105" s="35"/>
      <c r="L105" s="15"/>
      <c r="M105" s="35"/>
      <c r="N105" s="35"/>
      <c r="O105" s="35"/>
      <c r="P105" s="35"/>
      <c r="Q105" s="35"/>
    </row>
    <row r="106" spans="1:17">
      <c r="A106" s="35"/>
      <c r="L106" s="15"/>
      <c r="M106" s="35"/>
      <c r="N106" s="35"/>
      <c r="O106" s="35"/>
      <c r="P106" s="35"/>
      <c r="Q106" s="35"/>
    </row>
    <row r="107" spans="1:17">
      <c r="A107" s="35"/>
      <c r="L107" s="15"/>
      <c r="M107" s="35"/>
      <c r="N107" s="35"/>
      <c r="O107" s="35"/>
      <c r="P107" s="35"/>
      <c r="Q107" s="35"/>
    </row>
    <row r="108" spans="1:17">
      <c r="A108" s="35"/>
      <c r="L108" s="15"/>
      <c r="M108" s="35"/>
      <c r="N108" s="35"/>
      <c r="O108" s="35"/>
      <c r="P108" s="35"/>
      <c r="Q108" s="35"/>
    </row>
    <row r="109" spans="1:17">
      <c r="A109" s="35"/>
      <c r="L109" s="15"/>
      <c r="M109" s="35"/>
      <c r="N109" s="35"/>
      <c r="O109" s="35"/>
      <c r="P109" s="35"/>
      <c r="Q109" s="35"/>
    </row>
    <row r="110" spans="1:17">
      <c r="A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L114" s="15"/>
      <c r="M114" s="35"/>
      <c r="N114" s="35"/>
      <c r="O114" s="35"/>
      <c r="P114" s="35"/>
      <c r="Q114" s="35"/>
    </row>
    <row r="115" spans="1:17">
      <c r="A115" s="35"/>
      <c r="L115" s="15"/>
      <c r="M115" s="35"/>
      <c r="N115" s="35"/>
      <c r="O115" s="35"/>
      <c r="P115" s="35"/>
      <c r="Q115" s="35"/>
    </row>
    <row r="116" spans="1:17">
      <c r="A116" s="35"/>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01"/>
      <c r="C120" s="15"/>
      <c r="L120" s="15"/>
      <c r="M120" s="35"/>
      <c r="N120" s="35"/>
      <c r="O120" s="35"/>
      <c r="P120" s="35"/>
      <c r="Q120" s="35"/>
    </row>
    <row r="121" spans="1:17">
      <c r="A121" s="35"/>
      <c r="B121" s="601"/>
      <c r="C121" s="15"/>
      <c r="L121" s="15"/>
      <c r="M121" s="35"/>
      <c r="N121" s="35"/>
      <c r="O121" s="35"/>
      <c r="P121" s="35"/>
      <c r="Q121" s="35"/>
    </row>
    <row r="122" spans="1:17">
      <c r="A122" s="35"/>
      <c r="B122" s="601"/>
      <c r="C122" s="15"/>
      <c r="L122" s="15"/>
      <c r="M122" s="35"/>
      <c r="N122" s="35"/>
      <c r="O122" s="35"/>
      <c r="P122" s="35"/>
      <c r="Q122" s="35"/>
    </row>
    <row r="123" spans="1:17">
      <c r="A123" s="35"/>
      <c r="B123" s="601"/>
      <c r="C123" s="15"/>
      <c r="L123" s="15"/>
      <c r="M123" s="35"/>
      <c r="N123" s="35"/>
      <c r="O123" s="35"/>
      <c r="P123" s="35"/>
      <c r="Q123" s="35"/>
    </row>
    <row r="124" spans="1:17">
      <c r="A124" s="35"/>
      <c r="B124" s="601"/>
      <c r="C124" s="15"/>
      <c r="L124" s="15"/>
      <c r="M124" s="35"/>
      <c r="N124" s="35"/>
      <c r="O124" s="35"/>
      <c r="P124" s="35"/>
      <c r="Q124" s="35"/>
    </row>
    <row r="125" spans="1:17">
      <c r="A125" s="35"/>
      <c r="B125" s="601"/>
      <c r="C125" s="15"/>
      <c r="L125" s="15"/>
      <c r="M125" s="35"/>
      <c r="N125" s="35"/>
      <c r="O125" s="35"/>
      <c r="P125" s="35"/>
      <c r="Q125" s="35"/>
    </row>
    <row r="126" spans="1:17">
      <c r="A126" s="35"/>
      <c r="B126" s="601"/>
      <c r="C126" s="15"/>
      <c r="L126" s="15"/>
      <c r="M126" s="35"/>
      <c r="N126" s="35"/>
      <c r="O126" s="35"/>
      <c r="P126" s="35"/>
      <c r="Q126" s="35"/>
    </row>
    <row r="127" spans="1:17">
      <c r="A127" s="35"/>
      <c r="B127" s="601"/>
      <c r="C127" s="15"/>
      <c r="L127" s="15"/>
      <c r="M127" s="35"/>
      <c r="N127" s="35"/>
      <c r="O127" s="35"/>
      <c r="P127" s="35"/>
      <c r="Q127" s="35"/>
    </row>
    <row r="128" spans="1:17">
      <c r="A128" s="35"/>
      <c r="B128" s="601"/>
      <c r="C128" s="15"/>
      <c r="L128" s="15"/>
      <c r="M128" s="35"/>
      <c r="N128" s="35"/>
      <c r="O128" s="35"/>
      <c r="P128" s="35"/>
      <c r="Q128" s="35"/>
    </row>
    <row r="129" spans="1:17">
      <c r="A129" s="35"/>
      <c r="B129" s="601"/>
      <c r="C129" s="15"/>
      <c r="L129" s="15"/>
      <c r="M129" s="35"/>
      <c r="N129" s="35"/>
      <c r="O129" s="35"/>
      <c r="P129" s="35"/>
      <c r="Q129" s="35"/>
    </row>
    <row r="130" spans="1:17">
      <c r="A130" s="35"/>
      <c r="B130" s="601"/>
      <c r="C130" s="15"/>
      <c r="L130" s="15"/>
      <c r="M130" s="35"/>
      <c r="N130" s="35"/>
      <c r="O130" s="35"/>
      <c r="P130" s="35"/>
      <c r="Q130" s="35"/>
    </row>
    <row r="131" spans="1:17">
      <c r="A131" s="35"/>
      <c r="B131" s="601"/>
      <c r="C131" s="15"/>
      <c r="L131" s="15"/>
      <c r="M131" s="35"/>
      <c r="N131" s="35"/>
      <c r="O131" s="35"/>
      <c r="P131" s="35"/>
      <c r="Q131" s="35"/>
    </row>
    <row r="132" spans="1:17">
      <c r="A132" s="35"/>
      <c r="B132" s="601"/>
      <c r="C132" s="15"/>
      <c r="L132" s="15"/>
      <c r="M132" s="35"/>
      <c r="N132" s="35"/>
      <c r="O132" s="35"/>
      <c r="P132" s="35"/>
      <c r="Q132" s="35"/>
    </row>
    <row r="133" spans="1:17">
      <c r="A133" s="35"/>
      <c r="B133" s="601"/>
      <c r="C133" s="15"/>
      <c r="L133" s="15"/>
      <c r="M133" s="35"/>
      <c r="N133" s="35"/>
      <c r="O133" s="35"/>
      <c r="P133" s="35"/>
      <c r="Q133" s="35"/>
    </row>
    <row r="134" spans="1:17">
      <c r="A134" s="35"/>
      <c r="B134" s="601"/>
      <c r="C134" s="15"/>
      <c r="L134" s="15"/>
      <c r="M134" s="35"/>
      <c r="N134" s="35"/>
      <c r="O134" s="35"/>
      <c r="P134" s="35"/>
      <c r="Q134" s="35"/>
    </row>
    <row r="135" spans="1:17">
      <c r="A135" s="35"/>
      <c r="B135" s="601"/>
      <c r="C135" s="15"/>
      <c r="L135" s="15"/>
      <c r="M135" s="35"/>
      <c r="N135" s="35"/>
      <c r="O135" s="35"/>
      <c r="P135" s="35"/>
      <c r="Q135" s="35"/>
    </row>
    <row r="136" spans="1:17">
      <c r="A136" s="35"/>
      <c r="B136" s="601"/>
      <c r="C136" s="15"/>
      <c r="L136" s="15"/>
      <c r="M136" s="35"/>
      <c r="N136" s="35"/>
      <c r="O136" s="35"/>
      <c r="P136" s="35"/>
      <c r="Q136" s="35"/>
    </row>
    <row r="137" spans="1:17">
      <c r="A137" s="35"/>
      <c r="B137" s="601"/>
      <c r="C137" s="15"/>
      <c r="L137" s="15"/>
      <c r="M137" s="35"/>
      <c r="N137" s="35"/>
      <c r="O137" s="35"/>
      <c r="P137" s="35"/>
      <c r="Q137" s="35"/>
    </row>
    <row r="138" spans="1:17">
      <c r="A138" s="35"/>
      <c r="B138" s="601"/>
      <c r="C138" s="15"/>
      <c r="L138" s="15"/>
      <c r="M138" s="35"/>
      <c r="N138" s="35"/>
      <c r="O138" s="35"/>
      <c r="P138" s="35"/>
      <c r="Q138" s="35"/>
    </row>
    <row r="139" spans="1:17">
      <c r="A139" s="35"/>
      <c r="B139" s="601"/>
      <c r="C139" s="15"/>
      <c r="L139" s="15"/>
      <c r="M139" s="35"/>
      <c r="N139" s="35"/>
      <c r="O139" s="35"/>
      <c r="P139" s="35"/>
      <c r="Q139" s="35"/>
    </row>
    <row r="140" spans="1:17">
      <c r="A140" s="35"/>
      <c r="B140" s="601"/>
      <c r="C140" s="15"/>
      <c r="L140" s="15"/>
      <c r="M140" s="35"/>
      <c r="N140" s="35"/>
      <c r="O140" s="35"/>
      <c r="P140" s="35"/>
      <c r="Q140" s="35"/>
    </row>
    <row r="141" spans="1:17">
      <c r="A141" s="35"/>
      <c r="B141" s="601"/>
      <c r="C141" s="15"/>
      <c r="L141" s="15"/>
      <c r="M141" s="35"/>
      <c r="N141" s="35"/>
      <c r="O141" s="35"/>
      <c r="P141" s="35"/>
      <c r="Q141" s="35"/>
    </row>
    <row r="142" spans="1:17">
      <c r="A142" s="35"/>
      <c r="B142" s="601"/>
      <c r="C142" s="15"/>
      <c r="L142" s="15"/>
    </row>
    <row r="143" spans="1:17">
      <c r="A143" s="35"/>
      <c r="B143" s="601"/>
      <c r="C143" s="15"/>
      <c r="L143" s="15"/>
    </row>
    <row r="144" spans="1:17">
      <c r="A144" s="35"/>
      <c r="B144" s="601"/>
      <c r="C144" s="15"/>
      <c r="L144" s="15"/>
    </row>
    <row r="145" spans="1:17">
      <c r="A145" s="35"/>
      <c r="B145" s="601"/>
      <c r="C145" s="15"/>
      <c r="L145" s="15"/>
      <c r="M145" s="35"/>
      <c r="N145" s="35"/>
      <c r="O145" s="35"/>
      <c r="P145" s="35"/>
      <c r="Q145" s="35"/>
    </row>
    <row r="146" spans="1:17">
      <c r="A146" s="35"/>
      <c r="B146" s="601"/>
      <c r="C146" s="15"/>
      <c r="L146" s="15"/>
      <c r="M146" s="35"/>
      <c r="N146" s="35" t="str">
        <f>'SDK3'!C90</f>
        <v>(Datengrundlage MR 23/24)</v>
      </c>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E4:I4"/>
    <mergeCell ref="F23:G23"/>
    <mergeCell ref="C14:F14"/>
    <mergeCell ref="C15:F15"/>
    <mergeCell ref="C17:F17"/>
    <mergeCell ref="C19:F19"/>
    <mergeCell ref="C20:F20"/>
    <mergeCell ref="C21:F21"/>
    <mergeCell ref="C49:D49"/>
    <mergeCell ref="C55:D55"/>
    <mergeCell ref="C54:D54"/>
    <mergeCell ref="B75:C75"/>
    <mergeCell ref="C68:E68"/>
    <mergeCell ref="C56:D56"/>
    <mergeCell ref="C62:E62"/>
    <mergeCell ref="C64:E64"/>
    <mergeCell ref="C63:E63"/>
    <mergeCell ref="C74:E74"/>
    <mergeCell ref="C73:E73"/>
    <mergeCell ref="C52:D52"/>
    <mergeCell ref="C53:D53"/>
    <mergeCell ref="C57:D57"/>
    <mergeCell ref="C51:D51"/>
    <mergeCell ref="C50:D50"/>
    <mergeCell ref="K6:L6"/>
    <mergeCell ref="F34:G34"/>
    <mergeCell ref="D25:E25"/>
    <mergeCell ref="D26:E26"/>
    <mergeCell ref="C48:D48"/>
    <mergeCell ref="C39:E39"/>
    <mergeCell ref="C47:D47"/>
    <mergeCell ref="C40:E40"/>
    <mergeCell ref="C36:E36"/>
    <mergeCell ref="K1:L1"/>
    <mergeCell ref="N1:O1"/>
    <mergeCell ref="C42:E42"/>
    <mergeCell ref="C46:D46"/>
    <mergeCell ref="C16:F16"/>
    <mergeCell ref="H6:I6"/>
    <mergeCell ref="J3:L3"/>
    <mergeCell ref="N6:O6"/>
    <mergeCell ref="E22:G22"/>
    <mergeCell ref="K2:P2"/>
    <mergeCell ref="N3:O4"/>
    <mergeCell ref="C41:E41"/>
    <mergeCell ref="C37:E37"/>
    <mergeCell ref="C38:E38"/>
    <mergeCell ref="J4:L4"/>
    <mergeCell ref="E10:F10"/>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16" orientation="portrait" r:id="rId1"/>
  <headerFooter alignWithMargins="0">
    <oddFooter>&amp;L&amp;11LEL Schwäbisch Gmünd&amp;C23&amp;R&amp;11&amp;F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10" r:id="rId4" name="Check Box 2">
              <controlPr defaultSize="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7411" r:id="rId5" name="Check Box 3">
              <controlPr defaultSize="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7">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8.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7" width="0" style="35" hidden="1" customWidth="1"/>
    <col min="38" max="16384" width="10.5" style="35"/>
  </cols>
  <sheetData>
    <row r="1" spans="1:41" s="1859" customFormat="1" ht="30.4" customHeight="1">
      <c r="A1" s="1863"/>
      <c r="B1" s="319"/>
      <c r="C1" s="1876"/>
      <c r="D1" s="1795"/>
      <c r="E1" s="316"/>
      <c r="F1" s="316"/>
      <c r="G1" s="585"/>
      <c r="H1" s="1870"/>
      <c r="I1" s="1875" t="s">
        <v>1207</v>
      </c>
      <c r="J1" s="1874">
        <f>(J7+J13+J18+J22+I11+I12)-(J23+J27+J34+J43+J60+J65+J67+J69+J71+J75)</f>
        <v>624.4766615858648</v>
      </c>
      <c r="K1" s="4855">
        <f>M1-J1</f>
        <v>219.20380102129957</v>
      </c>
      <c r="L1" s="4855"/>
      <c r="M1" s="1874">
        <f>(M7+M13+M18+M22+L11+L12)-(M23+M27+M34+M43+M60+M65+M67+M69+M71+M75)</f>
        <v>843.68046260716437</v>
      </c>
      <c r="N1" s="4855">
        <f>P1-M1</f>
        <v>238.97176768796703</v>
      </c>
      <c r="O1" s="4855"/>
      <c r="P1" s="1874">
        <f>(P7+P13+P18+P22+O11+O12)-(P23+P27+P34+P43+P60+P65+P67+P69+P71+P75)</f>
        <v>1082.6522302951314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96</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60</v>
      </c>
      <c r="K6" s="4874" t="s">
        <v>152</v>
      </c>
      <c r="L6" s="4875"/>
      <c r="M6" s="1855">
        <v>75</v>
      </c>
      <c r="N6" s="4861" t="s">
        <v>178</v>
      </c>
      <c r="O6" s="4862"/>
      <c r="P6" s="1854">
        <v>90</v>
      </c>
      <c r="Q6" s="70"/>
    </row>
    <row r="7" spans="1:41" s="251" customFormat="1" ht="18.75" customHeight="1">
      <c r="A7" s="47"/>
      <c r="B7" s="305" t="s">
        <v>1202</v>
      </c>
      <c r="C7" s="47"/>
      <c r="D7" s="47"/>
      <c r="E7" s="47"/>
      <c r="F7" s="47"/>
      <c r="G7" s="1852"/>
      <c r="H7" s="1849"/>
      <c r="I7" s="1848"/>
      <c r="J7" s="1582">
        <f>SUM(I9:I10)</f>
        <v>1412</v>
      </c>
      <c r="K7" s="1851"/>
      <c r="L7" s="1850"/>
      <c r="M7" s="1585">
        <f>SUM(L9:L10)</f>
        <v>1764.9999999999998</v>
      </c>
      <c r="N7" s="1849"/>
      <c r="O7" s="1848"/>
      <c r="P7" s="1582">
        <f>SUM(O9:O10)</f>
        <v>2118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'SDK1'!O17</f>
        <v>23.533333333333331</v>
      </c>
      <c r="H9" s="1845">
        <f>J6-H10</f>
        <v>60</v>
      </c>
      <c r="I9" s="1841">
        <f>H9*G9</f>
        <v>1412</v>
      </c>
      <c r="J9" s="43"/>
      <c r="K9" s="1844">
        <f>M6-K10</f>
        <v>75</v>
      </c>
      <c r="L9" s="1843">
        <f>K9*G9</f>
        <v>1764.9999999999998</v>
      </c>
      <c r="M9" s="1822"/>
      <c r="N9" s="1842">
        <f>P6-N10</f>
        <v>90</v>
      </c>
      <c r="O9" s="1841">
        <f>N9*G9</f>
        <v>2118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221.4</v>
      </c>
      <c r="K18" s="1895"/>
      <c r="L18" s="3052"/>
      <c r="M18" s="1585">
        <f>SUM(L19:L21)</f>
        <v>221.4</v>
      </c>
      <c r="N18" s="1894"/>
      <c r="O18" s="3051"/>
      <c r="P18" s="1582">
        <f>SUM(O19:O21)</f>
        <v>221.4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3899">
        <f>IF(OR($C19=0,$M$6=0),0,VLOOKUP($C19,'SD2'!$C$59:$N$74,12,FALSE))</f>
        <v>158</v>
      </c>
      <c r="M19" s="1557"/>
      <c r="N19" s="1786"/>
      <c r="O19" s="1785">
        <f>IF(OR($C19=0,$P$6=0),0,VLOOKUP($C19,'SD2'!C59:N75,12,FALSE))</f>
        <v>158</v>
      </c>
      <c r="P19" s="1554"/>
      <c r="Q19" s="38"/>
      <c r="R19" s="1784">
        <f>J13+J18</f>
        <v>321.39999999999998</v>
      </c>
      <c r="S19" s="1783">
        <f>M13+M18</f>
        <v>321.39999999999998</v>
      </c>
      <c r="T19" s="1782">
        <f>P13+P18</f>
        <v>321.39999999999998</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IF(OR($C20=0,$M$6=0),0,VLOOKUP($C20,'SD2'!$C$59:$N$74,12,FALSE))</f>
        <v>63.4</v>
      </c>
      <c r="M20" s="3864"/>
      <c r="N20" s="1786"/>
      <c r="O20" s="3909">
        <f>IF(OR($C20=0,$P$6=0),0,VLOOKUP($C20,'SD2'!C60:N76,12,FALSE))</f>
        <v>63.4</v>
      </c>
      <c r="P20" s="1554"/>
      <c r="Q20" s="38"/>
      <c r="R20" s="3968"/>
      <c r="S20" s="3968"/>
      <c r="T20" s="3968"/>
    </row>
    <row r="21" spans="1:26" s="42" customFormat="1" ht="15">
      <c r="A21" s="3852"/>
      <c r="B21" s="1789"/>
      <c r="C21" s="4860"/>
      <c r="D21" s="4860"/>
      <c r="E21" s="4860"/>
      <c r="F21" s="4860"/>
      <c r="G21" s="1788"/>
      <c r="H21" s="1786"/>
      <c r="I21" s="3909">
        <f>IF(OR($C21=0,$J$6=0),0,VLOOKUP($C21,'SD2'!C61:N77,12,FALSE))</f>
        <v>0</v>
      </c>
      <c r="J21" s="3852"/>
      <c r="K21" s="1787"/>
      <c r="L21" s="3899">
        <f>IF(OR($C21=0,$M$6=0),0,VLOOKUP($C21,'SD2'!$C$59:$N$74,12,FALSE))</f>
        <v>0</v>
      </c>
      <c r="M21" s="3864"/>
      <c r="N21" s="1786"/>
      <c r="O21" s="3909">
        <f>IF(OR($C21=0,$P$6=0),0,VLOOKUP($C21,'SD2'!C61:N77,12,FALSE))</f>
        <v>0</v>
      </c>
      <c r="P21" s="1554"/>
      <c r="Q21" s="38"/>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161.5</v>
      </c>
      <c r="K23" s="1587"/>
      <c r="L23" s="1586"/>
      <c r="M23" s="1768">
        <f>SUM(L25:L26)</f>
        <v>161.5</v>
      </c>
      <c r="N23" s="1584"/>
      <c r="O23" s="1583"/>
      <c r="P23" s="1567">
        <f>SUM(O25:O26)</f>
        <v>161.5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'SDK7'!F46/100</f>
        <v>0.85</v>
      </c>
      <c r="G25" s="1762">
        <f>F25*(100+$D$24)/100</f>
        <v>0.85</v>
      </c>
      <c r="H25" s="1761">
        <v>190</v>
      </c>
      <c r="I25" s="1722">
        <f>H25*$G25</f>
        <v>161.5</v>
      </c>
      <c r="J25" s="45"/>
      <c r="K25" s="1761">
        <f>H25</f>
        <v>190</v>
      </c>
      <c r="L25" s="1564">
        <f>K25*$G25</f>
        <v>161.5</v>
      </c>
      <c r="M25" s="1557"/>
      <c r="N25" s="1761">
        <f>H25</f>
        <v>190</v>
      </c>
      <c r="O25" s="1722">
        <f>N25*$G25</f>
        <v>161.5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302.83519999999993</v>
      </c>
      <c r="K27" s="1716"/>
      <c r="L27" s="1715"/>
      <c r="M27" s="1585">
        <f>SUM(L30:L33)</f>
        <v>371.38400000000001</v>
      </c>
      <c r="N27" s="1714"/>
      <c r="O27" s="1713"/>
      <c r="P27" s="1582">
        <f>SUM(O30:O33)</f>
        <v>439.93279999999999</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146.6</v>
      </c>
      <c r="I30" s="1722">
        <f>H30*$D30</f>
        <v>209.93119999999999</v>
      </c>
      <c r="J30" s="45"/>
      <c r="K30" s="1740">
        <f>IF(M$6=0,0,(M$6*$E30+$G30+Y14))</f>
        <v>178.25</v>
      </c>
      <c r="L30" s="1564">
        <f>K30*$D30</f>
        <v>255.25399999999999</v>
      </c>
      <c r="M30" s="1557"/>
      <c r="N30" s="1739">
        <f>IF(P$6=0,0,(P$6*$E30+$G30+Z14))</f>
        <v>209.89999999999998</v>
      </c>
      <c r="O30" s="1722">
        <f>N30*$D30</f>
        <v>300.57679999999993</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48</v>
      </c>
      <c r="I31" s="1722">
        <f>H31*$D31</f>
        <v>50.400000000000006</v>
      </c>
      <c r="J31" s="45"/>
      <c r="K31" s="1740">
        <f>IF(M$6=0,0,(M$6*$E31+$G31+Y15))</f>
        <v>60</v>
      </c>
      <c r="L31" s="1564">
        <f>K31*$D31</f>
        <v>63</v>
      </c>
      <c r="M31" s="1557"/>
      <c r="N31" s="1739">
        <f>IF(P$6=0,0,(P$6*$E31+$G31+Z15))</f>
        <v>72</v>
      </c>
      <c r="O31" s="1722">
        <f>N31*$D31</f>
        <v>75.600000000000009</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36</v>
      </c>
      <c r="I32" s="1722">
        <f>H32*$D32</f>
        <v>35.28</v>
      </c>
      <c r="J32" s="45"/>
      <c r="K32" s="1740">
        <f>IF(M$6=0,0,(M$6*$E32+$G32+Y16))</f>
        <v>45</v>
      </c>
      <c r="L32" s="1564">
        <f>K32*$D32</f>
        <v>44.1</v>
      </c>
      <c r="M32" s="1557"/>
      <c r="N32" s="1739">
        <f>IF(P$6=0,0,(P$6*$E32+$G32+Z16))</f>
        <v>54</v>
      </c>
      <c r="O32" s="1722">
        <f>N32*$D32</f>
        <v>52.92</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12</v>
      </c>
      <c r="I33" s="1718">
        <f>H33*$D33</f>
        <v>7.2240000000000011</v>
      </c>
      <c r="J33" s="45"/>
      <c r="K33" s="1736">
        <f>IF(M$6=0,0,(M$6*$E33+$G33+Y17))</f>
        <v>15</v>
      </c>
      <c r="L33" s="1558">
        <f>K33*$D33</f>
        <v>9.0300000000000011</v>
      </c>
      <c r="M33" s="1557"/>
      <c r="N33" s="1735">
        <f>IF(P$6=0,0,(P$6*$E33+$G33+Z17))</f>
        <v>18</v>
      </c>
      <c r="O33" s="1718">
        <f>N33*$D33</f>
        <v>10.836000000000002</v>
      </c>
      <c r="P33" s="1717"/>
      <c r="Q33" s="38"/>
    </row>
    <row r="34" spans="1:17" s="686" customFormat="1" ht="18.75" customHeight="1">
      <c r="A34" s="1248"/>
      <c r="B34" s="1254" t="s">
        <v>1178</v>
      </c>
      <c r="C34" s="1248"/>
      <c r="D34" s="37"/>
      <c r="E34" s="37"/>
      <c r="F34" s="4876" t="s">
        <v>1177</v>
      </c>
      <c r="G34" s="4877"/>
      <c r="H34" s="1732"/>
      <c r="I34" s="1731"/>
      <c r="J34" s="1582">
        <f>SUM(I36:I42)</f>
        <v>203.22000000000003</v>
      </c>
      <c r="K34" s="1734"/>
      <c r="L34" s="1733"/>
      <c r="M34" s="1585">
        <f>SUM(L36:L42)</f>
        <v>203.22000000000003</v>
      </c>
      <c r="N34" s="1732"/>
      <c r="O34" s="1731"/>
      <c r="P34" s="1582">
        <f>SUM(O36:O42)</f>
        <v>207.98000000000002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650</v>
      </c>
      <c r="D36" s="4884"/>
      <c r="E36" s="4885"/>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t="str">
        <f>VLOOKUP(C36,'SDK5'!$C$5:$AF$85,3,FALSE)</f>
        <v>H</v>
      </c>
    </row>
    <row r="37" spans="1:17" s="42" customFormat="1" ht="15" customHeight="1">
      <c r="A37" s="1284"/>
      <c r="B37" s="1562"/>
      <c r="C37" s="4870" t="s">
        <v>644</v>
      </c>
      <c r="D37" s="4870"/>
      <c r="E37" s="4871"/>
      <c r="F37" s="1724">
        <f>IF(C37="",0,VLOOKUP(C37,'SDK5'!C4:AF84,2,FALSE))</f>
        <v>6.8</v>
      </c>
      <c r="G37" s="1724">
        <f t="shared" si="0"/>
        <v>6.8</v>
      </c>
      <c r="H37" s="1723"/>
      <c r="I37" s="1722">
        <f t="shared" si="1"/>
        <v>0</v>
      </c>
      <c r="J37" s="45"/>
      <c r="K37" s="1723"/>
      <c r="L37" s="1564">
        <f t="shared" si="2"/>
        <v>0</v>
      </c>
      <c r="M37" s="1557"/>
      <c r="N37" s="1723">
        <v>0.7</v>
      </c>
      <c r="O37" s="1722">
        <f t="shared" si="3"/>
        <v>4.76</v>
      </c>
      <c r="P37" s="1686"/>
      <c r="Q37" s="38" t="str">
        <f>VLOOKUP(C37,'SDK5'!$C$5:$AF$85,3,FALSE)</f>
        <v>W</v>
      </c>
    </row>
    <row r="38" spans="1:17" s="42" customFormat="1" ht="15" customHeight="1">
      <c r="A38" s="1284"/>
      <c r="B38" s="1725"/>
      <c r="C38" s="4870" t="s">
        <v>1999</v>
      </c>
      <c r="D38" s="4870"/>
      <c r="E38" s="4871"/>
      <c r="F38" s="1724">
        <f>IF(C38="",0,VLOOKUP(C38,'SDK5'!C5:AF85,2,FALSE))</f>
        <v>74.599999999999994</v>
      </c>
      <c r="G38" s="1724">
        <f t="shared" si="0"/>
        <v>74.599999999999994</v>
      </c>
      <c r="H38" s="1723">
        <v>1</v>
      </c>
      <c r="I38" s="1722">
        <f t="shared" si="1"/>
        <v>74.599999999999994</v>
      </c>
      <c r="J38" s="45"/>
      <c r="K38" s="1723">
        <v>1</v>
      </c>
      <c r="L38" s="1564">
        <f t="shared" si="2"/>
        <v>74.599999999999994</v>
      </c>
      <c r="M38" s="1557"/>
      <c r="N38" s="1723">
        <v>1</v>
      </c>
      <c r="O38" s="1722">
        <f t="shared" si="3"/>
        <v>74.599999999999994</v>
      </c>
      <c r="P38" s="1686"/>
      <c r="Q38" s="38" t="str">
        <f>VLOOKUP(C38,'SDK5'!$C$5:$AF$85,3,FALSE)</f>
        <v>F</v>
      </c>
    </row>
    <row r="39" spans="1:17" s="42" customFormat="1" ht="15" customHeight="1">
      <c r="A39" s="1284"/>
      <c r="B39" s="1562"/>
      <c r="C39" s="4870" t="s">
        <v>613</v>
      </c>
      <c r="D39" s="4870"/>
      <c r="E39" s="487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t="str">
        <f>VLOOKUP(C39,'SDK5'!$C$5:$AF$85,3,FALSE)</f>
        <v>F</v>
      </c>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154.88789563176468</v>
      </c>
      <c r="K43" s="1716"/>
      <c r="L43" s="1715"/>
      <c r="M43" s="1585">
        <f>SUM(M46:M57)</f>
        <v>161.56934009176467</v>
      </c>
      <c r="N43" s="1714"/>
      <c r="O43" s="1713"/>
      <c r="P43" s="1582">
        <f>SUM(P46:P57)</f>
        <v>168.25078455176467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0</v>
      </c>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f t="shared" si="10"/>
        <v>0</v>
      </c>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H49*$G49</f>
        <v>19.528072154117645</v>
      </c>
      <c r="K49" s="1688">
        <v>3</v>
      </c>
      <c r="L49" s="1690">
        <f t="shared" si="6"/>
        <v>1.17</v>
      </c>
      <c r="M49" s="1689">
        <f t="shared" si="7"/>
        <v>19.528072154117645</v>
      </c>
      <c r="N49" s="1688">
        <v>3</v>
      </c>
      <c r="O49" s="1687">
        <f t="shared" si="8"/>
        <v>1.17</v>
      </c>
      <c r="P49" s="1686">
        <f t="shared" si="9"/>
        <v>19.528072154117645</v>
      </c>
      <c r="Q49" s="38">
        <f t="shared" si="10"/>
        <v>0</v>
      </c>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1</v>
      </c>
      <c r="I50" s="1687">
        <f t="shared" si="4"/>
        <v>0.56000000000000005</v>
      </c>
      <c r="J50" s="1686">
        <f t="shared" si="5"/>
        <v>9.6134362447058805</v>
      </c>
      <c r="K50" s="1688">
        <f>$M$6/60</f>
        <v>1.25</v>
      </c>
      <c r="L50" s="1690">
        <f t="shared" si="6"/>
        <v>0.70000000000000007</v>
      </c>
      <c r="M50" s="1689">
        <f t="shared" si="7"/>
        <v>12.016795305882351</v>
      </c>
      <c r="N50" s="1688">
        <f>$P$6/60</f>
        <v>1.5</v>
      </c>
      <c r="O50" s="1687">
        <f t="shared" si="8"/>
        <v>0.84000000000000008</v>
      </c>
      <c r="P50" s="1686">
        <f t="shared" si="9"/>
        <v>14.420154367058821</v>
      </c>
      <c r="Q50" s="38">
        <f t="shared" si="10"/>
        <v>0</v>
      </c>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f t="shared" si="10"/>
        <v>0</v>
      </c>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f t="shared" si="10"/>
        <v>0</v>
      </c>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f t="shared" si="10"/>
        <v>0</v>
      </c>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5.7500000000000009</v>
      </c>
      <c r="J58" s="1669"/>
      <c r="K58" s="1668"/>
      <c r="L58" s="1667">
        <f>SUM($L$46:$L$57)</f>
        <v>6.26</v>
      </c>
      <c r="M58" s="1666"/>
      <c r="N58" s="1665"/>
      <c r="O58" s="1664">
        <f>SUM($O$46:$O$57)</f>
        <v>6.7700000000000005</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10.350000000000001</v>
      </c>
      <c r="J59" s="1654"/>
      <c r="K59" s="1659"/>
      <c r="L59" s="1658">
        <f>IF(L58+SUM($L$46:$L$57)*$E$59%&gt;L58+10,L58+10,L58+SUM($L$46:$L$57)*$E$59%)</f>
        <v>11.268000000000001</v>
      </c>
      <c r="M59" s="1657"/>
      <c r="N59" s="1656"/>
      <c r="O59" s="1655">
        <f>IF(O58+SUM($O$46:$O$57)*$E$59%&gt;O58+10,O58+10,O58+SUM($O$46:$O$57)*$E$59%)</f>
        <v>12.186</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84</v>
      </c>
      <c r="K67" s="1609" t="s">
        <v>1161</v>
      </c>
      <c r="L67" s="1608" t="s">
        <v>1160</v>
      </c>
      <c r="M67" s="1585">
        <f>S68*(K9+K10)*L68%+F68</f>
        <v>135.375</v>
      </c>
      <c r="N67" s="1607" t="s">
        <v>1161</v>
      </c>
      <c r="O67" s="1606" t="s">
        <v>1160</v>
      </c>
      <c r="P67" s="1582">
        <f>T68*(N9+N10)*O68%+F68</f>
        <v>162.45000000000002</v>
      </c>
      <c r="Q67" s="38"/>
    </row>
    <row r="68" spans="1:20" s="686" customFormat="1" ht="15" customHeight="1">
      <c r="A68" s="1248"/>
      <c r="B68" s="1605"/>
      <c r="C68" s="4888" t="s">
        <v>1159</v>
      </c>
      <c r="D68" s="4888"/>
      <c r="E68" s="4888"/>
      <c r="F68" s="1604"/>
      <c r="G68" s="1595" t="s">
        <v>171</v>
      </c>
      <c r="H68" s="1602">
        <v>15.1</v>
      </c>
      <c r="I68" s="1601">
        <v>50</v>
      </c>
      <c r="J68" s="1600"/>
      <c r="K68" s="1602">
        <v>16</v>
      </c>
      <c r="L68" s="1601">
        <v>50</v>
      </c>
      <c r="M68" s="1603"/>
      <c r="N68" s="1602">
        <v>16</v>
      </c>
      <c r="O68" s="1601">
        <v>50</v>
      </c>
      <c r="P68" s="1600"/>
      <c r="Q68" s="38"/>
      <c r="R68" s="1599">
        <f>IF($H$68=0,0,VLOOKUP($H$68,'SD6'!B8:C101,'SD6'!C1,FALSE))*(1+'SDK1'!O11/100)</f>
        <v>2.8</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22.591999999999999</v>
      </c>
      <c r="K69" s="1598"/>
      <c r="L69" s="1597"/>
      <c r="M69" s="1585">
        <f>K70*$F70/1000</f>
        <v>28.239999999999995</v>
      </c>
      <c r="N69" s="44"/>
      <c r="O69" s="73"/>
      <c r="P69" s="1582">
        <f>N70*$F70/1000</f>
        <v>33.887999999999998</v>
      </c>
      <c r="Q69" s="38"/>
    </row>
    <row r="70" spans="1:20" s="686" customFormat="1" ht="15" customHeight="1">
      <c r="A70" s="1248"/>
      <c r="B70" s="1310"/>
      <c r="C70" s="1309" t="s">
        <v>840</v>
      </c>
      <c r="D70" s="346"/>
      <c r="E70" s="278"/>
      <c r="F70" s="1596">
        <f>'SDK7'!G101</f>
        <v>16</v>
      </c>
      <c r="G70" s="1595" t="s">
        <v>171</v>
      </c>
      <c r="H70" s="1591">
        <f>I9+I10</f>
        <v>1412</v>
      </c>
      <c r="I70" s="1590"/>
      <c r="J70" s="1589"/>
      <c r="K70" s="1594">
        <f>L9+L10</f>
        <v>1764.9999999999998</v>
      </c>
      <c r="L70" s="1593"/>
      <c r="M70" s="1592"/>
      <c r="N70" s="1591">
        <f>O9+O10</f>
        <v>2118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12.788242782370588</v>
      </c>
      <c r="K75" s="689"/>
      <c r="L75" s="1034"/>
      <c r="M75" s="1546">
        <f>(M23+M27+M34+M43+M60+M65+M67+M69+M71)*('SDK1'!$O$59%*$G$75/12)</f>
        <v>14.331197301070587</v>
      </c>
      <c r="N75" s="1548"/>
      <c r="O75" s="1547"/>
      <c r="P75" s="1546">
        <f>(P23+P27+P34+P43+P60+P65+P67+P69+P71)*('SDK1'!$O$59%*$G$75/12)</f>
        <v>15.646185153103923</v>
      </c>
      <c r="Q75" s="38"/>
    </row>
    <row r="78" spans="1:20">
      <c r="L78" s="15"/>
      <c r="M78" s="35"/>
      <c r="N78" s="35"/>
      <c r="O78" s="35"/>
      <c r="P78" s="35"/>
      <c r="Q78" s="35"/>
    </row>
    <row r="79" spans="1:20">
      <c r="L79" s="15"/>
      <c r="M79" s="35"/>
      <c r="N79" s="35"/>
      <c r="O79" s="35"/>
      <c r="P79" s="35"/>
      <c r="Q79" s="35"/>
    </row>
    <row r="80" spans="1:20">
      <c r="L80" s="15"/>
      <c r="M80" s="35"/>
      <c r="N80" s="35"/>
      <c r="O80" s="35"/>
      <c r="P80" s="35"/>
      <c r="Q80" s="35"/>
    </row>
    <row r="81" spans="1:17">
      <c r="A81" s="35"/>
      <c r="L81" s="15"/>
      <c r="M81" s="35"/>
      <c r="N81" s="35"/>
      <c r="O81" s="35"/>
      <c r="P81" s="35"/>
      <c r="Q81" s="35"/>
    </row>
    <row r="82" spans="1:17">
      <c r="A82" s="35"/>
      <c r="L82" s="15"/>
      <c r="M82" s="35"/>
      <c r="N82" s="35"/>
      <c r="O82" s="35"/>
      <c r="P82" s="35"/>
      <c r="Q82" s="35"/>
    </row>
    <row r="83" spans="1:17">
      <c r="A83" s="35"/>
      <c r="L83" s="15"/>
      <c r="M83" s="35"/>
      <c r="N83" s="35"/>
      <c r="O83" s="35"/>
      <c r="P83" s="35"/>
      <c r="Q83" s="35"/>
    </row>
    <row r="84" spans="1:17">
      <c r="A84" s="35"/>
      <c r="L84" s="15"/>
      <c r="M84" s="35"/>
      <c r="N84" s="35"/>
      <c r="O84" s="35"/>
      <c r="P84" s="35"/>
      <c r="Q84" s="35"/>
    </row>
    <row r="85" spans="1:17">
      <c r="A85" s="35"/>
      <c r="L85" s="15"/>
      <c r="M85" s="35"/>
      <c r="N85" s="35"/>
      <c r="O85" s="35"/>
      <c r="P85" s="35"/>
      <c r="Q85" s="35"/>
    </row>
    <row r="86" spans="1:17">
      <c r="A86" s="35"/>
      <c r="L86" s="15"/>
      <c r="M86" s="35"/>
      <c r="N86" s="35"/>
      <c r="O86" s="35"/>
      <c r="P86" s="35"/>
      <c r="Q86" s="35"/>
    </row>
    <row r="87" spans="1:17">
      <c r="A87" s="35"/>
      <c r="L87" s="15"/>
      <c r="M87" s="35"/>
      <c r="N87" s="35"/>
      <c r="O87" s="35"/>
      <c r="P87" s="35"/>
      <c r="Q87" s="35"/>
    </row>
    <row r="88" spans="1:17">
      <c r="A88" s="35"/>
      <c r="L88" s="15"/>
      <c r="M88" s="35"/>
      <c r="N88" s="35"/>
      <c r="O88" s="35"/>
      <c r="P88" s="35"/>
      <c r="Q88" s="35"/>
    </row>
    <row r="89" spans="1:17">
      <c r="A89" s="35"/>
      <c r="L89" s="15"/>
      <c r="M89" s="35"/>
      <c r="N89" s="35"/>
      <c r="O89" s="35"/>
      <c r="P89" s="35"/>
      <c r="Q89" s="35"/>
    </row>
    <row r="90" spans="1:17">
      <c r="A90" s="35"/>
      <c r="L90" s="15"/>
      <c r="M90" s="35"/>
      <c r="N90" s="35"/>
      <c r="O90" s="35"/>
      <c r="P90" s="35"/>
      <c r="Q90" s="35"/>
    </row>
    <row r="91" spans="1:17">
      <c r="A91" s="35"/>
      <c r="L91" s="15"/>
      <c r="M91" s="35"/>
      <c r="N91" s="35"/>
      <c r="O91" s="35"/>
      <c r="P91" s="35"/>
      <c r="Q91" s="35"/>
    </row>
    <row r="92" spans="1:17">
      <c r="A92" s="35"/>
      <c r="L92" s="15"/>
      <c r="M92" s="35"/>
      <c r="N92" s="35"/>
      <c r="O92" s="35"/>
      <c r="P92" s="35"/>
      <c r="Q92" s="35"/>
    </row>
    <row r="93" spans="1:17">
      <c r="A93" s="35"/>
      <c r="L93" s="15"/>
      <c r="M93" s="35"/>
      <c r="N93" s="35"/>
      <c r="O93" s="35"/>
      <c r="P93" s="35"/>
      <c r="Q93" s="35"/>
    </row>
    <row r="94" spans="1:17">
      <c r="A94" s="35"/>
      <c r="L94" s="15"/>
      <c r="M94" s="35"/>
      <c r="N94" s="35"/>
      <c r="O94" s="35"/>
      <c r="P94" s="35"/>
      <c r="Q94" s="35"/>
    </row>
    <row r="95" spans="1:17">
      <c r="A95" s="35"/>
      <c r="L95" s="15"/>
      <c r="M95" s="35"/>
      <c r="N95" s="35"/>
      <c r="O95" s="35"/>
      <c r="P95" s="35"/>
      <c r="Q95" s="35"/>
    </row>
    <row r="96" spans="1:17">
      <c r="A96" s="35"/>
      <c r="L96" s="15"/>
      <c r="M96" s="35"/>
      <c r="N96" s="35"/>
      <c r="O96" s="35"/>
      <c r="P96" s="35"/>
      <c r="Q96" s="35"/>
    </row>
    <row r="97" spans="1:17">
      <c r="A97" s="35"/>
      <c r="L97" s="15"/>
      <c r="M97" s="35"/>
      <c r="N97" s="35"/>
      <c r="O97" s="35"/>
      <c r="P97" s="35"/>
      <c r="Q97" s="35"/>
    </row>
    <row r="98" spans="1:17">
      <c r="A98" s="35"/>
      <c r="L98" s="15"/>
      <c r="M98" s="35"/>
      <c r="N98" s="35"/>
      <c r="O98" s="35"/>
      <c r="P98" s="35"/>
      <c r="Q98" s="35"/>
    </row>
    <row r="99" spans="1:17">
      <c r="A99" s="35"/>
      <c r="L99" s="15"/>
      <c r="M99" s="35"/>
      <c r="N99" s="35"/>
      <c r="O99" s="35"/>
      <c r="P99" s="35"/>
      <c r="Q99" s="35"/>
    </row>
    <row r="100" spans="1:17">
      <c r="A100" s="35"/>
      <c r="L100" s="15"/>
      <c r="M100" s="35"/>
      <c r="N100" s="35"/>
      <c r="O100" s="35"/>
      <c r="P100" s="35"/>
      <c r="Q100" s="35"/>
    </row>
    <row r="101" spans="1:17">
      <c r="A101" s="35"/>
      <c r="B101" s="35"/>
      <c r="L101" s="15"/>
      <c r="M101" s="35"/>
      <c r="N101" s="35"/>
      <c r="O101" s="35"/>
      <c r="P101" s="35"/>
      <c r="Q101" s="35"/>
    </row>
    <row r="102" spans="1:17">
      <c r="A102" s="35"/>
      <c r="B102" s="35"/>
      <c r="L102" s="15"/>
      <c r="M102" s="35"/>
      <c r="N102" s="35"/>
      <c r="O102" s="35"/>
      <c r="P102" s="35"/>
      <c r="Q102" s="35"/>
    </row>
    <row r="103" spans="1:17">
      <c r="A103" s="35"/>
      <c r="B103" s="35"/>
      <c r="L103" s="15"/>
      <c r="M103" s="35"/>
      <c r="N103" s="35"/>
      <c r="O103" s="35"/>
      <c r="P103" s="35"/>
      <c r="Q103" s="35"/>
    </row>
    <row r="104" spans="1:17">
      <c r="A104" s="35"/>
      <c r="B104" s="35"/>
      <c r="L104" s="15"/>
      <c r="M104" s="35"/>
      <c r="N104" s="35"/>
      <c r="O104" s="35"/>
      <c r="P104" s="35"/>
      <c r="Q104" s="35"/>
    </row>
    <row r="105" spans="1:17">
      <c r="A105" s="35"/>
      <c r="B105" s="35"/>
      <c r="L105" s="15"/>
      <c r="M105" s="35"/>
      <c r="N105" s="35"/>
      <c r="O105" s="35"/>
      <c r="P105" s="35"/>
      <c r="Q105" s="35"/>
    </row>
    <row r="106" spans="1:17">
      <c r="A106" s="35"/>
      <c r="B106" s="35"/>
      <c r="L106" s="15"/>
      <c r="M106" s="35"/>
      <c r="N106" s="35"/>
      <c r="O106" s="35"/>
      <c r="P106" s="35"/>
      <c r="Q106" s="35"/>
    </row>
    <row r="107" spans="1:17">
      <c r="A107" s="35"/>
      <c r="B107" s="35"/>
      <c r="L107" s="15"/>
      <c r="M107" s="35"/>
      <c r="N107" s="35"/>
      <c r="O107" s="35"/>
      <c r="P107" s="35"/>
      <c r="Q107" s="35"/>
    </row>
    <row r="108" spans="1:17">
      <c r="A108" s="35"/>
      <c r="B108" s="35"/>
      <c r="L108" s="15"/>
      <c r="M108" s="35"/>
      <c r="N108" s="35"/>
      <c r="O108" s="35"/>
      <c r="P108" s="35"/>
      <c r="Q108" s="35"/>
    </row>
    <row r="109" spans="1:17">
      <c r="A109" s="35"/>
      <c r="B109" s="35"/>
      <c r="L109" s="15"/>
      <c r="M109" s="35"/>
      <c r="N109" s="35"/>
      <c r="O109" s="35"/>
      <c r="P109" s="35"/>
      <c r="Q109" s="35"/>
    </row>
    <row r="110" spans="1:17">
      <c r="A110" s="35"/>
      <c r="B110" s="35"/>
      <c r="L110" s="15"/>
      <c r="M110" s="35"/>
      <c r="N110" s="35"/>
      <c r="O110" s="35"/>
      <c r="P110" s="35"/>
      <c r="Q110" s="35"/>
    </row>
    <row r="111" spans="1:17">
      <c r="A111" s="35"/>
      <c r="B111" s="35"/>
      <c r="L111" s="15"/>
      <c r="M111" s="35"/>
      <c r="N111" s="35"/>
      <c r="O111" s="35"/>
      <c r="P111" s="35"/>
      <c r="Q111" s="35"/>
    </row>
    <row r="112" spans="1:17">
      <c r="A112" s="35"/>
      <c r="B112" s="35"/>
      <c r="L112" s="15"/>
      <c r="M112" s="35"/>
      <c r="N112" s="35"/>
      <c r="O112" s="35"/>
      <c r="P112" s="35"/>
      <c r="Q112" s="35"/>
    </row>
    <row r="113" spans="1:17">
      <c r="A113" s="35"/>
      <c r="L113" s="15"/>
      <c r="M113" s="35"/>
      <c r="N113" s="35"/>
      <c r="O113" s="35"/>
      <c r="P113" s="35"/>
      <c r="Q113" s="35"/>
    </row>
    <row r="114" spans="1:17">
      <c r="A114" s="35"/>
      <c r="G114" s="39">
        <f>'SDK3'!C109</f>
        <v>0</v>
      </c>
      <c r="L114" s="15"/>
      <c r="M114" s="35"/>
      <c r="N114" s="35"/>
      <c r="O114" s="35"/>
      <c r="P114" s="35"/>
      <c r="Q114" s="35"/>
    </row>
    <row r="115" spans="1:17">
      <c r="A115" s="35"/>
      <c r="L115" s="15"/>
      <c r="M115" s="35"/>
      <c r="N115" s="35"/>
      <c r="O115" s="35"/>
      <c r="P115" s="35"/>
      <c r="Q115" s="35"/>
    </row>
    <row r="116" spans="1:17">
      <c r="A116" s="35"/>
      <c r="G116" s="39">
        <f>'SDK3'!C111</f>
        <v>0</v>
      </c>
      <c r="L116" s="15"/>
      <c r="M116" s="35"/>
      <c r="N116" s="35"/>
      <c r="O116" s="35"/>
      <c r="P116" s="35"/>
      <c r="Q116" s="35"/>
    </row>
    <row r="117" spans="1:17">
      <c r="A117" s="35"/>
      <c r="L117" s="15"/>
      <c r="M117" s="35"/>
      <c r="N117" s="35"/>
      <c r="O117" s="35"/>
      <c r="P117" s="35"/>
      <c r="Q117" s="35"/>
    </row>
    <row r="118" spans="1:17">
      <c r="A118" s="35"/>
      <c r="L118" s="15"/>
      <c r="M118" s="35"/>
      <c r="N118" s="35"/>
      <c r="O118" s="35"/>
      <c r="P118" s="35"/>
      <c r="Q118" s="35"/>
    </row>
    <row r="119" spans="1:17">
      <c r="A119" s="35"/>
      <c r="L119" s="15"/>
      <c r="M119" s="35"/>
      <c r="N119" s="35"/>
      <c r="O119" s="35"/>
      <c r="P119" s="35"/>
      <c r="Q119" s="35"/>
    </row>
    <row r="120" spans="1:17">
      <c r="A120" s="35"/>
      <c r="B120" s="601"/>
      <c r="C120" s="15"/>
      <c r="L120" s="15"/>
      <c r="M120" s="35"/>
      <c r="N120" s="35"/>
      <c r="O120" s="35"/>
      <c r="P120" s="35"/>
      <c r="Q120" s="35"/>
    </row>
    <row r="121" spans="1:17">
      <c r="A121" s="35"/>
      <c r="B121" s="601"/>
      <c r="C121" s="15"/>
      <c r="L121" s="15"/>
      <c r="M121" s="35"/>
      <c r="N121" s="35"/>
      <c r="O121" s="35"/>
      <c r="P121" s="35"/>
      <c r="Q121" s="35"/>
    </row>
    <row r="122" spans="1:17">
      <c r="A122" s="35"/>
      <c r="B122" s="601"/>
      <c r="C122" s="15"/>
      <c r="L122" s="15"/>
      <c r="M122" s="35"/>
      <c r="N122" s="35"/>
      <c r="O122" s="35"/>
      <c r="P122" s="35"/>
      <c r="Q122" s="35"/>
    </row>
    <row r="123" spans="1:17">
      <c r="A123" s="35"/>
      <c r="B123" s="601"/>
      <c r="C123" s="15"/>
      <c r="L123" s="15"/>
      <c r="M123" s="35"/>
      <c r="N123" s="35"/>
      <c r="O123" s="35"/>
      <c r="P123" s="35"/>
      <c r="Q123" s="35"/>
    </row>
    <row r="124" spans="1:17">
      <c r="A124" s="35"/>
      <c r="B124" s="601"/>
      <c r="C124" s="15"/>
      <c r="L124" s="15"/>
      <c r="M124" s="35"/>
      <c r="N124" s="35"/>
      <c r="O124" s="35"/>
      <c r="P124" s="35"/>
      <c r="Q124" s="35"/>
    </row>
    <row r="125" spans="1:17">
      <c r="A125" s="35"/>
      <c r="B125" s="601"/>
      <c r="C125" s="15"/>
      <c r="L125" s="15"/>
      <c r="M125" s="35"/>
      <c r="N125" s="35"/>
      <c r="O125" s="35"/>
      <c r="P125" s="35"/>
      <c r="Q125" s="35"/>
    </row>
    <row r="126" spans="1:17">
      <c r="A126" s="35"/>
      <c r="B126" s="601"/>
      <c r="C126" s="15"/>
      <c r="L126" s="15"/>
      <c r="M126" s="35"/>
      <c r="N126" s="35"/>
      <c r="O126" s="35"/>
      <c r="P126" s="35"/>
      <c r="Q126" s="35"/>
    </row>
    <row r="127" spans="1:17">
      <c r="A127" s="35"/>
      <c r="B127" s="601"/>
      <c r="C127" s="15"/>
      <c r="L127" s="15"/>
      <c r="M127" s="35"/>
      <c r="N127" s="35"/>
      <c r="O127" s="35"/>
      <c r="P127" s="35"/>
      <c r="Q127" s="35"/>
    </row>
    <row r="128" spans="1:17">
      <c r="A128" s="35"/>
      <c r="B128" s="601"/>
      <c r="C128" s="15"/>
      <c r="L128" s="15"/>
      <c r="M128" s="35"/>
      <c r="N128" s="35"/>
      <c r="O128" s="35"/>
      <c r="P128" s="35"/>
      <c r="Q128" s="35"/>
    </row>
    <row r="129" spans="1:17">
      <c r="A129" s="35"/>
      <c r="B129" s="601"/>
      <c r="C129" s="15"/>
      <c r="L129" s="15"/>
      <c r="M129" s="35"/>
      <c r="N129" s="35"/>
      <c r="O129" s="35"/>
      <c r="P129" s="35"/>
      <c r="Q129" s="35"/>
    </row>
    <row r="130" spans="1:17">
      <c r="A130" s="35"/>
      <c r="B130" s="601"/>
      <c r="C130" s="15"/>
      <c r="L130" s="15"/>
      <c r="M130" s="35"/>
      <c r="N130" s="35"/>
      <c r="O130" s="35"/>
      <c r="P130" s="35"/>
      <c r="Q130" s="35"/>
    </row>
    <row r="131" spans="1:17">
      <c r="A131" s="35"/>
      <c r="B131" s="601"/>
      <c r="C131" s="15"/>
      <c r="L131" s="15"/>
      <c r="M131" s="35"/>
      <c r="N131" s="35"/>
      <c r="O131" s="35"/>
      <c r="P131" s="35"/>
      <c r="Q131" s="35"/>
    </row>
    <row r="132" spans="1:17">
      <c r="A132" s="35"/>
      <c r="B132" s="601"/>
      <c r="C132" s="15"/>
      <c r="L132" s="15"/>
      <c r="M132" s="35"/>
      <c r="N132" s="35"/>
      <c r="O132" s="35"/>
      <c r="P132" s="35"/>
      <c r="Q132" s="35"/>
    </row>
    <row r="133" spans="1:17">
      <c r="A133" s="35"/>
      <c r="B133" s="601"/>
      <c r="C133" s="15"/>
      <c r="L133" s="15"/>
      <c r="M133" s="35"/>
      <c r="N133" s="35"/>
      <c r="O133" s="35"/>
      <c r="P133" s="35"/>
      <c r="Q133" s="35"/>
    </row>
    <row r="134" spans="1:17">
      <c r="A134" s="35"/>
      <c r="B134" s="601"/>
      <c r="C134" s="15"/>
      <c r="L134" s="15"/>
      <c r="M134" s="35"/>
      <c r="N134" s="35"/>
      <c r="O134" s="35"/>
      <c r="P134" s="35"/>
      <c r="Q134" s="35"/>
    </row>
    <row r="135" spans="1:17">
      <c r="A135" s="35"/>
      <c r="B135" s="601"/>
      <c r="C135" s="15"/>
      <c r="L135" s="15"/>
      <c r="M135" s="35"/>
      <c r="N135" s="35"/>
      <c r="O135" s="35"/>
      <c r="P135" s="35"/>
      <c r="Q135" s="35"/>
    </row>
    <row r="136" spans="1:17">
      <c r="A136" s="35"/>
      <c r="B136" s="601"/>
      <c r="C136" s="15"/>
      <c r="L136" s="15"/>
      <c r="M136" s="35"/>
      <c r="N136" s="35"/>
      <c r="O136" s="35"/>
      <c r="P136" s="35"/>
      <c r="Q136" s="35"/>
    </row>
    <row r="137" spans="1:17">
      <c r="A137" s="35"/>
      <c r="B137" s="601"/>
      <c r="C137" s="15"/>
      <c r="L137" s="15"/>
      <c r="M137" s="35"/>
      <c r="N137" s="35"/>
      <c r="O137" s="35"/>
      <c r="P137" s="35"/>
      <c r="Q137" s="35"/>
    </row>
    <row r="138" spans="1:17">
      <c r="A138" s="35"/>
      <c r="B138" s="601"/>
      <c r="C138" s="15"/>
      <c r="L138" s="15"/>
      <c r="M138" s="35"/>
      <c r="N138" s="35"/>
      <c r="O138" s="35"/>
      <c r="P138" s="35"/>
      <c r="Q138" s="35"/>
    </row>
    <row r="139" spans="1:17">
      <c r="A139" s="35"/>
      <c r="B139" s="601"/>
      <c r="C139" s="15"/>
      <c r="L139" s="15"/>
      <c r="M139" s="35"/>
      <c r="N139" s="35"/>
      <c r="O139" s="35"/>
      <c r="P139" s="35"/>
      <c r="Q139" s="35"/>
    </row>
    <row r="140" spans="1:17">
      <c r="A140" s="35"/>
      <c r="B140" s="601"/>
      <c r="C140" s="15"/>
      <c r="L140" s="15"/>
      <c r="M140" s="35"/>
      <c r="N140" s="35"/>
      <c r="O140" s="35"/>
      <c r="P140" s="35"/>
      <c r="Q140" s="35"/>
    </row>
    <row r="141" spans="1:17">
      <c r="A141" s="35"/>
      <c r="B141" s="601"/>
      <c r="C141" s="15"/>
      <c r="L141" s="15"/>
      <c r="M141" s="35"/>
      <c r="N141" s="35"/>
      <c r="O141" s="35"/>
      <c r="P141" s="35"/>
      <c r="Q141" s="35"/>
    </row>
    <row r="142" spans="1:17">
      <c r="A142" s="35"/>
      <c r="B142" s="601"/>
      <c r="C142" s="15"/>
      <c r="L142" s="15"/>
    </row>
    <row r="143" spans="1:17">
      <c r="A143" s="35"/>
      <c r="B143" s="601"/>
      <c r="C143" s="15"/>
      <c r="L143" s="15"/>
    </row>
    <row r="144" spans="1:17">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B23" location="Sonstige!A1" display=" Saatgut"/>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18" orientation="portrait" r:id="rId1"/>
  <headerFooter alignWithMargins="0">
    <oddFooter>&amp;L&amp;11LEL Schwäbisch Gmünd&amp;C25&amp;R&amp;11&amp;F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12</xdr:col>
                    <xdr:colOff>123825</xdr:colOff>
                    <xdr:row>3</xdr:row>
                    <xdr:rowOff>9525</xdr:rowOff>
                  </from>
                  <to>
                    <xdr:col>12</xdr:col>
                    <xdr:colOff>381000</xdr:colOff>
                    <xdr:row>3</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12</xdr:col>
                    <xdr:colOff>123825</xdr:colOff>
                    <xdr:row>2</xdr:row>
                    <xdr:rowOff>38100</xdr:rowOff>
                  </from>
                  <to>
                    <xdr:col>12</xdr:col>
                    <xdr:colOff>390525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0">
    <tabColor rgb="FFFFC0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4.375" style="38" hidden="1" customWidth="1"/>
    <col min="18" max="18" width="13.5" style="35" hidden="1" customWidth="1"/>
    <col min="19" max="19" width="19.625" style="35" hidden="1" customWidth="1"/>
    <col min="20" max="20" width="8" style="35" hidden="1" customWidth="1"/>
    <col min="21" max="21" width="0" style="35" hidden="1" customWidth="1"/>
    <col min="22" max="22" width="12.875" style="35" hidden="1" customWidth="1"/>
    <col min="23" max="23" width="46.5" style="35" hidden="1" customWidth="1"/>
    <col min="24" max="26" width="2.625" style="35" hidden="1" customWidth="1"/>
    <col min="27" max="33" width="0" style="35" hidden="1" customWidth="1"/>
    <col min="34" max="16384" width="10.5" style="35"/>
  </cols>
  <sheetData>
    <row r="1" spans="1:41" s="1859" customFormat="1" ht="30.4" customHeight="1">
      <c r="A1" s="1863"/>
      <c r="B1" s="319"/>
      <c r="C1" s="1876"/>
      <c r="D1" s="1795"/>
      <c r="E1" s="316"/>
      <c r="F1" s="316"/>
      <c r="G1" s="585"/>
      <c r="H1" s="1870"/>
      <c r="I1" s="1875" t="s">
        <v>1207</v>
      </c>
      <c r="J1" s="1874">
        <f>(J7+J13+J18+J22+I11+I12)-(J23+J27+J34+J43+J60+J65+J67+J69+J71+J75)</f>
        <v>730.22773344568895</v>
      </c>
      <c r="K1" s="4855">
        <f>M1-J1</f>
        <v>153.77029605540656</v>
      </c>
      <c r="L1" s="4855"/>
      <c r="M1" s="1874">
        <f>(M7+M13+M18+M22+L11+L12)-(M23+M27+M34+M43+M60+M65+M67+M69+M71+M75)</f>
        <v>883.99802950109552</v>
      </c>
      <c r="N1" s="4855">
        <f>P1-M1</f>
        <v>142.71536643940249</v>
      </c>
      <c r="O1" s="4855"/>
      <c r="P1" s="1874">
        <f>(P7+P13+P18+P22+O11+O12)-(P23+P27+P34+P43+P60+P65+P67+P69+P71+P75)</f>
        <v>1026.713395940498</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90</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55</v>
      </c>
      <c r="K6" s="4874" t="s">
        <v>152</v>
      </c>
      <c r="L6" s="4875"/>
      <c r="M6" s="1855">
        <v>65</v>
      </c>
      <c r="N6" s="4861" t="s">
        <v>178</v>
      </c>
      <c r="O6" s="4862"/>
      <c r="P6" s="1854">
        <v>75</v>
      </c>
      <c r="Q6" s="70"/>
    </row>
    <row r="7" spans="1:41" s="251" customFormat="1" ht="18.75" customHeight="1">
      <c r="A7" s="47"/>
      <c r="B7" s="305" t="s">
        <v>1202</v>
      </c>
      <c r="C7" s="47"/>
      <c r="D7" s="47"/>
      <c r="E7" s="47"/>
      <c r="F7" s="47"/>
      <c r="G7" s="1852"/>
      <c r="H7" s="1849"/>
      <c r="I7" s="1848"/>
      <c r="J7" s="1582">
        <f>SUM(I9:I10)</f>
        <v>1180.6666666666667</v>
      </c>
      <c r="K7" s="1851"/>
      <c r="L7" s="1850"/>
      <c r="M7" s="1585">
        <f>SUM(L9:L10)</f>
        <v>1395.3333333333335</v>
      </c>
      <c r="N7" s="1849"/>
      <c r="O7" s="1848"/>
      <c r="P7" s="1582">
        <f>SUM(O9:O10)</f>
        <v>1610.0000000000002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'SDK1'!O20</f>
        <v>21.466666666666669</v>
      </c>
      <c r="H9" s="1845">
        <f>J6-H10</f>
        <v>55</v>
      </c>
      <c r="I9" s="1841">
        <f>H9*G9</f>
        <v>1180.6666666666667</v>
      </c>
      <c r="J9" s="43"/>
      <c r="K9" s="1844">
        <f>M6-K10</f>
        <v>65</v>
      </c>
      <c r="L9" s="1843">
        <f>K9*G9</f>
        <v>1395.3333333333335</v>
      </c>
      <c r="M9" s="1822"/>
      <c r="N9" s="1842">
        <f>P6-N10</f>
        <v>75</v>
      </c>
      <c r="O9" s="1841">
        <f>N9*G9</f>
        <v>1610.0000000000002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1886"/>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82.5</v>
      </c>
      <c r="K23" s="1587"/>
      <c r="L23" s="1586"/>
      <c r="M23" s="1768">
        <f>SUM(L25:L26)</f>
        <v>82.5</v>
      </c>
      <c r="N23" s="1584"/>
      <c r="O23" s="1583"/>
      <c r="P23" s="1567">
        <f>SUM(O25:O26)</f>
        <v>62.099999999999994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t="s">
        <v>1210</v>
      </c>
      <c r="E25" s="4879"/>
      <c r="F25" s="1763">
        <f>'SDK7'!F49/100</f>
        <v>0.75</v>
      </c>
      <c r="G25" s="1762">
        <f>F25*(100+$D$24)/100</f>
        <v>0.75</v>
      </c>
      <c r="H25" s="1761">
        <v>110</v>
      </c>
      <c r="I25" s="1722">
        <f>H25*$G25</f>
        <v>82.5</v>
      </c>
      <c r="J25" s="45"/>
      <c r="K25" s="1761">
        <f>H25</f>
        <v>110</v>
      </c>
      <c r="L25" s="1564">
        <f>K25*$G25</f>
        <v>82.5</v>
      </c>
      <c r="M25" s="1557"/>
      <c r="N25" s="1761"/>
      <c r="O25" s="1722">
        <f>N25*$G25</f>
        <v>0</v>
      </c>
      <c r="P25" s="1686"/>
      <c r="Q25" s="38"/>
    </row>
    <row r="26" spans="1:26" s="42" customFormat="1" ht="15" customHeight="1">
      <c r="A26" s="1284"/>
      <c r="B26" s="1310"/>
      <c r="C26" s="1760"/>
      <c r="D26" s="4880" t="s">
        <v>1209</v>
      </c>
      <c r="E26" s="4881"/>
      <c r="F26" s="1759">
        <f>'SDK7'!F50/100</f>
        <v>0.69</v>
      </c>
      <c r="G26" s="1758">
        <f>F26*(100+$D$24)/100</f>
        <v>0.69</v>
      </c>
      <c r="H26" s="1757"/>
      <c r="I26" s="1718">
        <f>H26*$G26</f>
        <v>0</v>
      </c>
      <c r="J26" s="45"/>
      <c r="K26" s="1757">
        <f>H26</f>
        <v>0</v>
      </c>
      <c r="L26" s="1558">
        <f>K26*$G26</f>
        <v>0</v>
      </c>
      <c r="M26" s="1557"/>
      <c r="N26" s="1757">
        <v>90</v>
      </c>
      <c r="O26" s="1718">
        <f>N26*$G26</f>
        <v>62.099999999999994</v>
      </c>
      <c r="P26" s="1717"/>
      <c r="Q26" s="38"/>
    </row>
    <row r="27" spans="1:26" s="686" customFormat="1" ht="18.75" customHeight="1">
      <c r="A27" s="1248"/>
      <c r="B27" s="1756" t="s">
        <v>1184</v>
      </c>
      <c r="C27" s="1248"/>
      <c r="D27" s="73"/>
      <c r="E27" s="38"/>
      <c r="F27" s="38"/>
      <c r="G27" s="1755"/>
      <c r="H27" s="1714"/>
      <c r="I27" s="1713"/>
      <c r="J27" s="1582">
        <f>SUM(I30:I33)</f>
        <v>232.72960000000003</v>
      </c>
      <c r="K27" s="1716"/>
      <c r="L27" s="1715"/>
      <c r="M27" s="1585">
        <f>SUM(L30:L33)</f>
        <v>269.83680000000004</v>
      </c>
      <c r="N27" s="1714"/>
      <c r="O27" s="1713"/>
      <c r="P27" s="1582">
        <f>SUM(O30:O33)</f>
        <v>306.94399999999996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1.51</v>
      </c>
      <c r="F30" s="1742">
        <f>VLOOKUP(K2,'SD8'!B9:L42,7,FALSE)</f>
        <v>0.44999999999999996</v>
      </c>
      <c r="G30" s="1741">
        <v>20</v>
      </c>
      <c r="H30" s="1739">
        <f>IF(J$6=0,0,(J$6*$E30+$G30+X14))</f>
        <v>103.05</v>
      </c>
      <c r="I30" s="1722">
        <f>H30*$D30</f>
        <v>147.5676</v>
      </c>
      <c r="J30" s="45"/>
      <c r="K30" s="1740">
        <f>IF(M$6=0,0,(M$6*$E30+$G30+Y14))</f>
        <v>118.15</v>
      </c>
      <c r="L30" s="1564">
        <f>K30*$D30</f>
        <v>169.1908</v>
      </c>
      <c r="M30" s="1557"/>
      <c r="N30" s="1739">
        <f>IF(P$6=0,0,(P$6*$E30+$G30+Z14))</f>
        <v>133.25</v>
      </c>
      <c r="O30" s="1722">
        <f>N30*$D30</f>
        <v>190.81399999999999</v>
      </c>
      <c r="P30" s="1686"/>
      <c r="Q30" s="38"/>
    </row>
    <row r="31" spans="1:26" s="42" customFormat="1" ht="15" customHeight="1">
      <c r="A31" s="1284"/>
      <c r="B31" s="272"/>
      <c r="C31" s="1284" t="s">
        <v>244</v>
      </c>
      <c r="D31" s="1691">
        <f>'SDK1'!O53</f>
        <v>1.05</v>
      </c>
      <c r="E31" s="1742">
        <f>VLOOKUP(K2,'SD8'!B9:L42,4,FALSE)</f>
        <v>0.8</v>
      </c>
      <c r="F31" s="1742">
        <f>VLOOKUP(K2,'SD8'!B9:L42,8,FALSE)</f>
        <v>0.27</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1.7999999999999998</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76" t="s">
        <v>1177</v>
      </c>
      <c r="G34" s="4877"/>
      <c r="H34" s="1732"/>
      <c r="I34" s="1731"/>
      <c r="J34" s="1582">
        <f>SUM(I36:I42)</f>
        <v>147.32</v>
      </c>
      <c r="K34" s="1734"/>
      <c r="L34" s="1733"/>
      <c r="M34" s="1585">
        <f>SUM(L36:L42)</f>
        <v>147.32</v>
      </c>
      <c r="N34" s="1732"/>
      <c r="O34" s="1731"/>
      <c r="P34" s="1582">
        <f>SUM(O36:O42)</f>
        <v>167.86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650</v>
      </c>
      <c r="D36" s="4884"/>
      <c r="E36" s="4885"/>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70" t="s">
        <v>644</v>
      </c>
      <c r="D37" s="4870"/>
      <c r="E37" s="4871"/>
      <c r="F37" s="1724">
        <f>IF(C37="",0,VLOOKUP(C37,'SDK5'!C4:AF84,2,FALSE))</f>
        <v>6.8</v>
      </c>
      <c r="G37" s="1724">
        <f t="shared" si="0"/>
        <v>6.8</v>
      </c>
      <c r="H37" s="1723"/>
      <c r="I37" s="1722">
        <f t="shared" si="1"/>
        <v>0</v>
      </c>
      <c r="J37" s="45"/>
      <c r="K37" s="1723"/>
      <c r="L37" s="1564">
        <f t="shared" si="2"/>
        <v>0</v>
      </c>
      <c r="M37" s="1557"/>
      <c r="N37" s="1723">
        <v>1</v>
      </c>
      <c r="O37" s="1722">
        <f t="shared" si="3"/>
        <v>6.8</v>
      </c>
      <c r="P37" s="1686"/>
      <c r="Q37" s="38"/>
    </row>
    <row r="38" spans="1:17" s="42" customFormat="1" ht="15" customHeight="1">
      <c r="A38" s="1284"/>
      <c r="B38" s="1725"/>
      <c r="C38" s="4870" t="s">
        <v>622</v>
      </c>
      <c r="D38" s="4870"/>
      <c r="E38" s="4871"/>
      <c r="F38" s="1724">
        <f>IF(C38="",0,VLOOKUP(C38,'SDK5'!C5:AF85,2,FALSE))</f>
        <v>68.7</v>
      </c>
      <c r="G38" s="1724">
        <f t="shared" si="0"/>
        <v>68.7</v>
      </c>
      <c r="H38" s="1723"/>
      <c r="I38" s="1722">
        <f t="shared" si="1"/>
        <v>0</v>
      </c>
      <c r="J38" s="45"/>
      <c r="K38" s="1723"/>
      <c r="L38" s="1564">
        <f t="shared" si="2"/>
        <v>0</v>
      </c>
      <c r="M38" s="1557"/>
      <c r="N38" s="1723">
        <v>0.2</v>
      </c>
      <c r="O38" s="1722">
        <f t="shared" si="3"/>
        <v>13.740000000000002</v>
      </c>
      <c r="P38" s="1686"/>
      <c r="Q38" s="38"/>
    </row>
    <row r="39" spans="1:17" s="42" customFormat="1" ht="15" customHeight="1">
      <c r="A39" s="1284"/>
      <c r="B39" s="1562"/>
      <c r="C39" s="4870" t="s">
        <v>2008</v>
      </c>
      <c r="D39" s="4870"/>
      <c r="E39" s="4871"/>
      <c r="F39" s="1724">
        <f>IF(C39="",0,VLOOKUP(C39,'SDK5'!C6:AF86,2,FALSE))</f>
        <v>80</v>
      </c>
      <c r="G39" s="1724">
        <f t="shared" si="0"/>
        <v>80</v>
      </c>
      <c r="H39" s="1723">
        <v>1</v>
      </c>
      <c r="I39" s="1722">
        <f t="shared" si="1"/>
        <v>80</v>
      </c>
      <c r="J39" s="45"/>
      <c r="K39" s="1723">
        <v>1</v>
      </c>
      <c r="L39" s="1564">
        <f t="shared" si="2"/>
        <v>80</v>
      </c>
      <c r="M39" s="1557"/>
      <c r="N39" s="1723">
        <v>1</v>
      </c>
      <c r="O39" s="1722">
        <f t="shared" si="3"/>
        <v>80</v>
      </c>
      <c r="P39" s="1686"/>
      <c r="Q39" s="38"/>
    </row>
    <row r="40" spans="1:17" s="42" customFormat="1" ht="15" customHeight="1">
      <c r="A40" s="1284"/>
      <c r="B40" s="1562"/>
      <c r="C40" s="4870" t="s">
        <v>351</v>
      </c>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t="s">
        <v>351</v>
      </c>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147.57741855999996</v>
      </c>
      <c r="K43" s="1716"/>
      <c r="L43" s="1715"/>
      <c r="M43" s="1585">
        <f>SUM(M46:M57)</f>
        <v>149.17965793411761</v>
      </c>
      <c r="N43" s="1714"/>
      <c r="O43" s="1713"/>
      <c r="P43" s="1582">
        <f>SUM(P46:P57)</f>
        <v>161.56934009176467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3</v>
      </c>
      <c r="O49" s="1687">
        <f t="shared" si="8"/>
        <v>1.17</v>
      </c>
      <c r="P49" s="1686">
        <f t="shared" si="9"/>
        <v>19.528072154117645</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0.91666666666666663</v>
      </c>
      <c r="I50" s="1687">
        <f t="shared" si="4"/>
        <v>0.51333333333333331</v>
      </c>
      <c r="J50" s="1686">
        <f t="shared" si="5"/>
        <v>8.8123165576470566</v>
      </c>
      <c r="K50" s="1688">
        <f>M6/60</f>
        <v>1.0833333333333333</v>
      </c>
      <c r="L50" s="1690">
        <f t="shared" si="6"/>
        <v>0.60666666666666669</v>
      </c>
      <c r="M50" s="1689">
        <f t="shared" si="7"/>
        <v>10.414555931764703</v>
      </c>
      <c r="N50" s="1688">
        <f>P6/60</f>
        <v>1.25</v>
      </c>
      <c r="O50" s="1687">
        <f t="shared" si="8"/>
        <v>0.70000000000000007</v>
      </c>
      <c r="P50" s="1686">
        <f t="shared" si="9"/>
        <v>12.016795305882351</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5.3133333333333344</v>
      </c>
      <c r="J58" s="1669"/>
      <c r="K58" s="1668"/>
      <c r="L58" s="1667">
        <f>SUM($L$46:$L$57)</f>
        <v>5.4066666666666672</v>
      </c>
      <c r="M58" s="1666"/>
      <c r="N58" s="1665"/>
      <c r="O58" s="1664">
        <f>SUM($O$46:$O$57)</f>
        <v>6.26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9.5640000000000018</v>
      </c>
      <c r="J59" s="1654"/>
      <c r="K59" s="1659"/>
      <c r="L59" s="1658">
        <f>IF(L58+SUM($L$46:$L$57)*$E$59%&gt;L58+10,L58+10,L58+SUM($L$46:$L$57)*$E$59%)</f>
        <v>9.7320000000000011</v>
      </c>
      <c r="M59" s="1657"/>
      <c r="N59" s="1656"/>
      <c r="O59" s="1655">
        <f>IF(O58+SUM($O$46:$O$57)*$E$59%&gt;O58+10,O58+10,O58+SUM($O$46:$O$57)*$E$59%)</f>
        <v>11.268000000000001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117.32500000000002</v>
      </c>
      <c r="N67" s="1607" t="s">
        <v>1161</v>
      </c>
      <c r="O67" s="1606" t="s">
        <v>1160</v>
      </c>
      <c r="P67" s="1582">
        <f>T68*(N9+N10)*O68%+F68</f>
        <v>135.375</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18.890666666666668</v>
      </c>
      <c r="K69" s="1598"/>
      <c r="L69" s="1597"/>
      <c r="M69" s="1585">
        <f>K70*$F70/1000</f>
        <v>22.325333333333337</v>
      </c>
      <c r="N69" s="44"/>
      <c r="O69" s="73"/>
      <c r="P69" s="1582">
        <f>N70*$F70/1000</f>
        <v>25.760000000000005</v>
      </c>
      <c r="Q69" s="38"/>
    </row>
    <row r="70" spans="1:20" s="686" customFormat="1" ht="15" customHeight="1">
      <c r="A70" s="1248"/>
      <c r="B70" s="1310"/>
      <c r="C70" s="1309" t="s">
        <v>840</v>
      </c>
      <c r="D70" s="346"/>
      <c r="E70" s="278"/>
      <c r="F70" s="1596">
        <f>'SDK7'!G101</f>
        <v>16</v>
      </c>
      <c r="G70" s="1595" t="s">
        <v>171</v>
      </c>
      <c r="H70" s="1591">
        <f>I9+I10</f>
        <v>1180.6666666666667</v>
      </c>
      <c r="I70" s="1590"/>
      <c r="J70" s="1589"/>
      <c r="K70" s="1594">
        <f>L9+L10</f>
        <v>1395.3333333333335</v>
      </c>
      <c r="L70" s="1593"/>
      <c r="M70" s="1592"/>
      <c r="N70" s="1591">
        <f>O9+O10</f>
        <v>1610.0000000000002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10.446247994311111</v>
      </c>
      <c r="K75" s="689"/>
      <c r="L75" s="1034"/>
      <c r="M75" s="1546">
        <f>(M23+M27+M34+M43+M60+M65+M67+M69+M71)*('SDK1'!$O$59%*$G$75/12)</f>
        <v>11.14851256478693</v>
      </c>
      <c r="N75" s="1548"/>
      <c r="O75" s="1547"/>
      <c r="P75" s="1546">
        <f>(P23+P27+P34+P43+P60+P65+P67+P69+P71)*('SDK1'!$O$59%*$G$75/12)</f>
        <v>11.978263967737256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D149" s="15"/>
      <c r="F149" s="15"/>
      <c r="G149" s="15"/>
      <c r="H149" s="15"/>
      <c r="I149" s="15"/>
      <c r="J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D158" s="15"/>
      <c r="F158" s="15"/>
      <c r="G158" s="15"/>
      <c r="H158" s="15"/>
      <c r="I158" s="15"/>
      <c r="J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4" orientation="portrait" r:id="rId1"/>
  <headerFooter alignWithMargins="0">
    <oddFooter>&amp;L&amp;11LEL Schwäbisch Gmünd&amp;C31&amp;R&amp;11&amp;F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12</xdr:col>
                    <xdr:colOff>285750</xdr:colOff>
                    <xdr:row>3</xdr:row>
                    <xdr:rowOff>38100</xdr:rowOff>
                  </from>
                  <to>
                    <xdr:col>12</xdr:col>
                    <xdr:colOff>533400</xdr:colOff>
                    <xdr:row>4</xdr:row>
                    <xdr:rowOff>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12</xdr:col>
                    <xdr:colOff>285750</xdr:colOff>
                    <xdr:row>2</xdr:row>
                    <xdr:rowOff>47625</xdr:rowOff>
                  </from>
                  <to>
                    <xdr:col>12</xdr:col>
                    <xdr:colOff>533400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'SDK5'!$H$214:$H$313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1">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5" width="0" style="35" hidden="1" customWidth="1"/>
    <col min="36" max="16384" width="10.5" style="35"/>
  </cols>
  <sheetData>
    <row r="1" spans="1:41" s="1859" customFormat="1" ht="30.4" customHeight="1">
      <c r="A1" s="1863"/>
      <c r="B1" s="319"/>
      <c r="C1" s="1876"/>
      <c r="D1" s="1795"/>
      <c r="E1" s="316"/>
      <c r="F1" s="316"/>
      <c r="G1" s="585"/>
      <c r="H1" s="1870"/>
      <c r="I1" s="1875" t="s">
        <v>1207</v>
      </c>
      <c r="J1" s="1874">
        <f>(J7+J13+J18+J22+I11+I12)-(J23+J27+J34+J43+J60+J65+J67+J69+J71+J75)</f>
        <v>676.22882889013351</v>
      </c>
      <c r="K1" s="4855">
        <f>M1-J1</f>
        <v>210.79748941644255</v>
      </c>
      <c r="L1" s="4855"/>
      <c r="M1" s="1874">
        <f>(M7+M13+M18+M22+L11+L12)-(M23+M27+M34+M43+M60+M65+M67+M69+M71+M75)</f>
        <v>887.02631830657606</v>
      </c>
      <c r="N1" s="4855">
        <f>P1-M1</f>
        <v>205.65902693789235</v>
      </c>
      <c r="O1" s="4855"/>
      <c r="P1" s="1874">
        <f>(P7+P13+P18+P22+O11+O12)-(P23+P27+P34+P43+P60+P65+P67+P69+P71+P75)</f>
        <v>1092.6853452444684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88</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60</v>
      </c>
      <c r="K6" s="4874" t="s">
        <v>152</v>
      </c>
      <c r="L6" s="4875"/>
      <c r="M6" s="1855">
        <v>75</v>
      </c>
      <c r="N6" s="4861" t="s">
        <v>178</v>
      </c>
      <c r="O6" s="4862"/>
      <c r="P6" s="1854">
        <v>90</v>
      </c>
      <c r="Q6" s="70"/>
    </row>
    <row r="7" spans="1:41" s="251" customFormat="1" ht="18.75" customHeight="1">
      <c r="A7" s="47"/>
      <c r="B7" s="305" t="s">
        <v>1202</v>
      </c>
      <c r="C7" s="47"/>
      <c r="D7" s="47"/>
      <c r="E7" s="47"/>
      <c r="F7" s="47"/>
      <c r="G7" s="1852"/>
      <c r="H7" s="1849"/>
      <c r="I7" s="1848"/>
      <c r="J7" s="1582">
        <f>SUM(I9:I10)</f>
        <v>1232</v>
      </c>
      <c r="K7" s="1851"/>
      <c r="L7" s="1850"/>
      <c r="M7" s="1585">
        <f>SUM(L9:L10)</f>
        <v>1539.9999999999998</v>
      </c>
      <c r="N7" s="1849"/>
      <c r="O7" s="1848"/>
      <c r="P7" s="1582">
        <f>SUM(O9:O10)</f>
        <v>1847.9999999999998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'SDK1'!O21</f>
        <v>20.533333333333331</v>
      </c>
      <c r="H9" s="1845">
        <f>J6-H10</f>
        <v>60</v>
      </c>
      <c r="I9" s="1841">
        <f>H9*G9</f>
        <v>1232</v>
      </c>
      <c r="J9" s="43"/>
      <c r="K9" s="1844">
        <f>M6-K10</f>
        <v>75</v>
      </c>
      <c r="L9" s="1843">
        <f>K9*G9</f>
        <v>1539.9999999999998</v>
      </c>
      <c r="M9" s="1822"/>
      <c r="N9" s="1842">
        <f>P6-N10</f>
        <v>90</v>
      </c>
      <c r="O9" s="1841">
        <f>N9*G9</f>
        <v>1847.9999999999998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1886"/>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126</v>
      </c>
      <c r="K23" s="1587"/>
      <c r="L23" s="1586"/>
      <c r="M23" s="1768">
        <f>SUM(L25:L26)</f>
        <v>126</v>
      </c>
      <c r="N23" s="1584"/>
      <c r="O23" s="1583"/>
      <c r="P23" s="1567">
        <f>SUM(O25:O26)</f>
        <v>126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t="s">
        <v>1210</v>
      </c>
      <c r="E25" s="4879"/>
      <c r="F25" s="1763">
        <f>'SDK7'!F51/100</f>
        <v>0.84</v>
      </c>
      <c r="G25" s="1762">
        <f>F25*(100+$D$24)/100</f>
        <v>0.84</v>
      </c>
      <c r="H25" s="1761">
        <v>150</v>
      </c>
      <c r="I25" s="1722">
        <f>H25*$G25</f>
        <v>126</v>
      </c>
      <c r="J25" s="45"/>
      <c r="K25" s="1761">
        <f>H25</f>
        <v>150</v>
      </c>
      <c r="L25" s="1564">
        <f>K25*$G25</f>
        <v>126</v>
      </c>
      <c r="M25" s="1557"/>
      <c r="N25" s="1761">
        <f>H25</f>
        <v>150</v>
      </c>
      <c r="O25" s="1722">
        <f>N25*$G25</f>
        <v>126</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275.3408</v>
      </c>
      <c r="K27" s="1716"/>
      <c r="L27" s="1715"/>
      <c r="M27" s="1585">
        <f>SUM(L30:L33)</f>
        <v>337.01599999999996</v>
      </c>
      <c r="N27" s="1714"/>
      <c r="O27" s="1713"/>
      <c r="P27" s="1582">
        <f>SUM(O30:O33)</f>
        <v>398.69120000000004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0.45000000000000018</v>
      </c>
      <c r="G30" s="1741">
        <v>20</v>
      </c>
      <c r="H30" s="1739">
        <f>IF(J$6=0,0,(J$6*$E30+$G30+X14))</f>
        <v>127.4</v>
      </c>
      <c r="I30" s="1722">
        <f>H30*$D30</f>
        <v>182.43680000000001</v>
      </c>
      <c r="J30" s="45"/>
      <c r="K30" s="1740">
        <f>IF(M$6=0,0,(M$6*$E30+$G30+Y14))</f>
        <v>154.25</v>
      </c>
      <c r="L30" s="1564">
        <f>K30*$D30</f>
        <v>220.886</v>
      </c>
      <c r="M30" s="1557"/>
      <c r="N30" s="1739">
        <f>IF(P$6=0,0,(P$6*$E30+$G30+Z14))</f>
        <v>181.1</v>
      </c>
      <c r="O30" s="1722">
        <f>N30*$D30</f>
        <v>259.33519999999999</v>
      </c>
      <c r="P30" s="1686"/>
      <c r="Q30" s="38"/>
    </row>
    <row r="31" spans="1:26" s="42" customFormat="1" ht="15" customHeight="1">
      <c r="A31" s="1284"/>
      <c r="B31" s="272"/>
      <c r="C31" s="1284" t="s">
        <v>244</v>
      </c>
      <c r="D31" s="1691">
        <f>'SDK1'!O53</f>
        <v>1.05</v>
      </c>
      <c r="E31" s="1742">
        <f>VLOOKUP(K2,'SD8'!B9:L42,4,FALSE)</f>
        <v>0.8</v>
      </c>
      <c r="F31" s="1742">
        <f>VLOOKUP(K2,'SD8'!B9:L42,8,FALSE)</f>
        <v>0.27</v>
      </c>
      <c r="G31" s="1741"/>
      <c r="H31" s="1739">
        <f>IF(J$6=0,0,(J$6*$E31+$G31+X15))</f>
        <v>48</v>
      </c>
      <c r="I31" s="1722">
        <f>H31*$D31</f>
        <v>50.400000000000006</v>
      </c>
      <c r="J31" s="45"/>
      <c r="K31" s="1740">
        <f>IF(M$6=0,0,(M$6*$E31+$G31+Y15))</f>
        <v>60</v>
      </c>
      <c r="L31" s="1564">
        <f>K31*$D31</f>
        <v>63</v>
      </c>
      <c r="M31" s="1557"/>
      <c r="N31" s="1739">
        <f>IF(P$6=0,0,(P$6*$E31+$G31+Z15))</f>
        <v>72</v>
      </c>
      <c r="O31" s="1722">
        <f>N31*$D31</f>
        <v>75.600000000000009</v>
      </c>
      <c r="P31" s="1686"/>
      <c r="Q31" s="38"/>
    </row>
    <row r="32" spans="1:26" s="42" customFormat="1" ht="15" customHeight="1">
      <c r="A32" s="1284"/>
      <c r="B32" s="272"/>
      <c r="C32" s="1284" t="s">
        <v>242</v>
      </c>
      <c r="D32" s="1691">
        <f>'SDK1'!O54</f>
        <v>0.98000000000000009</v>
      </c>
      <c r="E32" s="1742">
        <f>VLOOKUP(K2,'SD8'!B9:L42,5,FALSE)</f>
        <v>0.6</v>
      </c>
      <c r="F32" s="1742">
        <f>VLOOKUP(K2,'SD8'!B9:L42,9,FALSE)</f>
        <v>1.5299999999999998</v>
      </c>
      <c r="G32" s="1741"/>
      <c r="H32" s="1739">
        <f>IF(J$6=0,0,(J$6*$E32+$G32+X16))</f>
        <v>36</v>
      </c>
      <c r="I32" s="1722">
        <f>H32*$D32</f>
        <v>35.28</v>
      </c>
      <c r="J32" s="45"/>
      <c r="K32" s="1740">
        <f>IF(M$6=0,0,(M$6*$E32+$G32+Y16))</f>
        <v>45</v>
      </c>
      <c r="L32" s="1564">
        <f>K32*$D32</f>
        <v>44.1</v>
      </c>
      <c r="M32" s="1557"/>
      <c r="N32" s="1739">
        <f>IF(P$6=0,0,(P$6*$E32+$G32+Z16))</f>
        <v>54</v>
      </c>
      <c r="O32" s="1722">
        <f>N32*$D32</f>
        <v>52.92</v>
      </c>
      <c r="P32" s="1686"/>
      <c r="Q32" s="38"/>
    </row>
    <row r="33" spans="1:17" s="42" customFormat="1" ht="15" customHeight="1">
      <c r="A33" s="1284"/>
      <c r="B33" s="239"/>
      <c r="C33" s="1309" t="s">
        <v>240</v>
      </c>
      <c r="D33" s="1674">
        <f>'SDK1'!O55</f>
        <v>0.60200000000000009</v>
      </c>
      <c r="E33" s="1738">
        <f>VLOOKUP(K2,'SD8'!B9:L42,6,FALSE)</f>
        <v>0.2</v>
      </c>
      <c r="F33" s="1738">
        <f>VLOOKUP(K2,'SD8'!B9:L42,10,FALSE)</f>
        <v>0.18</v>
      </c>
      <c r="G33" s="1737"/>
      <c r="H33" s="1735">
        <f>IF(J$6=0,0,(J$6*$E33+$G33+X17))</f>
        <v>12</v>
      </c>
      <c r="I33" s="1718">
        <f>H33*$D33</f>
        <v>7.2240000000000011</v>
      </c>
      <c r="J33" s="45"/>
      <c r="K33" s="1736">
        <f>IF(M$6=0,0,(M$6*$E33+$G33+Y17))</f>
        <v>15</v>
      </c>
      <c r="L33" s="1558">
        <f>K33*$D33</f>
        <v>9.0300000000000011</v>
      </c>
      <c r="M33" s="1557"/>
      <c r="N33" s="1735">
        <f>IF(P$6=0,0,(P$6*$E33+$G33+Z17))</f>
        <v>18</v>
      </c>
      <c r="O33" s="1718">
        <f>N33*$D33</f>
        <v>10.836000000000002</v>
      </c>
      <c r="P33" s="1717"/>
      <c r="Q33" s="38"/>
    </row>
    <row r="34" spans="1:17" s="686" customFormat="1" ht="18.75" customHeight="1">
      <c r="A34" s="1248"/>
      <c r="B34" s="1254" t="s">
        <v>1178</v>
      </c>
      <c r="C34" s="1248"/>
      <c r="D34" s="37"/>
      <c r="E34" s="37"/>
      <c r="F34" s="4876" t="s">
        <v>1177</v>
      </c>
      <c r="G34" s="4877"/>
      <c r="H34" s="1732"/>
      <c r="I34" s="1731"/>
      <c r="J34" s="1582">
        <f>SUM(I36:I42)</f>
        <v>155.48000000000002</v>
      </c>
      <c r="K34" s="1734"/>
      <c r="L34" s="1733"/>
      <c r="M34" s="1585">
        <f>SUM(L36:L42)</f>
        <v>155.48000000000002</v>
      </c>
      <c r="N34" s="1732"/>
      <c r="O34" s="1731"/>
      <c r="P34" s="1582">
        <f>SUM(O36:O42)</f>
        <v>155.48000000000002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650</v>
      </c>
      <c r="D36" s="4884"/>
      <c r="E36" s="4885"/>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70" t="s">
        <v>644</v>
      </c>
      <c r="D37" s="4870"/>
      <c r="E37" s="4871"/>
      <c r="F37" s="1724">
        <f>IF(C37="",0,VLOOKUP(C37,'SDK5'!C4:AF84,2,FALSE))</f>
        <v>6.8</v>
      </c>
      <c r="G37" s="1724">
        <f t="shared" si="0"/>
        <v>6.8</v>
      </c>
      <c r="H37" s="1723">
        <v>1.2</v>
      </c>
      <c r="I37" s="1722">
        <f t="shared" si="1"/>
        <v>8.16</v>
      </c>
      <c r="J37" s="45"/>
      <c r="K37" s="1723">
        <v>1.2</v>
      </c>
      <c r="L37" s="1564">
        <f t="shared" si="2"/>
        <v>8.16</v>
      </c>
      <c r="M37" s="1557"/>
      <c r="N37" s="1723">
        <v>1.2</v>
      </c>
      <c r="O37" s="1722">
        <f t="shared" si="3"/>
        <v>8.16</v>
      </c>
      <c r="P37" s="1686"/>
      <c r="Q37" s="38"/>
    </row>
    <row r="38" spans="1:17" s="42" customFormat="1" ht="15" customHeight="1">
      <c r="A38" s="1284"/>
      <c r="B38" s="1725"/>
      <c r="C38" s="4870" t="s">
        <v>2008</v>
      </c>
      <c r="D38" s="4870"/>
      <c r="E38" s="4871"/>
      <c r="F38" s="1724">
        <f>IF(C38="",0,VLOOKUP(C38,'SDK5'!C5:AF85,2,FALSE))</f>
        <v>80</v>
      </c>
      <c r="G38" s="1724">
        <f t="shared" si="0"/>
        <v>80</v>
      </c>
      <c r="H38" s="1723">
        <v>1</v>
      </c>
      <c r="I38" s="1722">
        <f t="shared" si="1"/>
        <v>80</v>
      </c>
      <c r="J38" s="45"/>
      <c r="K38" s="1723">
        <v>1</v>
      </c>
      <c r="L38" s="1564">
        <f t="shared" si="2"/>
        <v>80</v>
      </c>
      <c r="M38" s="1557"/>
      <c r="N38" s="1723">
        <v>1</v>
      </c>
      <c r="O38" s="1722">
        <f t="shared" si="3"/>
        <v>80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147.57741855999996</v>
      </c>
      <c r="K43" s="1716"/>
      <c r="L43" s="1715"/>
      <c r="M43" s="1585">
        <f>SUM(M46:M57)</f>
        <v>149.98077762117646</v>
      </c>
      <c r="N43" s="1714"/>
      <c r="O43" s="1713"/>
      <c r="P43" s="1582">
        <f>SUM(P46:P57)</f>
        <v>157.46334176823527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3758" t="s">
        <v>462</v>
      </c>
      <c r="D46" s="37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3758" t="s">
        <v>426</v>
      </c>
      <c r="D48" s="3759"/>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0.91666666666666663</v>
      </c>
      <c r="I50" s="1687">
        <f t="shared" si="4"/>
        <v>0.51333333333333331</v>
      </c>
      <c r="J50" s="1686">
        <f t="shared" si="5"/>
        <v>8.8123165576470566</v>
      </c>
      <c r="K50" s="1688">
        <v>1.1666666666666667</v>
      </c>
      <c r="L50" s="1690">
        <f t="shared" si="6"/>
        <v>0.65333333333333343</v>
      </c>
      <c r="M50" s="1689">
        <f t="shared" si="7"/>
        <v>11.215675618823528</v>
      </c>
      <c r="N50" s="1688">
        <v>1.5</v>
      </c>
      <c r="O50" s="1687">
        <f t="shared" si="8"/>
        <v>0.84000000000000008</v>
      </c>
      <c r="P50" s="1686">
        <f t="shared" si="9"/>
        <v>14.420154367058821</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5.3133333333333344</v>
      </c>
      <c r="J58" s="1669"/>
      <c r="K58" s="1668"/>
      <c r="L58" s="1667">
        <f>SUM($L$46:$L$57)</f>
        <v>5.453333333333334</v>
      </c>
      <c r="M58" s="1666"/>
      <c r="N58" s="1665"/>
      <c r="O58" s="1664">
        <f>SUM($O$46:$O$57)</f>
        <v>6.01</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9.5640000000000018</v>
      </c>
      <c r="J59" s="1654"/>
      <c r="K59" s="1659"/>
      <c r="L59" s="1658">
        <f>IF(L58+SUM($L$46:$L$57)*$E$59%&gt;L58+10,L58+10,L58+SUM($L$46:$L$57)*$E$59%)</f>
        <v>9.8160000000000025</v>
      </c>
      <c r="M59" s="1657"/>
      <c r="N59" s="1656"/>
      <c r="O59" s="1655">
        <f>IF(O58+SUM($O$46:$O$57)*$E$59%&gt;O58+10,O58+10,O58+SUM($O$46:$O$57)*$E$59%)</f>
        <v>10.818</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108.30000000000001</v>
      </c>
      <c r="K67" s="1609" t="s">
        <v>1161</v>
      </c>
      <c r="L67" s="1608" t="s">
        <v>1160</v>
      </c>
      <c r="M67" s="1585">
        <f>S68*(K9+K10)*L68%+F68</f>
        <v>135.375</v>
      </c>
      <c r="N67" s="1607" t="s">
        <v>1161</v>
      </c>
      <c r="O67" s="1606" t="s">
        <v>1160</v>
      </c>
      <c r="P67" s="1582">
        <f>T68*(N9+N10)*O68%+F68</f>
        <v>162.45000000000002</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19.712</v>
      </c>
      <c r="K69" s="1598"/>
      <c r="L69" s="1597"/>
      <c r="M69" s="1585">
        <f>K70*$F70/1000</f>
        <v>24.639999999999997</v>
      </c>
      <c r="N69" s="44"/>
      <c r="O69" s="73"/>
      <c r="P69" s="1582">
        <f>N70*$F70/1000</f>
        <v>29.567999999999998</v>
      </c>
      <c r="Q69" s="38"/>
    </row>
    <row r="70" spans="1:20" s="686" customFormat="1" ht="15" customHeight="1">
      <c r="A70" s="1248"/>
      <c r="B70" s="1310"/>
      <c r="C70" s="1309" t="s">
        <v>840</v>
      </c>
      <c r="D70" s="346"/>
      <c r="E70" s="278"/>
      <c r="F70" s="1596">
        <f>'SDK7'!G101</f>
        <v>16</v>
      </c>
      <c r="G70" s="1595" t="s">
        <v>171</v>
      </c>
      <c r="H70" s="1591">
        <f>I9+I10</f>
        <v>1232</v>
      </c>
      <c r="I70" s="1590"/>
      <c r="J70" s="1589"/>
      <c r="K70" s="1594">
        <f>L9+L10</f>
        <v>1539.9999999999998</v>
      </c>
      <c r="L70" s="1593"/>
      <c r="M70" s="1592"/>
      <c r="N70" s="1591">
        <f>O9+O10</f>
        <v>1847.9999999999998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11.660952549866666</v>
      </c>
      <c r="K75" s="689"/>
      <c r="L75" s="1034"/>
      <c r="M75" s="1546">
        <f>(M23+M27+M34+M43+M60+M65+M67+M69+M71)*('SDK1'!$O$59%*$G$75/12)</f>
        <v>12.781904072247061</v>
      </c>
      <c r="N75" s="1548"/>
      <c r="O75" s="1547"/>
      <c r="P75" s="1546">
        <f>(P23+P27+P34+P43+P60+P65+P67+P69+P71)*('SDK1'!$O$59%*$G$75/12)</f>
        <v>13.962112987296079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7">
    <mergeCell ref="C20:F20"/>
    <mergeCell ref="C21:F21"/>
    <mergeCell ref="C17:F17"/>
    <mergeCell ref="E22:G22"/>
    <mergeCell ref="B75:C75"/>
    <mergeCell ref="C38:E38"/>
    <mergeCell ref="C74:E74"/>
    <mergeCell ref="C55:D55"/>
    <mergeCell ref="C68:E68"/>
    <mergeCell ref="C62:E62"/>
    <mergeCell ref="C64:E64"/>
    <mergeCell ref="C73:E73"/>
    <mergeCell ref="C63:E63"/>
    <mergeCell ref="C57:D57"/>
    <mergeCell ref="C56:D56"/>
    <mergeCell ref="K1:L1"/>
    <mergeCell ref="C49:D49"/>
    <mergeCell ref="C52:D52"/>
    <mergeCell ref="C53:D53"/>
    <mergeCell ref="C54:D54"/>
    <mergeCell ref="C50:D50"/>
    <mergeCell ref="C51:D51"/>
    <mergeCell ref="J4:L4"/>
    <mergeCell ref="E10:F10"/>
    <mergeCell ref="F23:G23"/>
    <mergeCell ref="F34:G34"/>
    <mergeCell ref="C47:D47"/>
    <mergeCell ref="C41:E41"/>
    <mergeCell ref="C37:E37"/>
    <mergeCell ref="C36:E36"/>
    <mergeCell ref="C40:E40"/>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6:F16"/>
  </mergeCells>
  <dataValidations count="4">
    <dataValidation type="list" allowBlank="1" showInputMessage="1" showErrorMessage="1" sqref="H15:H17 K15:K17 N15:N17">
      <formula1>"ja,nein"</formula1>
    </dataValidation>
    <dataValidation type="list" showInputMessage="1" showErrorMessage="1" sqref="H14 K14 N14">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6" orientation="portrait" r:id="rId1"/>
  <headerFooter alignWithMargins="0">
    <oddFooter>&amp;L&amp;11LEL Schwäbisch Gmünd&amp;C33&amp;R&amp;11&amp;F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'SDK5'!$I$214:$I$313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2">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487.44141866927248</v>
      </c>
      <c r="K1" s="4855">
        <f>M1-J1</f>
        <v>201.45126274977656</v>
      </c>
      <c r="L1" s="4855"/>
      <c r="M1" s="1874">
        <f>(M7+M13+M18+M22+L11+L12)-(M23+M27+M34+M43+M60+M65+M67+M69+M71+M75)</f>
        <v>688.89268141904904</v>
      </c>
      <c r="N1" s="4855">
        <f>P1-M1</f>
        <v>176.76853302130007</v>
      </c>
      <c r="O1" s="4855"/>
      <c r="P1" s="1874">
        <f>(P7+P13+P18+P22+O11+O12)-(P23+P27+P34+P43+P60+P65+P67+P69+P71+P75)</f>
        <v>865.66121444034911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86</v>
      </c>
      <c r="L2" s="4867"/>
      <c r="M2" s="4867"/>
      <c r="N2" s="4867"/>
      <c r="O2" s="4867"/>
      <c r="P2" s="4867"/>
      <c r="Q2" s="1888">
        <v>30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55</v>
      </c>
      <c r="K6" s="4874" t="s">
        <v>152</v>
      </c>
      <c r="L6" s="4875"/>
      <c r="M6" s="1855">
        <v>70</v>
      </c>
      <c r="N6" s="4861" t="s">
        <v>178</v>
      </c>
      <c r="O6" s="4862"/>
      <c r="P6" s="1854">
        <v>85</v>
      </c>
      <c r="Q6" s="70"/>
    </row>
    <row r="7" spans="1:41" s="251" customFormat="1" ht="18.75" customHeight="1">
      <c r="A7" s="47"/>
      <c r="B7" s="305" t="s">
        <v>1202</v>
      </c>
      <c r="C7" s="47"/>
      <c r="D7" s="47"/>
      <c r="E7" s="47"/>
      <c r="F7" s="47"/>
      <c r="G7" s="1852"/>
      <c r="H7" s="1849"/>
      <c r="I7" s="1848"/>
      <c r="J7" s="1582">
        <f>SUM(I9:I10)</f>
        <v>1094.5000000000002</v>
      </c>
      <c r="K7" s="1851"/>
      <c r="L7" s="1850"/>
      <c r="M7" s="1585">
        <f>SUM(L9:L10)</f>
        <v>1393.0000000000002</v>
      </c>
      <c r="N7" s="1849"/>
      <c r="O7" s="1848"/>
      <c r="P7" s="1582">
        <f>SUM(O9:O10)</f>
        <v>1691.5000000000002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'SDK1'!O22</f>
        <v>19.900000000000002</v>
      </c>
      <c r="H9" s="1845">
        <f>J6-H10</f>
        <v>55</v>
      </c>
      <c r="I9" s="1841">
        <f>H9*G9</f>
        <v>1094.5000000000002</v>
      </c>
      <c r="J9" s="43"/>
      <c r="K9" s="1844">
        <f>M6-K10</f>
        <v>70</v>
      </c>
      <c r="L9" s="1843">
        <f>K9*G9</f>
        <v>1393.0000000000002</v>
      </c>
      <c r="M9" s="1822"/>
      <c r="N9" s="1842">
        <f>P6-N10</f>
        <v>85</v>
      </c>
      <c r="O9" s="1841">
        <f>N9*G9</f>
        <v>1691.5000000000002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145.25</v>
      </c>
      <c r="K23" s="1587"/>
      <c r="L23" s="1586"/>
      <c r="M23" s="1768">
        <f>SUM(L25:L26)</f>
        <v>145.25</v>
      </c>
      <c r="N23" s="1584"/>
      <c r="O23" s="1583"/>
      <c r="P23" s="1567">
        <f>SUM(O25:O26)</f>
        <v>145.25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'SDK7'!F52/100</f>
        <v>0.83</v>
      </c>
      <c r="G25" s="1762">
        <f>F25*(100+$D$24)/100</f>
        <v>0.83</v>
      </c>
      <c r="H25" s="1761">
        <v>175</v>
      </c>
      <c r="I25" s="1722">
        <f>H25*$G25</f>
        <v>145.25</v>
      </c>
      <c r="J25" s="45"/>
      <c r="K25" s="1761">
        <f>H25</f>
        <v>175</v>
      </c>
      <c r="L25" s="1564">
        <f>K25*$G25</f>
        <v>145.25</v>
      </c>
      <c r="M25" s="1557"/>
      <c r="N25" s="1761">
        <v>175</v>
      </c>
      <c r="O25" s="1722">
        <f>N25*$G25</f>
        <v>145.25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254.78240000000002</v>
      </c>
      <c r="K27" s="1716"/>
      <c r="L27" s="1715"/>
      <c r="M27" s="1585">
        <f>SUM(L30:L33)</f>
        <v>316.45760000000001</v>
      </c>
      <c r="N27" s="1714"/>
      <c r="O27" s="1713"/>
      <c r="P27" s="1582">
        <f>SUM(O30:O33)</f>
        <v>378.13280000000003</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0.35000000000000009</v>
      </c>
      <c r="G30" s="1741">
        <v>20</v>
      </c>
      <c r="H30" s="1739">
        <f>IF(J$6=0,0,(J$6*$E30+$G30+X14))</f>
        <v>118.45</v>
      </c>
      <c r="I30" s="1722">
        <f>H30*$D30</f>
        <v>169.62039999999999</v>
      </c>
      <c r="J30" s="45"/>
      <c r="K30" s="1740">
        <f>IF(M$6=0,0,(M$6*$E30+$G30+Y14))</f>
        <v>145.30000000000001</v>
      </c>
      <c r="L30" s="1564">
        <f>K30*$D30</f>
        <v>208.06960000000001</v>
      </c>
      <c r="M30" s="1557"/>
      <c r="N30" s="1739">
        <f>IF(P$6=0,0,(P$6*$E30+$G30+Z14))</f>
        <v>172.15</v>
      </c>
      <c r="O30" s="1722">
        <f>N30*$D30</f>
        <v>246.5188</v>
      </c>
      <c r="P30" s="1686"/>
      <c r="Q30" s="38"/>
    </row>
    <row r="31" spans="1:26" s="42" customFormat="1" ht="15" customHeight="1">
      <c r="A31" s="1284"/>
      <c r="B31" s="272"/>
      <c r="C31" s="1284" t="s">
        <v>244</v>
      </c>
      <c r="D31" s="1691">
        <f>'SDK1'!O53</f>
        <v>1.05</v>
      </c>
      <c r="E31" s="1742">
        <f>VLOOKUP(K2,'SD8'!B9:L42,4,FALSE)</f>
        <v>0.8</v>
      </c>
      <c r="F31" s="1742">
        <f>VLOOKUP(K2,'SD8'!B9:L42,8,FALSE)</f>
        <v>0.20999999999999996</v>
      </c>
      <c r="G31" s="1741"/>
      <c r="H31" s="1739">
        <f>IF(J$6=0,0,(J$6*$E31+$G31+X15))</f>
        <v>44</v>
      </c>
      <c r="I31" s="1722">
        <f>H31*$D31</f>
        <v>46.2</v>
      </c>
      <c r="J31" s="45"/>
      <c r="K31" s="1740">
        <f>IF(M$6=0,0,(M$6*$E31+$G31+Y15))</f>
        <v>56</v>
      </c>
      <c r="L31" s="1564">
        <f>K31*$D31</f>
        <v>58.800000000000004</v>
      </c>
      <c r="M31" s="1557"/>
      <c r="N31" s="1739">
        <f>IF(P$6=0,0,(P$6*$E31+$G31+Z15))</f>
        <v>68</v>
      </c>
      <c r="O31" s="1722">
        <f>N31*$D31</f>
        <v>71.400000000000006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1.19</v>
      </c>
      <c r="G32" s="1741"/>
      <c r="H32" s="1739">
        <f>IF(J$6=0,0,(J$6*$E32+$G32+X16))</f>
        <v>33</v>
      </c>
      <c r="I32" s="1722">
        <f>H32*$D32</f>
        <v>32.340000000000003</v>
      </c>
      <c r="J32" s="45"/>
      <c r="K32" s="1740">
        <f>IF(M$6=0,0,(M$6*$E32+$G32+Y16))</f>
        <v>42</v>
      </c>
      <c r="L32" s="1564">
        <f>K32*$D32</f>
        <v>41.160000000000004</v>
      </c>
      <c r="M32" s="1557"/>
      <c r="N32" s="1739">
        <f>IF(P$6=0,0,(P$6*$E32+$G32+Z16))</f>
        <v>51</v>
      </c>
      <c r="O32" s="1722">
        <f>N32*$D32</f>
        <v>49.980000000000004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7.0000000000000007E-2</v>
      </c>
      <c r="G33" s="1737"/>
      <c r="H33" s="1735">
        <f>IF(J$6=0,0,(J$6*$E33+$G33+X17))</f>
        <v>11</v>
      </c>
      <c r="I33" s="1718">
        <f>H33*$D33</f>
        <v>6.6220000000000008</v>
      </c>
      <c r="J33" s="45"/>
      <c r="K33" s="1736">
        <f>IF(M$6=0,0,(M$6*$E33+$G33+Y17))</f>
        <v>14</v>
      </c>
      <c r="L33" s="1558">
        <f>K33*$D33</f>
        <v>8.4280000000000008</v>
      </c>
      <c r="M33" s="1557"/>
      <c r="N33" s="1735">
        <f>IF(P$6=0,0,(P$6*$E33+$G33+Z17))</f>
        <v>17</v>
      </c>
      <c r="O33" s="1718">
        <f>N33*$D33</f>
        <v>10.234000000000002</v>
      </c>
      <c r="P33" s="1717"/>
      <c r="Q33" s="38"/>
    </row>
    <row r="34" spans="1:17" s="686" customFormat="1" ht="18.75" customHeight="1">
      <c r="A34" s="1248"/>
      <c r="B34" s="1254" t="s">
        <v>1178</v>
      </c>
      <c r="C34" s="1248"/>
      <c r="D34" s="37"/>
      <c r="E34" s="37"/>
      <c r="F34" s="4876" t="s">
        <v>1177</v>
      </c>
      <c r="G34" s="4877"/>
      <c r="H34" s="1732"/>
      <c r="I34" s="1731"/>
      <c r="J34" s="1582">
        <f>SUM(I36:I42)</f>
        <v>212.20000000000002</v>
      </c>
      <c r="K34" s="1734"/>
      <c r="L34" s="1733"/>
      <c r="M34" s="1585">
        <f>SUM(L36:L42)</f>
        <v>212.20000000000002</v>
      </c>
      <c r="N34" s="1732"/>
      <c r="O34" s="1731"/>
      <c r="P34" s="1582">
        <f>SUM(O36:O42)</f>
        <v>232.32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657</v>
      </c>
      <c r="D36" s="4884"/>
      <c r="E36" s="4885"/>
      <c r="F36" s="1724">
        <f>IF(C36="",0,VLOOKUP(C36,'SDK5'!C3:AF83,2,FALSE))</f>
        <v>52.8</v>
      </c>
      <c r="G36" s="1724">
        <f t="shared" ref="G36:G42" si="0">F36*(100+$D$35)/100</f>
        <v>52.8</v>
      </c>
      <c r="H36" s="1899">
        <v>0.9</v>
      </c>
      <c r="I36" s="1722">
        <f t="shared" ref="I36:I42" si="1">$G36*H36</f>
        <v>47.519999999999996</v>
      </c>
      <c r="J36" s="45"/>
      <c r="K36" s="1899">
        <v>0.9</v>
      </c>
      <c r="L36" s="1564">
        <f t="shared" ref="L36:L42" si="2">$G36*K36</f>
        <v>47.519999999999996</v>
      </c>
      <c r="M36" s="1557"/>
      <c r="N36" s="1899">
        <v>0.9</v>
      </c>
      <c r="O36" s="1722">
        <f t="shared" ref="O36:O42" si="3">$G36*N36</f>
        <v>47.519999999999996</v>
      </c>
      <c r="P36" s="1726"/>
      <c r="Q36" s="38"/>
    </row>
    <row r="37" spans="1:17" s="42" customFormat="1" ht="15" customHeight="1">
      <c r="A37" s="1284"/>
      <c r="B37" s="1562"/>
      <c r="C37" s="4870" t="s">
        <v>632</v>
      </c>
      <c r="D37" s="4870"/>
      <c r="E37" s="4871"/>
      <c r="F37" s="1724">
        <f>IF(C37="",0,VLOOKUP(C37,'SDK5'!C4:AF84,2,FALSE))</f>
        <v>99.7</v>
      </c>
      <c r="G37" s="1724">
        <f t="shared" si="0"/>
        <v>99.7</v>
      </c>
      <c r="H37" s="1899">
        <v>0.5</v>
      </c>
      <c r="I37" s="1722">
        <f t="shared" si="1"/>
        <v>49.85</v>
      </c>
      <c r="J37" s="45"/>
      <c r="K37" s="1899">
        <v>0.5</v>
      </c>
      <c r="L37" s="1564">
        <f t="shared" si="2"/>
        <v>49.85</v>
      </c>
      <c r="M37" s="1557"/>
      <c r="N37" s="1899">
        <v>0.5</v>
      </c>
      <c r="O37" s="1722">
        <f t="shared" si="3"/>
        <v>49.85</v>
      </c>
      <c r="P37" s="1686"/>
      <c r="Q37" s="38"/>
    </row>
    <row r="38" spans="1:17" s="42" customFormat="1" ht="15" customHeight="1">
      <c r="A38" s="1284"/>
      <c r="B38" s="1725"/>
      <c r="C38" s="4870" t="s">
        <v>622</v>
      </c>
      <c r="D38" s="4870"/>
      <c r="E38" s="4871"/>
      <c r="F38" s="1724">
        <f>IF(C38="",0,VLOOKUP(C38,'SDK5'!C5:AF85,2,FALSE))</f>
        <v>68.7</v>
      </c>
      <c r="G38" s="1724">
        <f t="shared" si="0"/>
        <v>68.7</v>
      </c>
      <c r="H38" s="1899">
        <v>0.5</v>
      </c>
      <c r="I38" s="1722">
        <f t="shared" si="1"/>
        <v>34.35</v>
      </c>
      <c r="J38" s="45"/>
      <c r="K38" s="1899">
        <v>0.5</v>
      </c>
      <c r="L38" s="1564">
        <f t="shared" si="2"/>
        <v>34.35</v>
      </c>
      <c r="M38" s="1557"/>
      <c r="N38" s="1899">
        <v>0.5</v>
      </c>
      <c r="O38" s="1722">
        <f t="shared" si="3"/>
        <v>34.35</v>
      </c>
      <c r="P38" s="1686"/>
      <c r="Q38" s="38"/>
    </row>
    <row r="39" spans="1:17" s="42" customFormat="1" ht="15" customHeight="1">
      <c r="A39" s="1284"/>
      <c r="B39" s="1562"/>
      <c r="C39" s="4870" t="s">
        <v>2024</v>
      </c>
      <c r="D39" s="4870"/>
      <c r="E39" s="4871"/>
      <c r="F39" s="1724">
        <f>IF(C39="",0,VLOOKUP(C39,'SDK5'!C6:AF86,2,FALSE))</f>
        <v>55.9</v>
      </c>
      <c r="G39" s="1724">
        <f t="shared" si="0"/>
        <v>55.9</v>
      </c>
      <c r="H39" s="1899">
        <v>1.2</v>
      </c>
      <c r="I39" s="1722">
        <f t="shared" si="1"/>
        <v>67.08</v>
      </c>
      <c r="J39" s="45"/>
      <c r="K39" s="1899">
        <v>1.2</v>
      </c>
      <c r="L39" s="1564">
        <f t="shared" si="2"/>
        <v>67.08</v>
      </c>
      <c r="M39" s="1557"/>
      <c r="N39" s="1899">
        <v>1.5</v>
      </c>
      <c r="O39" s="1722">
        <f t="shared" si="3"/>
        <v>83.85</v>
      </c>
      <c r="P39" s="1686"/>
      <c r="Q39" s="38"/>
    </row>
    <row r="40" spans="1:17" s="42" customFormat="1" ht="15" customHeight="1">
      <c r="A40" s="1284"/>
      <c r="B40" s="1562"/>
      <c r="C40" s="4870" t="s">
        <v>2025</v>
      </c>
      <c r="D40" s="4870"/>
      <c r="E40" s="4871"/>
      <c r="F40" s="1724">
        <f>IF(C40="",0,VLOOKUP(C40,'SDK5'!C7:AF87,2,FALSE))</f>
        <v>33.5</v>
      </c>
      <c r="G40" s="1724">
        <f t="shared" si="0"/>
        <v>33.5</v>
      </c>
      <c r="H40" s="1899">
        <v>0.4</v>
      </c>
      <c r="I40" s="1722">
        <f t="shared" si="1"/>
        <v>13.4</v>
      </c>
      <c r="J40" s="45"/>
      <c r="K40" s="1899">
        <v>0.4</v>
      </c>
      <c r="L40" s="1564">
        <f t="shared" si="2"/>
        <v>13.4</v>
      </c>
      <c r="M40" s="1557"/>
      <c r="N40" s="1899">
        <v>0.5</v>
      </c>
      <c r="O40" s="1722">
        <f t="shared" si="3"/>
        <v>16.75</v>
      </c>
      <c r="P40" s="1686"/>
      <c r="Q40" s="38"/>
    </row>
    <row r="41" spans="1:17" s="42" customFormat="1" ht="15" customHeight="1">
      <c r="A41" s="1284"/>
      <c r="B41" s="1562"/>
      <c r="C41" s="4870"/>
      <c r="D41" s="4870"/>
      <c r="E41" s="4871"/>
      <c r="F41" s="1724">
        <f>IF(C41="",0,VLOOKUP(C41,'SDK5'!C8:AF88,2,FALSE))</f>
        <v>0</v>
      </c>
      <c r="G41" s="1724">
        <f t="shared" si="0"/>
        <v>0</v>
      </c>
      <c r="H41" s="1899"/>
      <c r="I41" s="1722">
        <f t="shared" si="1"/>
        <v>0</v>
      </c>
      <c r="J41" s="45"/>
      <c r="K41" s="1899"/>
      <c r="L41" s="1564">
        <f t="shared" si="2"/>
        <v>0</v>
      </c>
      <c r="M41" s="1557"/>
      <c r="N41" s="1899"/>
      <c r="O41" s="1722">
        <f t="shared" si="3"/>
        <v>0</v>
      </c>
      <c r="P41" s="1686"/>
      <c r="Q41" s="38"/>
    </row>
    <row r="42" spans="1:17" s="42" customFormat="1" ht="15" customHeight="1">
      <c r="A42" s="1284"/>
      <c r="B42" s="1721"/>
      <c r="C42" s="4856"/>
      <c r="D42" s="4856"/>
      <c r="E42" s="4857"/>
      <c r="F42" s="1720">
        <f>IF(C42="",0,VLOOKUP(C42,'SDK5'!C9:AF89,2,FALSE))</f>
        <v>0</v>
      </c>
      <c r="G42" s="1720">
        <f t="shared" si="0"/>
        <v>0</v>
      </c>
      <c r="H42" s="1898"/>
      <c r="I42" s="1718">
        <f t="shared" si="1"/>
        <v>0</v>
      </c>
      <c r="J42" s="45"/>
      <c r="K42" s="1898"/>
      <c r="L42" s="1558">
        <f t="shared" si="2"/>
        <v>0</v>
      </c>
      <c r="M42" s="1557"/>
      <c r="N42" s="1898"/>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156.49013500588234</v>
      </c>
      <c r="N43" s="1714"/>
      <c r="O43" s="1713"/>
      <c r="P43" s="1582">
        <f>SUM(P46:P57)</f>
        <v>163.17157946588233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30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3</v>
      </c>
      <c r="O48" s="1687">
        <f t="shared" si="8"/>
        <v>1.1099999999999999</v>
      </c>
      <c r="P48" s="1686">
        <f t="shared" si="9"/>
        <v>12.834256196470587</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0.91666666666666663</v>
      </c>
      <c r="I50" s="1687">
        <f t="shared" si="4"/>
        <v>0.51333333333333331</v>
      </c>
      <c r="J50" s="1686">
        <f t="shared" si="5"/>
        <v>8.8123165576470566</v>
      </c>
      <c r="K50" s="1688">
        <f>$M$6/60</f>
        <v>1.1666666666666667</v>
      </c>
      <c r="L50" s="1690">
        <f t="shared" si="6"/>
        <v>0.65333333333333343</v>
      </c>
      <c r="M50" s="1689">
        <f t="shared" si="7"/>
        <v>11.215675618823528</v>
      </c>
      <c r="N50" s="1688">
        <f>$P$6/60</f>
        <v>1.4166666666666667</v>
      </c>
      <c r="O50" s="1687">
        <f t="shared" si="8"/>
        <v>0.79333333333333345</v>
      </c>
      <c r="P50" s="1686">
        <f t="shared" si="9"/>
        <v>13.619034679999999</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5.8433333333333337</v>
      </c>
      <c r="M58" s="1666"/>
      <c r="N58" s="1665"/>
      <c r="O58" s="1664">
        <f>SUM($O$46:$O$57)</f>
        <v>6.3533333333333326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10.518000000000001</v>
      </c>
      <c r="M59" s="1657"/>
      <c r="N59" s="1656"/>
      <c r="O59" s="1655">
        <f>IF(O58+SUM($O$46:$O$57)*$E$59%&gt;O58+10,O58+10,O58+SUM($O$46:$O$57)*$E$59%)</f>
        <v>11.436</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126.35000000000001</v>
      </c>
      <c r="N67" s="1607" t="s">
        <v>1161</v>
      </c>
      <c r="O67" s="1606" t="s">
        <v>1160</v>
      </c>
      <c r="P67" s="1582">
        <f>T68*(N9+N10)*O68%+F68</f>
        <v>153.42500000000001</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17.512000000000004</v>
      </c>
      <c r="K69" s="1598"/>
      <c r="L69" s="1597"/>
      <c r="M69" s="1585">
        <f>K70*$F70/1000</f>
        <v>22.288000000000004</v>
      </c>
      <c r="N69" s="44"/>
      <c r="O69" s="73"/>
      <c r="P69" s="1582">
        <f>N70*$F70/1000</f>
        <v>27.064000000000004</v>
      </c>
      <c r="Q69" s="38"/>
    </row>
    <row r="70" spans="1:20" s="686" customFormat="1" ht="15" customHeight="1">
      <c r="A70" s="1248"/>
      <c r="B70" s="1310"/>
      <c r="C70" s="1309" t="s">
        <v>840</v>
      </c>
      <c r="D70" s="346"/>
      <c r="E70" s="278"/>
      <c r="F70" s="1596">
        <f>'SDK7'!G101</f>
        <v>16</v>
      </c>
      <c r="G70" s="1595" t="s">
        <v>171</v>
      </c>
      <c r="H70" s="1591">
        <f>I9+I10</f>
        <v>1094.5000000000002</v>
      </c>
      <c r="I70" s="1590"/>
      <c r="J70" s="1589"/>
      <c r="K70" s="1594">
        <f>L9+L10</f>
        <v>1393.0000000000002</v>
      </c>
      <c r="L70" s="1593"/>
      <c r="M70" s="1592"/>
      <c r="N70" s="1591">
        <f>O9+O10</f>
        <v>1691.5000000000002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12.252405386021572</v>
      </c>
      <c r="K75" s="689"/>
      <c r="L75" s="1034"/>
      <c r="M75" s="1546">
        <f>(M23+M27+M34+M43+M60+M65+M67+M69+M71)*('SDK1'!$O$59%*$G$75/12)</f>
        <v>13.371583575068628</v>
      </c>
      <c r="N75" s="1548"/>
      <c r="O75" s="1547"/>
      <c r="P75" s="1546">
        <f>(P23+P27+P34+P43+P60+P65+P67+P69+P71)*('SDK1'!$O$59%*$G$75/12)</f>
        <v>14.775406093768629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H150" s="1897"/>
      <c r="J150" s="1896"/>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28" orientation="portrait" r:id="rId1"/>
  <headerFooter alignWithMargins="0">
    <oddFooter>&amp;L&amp;11LEL Schwäbisch Gmünd&amp;C35&amp;R&amp;11&amp;F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'SDK5'!$J$214:$J$313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3">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9" width="0" style="35" hidden="1" customWidth="1"/>
    <col min="30" max="16384" width="10.5" style="35"/>
  </cols>
  <sheetData>
    <row r="1" spans="1:41" s="1859" customFormat="1" ht="30.4" customHeight="1">
      <c r="A1" s="1863"/>
      <c r="B1" s="319"/>
      <c r="C1" s="1876"/>
      <c r="D1" s="1795"/>
      <c r="E1" s="316"/>
      <c r="F1" s="316"/>
      <c r="G1" s="585"/>
      <c r="H1" s="1870"/>
      <c r="I1" s="1875" t="s">
        <v>1207</v>
      </c>
      <c r="J1" s="1874">
        <f>(J7+J13+J18+J22+I11+I12)-(J23+J27+J34+J43+J60+J65+J67+J69+J71+J75)</f>
        <v>340.61511108601394</v>
      </c>
      <c r="K1" s="4855">
        <f>M1-J1</f>
        <v>120.71401810470752</v>
      </c>
      <c r="L1" s="4855"/>
      <c r="M1" s="1874">
        <f>(M7+M13+M18+M22+L11+L12)-(M23+M27+M34+M43+M60+M65+M67+M69+M71+M75)</f>
        <v>461.32912919072146</v>
      </c>
      <c r="N1" s="4855">
        <f>P1-M1</f>
        <v>145.89246449985126</v>
      </c>
      <c r="O1" s="4855"/>
      <c r="P1" s="1874">
        <f>(P7+P13+P18+P22+O11+O12)-(P23+P27+P34+P43+P60+P65+P67+P69+P71+P75)</f>
        <v>607.22159369057272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84</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50</v>
      </c>
      <c r="K6" s="4874" t="s">
        <v>152</v>
      </c>
      <c r="L6" s="4875"/>
      <c r="M6" s="1855">
        <v>60</v>
      </c>
      <c r="N6" s="4861" t="s">
        <v>178</v>
      </c>
      <c r="O6" s="4862"/>
      <c r="P6" s="1854">
        <v>70</v>
      </c>
      <c r="Q6" s="70"/>
    </row>
    <row r="7" spans="1:41" s="251" customFormat="1" ht="18.75" customHeight="1">
      <c r="A7" s="47"/>
      <c r="B7" s="305" t="s">
        <v>1202</v>
      </c>
      <c r="C7" s="47"/>
      <c r="D7" s="47"/>
      <c r="E7" s="47"/>
      <c r="F7" s="47"/>
      <c r="G7" s="1852"/>
      <c r="H7" s="1849"/>
      <c r="I7" s="1848"/>
      <c r="J7" s="1582">
        <f>SUM(I9:I10)</f>
        <v>1050</v>
      </c>
      <c r="K7" s="1851"/>
      <c r="L7" s="1850"/>
      <c r="M7" s="1585">
        <f>SUM(L9:L10)</f>
        <v>1260</v>
      </c>
      <c r="N7" s="1849"/>
      <c r="O7" s="1848"/>
      <c r="P7" s="1582">
        <f>SUM(O9:O10)</f>
        <v>1470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'SDK1'!O23</f>
        <v>21</v>
      </c>
      <c r="H9" s="1845">
        <f>J6-H10</f>
        <v>50</v>
      </c>
      <c r="I9" s="1841">
        <f>H9*G9</f>
        <v>1050</v>
      </c>
      <c r="J9" s="43"/>
      <c r="K9" s="1844">
        <f>M6-K10</f>
        <v>60</v>
      </c>
      <c r="L9" s="1843">
        <f>K9*G9</f>
        <v>1260</v>
      </c>
      <c r="M9" s="1822"/>
      <c r="N9" s="1842">
        <f>P6-N10</f>
        <v>70</v>
      </c>
      <c r="O9" s="1841">
        <f>N9*G9</f>
        <v>1470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0.9</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0</v>
      </c>
      <c r="K13" s="1895"/>
      <c r="L13" s="1793"/>
      <c r="M13" s="1585">
        <f>SUM(L14:L17)</f>
        <v>0</v>
      </c>
      <c r="N13" s="1894"/>
      <c r="O13" s="1791"/>
      <c r="P13" s="1582">
        <f>SUM(O14:O17)</f>
        <v>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1190</v>
      </c>
      <c r="I14" s="3909">
        <f>IF(H14="ja",Q14,0)</f>
        <v>0</v>
      </c>
      <c r="J14" s="45"/>
      <c r="K14" s="1804" t="s">
        <v>1190</v>
      </c>
      <c r="L14" s="1639">
        <f>IF(K14="ja",Q14,0)</f>
        <v>0</v>
      </c>
      <c r="M14" s="1557"/>
      <c r="N14" s="1804" t="s">
        <v>1190</v>
      </c>
      <c r="O14" s="1785">
        <f>IF(N14="ja",Q14,0)</f>
        <v>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355.4</v>
      </c>
      <c r="S19" s="1783">
        <f>M13+M18</f>
        <v>355.4</v>
      </c>
      <c r="T19" s="1782">
        <f>P13+P18</f>
        <v>355.4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202.29999999999998</v>
      </c>
      <c r="K23" s="1587"/>
      <c r="L23" s="1586"/>
      <c r="M23" s="1768">
        <f>SUM(L25:L26)</f>
        <v>202.29999999999998</v>
      </c>
      <c r="N23" s="1584"/>
      <c r="O23" s="1583"/>
      <c r="P23" s="1567">
        <f>SUM(O25:O26)</f>
        <v>202.29999999999998</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'SDK7'!F53/100</f>
        <v>1.19</v>
      </c>
      <c r="G25" s="1762">
        <f>F25*(100+$D$24)/100</f>
        <v>1.19</v>
      </c>
      <c r="H25" s="1761">
        <v>170</v>
      </c>
      <c r="I25" s="1722">
        <f>H25*$G25</f>
        <v>202.29999999999998</v>
      </c>
      <c r="J25" s="45"/>
      <c r="K25" s="1761">
        <f>H25</f>
        <v>170</v>
      </c>
      <c r="L25" s="1564">
        <f>K25*$G25</f>
        <v>202.29999999999998</v>
      </c>
      <c r="M25" s="1557"/>
      <c r="N25" s="1761">
        <f>H25</f>
        <v>170</v>
      </c>
      <c r="O25" s="1722">
        <f>N25*$G25</f>
        <v>202.29999999999998</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230.42</v>
      </c>
      <c r="K27" s="1716"/>
      <c r="L27" s="1715"/>
      <c r="M27" s="1585">
        <f>SUM(L30:L33)</f>
        <v>270.77600000000001</v>
      </c>
      <c r="N27" s="1714"/>
      <c r="O27" s="1713"/>
      <c r="P27" s="1582">
        <f>SUM(O30:O33)</f>
        <v>311.13200000000001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1.6</v>
      </c>
      <c r="F30" s="1742">
        <f>VLOOKUP(K2,'SD8'!B9:L42,7,FALSE)</f>
        <v>0.5</v>
      </c>
      <c r="G30" s="1741">
        <v>20</v>
      </c>
      <c r="H30" s="1739">
        <f>IF(J$6=0,0,(J$6*$E30+$G30+X14))</f>
        <v>100</v>
      </c>
      <c r="I30" s="1722">
        <f>H30*$D30</f>
        <v>143.19999999999999</v>
      </c>
      <c r="J30" s="45"/>
      <c r="K30" s="1740">
        <f>IF(M$6=0,0,(M$6*$E30+$G30+Y14))</f>
        <v>116</v>
      </c>
      <c r="L30" s="1564">
        <f>K30*$D30</f>
        <v>166.11199999999999</v>
      </c>
      <c r="M30" s="1557"/>
      <c r="N30" s="1739">
        <f>IF(P$6=0,0,(P$6*$E30+$G30+Z14))</f>
        <v>132</v>
      </c>
      <c r="O30" s="1722">
        <f>N30*$D30</f>
        <v>189.024</v>
      </c>
      <c r="P30" s="1686"/>
      <c r="Q30" s="38"/>
    </row>
    <row r="31" spans="1:26" s="42" customFormat="1" ht="15" customHeight="1">
      <c r="A31" s="1284"/>
      <c r="B31" s="272"/>
      <c r="C31" s="1284" t="s">
        <v>244</v>
      </c>
      <c r="D31" s="1691">
        <f>'SDK1'!O53</f>
        <v>1.05</v>
      </c>
      <c r="E31" s="1742">
        <f>VLOOKUP(K2,'SD8'!B9:L42,4,FALSE)</f>
        <v>0.8</v>
      </c>
      <c r="F31" s="1742">
        <f>VLOOKUP(K2,'SD8'!B9:L42,8,FALSE)</f>
        <v>0.30000000000000004</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0.8</v>
      </c>
      <c r="F32" s="1742">
        <f>VLOOKUP(K2,'SD8'!B9:L42,9,FALSE)</f>
        <v>1.7</v>
      </c>
      <c r="G32" s="1741"/>
      <c r="H32" s="1739">
        <f>IF(J$6=0,0,(J$6*$E32+$G32+X16))</f>
        <v>40</v>
      </c>
      <c r="I32" s="1722">
        <f>H32*$D32</f>
        <v>39.200000000000003</v>
      </c>
      <c r="J32" s="45"/>
      <c r="K32" s="1740">
        <f>IF(M$6=0,0,(M$6*$E32+$G32+Y16))</f>
        <v>48</v>
      </c>
      <c r="L32" s="1564">
        <f>K32*$D32</f>
        <v>47.040000000000006</v>
      </c>
      <c r="M32" s="1557"/>
      <c r="N32" s="1739">
        <f>IF(P$6=0,0,(P$6*$E32+$G32+Z16))</f>
        <v>56</v>
      </c>
      <c r="O32" s="1722">
        <f>N32*$D32</f>
        <v>54.88</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76" t="s">
        <v>1177</v>
      </c>
      <c r="G34" s="4877"/>
      <c r="H34" s="1732"/>
      <c r="I34" s="1731"/>
      <c r="J34" s="1582">
        <f>SUM(I36:I42)</f>
        <v>192.35</v>
      </c>
      <c r="K34" s="1734"/>
      <c r="L34" s="1733"/>
      <c r="M34" s="1585">
        <f>SUM(L36:L42)</f>
        <v>212.95999999999998</v>
      </c>
      <c r="N34" s="1732"/>
      <c r="O34" s="1731"/>
      <c r="P34" s="1582">
        <f>SUM(O36:O42)</f>
        <v>212.95999999999998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632</v>
      </c>
      <c r="D36" s="4902"/>
      <c r="E36" s="4903"/>
      <c r="F36" s="1724">
        <f>IF(C36="",0,VLOOKUP(C36,'SDK5'!C3:AF83,2,FALSE))</f>
        <v>99.7</v>
      </c>
      <c r="G36" s="1724">
        <f t="shared" ref="G36:G42" si="0">F36*(100+$D$35)/100</f>
        <v>99.7</v>
      </c>
      <c r="H36" s="1899">
        <v>0.5</v>
      </c>
      <c r="I36" s="1722">
        <f t="shared" ref="I36:I42" si="1">$G36*H36</f>
        <v>49.85</v>
      </c>
      <c r="J36" s="45"/>
      <c r="K36" s="1899">
        <v>0.5</v>
      </c>
      <c r="L36" s="1564">
        <f t="shared" ref="L36:L42" si="2">$G36*K36</f>
        <v>49.85</v>
      </c>
      <c r="M36" s="1557"/>
      <c r="N36" s="1899">
        <v>0.5</v>
      </c>
      <c r="O36" s="1722">
        <f t="shared" ref="O36:O42" si="3">$G36*N36</f>
        <v>49.85</v>
      </c>
      <c r="P36" s="1726"/>
      <c r="Q36" s="38"/>
    </row>
    <row r="37" spans="1:17" s="42" customFormat="1" ht="15" customHeight="1">
      <c r="A37" s="1284"/>
      <c r="B37" s="1562"/>
      <c r="C37" s="4870" t="s">
        <v>668</v>
      </c>
      <c r="D37" s="4900"/>
      <c r="E37" s="4901"/>
      <c r="F37" s="1724">
        <f>IF(C37="",0,VLOOKUP(C37,'SDK5'!C4:AF84,2,FALSE))</f>
        <v>35.1</v>
      </c>
      <c r="G37" s="1724">
        <f t="shared" si="0"/>
        <v>35.1</v>
      </c>
      <c r="H37" s="1899">
        <v>1</v>
      </c>
      <c r="I37" s="1722">
        <f t="shared" si="1"/>
        <v>35.1</v>
      </c>
      <c r="J37" s="45"/>
      <c r="K37" s="1899">
        <v>1</v>
      </c>
      <c r="L37" s="1564">
        <f t="shared" si="2"/>
        <v>35.1</v>
      </c>
      <c r="M37" s="1557"/>
      <c r="N37" s="1899">
        <v>1</v>
      </c>
      <c r="O37" s="1722">
        <f t="shared" si="3"/>
        <v>35.1</v>
      </c>
      <c r="P37" s="1686"/>
      <c r="Q37" s="38"/>
    </row>
    <row r="38" spans="1:17" s="42" customFormat="1" ht="15" customHeight="1">
      <c r="A38" s="1284"/>
      <c r="B38" s="1725"/>
      <c r="C38" s="4870" t="s">
        <v>622</v>
      </c>
      <c r="D38" s="4900"/>
      <c r="E38" s="4901"/>
      <c r="F38" s="1724">
        <f>IF(C38="",0,VLOOKUP(C38,'SDK5'!C5:AF85,2,FALSE))</f>
        <v>68.7</v>
      </c>
      <c r="G38" s="1724">
        <f t="shared" si="0"/>
        <v>68.7</v>
      </c>
      <c r="H38" s="1899"/>
      <c r="I38" s="1722">
        <f t="shared" si="1"/>
        <v>0</v>
      </c>
      <c r="J38" s="45"/>
      <c r="K38" s="1899">
        <v>0.3</v>
      </c>
      <c r="L38" s="1564">
        <f t="shared" si="2"/>
        <v>20.61</v>
      </c>
      <c r="M38" s="1557"/>
      <c r="N38" s="1899">
        <v>0.3</v>
      </c>
      <c r="O38" s="1722">
        <f t="shared" si="3"/>
        <v>20.61</v>
      </c>
      <c r="P38" s="1686"/>
      <c r="Q38" s="38"/>
    </row>
    <row r="39" spans="1:17" s="42" customFormat="1" ht="15" customHeight="1">
      <c r="A39" s="1284"/>
      <c r="B39" s="1562"/>
      <c r="C39" s="4870" t="s">
        <v>2007</v>
      </c>
      <c r="D39" s="4900"/>
      <c r="E39" s="4901"/>
      <c r="F39" s="1724">
        <f>IF(C39="",0,VLOOKUP(C39,'SDK5'!C6:AF86,2,FALSE))</f>
        <v>71.599999999999994</v>
      </c>
      <c r="G39" s="1724">
        <f t="shared" si="0"/>
        <v>71.599999999999994</v>
      </c>
      <c r="H39" s="1899">
        <v>1.5</v>
      </c>
      <c r="I39" s="1722">
        <f t="shared" si="1"/>
        <v>107.39999999999999</v>
      </c>
      <c r="J39" s="45"/>
      <c r="K39" s="1899">
        <v>1.5</v>
      </c>
      <c r="L39" s="1564">
        <f t="shared" si="2"/>
        <v>107.39999999999999</v>
      </c>
      <c r="M39" s="1557"/>
      <c r="N39" s="1899">
        <v>1.5</v>
      </c>
      <c r="O39" s="1722">
        <f t="shared" si="3"/>
        <v>107.39999999999999</v>
      </c>
      <c r="P39" s="1686"/>
      <c r="Q39" s="38"/>
    </row>
    <row r="40" spans="1:17" s="42" customFormat="1" ht="15" customHeight="1">
      <c r="A40" s="1284"/>
      <c r="B40" s="1562"/>
      <c r="C40" s="4870"/>
      <c r="D40" s="4870"/>
      <c r="E40" s="4871"/>
      <c r="F40" s="1724">
        <f>IF(C40="",0,VLOOKUP(C40,'SDK5'!C7:AF87,2,FALSE))</f>
        <v>0</v>
      </c>
      <c r="G40" s="1724">
        <f t="shared" si="0"/>
        <v>0</v>
      </c>
      <c r="H40" s="1899"/>
      <c r="I40" s="1722">
        <f t="shared" si="1"/>
        <v>0</v>
      </c>
      <c r="J40" s="45"/>
      <c r="K40" s="1899"/>
      <c r="L40" s="1564">
        <f t="shared" si="2"/>
        <v>0</v>
      </c>
      <c r="M40" s="1557"/>
      <c r="N40" s="1899"/>
      <c r="O40" s="1722">
        <f t="shared" si="3"/>
        <v>0</v>
      </c>
      <c r="P40" s="1686"/>
      <c r="Q40" s="38"/>
    </row>
    <row r="41" spans="1:17" s="42" customFormat="1" ht="15" customHeight="1">
      <c r="A41" s="1284"/>
      <c r="B41" s="1562"/>
      <c r="C41" s="4870"/>
      <c r="D41" s="4870"/>
      <c r="E41" s="4871"/>
      <c r="F41" s="1724">
        <f>IF(C41="",0,VLOOKUP(C41,'SDK5'!C8:AF88,2,FALSE))</f>
        <v>0</v>
      </c>
      <c r="G41" s="1724">
        <f t="shared" si="0"/>
        <v>0</v>
      </c>
      <c r="H41" s="1899"/>
      <c r="I41" s="1722">
        <f t="shared" si="1"/>
        <v>0</v>
      </c>
      <c r="J41" s="45"/>
      <c r="K41" s="1899"/>
      <c r="L41" s="1564">
        <f t="shared" si="2"/>
        <v>0</v>
      </c>
      <c r="M41" s="1557"/>
      <c r="N41" s="1899"/>
      <c r="O41" s="1722">
        <f t="shared" si="3"/>
        <v>0</v>
      </c>
      <c r="P41" s="1686"/>
      <c r="Q41" s="38"/>
    </row>
    <row r="42" spans="1:17" s="42" customFormat="1" ht="15" customHeight="1">
      <c r="A42" s="1284"/>
      <c r="B42" s="1721"/>
      <c r="C42" s="4856"/>
      <c r="D42" s="4856"/>
      <c r="E42" s="4857"/>
      <c r="F42" s="1720">
        <f>IF(C42="",0,VLOOKUP(C42,'SDK5'!C9:AF89,2,FALSE))</f>
        <v>0</v>
      </c>
      <c r="G42" s="1720">
        <f t="shared" si="0"/>
        <v>0</v>
      </c>
      <c r="H42" s="1898"/>
      <c r="I42" s="1718">
        <f t="shared" si="1"/>
        <v>0</v>
      </c>
      <c r="J42" s="45"/>
      <c r="K42" s="1898"/>
      <c r="L42" s="1558">
        <f t="shared" si="2"/>
        <v>0</v>
      </c>
      <c r="M42" s="1557"/>
      <c r="N42" s="1898"/>
      <c r="O42" s="1718">
        <f t="shared" si="3"/>
        <v>0</v>
      </c>
      <c r="P42" s="1717"/>
      <c r="Q42" s="38"/>
    </row>
    <row r="43" spans="1:17" s="686" customFormat="1" ht="18.75" customHeight="1">
      <c r="A43" s="1248"/>
      <c r="B43" s="1254" t="s">
        <v>1175</v>
      </c>
      <c r="C43" s="1248"/>
      <c r="D43" s="1248"/>
      <c r="E43" s="1248"/>
      <c r="F43" s="1248"/>
      <c r="G43" s="1588"/>
      <c r="H43" s="1714"/>
      <c r="I43" s="1713"/>
      <c r="J43" s="1582">
        <f>SUM(J46:J57)</f>
        <v>153.28565625764705</v>
      </c>
      <c r="K43" s="1716"/>
      <c r="L43" s="1715"/>
      <c r="M43" s="1585">
        <f>SUM(M46:M57)</f>
        <v>159.1659810305882</v>
      </c>
      <c r="N43" s="1714"/>
      <c r="O43" s="1713"/>
      <c r="P43" s="1582">
        <f>SUM(P46:P57)</f>
        <v>160.76822040470586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38"/>
      <c r="D45" s="128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2"/>
      <c r="E46" s="3760">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2"/>
      <c r="E47" s="3761">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2"/>
      <c r="E48" s="3761">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3</v>
      </c>
      <c r="O48" s="1687">
        <f t="shared" si="8"/>
        <v>1.1099999999999999</v>
      </c>
      <c r="P48" s="1686">
        <f t="shared" si="9"/>
        <v>12.834256196470587</v>
      </c>
      <c r="Q48" s="38"/>
    </row>
    <row r="49" spans="1:17" s="42" customFormat="1" ht="15" customHeight="1">
      <c r="A49" s="1284"/>
      <c r="B49" s="1694"/>
      <c r="C49" s="4882" t="s">
        <v>419</v>
      </c>
      <c r="D49" s="4882"/>
      <c r="E49" s="3761">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82" t="s">
        <v>403</v>
      </c>
      <c r="D50" s="4882"/>
      <c r="E50" s="3761">
        <f>IF($C50=0,0,VLOOKUP($C50,'SDK3'!$C$24:$O$86,4,FALSE))</f>
        <v>83</v>
      </c>
      <c r="F50" s="1692">
        <f>IF($C50=0,0,VLOOKUP($C50,'SDK3'!$C$24:$O$86,12,FALSE))</f>
        <v>0.56000000000000005</v>
      </c>
      <c r="G50" s="1691">
        <f>IF($C50=0,0,VLOOKUP($C50,'SDK3'!$C$24:$O$86,13,FALSE))</f>
        <v>9.6134362447058805</v>
      </c>
      <c r="H50" s="1688">
        <f>J6/60</f>
        <v>0.83333333333333337</v>
      </c>
      <c r="I50" s="1687">
        <f t="shared" si="4"/>
        <v>0.46666666666666673</v>
      </c>
      <c r="J50" s="1686">
        <f t="shared" si="5"/>
        <v>8.0111968705882344</v>
      </c>
      <c r="K50" s="1688">
        <f>M6/60</f>
        <v>1</v>
      </c>
      <c r="L50" s="1690">
        <f t="shared" si="6"/>
        <v>0.56000000000000005</v>
      </c>
      <c r="M50" s="1689">
        <f t="shared" si="7"/>
        <v>9.6134362447058805</v>
      </c>
      <c r="N50" s="1688">
        <f>P6/60</f>
        <v>1.1666666666666667</v>
      </c>
      <c r="O50" s="1687">
        <f t="shared" si="8"/>
        <v>0.65333333333333343</v>
      </c>
      <c r="P50" s="1686">
        <f t="shared" si="9"/>
        <v>11.215675618823528</v>
      </c>
      <c r="Q50" s="38"/>
    </row>
    <row r="51" spans="1:17" s="42" customFormat="1" ht="15" customHeight="1">
      <c r="A51" s="1284"/>
      <c r="B51" s="1694"/>
      <c r="C51" s="4882" t="s">
        <v>459</v>
      </c>
      <c r="D51" s="4882" t="s">
        <v>459</v>
      </c>
      <c r="E51" s="3761">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2"/>
      <c r="E52" s="3761">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2"/>
      <c r="E53" s="3761">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2"/>
      <c r="E54" s="3761">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2"/>
      <c r="E55" s="3761">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89"/>
      <c r="E56" s="3762">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5.6566666666666672</v>
      </c>
      <c r="J58" s="1669"/>
      <c r="K58" s="1668"/>
      <c r="L58" s="1667">
        <f>SUM($L$46:$L$57)</f>
        <v>6.12</v>
      </c>
      <c r="M58" s="1666"/>
      <c r="N58" s="1665"/>
      <c r="O58" s="1664">
        <f>SUM($O$46:$O$57)</f>
        <v>6.2133333333333329</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10.182000000000002</v>
      </c>
      <c r="J59" s="1654"/>
      <c r="K59" s="1659"/>
      <c r="L59" s="1658">
        <f>IF(L58+SUM($L$46:$L$57)*$E$59%&gt;L58+10,L58+10,L58+SUM($L$46:$L$57)*$E$59%)</f>
        <v>11.016000000000002</v>
      </c>
      <c r="M59" s="1657"/>
      <c r="N59" s="1656"/>
      <c r="O59" s="1655">
        <f>IF(O58+SUM($O$46:$O$57)*$E$59%&gt;O58+10,O58+10,O58+SUM($O$46:$O$57)*$E$59%)</f>
        <v>11.183999999999999</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90.250000000000014</v>
      </c>
      <c r="K67" s="1609" t="s">
        <v>1161</v>
      </c>
      <c r="L67" s="1608" t="s">
        <v>1160</v>
      </c>
      <c r="M67" s="1585">
        <f>S68*(K9+K10)*L68%+F68</f>
        <v>108.30000000000001</v>
      </c>
      <c r="N67" s="1607" t="s">
        <v>1161</v>
      </c>
      <c r="O67" s="1606" t="s">
        <v>1160</v>
      </c>
      <c r="P67" s="1582">
        <f>T68*(N9+N10)*O68%+F68</f>
        <v>126.35000000000001</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16.8</v>
      </c>
      <c r="K69" s="1598"/>
      <c r="L69" s="1597"/>
      <c r="M69" s="1585">
        <f>K70*$F70/1000</f>
        <v>20.16</v>
      </c>
      <c r="N69" s="44"/>
      <c r="O69" s="73"/>
      <c r="P69" s="1582">
        <f>N70*$F70/1000</f>
        <v>23.52</v>
      </c>
      <c r="Q69" s="38"/>
    </row>
    <row r="70" spans="1:20" s="686" customFormat="1" ht="15" customHeight="1">
      <c r="A70" s="1248"/>
      <c r="B70" s="1310"/>
      <c r="C70" s="1309" t="s">
        <v>840</v>
      </c>
      <c r="D70" s="346"/>
      <c r="E70" s="278"/>
      <c r="F70" s="1596">
        <f>'SDK7'!G101</f>
        <v>16</v>
      </c>
      <c r="G70" s="1595" t="s">
        <v>171</v>
      </c>
      <c r="H70" s="1591">
        <f>I9+I10</f>
        <v>1050</v>
      </c>
      <c r="I70" s="1590"/>
      <c r="J70" s="1589"/>
      <c r="K70" s="1594">
        <f>L9+L10</f>
        <v>1260</v>
      </c>
      <c r="L70" s="1593"/>
      <c r="M70" s="1592"/>
      <c r="N70" s="1591">
        <f>O9+O10</f>
        <v>1470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12.279232656339214</v>
      </c>
      <c r="K75" s="689"/>
      <c r="L75" s="1034"/>
      <c r="M75" s="1546">
        <f>(M23+M27+M34+M43+M60+M65+M67+M69+M71)*('SDK1'!$O$59%*$G$75/12)</f>
        <v>13.308889778690199</v>
      </c>
      <c r="N75" s="1548"/>
      <c r="O75" s="1547"/>
      <c r="P75" s="1546">
        <f>(P23+P27+P34+P43+P60+P65+P67+P69+P71)*('SDK1'!$O$59%*$G$75/12)</f>
        <v>14.048185904721569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73:E73"/>
    <mergeCell ref="C51:D51"/>
    <mergeCell ref="C52:D52"/>
    <mergeCell ref="C53:D53"/>
    <mergeCell ref="C54:D54"/>
    <mergeCell ref="C74:E74"/>
    <mergeCell ref="C55:D55"/>
    <mergeCell ref="C68:E68"/>
    <mergeCell ref="C62:E62"/>
    <mergeCell ref="C64:E64"/>
    <mergeCell ref="C57:D57"/>
    <mergeCell ref="C63:E63"/>
    <mergeCell ref="C56:D56"/>
    <mergeCell ref="K2:P2"/>
    <mergeCell ref="E22:G22"/>
    <mergeCell ref="F34:G34"/>
    <mergeCell ref="N6:O6"/>
    <mergeCell ref="D25:E25"/>
    <mergeCell ref="J3:L3"/>
    <mergeCell ref="E10:F10"/>
    <mergeCell ref="C20:F20"/>
    <mergeCell ref="C21:F21"/>
    <mergeCell ref="K1:L1"/>
    <mergeCell ref="C36:E36"/>
    <mergeCell ref="C40:E40"/>
    <mergeCell ref="N3:O4"/>
    <mergeCell ref="J4:L4"/>
    <mergeCell ref="F23:G23"/>
    <mergeCell ref="D26:E26"/>
    <mergeCell ref="C14:F14"/>
    <mergeCell ref="C15:F15"/>
    <mergeCell ref="K6:L6"/>
    <mergeCell ref="N1:O1"/>
    <mergeCell ref="H6:I6"/>
    <mergeCell ref="C19:F19"/>
    <mergeCell ref="E4:I4"/>
    <mergeCell ref="C16:F16"/>
    <mergeCell ref="C17:F17"/>
    <mergeCell ref="C37:E37"/>
    <mergeCell ref="C38:E38"/>
    <mergeCell ref="C39:E39"/>
    <mergeCell ref="C46:D46"/>
    <mergeCell ref="C47:D47"/>
    <mergeCell ref="C50:D50"/>
    <mergeCell ref="C48:D48"/>
    <mergeCell ref="C42:E42"/>
    <mergeCell ref="C41:E41"/>
    <mergeCell ref="C49:D49"/>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0" orientation="portrait" r:id="rId1"/>
  <headerFooter alignWithMargins="0">
    <oddFooter>&amp;L&amp;11LEL Schwäbisch Gmünd&amp;C37&amp;R&amp;11&amp;F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'SDK5'!$G$214:$G$313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4">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859.52895226754902</v>
      </c>
      <c r="K1" s="4855">
        <f>M1-J1</f>
        <v>66.825931666666634</v>
      </c>
      <c r="L1" s="4855"/>
      <c r="M1" s="1874">
        <f>(M7+M13+M18+M22+L11+L12)-(M23+M27+M34+M43+M60+M65+M67+M69+M71+M75)</f>
        <v>926.35488393421565</v>
      </c>
      <c r="N1" s="4855">
        <f>P1-M1</f>
        <v>303.43134833333352</v>
      </c>
      <c r="O1" s="4855"/>
      <c r="P1" s="1874">
        <f>(P7+P13+P18+P22+O11+O12)-(P23+P27+P34+P43+P60+P65+P67+P69+P71+P75)</f>
        <v>1229.7862322675492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208</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55</v>
      </c>
      <c r="K6" s="4874" t="s">
        <v>152</v>
      </c>
      <c r="L6" s="4875"/>
      <c r="M6" s="1855">
        <v>65</v>
      </c>
      <c r="N6" s="4861" t="s">
        <v>178</v>
      </c>
      <c r="O6" s="4862"/>
      <c r="P6" s="1854">
        <v>75</v>
      </c>
      <c r="Q6" s="70"/>
    </row>
    <row r="7" spans="1:41" s="251" customFormat="1" ht="18.75" customHeight="1">
      <c r="A7" s="47"/>
      <c r="B7" s="305" t="s">
        <v>1202</v>
      </c>
      <c r="C7" s="47"/>
      <c r="D7" s="47"/>
      <c r="E7" s="47"/>
      <c r="F7" s="47"/>
      <c r="G7" s="1852"/>
      <c r="H7" s="1849"/>
      <c r="I7" s="1848"/>
      <c r="J7" s="1582">
        <f>SUM(I9:I10)</f>
        <v>1292.5</v>
      </c>
      <c r="K7" s="1851"/>
      <c r="L7" s="1850"/>
      <c r="M7" s="1585">
        <f>SUM(L9:L10)</f>
        <v>1527.5</v>
      </c>
      <c r="N7" s="1849"/>
      <c r="O7" s="1848"/>
      <c r="P7" s="1582">
        <f>SUM(O9:O10)</f>
        <v>1762.5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'SDK1'!O24</f>
        <v>23.5</v>
      </c>
      <c r="H9" s="1845">
        <f>J6-H10</f>
        <v>55</v>
      </c>
      <c r="I9" s="1841">
        <f>H9*G9</f>
        <v>1292.5</v>
      </c>
      <c r="J9" s="43"/>
      <c r="K9" s="1844">
        <f>M6-K10</f>
        <v>65</v>
      </c>
      <c r="L9" s="1843">
        <f>K9*G9</f>
        <v>1527.5</v>
      </c>
      <c r="M9" s="1822"/>
      <c r="N9" s="1842">
        <f>P6-N10</f>
        <v>75</v>
      </c>
      <c r="O9" s="1841">
        <f>N9*G9</f>
        <v>1762.5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153</v>
      </c>
      <c r="K23" s="1587"/>
      <c r="L23" s="1586"/>
      <c r="M23" s="1768">
        <f>SUM(L25:L26)</f>
        <v>153</v>
      </c>
      <c r="N23" s="1584"/>
      <c r="O23" s="1583"/>
      <c r="P23" s="1567">
        <f>SUM(O25:O26)</f>
        <v>153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'SDK7'!F54/100</f>
        <v>0.9</v>
      </c>
      <c r="G25" s="1762">
        <f>F25*(100+$D$24)/100</f>
        <v>0.9</v>
      </c>
      <c r="H25" s="1904">
        <v>170</v>
      </c>
      <c r="I25" s="1722">
        <f>H25*$G25</f>
        <v>153</v>
      </c>
      <c r="J25" s="45"/>
      <c r="K25" s="1904">
        <v>170</v>
      </c>
      <c r="L25" s="1564">
        <f>K25*$G25</f>
        <v>153</v>
      </c>
      <c r="M25" s="1557"/>
      <c r="N25" s="1904">
        <f>H25</f>
        <v>170</v>
      </c>
      <c r="O25" s="1722">
        <f>N25*$G25</f>
        <v>153</v>
      </c>
      <c r="P25" s="1686"/>
      <c r="Q25" s="38"/>
    </row>
    <row r="26" spans="1:26" s="42" customFormat="1" ht="15" customHeight="1">
      <c r="A26" s="1284"/>
      <c r="B26" s="1310"/>
      <c r="C26" s="1760"/>
      <c r="D26" s="4880"/>
      <c r="E26" s="4881"/>
      <c r="F26" s="1759"/>
      <c r="G26" s="1758">
        <f>F26*(100+$D$24)/100</f>
        <v>0</v>
      </c>
      <c r="H26" s="1903"/>
      <c r="I26" s="1718">
        <f>H26*$G26</f>
        <v>0</v>
      </c>
      <c r="J26" s="45"/>
      <c r="K26" s="1903"/>
      <c r="L26" s="1558">
        <f>K26*$G26</f>
        <v>0</v>
      </c>
      <c r="M26" s="1557"/>
      <c r="N26" s="1903">
        <f>H26</f>
        <v>0</v>
      </c>
      <c r="O26" s="1718">
        <f>N26*$G26</f>
        <v>0</v>
      </c>
      <c r="P26" s="1717"/>
      <c r="Q26" s="38"/>
    </row>
    <row r="27" spans="1:26" s="686" customFormat="1" ht="18.75" customHeight="1">
      <c r="A27" s="1248"/>
      <c r="B27" s="1756" t="s">
        <v>1184</v>
      </c>
      <c r="C27" s="1248"/>
      <c r="D27" s="73"/>
      <c r="E27" s="38"/>
      <c r="F27" s="38"/>
      <c r="G27" s="1755"/>
      <c r="H27" s="1714"/>
      <c r="I27" s="1713"/>
      <c r="J27" s="1582">
        <f>SUM(I30:I33)</f>
        <v>279.98560000000003</v>
      </c>
      <c r="K27" s="1716"/>
      <c r="L27" s="1715"/>
      <c r="M27" s="1585">
        <f>SUM(L30:L33)</f>
        <v>325.68480000000005</v>
      </c>
      <c r="N27" s="1714"/>
      <c r="O27" s="1713"/>
      <c r="P27" s="1582">
        <f>SUM(O30:O33)</f>
        <v>371.38400000000001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136.05000000000001</v>
      </c>
      <c r="I30" s="1722">
        <f>H30*$D30</f>
        <v>194.8236</v>
      </c>
      <c r="J30" s="45"/>
      <c r="K30" s="1740">
        <f>IF(M$6=0,0,(M$6*$E30+$G30+Y14))</f>
        <v>157.15</v>
      </c>
      <c r="L30" s="1564">
        <f>K30*$D30</f>
        <v>225.03880000000001</v>
      </c>
      <c r="M30" s="1557"/>
      <c r="N30" s="1739">
        <f>IF(P$6=0,0,(P$6*$E30+$G30+Z14))</f>
        <v>178.25</v>
      </c>
      <c r="O30" s="1722">
        <f>N30*$D30</f>
        <v>255.25399999999999</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76" t="s">
        <v>1177</v>
      </c>
      <c r="G34" s="4877"/>
      <c r="H34" s="1732"/>
      <c r="I34" s="1731"/>
      <c r="J34" s="1582">
        <f>SUM(I36:I42)</f>
        <v>111.88500000000001</v>
      </c>
      <c r="K34" s="1734"/>
      <c r="L34" s="1733"/>
      <c r="M34" s="1585">
        <f>SUM(L36:L42)</f>
        <v>111.88500000000001</v>
      </c>
      <c r="N34" s="1732"/>
      <c r="O34" s="1731"/>
      <c r="P34" s="1582">
        <f>SUM(O36:O42)</f>
        <v>111.88500000000001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618</v>
      </c>
      <c r="D36" s="4884"/>
      <c r="E36" s="4885"/>
      <c r="F36" s="1724">
        <f>IF(C36="",0,VLOOKUP(C36,'SDK5'!C3:AF83,2,FALSE))</f>
        <v>637.70000000000005</v>
      </c>
      <c r="G36" s="1724">
        <f t="shared" ref="G36:G42" si="0">F36*(100+$D$35)/100</f>
        <v>637.70000000000005</v>
      </c>
      <c r="H36" s="1723">
        <v>0.05</v>
      </c>
      <c r="I36" s="1722">
        <f t="shared" ref="I36:I42" si="1">$G36*H36</f>
        <v>31.885000000000005</v>
      </c>
      <c r="J36" s="45"/>
      <c r="K36" s="1723">
        <v>0.05</v>
      </c>
      <c r="L36" s="1564">
        <f t="shared" ref="L36:L42" si="2">$G36*K36</f>
        <v>31.885000000000005</v>
      </c>
      <c r="M36" s="1557"/>
      <c r="N36" s="1723">
        <v>0.05</v>
      </c>
      <c r="O36" s="1722">
        <f t="shared" ref="O36:O42" si="3">$G36*N36</f>
        <v>31.885000000000005</v>
      </c>
      <c r="P36" s="1726"/>
      <c r="Q36" s="38"/>
    </row>
    <row r="37" spans="1:17" s="42" customFormat="1" ht="15" customHeight="1">
      <c r="A37" s="1284"/>
      <c r="B37" s="1562"/>
      <c r="C37" s="4870" t="s">
        <v>2008</v>
      </c>
      <c r="D37" s="4870"/>
      <c r="E37" s="4871"/>
      <c r="F37" s="1724">
        <f>IF(C37="",0,VLOOKUP(C37,'SDK5'!C4:AF84,2,FALSE))</f>
        <v>80</v>
      </c>
      <c r="G37" s="1724">
        <f t="shared" si="0"/>
        <v>80</v>
      </c>
      <c r="H37" s="1723">
        <v>1</v>
      </c>
      <c r="I37" s="1722">
        <f t="shared" si="1"/>
        <v>80</v>
      </c>
      <c r="J37" s="45"/>
      <c r="K37" s="1723">
        <v>1</v>
      </c>
      <c r="L37" s="1564">
        <f t="shared" si="2"/>
        <v>80</v>
      </c>
      <c r="M37" s="1557"/>
      <c r="N37" s="1723">
        <v>1</v>
      </c>
      <c r="O37" s="1722">
        <f t="shared" si="3"/>
        <v>80</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148.3785382470588</v>
      </c>
      <c r="K43" s="1716"/>
      <c r="L43" s="1715"/>
      <c r="M43" s="1585">
        <f>SUM(M46:M57)</f>
        <v>148.3785382470588</v>
      </c>
      <c r="N43" s="1714"/>
      <c r="O43" s="1713"/>
      <c r="P43" s="1582">
        <f>SUM(P46:P57)</f>
        <v>148.3785382470588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905"/>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904"/>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904"/>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82" t="s">
        <v>419</v>
      </c>
      <c r="D49" s="4904"/>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1</v>
      </c>
      <c r="I50" s="1687">
        <f t="shared" si="4"/>
        <v>0.56000000000000005</v>
      </c>
      <c r="J50" s="1686">
        <f t="shared" si="5"/>
        <v>9.6134362447058805</v>
      </c>
      <c r="K50" s="1688">
        <v>1</v>
      </c>
      <c r="L50" s="1690">
        <f t="shared" si="6"/>
        <v>0.56000000000000005</v>
      </c>
      <c r="M50" s="1689">
        <f t="shared" si="7"/>
        <v>9.6134362447058805</v>
      </c>
      <c r="N50" s="1688">
        <v>1</v>
      </c>
      <c r="O50" s="1687">
        <f t="shared" si="8"/>
        <v>0.56000000000000005</v>
      </c>
      <c r="P50" s="1686">
        <f t="shared" si="9"/>
        <v>9.6134362447058805</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5.36</v>
      </c>
      <c r="J58" s="1669"/>
      <c r="K58" s="1668"/>
      <c r="L58" s="1667">
        <f>SUM($L$46:$L$57)</f>
        <v>5.36</v>
      </c>
      <c r="M58" s="1666"/>
      <c r="N58" s="1665"/>
      <c r="O58" s="1664">
        <f>SUM($O$46:$O$57)</f>
        <v>5.36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9.6479999999999997</v>
      </c>
      <c r="J59" s="1654"/>
      <c r="K59" s="1659"/>
      <c r="L59" s="1658">
        <f>IF(L58+SUM($L$46:$L$57)*$E$59%&gt;L58+10,L58+10,L58+SUM($L$46:$L$57)*$E$59%)</f>
        <v>9.6479999999999997</v>
      </c>
      <c r="M59" s="1657"/>
      <c r="N59" s="1656"/>
      <c r="O59" s="1655">
        <f>IF(O58+SUM($O$46:$O$57)*$E$59%&gt;O58+10,O58+10,O58+SUM($O$46:$O$57)*$E$59%)</f>
        <v>9.6479999999999997</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117.32500000000002</v>
      </c>
      <c r="N67" s="1607" t="s">
        <v>1161</v>
      </c>
      <c r="O67" s="1606" t="s">
        <v>1160</v>
      </c>
      <c r="P67" s="1582">
        <f>T68*(N9+N10)*O68%+F68</f>
        <v>0</v>
      </c>
      <c r="Q67" s="38"/>
    </row>
    <row r="68" spans="1:20" s="686" customFormat="1" ht="15" customHeight="1">
      <c r="A68" s="1248"/>
      <c r="B68" s="1605"/>
      <c r="C68" s="4888" t="s">
        <v>1159</v>
      </c>
      <c r="D68" s="4888"/>
      <c r="E68" s="4888"/>
      <c r="F68" s="1604"/>
      <c r="G68" s="1595" t="s">
        <v>171</v>
      </c>
      <c r="H68" s="1602">
        <v>18</v>
      </c>
      <c r="I68" s="1601"/>
      <c r="J68" s="1600"/>
      <c r="K68" s="1602">
        <v>16</v>
      </c>
      <c r="L68" s="1601">
        <v>50</v>
      </c>
      <c r="M68" s="1603"/>
      <c r="N68" s="1602">
        <v>20</v>
      </c>
      <c r="O68" s="1601"/>
      <c r="P68" s="1600"/>
      <c r="Q68" s="38"/>
      <c r="R68" s="1599">
        <f>IF($H$68=0,0,VLOOKUP($H$68,'SD6'!B8:C101,'SD6'!C1,FALSE))*(1+'SDK1'!O11/100)</f>
        <v>5.41</v>
      </c>
      <c r="S68" s="1599">
        <f>IF($K$68=0,0,VLOOKUP($K$68,'SD6'!B8:C101,'SD6'!C1,FALSE))*(1+'SDK1'!O11/100)</f>
        <v>3.6100000000000003</v>
      </c>
      <c r="T68" s="1599">
        <f>IF($N$68=0,0,VLOOKUP($N$68,'SD6'!B8:C101,'SD6'!C1,FALSE))*(1+'SDK1'!O11/100)</f>
        <v>7.2099999999999991</v>
      </c>
    </row>
    <row r="69" spans="1:20" s="686" customFormat="1" ht="18.75" customHeight="1">
      <c r="A69" s="1248"/>
      <c r="B69" s="1254" t="s">
        <v>1158</v>
      </c>
      <c r="C69" s="1248"/>
      <c r="D69" s="1248"/>
      <c r="E69" s="38"/>
      <c r="F69" s="38"/>
      <c r="G69" s="1588"/>
      <c r="H69" s="1809"/>
      <c r="I69" s="536"/>
      <c r="J69" s="1652">
        <f>H70*$F70/1000</f>
        <v>20.68</v>
      </c>
      <c r="K69" s="1598"/>
      <c r="L69" s="1597"/>
      <c r="M69" s="1585">
        <f>K70*$F70/1000</f>
        <v>24.44</v>
      </c>
      <c r="N69" s="1809"/>
      <c r="O69" s="73"/>
      <c r="P69" s="1582">
        <f>N70*$F70/1000</f>
        <v>28.2</v>
      </c>
      <c r="Q69" s="38"/>
    </row>
    <row r="70" spans="1:20" s="686" customFormat="1" ht="15" customHeight="1">
      <c r="A70" s="1248"/>
      <c r="B70" s="1310"/>
      <c r="C70" s="1309" t="s">
        <v>840</v>
      </c>
      <c r="D70" s="346"/>
      <c r="E70" s="278"/>
      <c r="F70" s="1596">
        <f>'SDK7'!G102</f>
        <v>16</v>
      </c>
      <c r="G70" s="1595" t="s">
        <v>171</v>
      </c>
      <c r="H70" s="1900">
        <f>I9+I10</f>
        <v>1292.5</v>
      </c>
      <c r="I70" s="1902"/>
      <c r="J70" s="1901"/>
      <c r="K70" s="1594">
        <f>L9+L10</f>
        <v>1527.5</v>
      </c>
      <c r="L70" s="1593"/>
      <c r="M70" s="1592"/>
      <c r="N70" s="1900">
        <f>O9+O10</f>
        <v>1762.5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7.3419094853921569</v>
      </c>
      <c r="K75" s="689"/>
      <c r="L75" s="1034"/>
      <c r="M75" s="1546">
        <f>(M23+M27+M34+M43+M60+M65+M67+M69+M71)*('SDK1'!$O$59%*$G$75/12)</f>
        <v>8.7317778187254902</v>
      </c>
      <c r="N75" s="1548"/>
      <c r="O75" s="1547"/>
      <c r="P75" s="1546">
        <f>(P23+P27+P34+P43+P60+P65+P67+P69+P71)*('SDK1'!$O$59%*$G$75/12)</f>
        <v>8.166229485392158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2" orientation="portrait" r:id="rId1"/>
  <headerFooter alignWithMargins="0">
    <oddFooter>&amp;L&amp;11LEL Schwäbisch Gmünd&amp;C39&amp;R&amp;11&amp;F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'SDK5'!$K$214:$K$313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C46:C57</xm:sqref>
        </x14:dataValidation>
        <x14:dataValidation type="list" allowBlank="1" showInputMessage="1" showErrorMessage="1" errorTitle="Arbeitsgänge" error="Bitte aus Dropdownliste auswählen.">
          <x14:formula1>
            <xm:f>'SDK3'!$C$23:$C$85</xm:f>
          </x14:formula1>
          <xm:sqref>D50:D57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5">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485.3944486364511</v>
      </c>
      <c r="K1" s="4855">
        <f>M1-J1</f>
        <v>134.51401863109811</v>
      </c>
      <c r="L1" s="4855"/>
      <c r="M1" s="1874">
        <f>(M7+M13+M18+M22+L11+L12)-(M23+M27+M34+M43+M60+M65+M67+M69+M71+M75)</f>
        <v>619.90846726754921</v>
      </c>
      <c r="N1" s="4855">
        <f>P1-M1</f>
        <v>134.514018631098</v>
      </c>
      <c r="O1" s="4855"/>
      <c r="P1" s="1874">
        <f>(P7+P13+P18+P22+O11+O12)-(P23+P27+P34+P43+P60+P65+P67+P69+P71+P75)</f>
        <v>754.42248589864721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207</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50</v>
      </c>
      <c r="K6" s="4874" t="s">
        <v>152</v>
      </c>
      <c r="L6" s="4875"/>
      <c r="M6" s="1855">
        <v>60</v>
      </c>
      <c r="N6" s="4861" t="s">
        <v>178</v>
      </c>
      <c r="O6" s="4862"/>
      <c r="P6" s="1854">
        <v>70</v>
      </c>
      <c r="Q6" s="70"/>
    </row>
    <row r="7" spans="1:41" s="251" customFormat="1" ht="18.75" customHeight="1">
      <c r="A7" s="47"/>
      <c r="B7" s="305" t="s">
        <v>1202</v>
      </c>
      <c r="C7" s="47"/>
      <c r="D7" s="47"/>
      <c r="E7" s="47"/>
      <c r="F7" s="47"/>
      <c r="G7" s="1852"/>
      <c r="H7" s="1849"/>
      <c r="I7" s="1848"/>
      <c r="J7" s="1582">
        <f>SUM(I9:I10)</f>
        <v>995.00000000000011</v>
      </c>
      <c r="K7" s="1851"/>
      <c r="L7" s="1850"/>
      <c r="M7" s="1585">
        <f>SUM(L9:L10)</f>
        <v>1194.0000000000002</v>
      </c>
      <c r="N7" s="1849"/>
      <c r="O7" s="1848"/>
      <c r="P7" s="1582">
        <f>SUM(O9:O10)</f>
        <v>1393.0000000000002</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'SDK1'!O25</f>
        <v>19.900000000000002</v>
      </c>
      <c r="H9" s="1845">
        <f>J6-H10</f>
        <v>50</v>
      </c>
      <c r="I9" s="1841">
        <f>H9*G9</f>
        <v>995.00000000000011</v>
      </c>
      <c r="J9" s="43"/>
      <c r="K9" s="1844">
        <f>M6-K10</f>
        <v>60</v>
      </c>
      <c r="L9" s="1843">
        <f>K9*G9</f>
        <v>1194.0000000000002</v>
      </c>
      <c r="M9" s="1822"/>
      <c r="N9" s="1842">
        <f>P6-N10</f>
        <v>70</v>
      </c>
      <c r="O9" s="1841">
        <f>N9*G9</f>
        <v>1393.0000000000002</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153.6</v>
      </c>
      <c r="K23" s="1587"/>
      <c r="L23" s="1586"/>
      <c r="M23" s="1768">
        <f>SUM(L25:L26)</f>
        <v>153.6</v>
      </c>
      <c r="N23" s="1584"/>
      <c r="O23" s="1583"/>
      <c r="P23" s="1567">
        <f>SUM(O25:O26)</f>
        <v>153.6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'SDK7'!F55/100</f>
        <v>0.96</v>
      </c>
      <c r="G25" s="1762">
        <f>F25*(100+$D$24)/100</f>
        <v>0.96</v>
      </c>
      <c r="H25" s="1761">
        <v>160</v>
      </c>
      <c r="I25" s="1722">
        <f>H25*$G25</f>
        <v>153.6</v>
      </c>
      <c r="J25" s="45"/>
      <c r="K25" s="1761">
        <f>H25</f>
        <v>160</v>
      </c>
      <c r="L25" s="1564">
        <f>K25*$G25</f>
        <v>153.6</v>
      </c>
      <c r="M25" s="1557"/>
      <c r="N25" s="1761">
        <f>H25</f>
        <v>160</v>
      </c>
      <c r="O25" s="1722">
        <f>N25*$G25</f>
        <v>153.6</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234.22400000000002</v>
      </c>
      <c r="K27" s="1716"/>
      <c r="L27" s="1715"/>
      <c r="M27" s="1585">
        <f>SUM(L30:L33)</f>
        <v>275.3408</v>
      </c>
      <c r="N27" s="1714"/>
      <c r="O27" s="1713"/>
      <c r="P27" s="1582">
        <f>SUM(O30:O33)</f>
        <v>316.45760000000001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1.79</v>
      </c>
      <c r="F30" s="1742">
        <f>VLOOKUP(K2,'SD8'!B9:L42,7,FALSE)</f>
        <v>0.39999999999999991</v>
      </c>
      <c r="G30" s="1741">
        <v>20</v>
      </c>
      <c r="H30" s="1739">
        <f>IF(J$6=0,0,(J$6*$E30+$G30+X14))</f>
        <v>109.5</v>
      </c>
      <c r="I30" s="1722">
        <f>H30*$D30</f>
        <v>156.804</v>
      </c>
      <c r="J30" s="45"/>
      <c r="K30" s="1740">
        <f>IF(M$6=0,0,(M$6*$E30+$G30+Y14))</f>
        <v>127.4</v>
      </c>
      <c r="L30" s="1564">
        <f>K30*$D30</f>
        <v>182.43680000000001</v>
      </c>
      <c r="M30" s="1557"/>
      <c r="N30" s="1739">
        <f>IF(P$6=0,0,(P$6*$E30+$G30+Z14))</f>
        <v>145.30000000000001</v>
      </c>
      <c r="O30" s="1722">
        <f>N30*$D30</f>
        <v>208.06960000000001</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0.6</v>
      </c>
      <c r="F32" s="1742">
        <f>VLOOKUP(K2,'SD8'!B9:L42,9,FALSE)</f>
        <v>1.3599999999999999</v>
      </c>
      <c r="G32" s="1741"/>
      <c r="H32" s="1739">
        <f>IF(J$6=0,0,(J$6*$E32+$G32+X16))</f>
        <v>30</v>
      </c>
      <c r="I32" s="1722">
        <f>H32*$D32</f>
        <v>29.400000000000002</v>
      </c>
      <c r="J32" s="45"/>
      <c r="K32" s="1740">
        <f>IF(M$6=0,0,(M$6*$E32+$G32+Y16))</f>
        <v>36</v>
      </c>
      <c r="L32" s="1564">
        <f>K32*$D32</f>
        <v>35.28</v>
      </c>
      <c r="M32" s="1557"/>
      <c r="N32" s="1739">
        <f>IF(P$6=0,0,(P$6*$E32+$G32+Z16))</f>
        <v>42</v>
      </c>
      <c r="O32" s="1722">
        <f>N32*$D32</f>
        <v>41.160000000000004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8.0000000000000016E-2</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76" t="s">
        <v>1177</v>
      </c>
      <c r="G34" s="4877"/>
      <c r="H34" s="1732"/>
      <c r="I34" s="1731"/>
      <c r="J34" s="1582">
        <f>SUM(I36:I42)</f>
        <v>149.16</v>
      </c>
      <c r="K34" s="1734"/>
      <c r="L34" s="1733"/>
      <c r="M34" s="1585">
        <f>SUM(L36:L42)</f>
        <v>149.16</v>
      </c>
      <c r="N34" s="1732"/>
      <c r="O34" s="1731"/>
      <c r="P34" s="1582">
        <f>SUM(O36:O42)</f>
        <v>149.16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657</v>
      </c>
      <c r="D36" s="4884"/>
      <c r="E36" s="4885"/>
      <c r="F36" s="1724">
        <f>IF(C36="",0,VLOOKUP(C36,'SDK5'!C3:AF83,2,FALSE))</f>
        <v>52.8</v>
      </c>
      <c r="G36" s="1724">
        <f t="shared" ref="G36:G42" si="0">F36*(100+$D$35)/100</f>
        <v>52.8</v>
      </c>
      <c r="H36" s="1723">
        <v>0.9</v>
      </c>
      <c r="I36" s="1722">
        <f t="shared" ref="I36:I42" si="1">$G36*H36</f>
        <v>47.519999999999996</v>
      </c>
      <c r="J36" s="45"/>
      <c r="K36" s="1723">
        <v>0.9</v>
      </c>
      <c r="L36" s="1564">
        <f t="shared" ref="L36:L42" si="2">$G36*K36</f>
        <v>47.519999999999996</v>
      </c>
      <c r="M36" s="1557"/>
      <c r="N36" s="1723">
        <v>0.9</v>
      </c>
      <c r="O36" s="1722">
        <f t="shared" ref="O36:O42" si="3">$G36*N36</f>
        <v>47.519999999999996</v>
      </c>
      <c r="P36" s="1726"/>
      <c r="Q36" s="38"/>
    </row>
    <row r="37" spans="1:17" s="42" customFormat="1" ht="15" customHeight="1">
      <c r="A37" s="1284"/>
      <c r="B37" s="1562"/>
      <c r="C37" s="4870" t="s">
        <v>616</v>
      </c>
      <c r="D37" s="4870"/>
      <c r="E37" s="4871"/>
      <c r="F37" s="1724">
        <f>IF(C37="",0,VLOOKUP(C37,'SDK5'!C4:AF84,2,FALSE))</f>
        <v>150.19999999999999</v>
      </c>
      <c r="G37" s="1724">
        <f t="shared" si="0"/>
        <v>150.19999999999999</v>
      </c>
      <c r="H37" s="1723">
        <v>0.2</v>
      </c>
      <c r="I37" s="1722">
        <f t="shared" si="1"/>
        <v>30.04</v>
      </c>
      <c r="J37" s="45"/>
      <c r="K37" s="1723">
        <v>0.2</v>
      </c>
      <c r="L37" s="1564">
        <f t="shared" si="2"/>
        <v>30.04</v>
      </c>
      <c r="M37" s="1557"/>
      <c r="N37" s="1723">
        <v>0.2</v>
      </c>
      <c r="O37" s="1722">
        <f t="shared" si="3"/>
        <v>30.04</v>
      </c>
      <c r="P37" s="1686"/>
      <c r="Q37" s="38"/>
    </row>
    <row r="38" spans="1:17" s="42" customFormat="1" ht="15" customHeight="1">
      <c r="A38" s="1284"/>
      <c r="B38" s="1725"/>
      <c r="C38" s="4870" t="s">
        <v>2007</v>
      </c>
      <c r="D38" s="4870"/>
      <c r="E38" s="4871"/>
      <c r="F38" s="1724">
        <f>IF(C38="",0,VLOOKUP(C38,'SDK5'!C5:AF85,2,FALSE))</f>
        <v>71.599999999999994</v>
      </c>
      <c r="G38" s="1724">
        <f t="shared" si="0"/>
        <v>71.599999999999994</v>
      </c>
      <c r="H38" s="1723">
        <v>1</v>
      </c>
      <c r="I38" s="1722">
        <f t="shared" si="1"/>
        <v>71.599999999999994</v>
      </c>
      <c r="J38" s="45"/>
      <c r="K38" s="1723">
        <v>1</v>
      </c>
      <c r="L38" s="1564">
        <f t="shared" si="2"/>
        <v>71.599999999999994</v>
      </c>
      <c r="M38" s="1557"/>
      <c r="N38" s="1723">
        <v>1</v>
      </c>
      <c r="O38" s="1722">
        <f t="shared" si="3"/>
        <v>71.599999999999994</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146.77629887294114</v>
      </c>
      <c r="K43" s="1716"/>
      <c r="L43" s="1715"/>
      <c r="M43" s="1585">
        <f>SUM(M46:M57)</f>
        <v>148.3785382470588</v>
      </c>
      <c r="N43" s="1714"/>
      <c r="O43" s="1713"/>
      <c r="P43" s="1582">
        <f>SUM(P46:P57)</f>
        <v>149.98077762117646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905"/>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904"/>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904"/>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82" t="s">
        <v>419</v>
      </c>
      <c r="D49" s="4904"/>
      <c r="E49" s="1693">
        <f>IF($C49=0,0,VLOOKUP($C49,'SDK3'!$C$24:$O$86,4,FALSE))</f>
        <v>83</v>
      </c>
      <c r="F49" s="1692">
        <f>IF($C49=0,0,VLOOKUP($C49,'SDK3'!$C$24:$O$86,12,FALSE))</f>
        <v>0.39</v>
      </c>
      <c r="G49" s="1691">
        <f>IF($C49=0,0,VLOOKUP($C49,'SDK3'!$C$24:$O$86,13,FALSE))</f>
        <v>6.5093573847058819</v>
      </c>
      <c r="H49" s="1688">
        <v>2</v>
      </c>
      <c r="I49" s="1687">
        <f t="shared" si="4"/>
        <v>0.78</v>
      </c>
      <c r="J49" s="1686">
        <f t="shared" si="5"/>
        <v>13.018714769411764</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82" t="s">
        <v>403</v>
      </c>
      <c r="D50" s="4904"/>
      <c r="E50" s="1693">
        <f>IF($C50=0,0,VLOOKUP($C50,'SDK3'!$C$24:$O$86,4,FALSE))</f>
        <v>83</v>
      </c>
      <c r="F50" s="1692">
        <f>IF($C50=0,0,VLOOKUP($C50,'SDK3'!$C$24:$O$86,12,FALSE))</f>
        <v>0.56000000000000005</v>
      </c>
      <c r="G50" s="1691">
        <f>IF($C50=0,0,VLOOKUP($C50,'SDK3'!$C$24:$O$86,13,FALSE))</f>
        <v>9.6134362447058805</v>
      </c>
      <c r="H50" s="1688">
        <v>0.83333333333333337</v>
      </c>
      <c r="I50" s="1687">
        <f t="shared" si="4"/>
        <v>0.46666666666666673</v>
      </c>
      <c r="J50" s="1686">
        <f t="shared" si="5"/>
        <v>8.0111968705882344</v>
      </c>
      <c r="K50" s="1688">
        <v>1</v>
      </c>
      <c r="L50" s="1690">
        <f t="shared" si="6"/>
        <v>0.56000000000000005</v>
      </c>
      <c r="M50" s="1689">
        <f t="shared" si="7"/>
        <v>9.6134362447058805</v>
      </c>
      <c r="N50" s="1688">
        <v>1.1666666666666667</v>
      </c>
      <c r="O50" s="1687">
        <f t="shared" si="8"/>
        <v>0.65333333333333343</v>
      </c>
      <c r="P50" s="1686">
        <f t="shared" si="9"/>
        <v>11.215675618823528</v>
      </c>
      <c r="Q50" s="38"/>
    </row>
    <row r="51" spans="1:17" s="42" customFormat="1" ht="15" customHeight="1">
      <c r="A51" s="1284"/>
      <c r="B51" s="1694"/>
      <c r="C51" s="4882" t="s">
        <v>459</v>
      </c>
      <c r="D51" s="4904"/>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904"/>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5.2666666666666675</v>
      </c>
      <c r="J58" s="1669"/>
      <c r="K58" s="1668"/>
      <c r="L58" s="1667">
        <f>SUM($L$46:$L$57)</f>
        <v>5.36</v>
      </c>
      <c r="M58" s="1666"/>
      <c r="N58" s="1665"/>
      <c r="O58" s="1664">
        <f>SUM($O$46:$O$57)</f>
        <v>5.453333333333334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9.48</v>
      </c>
      <c r="J59" s="1654"/>
      <c r="K59" s="1659"/>
      <c r="L59" s="1658">
        <f>IF(L58+SUM($L$46:$L$57)*$E$59%&gt;L58+10,L58+10,L58+SUM($L$46:$L$57)*$E$59%)</f>
        <v>9.6479999999999997</v>
      </c>
      <c r="M59" s="1657"/>
      <c r="N59" s="1656"/>
      <c r="O59" s="1655">
        <f>IF(O58+SUM($O$46:$O$57)*$E$59%&gt;O58+10,O58+10,O58+SUM($O$46:$O$57)*$E$59%)</f>
        <v>9.8160000000000025</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90.250000000000014</v>
      </c>
      <c r="K67" s="1609" t="s">
        <v>1161</v>
      </c>
      <c r="L67" s="1608" t="s">
        <v>1160</v>
      </c>
      <c r="M67" s="1585">
        <f>S68*(K9+K10)*L68%+F68</f>
        <v>108.30000000000001</v>
      </c>
      <c r="N67" s="1607" t="s">
        <v>1161</v>
      </c>
      <c r="O67" s="1606" t="s">
        <v>1160</v>
      </c>
      <c r="P67" s="1582">
        <f>T68*(N9+N10)*O68%+F68</f>
        <v>126.35000000000001</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15.920000000000002</v>
      </c>
      <c r="K69" s="1598"/>
      <c r="L69" s="1597"/>
      <c r="M69" s="1585">
        <f>K70*$F70/1000</f>
        <v>19.104000000000003</v>
      </c>
      <c r="N69" s="44"/>
      <c r="O69" s="73"/>
      <c r="P69" s="1582">
        <f>N70*$F70/1000</f>
        <v>22.288000000000004</v>
      </c>
      <c r="Q69" s="38"/>
    </row>
    <row r="70" spans="1:20" s="686" customFormat="1" ht="15" customHeight="1">
      <c r="A70" s="1248"/>
      <c r="B70" s="1310"/>
      <c r="C70" s="1309" t="s">
        <v>840</v>
      </c>
      <c r="D70" s="346"/>
      <c r="E70" s="278"/>
      <c r="F70" s="1596">
        <f>'SDK7'!G102</f>
        <v>16</v>
      </c>
      <c r="G70" s="1595" t="s">
        <v>171</v>
      </c>
      <c r="H70" s="1591">
        <f>I9+I10</f>
        <v>995.00000000000011</v>
      </c>
      <c r="I70" s="1590"/>
      <c r="J70" s="1589"/>
      <c r="K70" s="1594">
        <f>L9+L10</f>
        <v>1194.0000000000002</v>
      </c>
      <c r="L70" s="1593"/>
      <c r="M70" s="1592"/>
      <c r="N70" s="1591">
        <f>O9+O10</f>
        <v>1393.0000000000002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7.9752524906078426</v>
      </c>
      <c r="K75" s="689"/>
      <c r="L75" s="1034"/>
      <c r="M75" s="1546">
        <f>(M23+M27+M34+M43+M60+M65+M67+M69+M71)*('SDK1'!$O$59%*$G$75/12)</f>
        <v>8.5081944853921563</v>
      </c>
      <c r="N75" s="1548"/>
      <c r="O75" s="1547"/>
      <c r="P75" s="1546">
        <f>(P23+P27+P34+P43+P60+P65+P67+P69+P71)*('SDK1'!$O$59%*$G$75/12)</f>
        <v>9.0411364801764709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4" orientation="portrait" r:id="rId1"/>
  <headerFooter alignWithMargins="0">
    <oddFooter>&amp;L&amp;11LEL Schwäbisch Gmünd&amp;C41&amp;R&amp;11&amp;F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C46:C57</xm:sqref>
        </x14:dataValidation>
        <x14:dataValidation type="list" allowBlank="1" showInputMessage="1" showErrorMessage="1" errorTitle="Arbeitsgänge" error="Bitte aus Dropdownliste auswählen.">
          <x14:formula1>
            <xm:f>'SDK3'!$C$23:$C$85</xm:f>
          </x14:formula1>
          <xm:sqref>D53:D57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6">
    <tabColor rgb="FFFFFF0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838.39407598756873</v>
      </c>
      <c r="K1" s="4855">
        <f>M1-J1</f>
        <v>231.63858529776451</v>
      </c>
      <c r="L1" s="4855"/>
      <c r="M1" s="1874">
        <f>(M7+M13+M18+M22+L11+L12)-(M23+M27+M34+M43+M60+M65+M67+M69+M71+M75)</f>
        <v>1070.0326612853332</v>
      </c>
      <c r="N1" s="4855">
        <f>P1-M1</f>
        <v>231.63858529776462</v>
      </c>
      <c r="O1" s="4855"/>
      <c r="P1" s="1874">
        <f>(P7+P13+P18+P22+O11+O12)-(P23+P27+P34+P43+P60+P65+P67+P69+P71+P75)</f>
        <v>1301.6712465830979</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77</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45</v>
      </c>
      <c r="K6" s="4874" t="s">
        <v>152</v>
      </c>
      <c r="L6" s="4875"/>
      <c r="M6" s="1855">
        <v>55</v>
      </c>
      <c r="N6" s="4861" t="s">
        <v>178</v>
      </c>
      <c r="O6" s="4862"/>
      <c r="P6" s="1854">
        <v>65</v>
      </c>
      <c r="Q6" s="70"/>
    </row>
    <row r="7" spans="1:41" s="251" customFormat="1" ht="18.75" customHeight="1">
      <c r="A7" s="47"/>
      <c r="B7" s="305" t="s">
        <v>1202</v>
      </c>
      <c r="C7" s="47"/>
      <c r="D7" s="47"/>
      <c r="E7" s="47"/>
      <c r="F7" s="47"/>
      <c r="G7" s="1852"/>
      <c r="H7" s="1849"/>
      <c r="I7" s="1848"/>
      <c r="J7" s="1582">
        <f>SUM(I9:I10)</f>
        <v>1307.5</v>
      </c>
      <c r="K7" s="1851"/>
      <c r="L7" s="1850"/>
      <c r="M7" s="1585">
        <f>SUM(L9:L10)</f>
        <v>1599.2</v>
      </c>
      <c r="N7" s="1849"/>
      <c r="O7" s="1848"/>
      <c r="P7" s="1582">
        <f>SUM(O9:O10)</f>
        <v>1890.8999999999999</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906">
        <f>'SDK1'!O26</f>
        <v>30.2</v>
      </c>
      <c r="H9" s="1845">
        <f>J6-H10</f>
        <v>40</v>
      </c>
      <c r="I9" s="1841">
        <f>H9*G9</f>
        <v>1208</v>
      </c>
      <c r="J9" s="43"/>
      <c r="K9" s="1844">
        <f>M6-K10</f>
        <v>49</v>
      </c>
      <c r="L9" s="1843">
        <f>K9*G9</f>
        <v>1479.8</v>
      </c>
      <c r="M9" s="1822"/>
      <c r="N9" s="1842">
        <f>P6-N10</f>
        <v>58</v>
      </c>
      <c r="O9" s="1841">
        <f>N9*G9</f>
        <v>1751.6</v>
      </c>
      <c r="P9" s="43"/>
      <c r="Q9" s="38"/>
      <c r="R9" s="913"/>
      <c r="S9" s="263" t="s">
        <v>1208</v>
      </c>
      <c r="T9" s="1840"/>
    </row>
    <row r="10" spans="1:41" s="1810" customFormat="1" ht="15" customHeight="1">
      <c r="A10" s="370"/>
      <c r="B10" s="239"/>
      <c r="C10" s="279" t="str">
        <f>IF('SDK1'!O9&gt;0,"Nebenprodukt (incl. MwSt.)","Nebenprodukt (ohne MwSt)")</f>
        <v>Nebenprodukt (ohne MwSt)</v>
      </c>
      <c r="D10" s="1819"/>
      <c r="E10" s="4907" t="s">
        <v>1212</v>
      </c>
      <c r="F10" s="4908"/>
      <c r="G10" s="1905">
        <f>'SDK1'!O25</f>
        <v>19.900000000000002</v>
      </c>
      <c r="H10" s="1834">
        <v>5</v>
      </c>
      <c r="I10" s="1833">
        <f>H10*G10</f>
        <v>99.500000000000014</v>
      </c>
      <c r="J10" s="1838"/>
      <c r="K10" s="1837">
        <v>6</v>
      </c>
      <c r="L10" s="1836">
        <f>K10*G10</f>
        <v>119.4</v>
      </c>
      <c r="M10" s="1835"/>
      <c r="N10" s="1834">
        <v>7</v>
      </c>
      <c r="O10" s="1833">
        <f>N10*G10</f>
        <v>139.30000000000001</v>
      </c>
      <c r="P10" s="1832"/>
      <c r="Q10" s="38"/>
      <c r="R10" s="1831">
        <f>I10+I11+I12</f>
        <v>99.500000000000014</v>
      </c>
      <c r="S10" s="1830">
        <f>L10+L11+L12</f>
        <v>119.4</v>
      </c>
      <c r="T10" s="1829">
        <f>O10+O11+O12</f>
        <v>139.30000000000001</v>
      </c>
      <c r="W10" s="251" t="s">
        <v>1198</v>
      </c>
    </row>
    <row r="11" spans="1:41" s="1810" customFormat="1" ht="15" customHeight="1">
      <c r="A11" s="370"/>
      <c r="B11" s="272"/>
      <c r="C11" s="45" t="s">
        <v>1197</v>
      </c>
      <c r="D11" s="370"/>
      <c r="E11" s="1828">
        <v>0.7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152</v>
      </c>
      <c r="K23" s="1587"/>
      <c r="L23" s="1586"/>
      <c r="M23" s="1768">
        <f>SUM(L25:L26)</f>
        <v>152</v>
      </c>
      <c r="N23" s="1584"/>
      <c r="O23" s="1583"/>
      <c r="P23" s="1567">
        <f>SUM(O25:O26)</f>
        <v>152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'SDK7'!F56/100</f>
        <v>0.95</v>
      </c>
      <c r="G25" s="1762">
        <f>F25*(100+$D$24)/100</f>
        <v>0.95</v>
      </c>
      <c r="H25" s="1761">
        <v>160</v>
      </c>
      <c r="I25" s="1722">
        <f>H25*$G25</f>
        <v>152</v>
      </c>
      <c r="J25" s="45"/>
      <c r="K25" s="1761">
        <f>H25</f>
        <v>160</v>
      </c>
      <c r="L25" s="1564">
        <f>K25*$G25</f>
        <v>152</v>
      </c>
      <c r="M25" s="1557"/>
      <c r="N25" s="1761">
        <f>H25</f>
        <v>160</v>
      </c>
      <c r="O25" s="1722">
        <f>N25*$G25</f>
        <v>152</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187.24520000000001</v>
      </c>
      <c r="K27" s="1716"/>
      <c r="L27" s="1715"/>
      <c r="M27" s="1585">
        <f>SUM(L30:L33)</f>
        <v>222.49080000000001</v>
      </c>
      <c r="N27" s="1714"/>
      <c r="O27" s="1713"/>
      <c r="P27" s="1582">
        <f>SUM(O30:O33)</f>
        <v>257.7364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1.38</v>
      </c>
      <c r="F30" s="1742">
        <f>VLOOKUP(K2,'SD8'!B9:L42,7,FALSE)</f>
        <v>0.35000000000000009</v>
      </c>
      <c r="G30" s="1741">
        <v>20</v>
      </c>
      <c r="H30" s="1739">
        <f>IF(J$6=0,0,(J$6*$E30+$G30+X14))</f>
        <v>82.1</v>
      </c>
      <c r="I30" s="1722">
        <f>H30*$D30</f>
        <v>117.56719999999999</v>
      </c>
      <c r="J30" s="45"/>
      <c r="K30" s="1740">
        <f>IF(M$6=0,0,(M$6*$E30+$G30+Y14))</f>
        <v>95.899999999999991</v>
      </c>
      <c r="L30" s="1564">
        <f>K30*$D30</f>
        <v>137.32879999999997</v>
      </c>
      <c r="M30" s="1557"/>
      <c r="N30" s="1739">
        <f>IF(P$6=0,0,(P$6*$E30+$G30+Z14))</f>
        <v>109.69999999999999</v>
      </c>
      <c r="O30" s="1722">
        <f>N30*$D30</f>
        <v>157.09039999999999</v>
      </c>
      <c r="P30" s="1686"/>
      <c r="Q30" s="38"/>
    </row>
    <row r="31" spans="1:26" s="42" customFormat="1" ht="15" customHeight="1">
      <c r="A31" s="1284"/>
      <c r="B31" s="272"/>
      <c r="C31" s="1284" t="s">
        <v>244</v>
      </c>
      <c r="D31" s="1691">
        <f>'SDK1'!O53</f>
        <v>1.05</v>
      </c>
      <c r="E31" s="1742">
        <f>VLOOKUP(K2,'SD8'!B9:L42,4,FALSE)</f>
        <v>0.8</v>
      </c>
      <c r="F31" s="1742">
        <f>VLOOKUP(K2,'SD8'!B9:L42,8,FALSE)</f>
        <v>0.20999999999999996</v>
      </c>
      <c r="G31" s="1741"/>
      <c r="H31" s="1739">
        <f>IF(J$6=0,0,(J$6*$E31+$G31+X15))</f>
        <v>36</v>
      </c>
      <c r="I31" s="1722">
        <f>H31*$D31</f>
        <v>37.800000000000004</v>
      </c>
      <c r="J31" s="45"/>
      <c r="K31" s="1740">
        <f>IF(M$6=0,0,(M$6*$E31+$G31+Y15))</f>
        <v>44</v>
      </c>
      <c r="L31" s="1564">
        <f>K31*$D31</f>
        <v>46.2</v>
      </c>
      <c r="M31" s="1557"/>
      <c r="N31" s="1739">
        <f>IF(P$6=0,0,(P$6*$E31+$G31+Z15))</f>
        <v>52</v>
      </c>
      <c r="O31" s="1722">
        <f>N31*$D31</f>
        <v>54.6</v>
      </c>
      <c r="P31" s="1686"/>
      <c r="Q31" s="38"/>
    </row>
    <row r="32" spans="1:26" s="42" customFormat="1" ht="15" customHeight="1">
      <c r="A32" s="1284"/>
      <c r="B32" s="272"/>
      <c r="C32" s="1284" t="s">
        <v>242</v>
      </c>
      <c r="D32" s="1691">
        <f>'SDK1'!O54</f>
        <v>0.98000000000000009</v>
      </c>
      <c r="E32" s="1742">
        <f>VLOOKUP(K2,'SD8'!B9:L42,5,FALSE)</f>
        <v>0.6</v>
      </c>
      <c r="F32" s="1742">
        <f>VLOOKUP(K2,'SD8'!B9:L42,9,FALSE)</f>
        <v>1.19</v>
      </c>
      <c r="G32" s="1741"/>
      <c r="H32" s="1739">
        <f>IF(J$6=0,0,(J$6*$E32+$G32+X16))</f>
        <v>27</v>
      </c>
      <c r="I32" s="1722">
        <f>H32*$D32</f>
        <v>26.46</v>
      </c>
      <c r="J32" s="45"/>
      <c r="K32" s="1740">
        <f>IF(M$6=0,0,(M$6*$E32+$G32+Y16))</f>
        <v>33</v>
      </c>
      <c r="L32" s="1564">
        <f>K32*$D32</f>
        <v>32.340000000000003</v>
      </c>
      <c r="M32" s="1557"/>
      <c r="N32" s="1739">
        <f>IF(P$6=0,0,(P$6*$E32+$G32+Z16))</f>
        <v>39</v>
      </c>
      <c r="O32" s="1722">
        <f>N32*$D32</f>
        <v>38.220000000000006</v>
      </c>
      <c r="P32" s="1686"/>
      <c r="Q32" s="38"/>
    </row>
    <row r="33" spans="1:17" s="42" customFormat="1" ht="15" customHeight="1">
      <c r="A33" s="1284"/>
      <c r="B33" s="239"/>
      <c r="C33" s="1309" t="s">
        <v>240</v>
      </c>
      <c r="D33" s="1674">
        <f>'SDK1'!O55</f>
        <v>0.60200000000000009</v>
      </c>
      <c r="E33" s="1738">
        <f>VLOOKUP(K2,'SD8'!B9:L42,6,FALSE)</f>
        <v>0.2</v>
      </c>
      <c r="F33" s="1738">
        <f>VLOOKUP(K2,'SD8'!B9:L42,10,FALSE)</f>
        <v>7.0000000000000007E-2</v>
      </c>
      <c r="G33" s="1737"/>
      <c r="H33" s="1735">
        <f>IF(J$6=0,0,(J$6*$E33+$G33+X17))</f>
        <v>9</v>
      </c>
      <c r="I33" s="1718">
        <f>H33*$D33</f>
        <v>5.418000000000001</v>
      </c>
      <c r="J33" s="45"/>
      <c r="K33" s="1736">
        <f>IF(M$6=0,0,(M$6*$E33+$G33+Y17))</f>
        <v>11</v>
      </c>
      <c r="L33" s="1558">
        <f>K33*$D33</f>
        <v>6.6220000000000008</v>
      </c>
      <c r="M33" s="1557"/>
      <c r="N33" s="1735">
        <f>IF(P$6=0,0,(P$6*$E33+$G33+Z17))</f>
        <v>13</v>
      </c>
      <c r="O33" s="1718">
        <f>N33*$D33</f>
        <v>7.8260000000000014</v>
      </c>
      <c r="P33" s="1717"/>
      <c r="Q33" s="38"/>
    </row>
    <row r="34" spans="1:17" s="686" customFormat="1" ht="18.75" customHeight="1">
      <c r="A34" s="1248"/>
      <c r="B34" s="1254" t="s">
        <v>1178</v>
      </c>
      <c r="C34" s="1248"/>
      <c r="D34" s="37"/>
      <c r="E34" s="37"/>
      <c r="F34" s="4876" t="s">
        <v>1177</v>
      </c>
      <c r="G34" s="4877"/>
      <c r="H34" s="1732"/>
      <c r="I34" s="1731"/>
      <c r="J34" s="1582">
        <f>SUM(I36:I42)</f>
        <v>162.4</v>
      </c>
      <c r="K34" s="1734"/>
      <c r="L34" s="1733"/>
      <c r="M34" s="1585">
        <f>SUM(L36:L42)</f>
        <v>162.4</v>
      </c>
      <c r="N34" s="1732"/>
      <c r="O34" s="1731"/>
      <c r="P34" s="1582">
        <f>SUM(O36:O42)</f>
        <v>162.4</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657</v>
      </c>
      <c r="D36" s="4884"/>
      <c r="E36" s="4885"/>
      <c r="F36" s="1724">
        <f>IF(C36="",0,VLOOKUP(C36,'SDK5'!C3:AF83,2,FALSE))</f>
        <v>52.8</v>
      </c>
      <c r="G36" s="1724">
        <f t="shared" ref="G36:G42" si="0">F36*(100+$D$35)/100</f>
        <v>52.8</v>
      </c>
      <c r="H36" s="1723">
        <v>0.9</v>
      </c>
      <c r="I36" s="1722">
        <f t="shared" ref="I36:I42" si="1">$G36*H36</f>
        <v>47.519999999999996</v>
      </c>
      <c r="J36" s="45"/>
      <c r="K36" s="1723">
        <v>0.9</v>
      </c>
      <c r="L36" s="1564">
        <f t="shared" ref="L36:L42" si="2">$G36*K36</f>
        <v>47.519999999999996</v>
      </c>
      <c r="M36" s="1557"/>
      <c r="N36" s="1723">
        <v>0.9</v>
      </c>
      <c r="O36" s="1722">
        <f t="shared" ref="O36:O42" si="3">$G36*N36</f>
        <v>47.519999999999996</v>
      </c>
      <c r="P36" s="1726"/>
      <c r="Q36" s="38" t="str">
        <f>VLOOKUP(C36,'SDK5'!$C$5:$AF$91,3,FALSE)</f>
        <v>H</v>
      </c>
    </row>
    <row r="37" spans="1:17" s="42" customFormat="1" ht="15" customHeight="1">
      <c r="A37" s="1284"/>
      <c r="B37" s="1562"/>
      <c r="C37" s="4870" t="s">
        <v>2009</v>
      </c>
      <c r="D37" s="4870"/>
      <c r="E37" s="4871"/>
      <c r="F37" s="1724">
        <f>IF(C37="",0,VLOOKUP(C37,'SDK5'!C4:AF84,2,FALSE))</f>
        <v>34.4</v>
      </c>
      <c r="G37" s="1724">
        <f t="shared" si="0"/>
        <v>34.4</v>
      </c>
      <c r="H37" s="1723">
        <v>1</v>
      </c>
      <c r="I37" s="1722">
        <f t="shared" si="1"/>
        <v>34.4</v>
      </c>
      <c r="J37" s="45"/>
      <c r="K37" s="1723">
        <v>1</v>
      </c>
      <c r="L37" s="1564">
        <f t="shared" si="2"/>
        <v>34.4</v>
      </c>
      <c r="M37" s="1557"/>
      <c r="N37" s="1723">
        <v>1</v>
      </c>
      <c r="O37" s="1722">
        <f t="shared" si="3"/>
        <v>34.4</v>
      </c>
      <c r="P37" s="1686"/>
      <c r="Q37" s="38" t="str">
        <f>VLOOKUP(C37,'SDK5'!$C$5:$AF$91,3,FALSE)</f>
        <v>H</v>
      </c>
    </row>
    <row r="38" spans="1:17" s="42" customFormat="1" ht="15" customHeight="1">
      <c r="A38" s="1284"/>
      <c r="B38" s="1725"/>
      <c r="C38" s="4870" t="s">
        <v>2024</v>
      </c>
      <c r="D38" s="4870"/>
      <c r="E38" s="4871"/>
      <c r="F38" s="1724">
        <f>IF(C38="",0,VLOOKUP(C38,'SDK5'!C5:AF85,2,FALSE))</f>
        <v>55.9</v>
      </c>
      <c r="G38" s="1724">
        <f t="shared" si="0"/>
        <v>55.9</v>
      </c>
      <c r="H38" s="1723">
        <v>1.2</v>
      </c>
      <c r="I38" s="1722">
        <f t="shared" si="1"/>
        <v>67.08</v>
      </c>
      <c r="J38" s="45"/>
      <c r="K38" s="1723">
        <v>1.2</v>
      </c>
      <c r="L38" s="1564">
        <f t="shared" si="2"/>
        <v>67.08</v>
      </c>
      <c r="M38" s="1557"/>
      <c r="N38" s="1723">
        <v>1.2</v>
      </c>
      <c r="O38" s="1722">
        <f t="shared" si="3"/>
        <v>67.08</v>
      </c>
      <c r="P38" s="1686"/>
      <c r="Q38" s="38" t="str">
        <f>VLOOKUP(C38,'SDK5'!$C$5:$AF$91,3,FALSE)</f>
        <v>F</v>
      </c>
    </row>
    <row r="39" spans="1:17" s="42" customFormat="1" ht="15" customHeight="1">
      <c r="A39" s="1284"/>
      <c r="B39" s="1562"/>
      <c r="C39" s="4870" t="s">
        <v>2025</v>
      </c>
      <c r="D39" s="4870"/>
      <c r="E39" s="4871"/>
      <c r="F39" s="1724">
        <f>IF(C39="",0,VLOOKUP(C39,'SDK5'!C6:AF86,2,FALSE))</f>
        <v>33.5</v>
      </c>
      <c r="G39" s="1724">
        <f>F39*(100+$D$35)/100</f>
        <v>33.5</v>
      </c>
      <c r="H39" s="1723">
        <v>0.4</v>
      </c>
      <c r="I39" s="1722">
        <f t="shared" si="1"/>
        <v>13.4</v>
      </c>
      <c r="J39" s="45"/>
      <c r="K39" s="1723">
        <v>0.4</v>
      </c>
      <c r="L39" s="1564">
        <f t="shared" si="2"/>
        <v>13.4</v>
      </c>
      <c r="M39" s="1557"/>
      <c r="N39" s="1723">
        <v>0.4</v>
      </c>
      <c r="O39" s="1722">
        <f t="shared" si="3"/>
        <v>13.4</v>
      </c>
      <c r="P39" s="1686"/>
      <c r="Q39" s="38" t="str">
        <f>VLOOKUP(C39,'SDK5'!$C$5:$AF$91,3,FALSE)</f>
        <v>F</v>
      </c>
    </row>
    <row r="40" spans="1:17" s="42" customFormat="1" ht="15" customHeight="1">
      <c r="A40" s="1284"/>
      <c r="B40" s="1562"/>
      <c r="C40" s="4870"/>
      <c r="D40" s="4870"/>
      <c r="E40" s="4871"/>
      <c r="F40" s="1724">
        <f>IF(C40="",0,VLOOKUP(C40,'SDK5'!C7:AF87,2,FALSE))</f>
        <v>0</v>
      </c>
      <c r="G40" s="1724"/>
      <c r="H40" s="1723"/>
      <c r="I40" s="1722">
        <f t="shared" si="1"/>
        <v>0</v>
      </c>
      <c r="J40" s="45"/>
      <c r="K40" s="1723"/>
      <c r="L40" s="1564">
        <f t="shared" si="2"/>
        <v>0</v>
      </c>
      <c r="M40" s="1557"/>
      <c r="N40" s="1723"/>
      <c r="O40" s="1722">
        <f t="shared" si="3"/>
        <v>0</v>
      </c>
      <c r="P40" s="1686"/>
      <c r="Q40" s="38" t="e">
        <f>VLOOKUP(C40,'SDK5'!$C$5:$AF$91,3,FALSE)</f>
        <v>#N/A</v>
      </c>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t="e">
        <f>VLOOKUP(C41,'SDK5'!$C$5:$AF$91,3,FALSE)</f>
        <v>#N/A</v>
      </c>
    </row>
    <row r="42" spans="1:17" s="42" customFormat="1" ht="15" customHeight="1">
      <c r="A42" s="1284"/>
      <c r="B42" s="1721"/>
      <c r="C42" s="4856"/>
      <c r="D42" s="4856"/>
      <c r="E42" s="4857"/>
      <c r="F42" s="1724">
        <f>IF(C42="",0,VLOOKUP(C42,'SDK5'!C9:AF89,2,FALSE))</f>
        <v>0</v>
      </c>
      <c r="G42" s="1720">
        <f t="shared" si="0"/>
        <v>0</v>
      </c>
      <c r="H42" s="1719"/>
      <c r="I42" s="1718">
        <f t="shared" si="1"/>
        <v>0</v>
      </c>
      <c r="J42" s="45"/>
      <c r="K42" s="1719"/>
      <c r="L42" s="1558">
        <f t="shared" si="2"/>
        <v>0</v>
      </c>
      <c r="M42" s="1557"/>
      <c r="N42" s="1719"/>
      <c r="O42" s="1718">
        <f t="shared" si="3"/>
        <v>0</v>
      </c>
      <c r="P42" s="1717"/>
      <c r="Q42" s="38" t="e">
        <f>VLOOKUP(C42,'SDK5'!$C$5:$AF$91,3,FALSE)</f>
        <v>#N/A</v>
      </c>
    </row>
    <row r="43" spans="1:17" s="686" customFormat="1" ht="18.75" customHeight="1">
      <c r="A43" s="1248"/>
      <c r="B43" s="1254" t="s">
        <v>1175</v>
      </c>
      <c r="C43" s="1248"/>
      <c r="D43" s="1248"/>
      <c r="E43" s="1248"/>
      <c r="F43" s="1248"/>
      <c r="G43" s="1588"/>
      <c r="H43" s="1714"/>
      <c r="I43" s="1713"/>
      <c r="J43" s="1582">
        <f>SUM(J46:J57)</f>
        <v>145.97517918588235</v>
      </c>
      <c r="K43" s="1716"/>
      <c r="L43" s="1715"/>
      <c r="M43" s="1585">
        <f>SUM(M46:M57)</f>
        <v>147.57741855999998</v>
      </c>
      <c r="N43" s="1714"/>
      <c r="O43" s="1713"/>
      <c r="P43" s="1582">
        <f>SUM(P46:P57)</f>
        <v>149.17965793411764</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459</v>
      </c>
      <c r="D46" s="4859"/>
      <c r="E46" s="1693">
        <f>IF($C46=0,0,VLOOKUP($C46,'SDK3'!$C$24:$O$86,4,FALSE))</f>
        <v>102</v>
      </c>
      <c r="F46" s="1692">
        <f>IF($C46=0,0,VLOOKUP($C46,'SDK3'!$C$24:$O$86,12,FALSE))</f>
        <v>0.79</v>
      </c>
      <c r="G46" s="1691">
        <f>IF($C46=0,0,VLOOKUP($C46,'SDK3'!$C$24:$O$86,13,FALSE))</f>
        <v>21.737240200000002</v>
      </c>
      <c r="H46" s="1696">
        <v>1</v>
      </c>
      <c r="I46" s="1695">
        <f t="shared" ref="I46:I57" si="4">$F46*H46</f>
        <v>0.79</v>
      </c>
      <c r="J46" s="1686">
        <f t="shared" ref="J46:J57" si="5">H46*$G46</f>
        <v>21.737240200000002</v>
      </c>
      <c r="K46" s="1696">
        <v>1</v>
      </c>
      <c r="L46" s="1697">
        <f t="shared" ref="L46:L57" si="6">$F46*K46</f>
        <v>0.79</v>
      </c>
      <c r="M46" s="1689">
        <f t="shared" ref="M46:M57" si="7">K46*$G46</f>
        <v>21.737240200000002</v>
      </c>
      <c r="N46" s="1696">
        <v>1</v>
      </c>
      <c r="O46" s="1695">
        <f t="shared" ref="O46:O57" si="8">$F46*N46</f>
        <v>0.79</v>
      </c>
      <c r="P46" s="1686">
        <f t="shared" ref="P46:P57" si="9">N46*$G46</f>
        <v>21.737240200000002</v>
      </c>
      <c r="Q46" s="38">
        <f>$Q$2*H46</f>
        <v>0</v>
      </c>
    </row>
    <row r="47" spans="1:17" s="42" customFormat="1" ht="15" customHeight="1">
      <c r="A47" s="1284"/>
      <c r="B47" s="1694"/>
      <c r="C47" s="4882" t="s">
        <v>462</v>
      </c>
      <c r="D47" s="4883"/>
      <c r="E47" s="1693">
        <f>IF($C47=0,0,VLOOKUP($C47,'SDK3'!$C$24:$O$86,4,FALSE))</f>
        <v>120</v>
      </c>
      <c r="F47" s="1692">
        <f>IF($C47=0,0,VLOOKUP($C47,'SDK3'!$C$24:$O$86,12,FALSE))</f>
        <v>1.44</v>
      </c>
      <c r="G47" s="1691">
        <f>IF($C47=0,0,VLOOKUP($C47,'SDK3'!$C$24:$O$86,13,FALSE))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8"/>
    </row>
    <row r="48" spans="1:17" s="42" customFormat="1" ht="15" customHeight="1">
      <c r="A48" s="1284"/>
      <c r="B48" s="1694"/>
      <c r="C48" s="4882" t="s">
        <v>446</v>
      </c>
      <c r="D48" s="4883"/>
      <c r="E48" s="1693">
        <f>IF($C48=0,0,VLOOKUP($C48,'SDK3'!$C$24:$O$86,4,FALSE))</f>
        <v>120</v>
      </c>
      <c r="F48" s="1692">
        <f>IF($C48=0,0,VLOOKUP($C48,'SDK3'!$C$24:$O$86,12,FALSE))</f>
        <v>1.05</v>
      </c>
      <c r="G48" s="1691">
        <f>IF($C48=0,0,VLOOKUP($C48,'SDK3'!$C$24:$O$86,13,FALSE))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8"/>
    </row>
    <row r="49" spans="1:17" s="42" customFormat="1" ht="15" customHeight="1">
      <c r="A49" s="1284"/>
      <c r="B49" s="1694"/>
      <c r="C49" s="4882" t="s">
        <v>426</v>
      </c>
      <c r="D49" s="4883"/>
      <c r="E49" s="1693">
        <f>IF($C49=0,0,VLOOKUP($C49,'SDK3'!$C$24:$O$86,4,FALSE))</f>
        <v>54</v>
      </c>
      <c r="F49" s="1692">
        <f>IF($C49=0,0,VLOOKUP($C49,'SDK3'!$C$24:$O$86,12,FALSE))</f>
        <v>0.37</v>
      </c>
      <c r="G49" s="1691">
        <f>IF($C49=0,0,VLOOKUP($C49,'SDK3'!$C$24:$O$86,13,FALSE))</f>
        <v>4.2780853988235288</v>
      </c>
      <c r="H49" s="1688">
        <v>2</v>
      </c>
      <c r="I49" s="1687">
        <f t="shared" si="4"/>
        <v>0.74</v>
      </c>
      <c r="J49" s="1686">
        <f t="shared" si="5"/>
        <v>8.5561707976470576</v>
      </c>
      <c r="K49" s="1688">
        <v>2</v>
      </c>
      <c r="L49" s="1690">
        <f t="shared" si="6"/>
        <v>0.74</v>
      </c>
      <c r="M49" s="1689">
        <f t="shared" si="7"/>
        <v>8.5561707976470576</v>
      </c>
      <c r="N49" s="1688">
        <v>2</v>
      </c>
      <c r="O49" s="1687">
        <f t="shared" si="8"/>
        <v>0.74</v>
      </c>
      <c r="P49" s="1686">
        <f t="shared" si="9"/>
        <v>8.5561707976470576</v>
      </c>
      <c r="Q49" s="38"/>
    </row>
    <row r="50" spans="1:17" s="42" customFormat="1" ht="15" customHeight="1">
      <c r="A50" s="1284"/>
      <c r="B50" s="1694"/>
      <c r="C50" s="4882" t="s">
        <v>419</v>
      </c>
      <c r="D50" s="4883"/>
      <c r="E50" s="1693">
        <f>IF($C50=0,0,VLOOKUP($C50,'SDK3'!$C$24:$O$86,4,FALSE))</f>
        <v>83</v>
      </c>
      <c r="F50" s="1692">
        <f>IF($C50=0,0,VLOOKUP($C50,'SDK3'!$C$24:$O$86,12,FALSE))</f>
        <v>0.39</v>
      </c>
      <c r="G50" s="1691">
        <f>IF($C50=0,0,VLOOKUP($C50,'SDK3'!$C$24:$O$86,13,FALSE))</f>
        <v>6.5093573847058819</v>
      </c>
      <c r="H50" s="1688">
        <v>2</v>
      </c>
      <c r="I50" s="1687">
        <f t="shared" si="4"/>
        <v>0.78</v>
      </c>
      <c r="J50" s="1686">
        <f t="shared" si="5"/>
        <v>13.018714769411764</v>
      </c>
      <c r="K50" s="1688">
        <v>2</v>
      </c>
      <c r="L50" s="1690">
        <f t="shared" si="6"/>
        <v>0.78</v>
      </c>
      <c r="M50" s="1689">
        <f t="shared" si="7"/>
        <v>13.018714769411764</v>
      </c>
      <c r="N50" s="1688">
        <v>2</v>
      </c>
      <c r="O50" s="1687">
        <f t="shared" si="8"/>
        <v>0.78</v>
      </c>
      <c r="P50" s="1686">
        <f t="shared" si="9"/>
        <v>13.018714769411764</v>
      </c>
      <c r="Q50" s="38"/>
    </row>
    <row r="51" spans="1:17" s="42" customFormat="1" ht="15" customHeight="1">
      <c r="A51" s="1284"/>
      <c r="B51" s="1694"/>
      <c r="C51" s="4882" t="s">
        <v>403</v>
      </c>
      <c r="D51" s="4883"/>
      <c r="E51" s="1693">
        <f>IF($C51=0,0,VLOOKUP($C51,'SDK3'!$C$24:$O$86,4,FALSE))</f>
        <v>83</v>
      </c>
      <c r="F51" s="1692">
        <f>IF($C51=0,0,VLOOKUP($C51,'SDK3'!$C$24:$O$86,12,FALSE))</f>
        <v>0.56000000000000005</v>
      </c>
      <c r="G51" s="1691">
        <f>IF($C51=0,0,VLOOKUP($C51,'SDK3'!$C$24:$O$86,13,FALSE))</f>
        <v>9.6134362447058805</v>
      </c>
      <c r="H51" s="1688">
        <v>0.75</v>
      </c>
      <c r="I51" s="1687">
        <f t="shared" si="4"/>
        <v>0.42000000000000004</v>
      </c>
      <c r="J51" s="1686">
        <f t="shared" si="5"/>
        <v>7.2100771835294104</v>
      </c>
      <c r="K51" s="1688">
        <v>0.91666666666666663</v>
      </c>
      <c r="L51" s="1690">
        <f t="shared" si="6"/>
        <v>0.51333333333333331</v>
      </c>
      <c r="M51" s="1689">
        <f t="shared" si="7"/>
        <v>8.8123165576470566</v>
      </c>
      <c r="N51" s="1688">
        <v>1.0833333333333333</v>
      </c>
      <c r="O51" s="1687">
        <f t="shared" si="8"/>
        <v>0.60666666666666669</v>
      </c>
      <c r="P51" s="1686">
        <f t="shared" si="9"/>
        <v>10.414555931764703</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5.2200000000000006</v>
      </c>
      <c r="J58" s="1669"/>
      <c r="K58" s="1668"/>
      <c r="L58" s="1667">
        <f>SUM($L$46:$L$57)</f>
        <v>5.3133333333333344</v>
      </c>
      <c r="M58" s="1666"/>
      <c r="N58" s="1665"/>
      <c r="O58" s="1664">
        <f>SUM($O$46:$O$57)</f>
        <v>5.4066666666666672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9.3960000000000008</v>
      </c>
      <c r="J59" s="1654"/>
      <c r="K59" s="1659"/>
      <c r="L59" s="1658">
        <f>IF(L58+SUM($L$46:$L$57)*$E$59%&gt;L58+10,L58+10,L58+SUM($L$46:$L$57)*$E$59%)</f>
        <v>9.5640000000000018</v>
      </c>
      <c r="M59" s="1657"/>
      <c r="N59" s="1656"/>
      <c r="O59" s="1655">
        <f>IF(O58+SUM($O$46:$O$57)*$E$59%&gt;O58+10,O58+10,O58+SUM($O$46:$O$57)*$E$59%)</f>
        <v>9.7320000000000011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81.225000000000009</v>
      </c>
      <c r="K67" s="1609" t="s">
        <v>1161</v>
      </c>
      <c r="L67" s="1608" t="s">
        <v>1160</v>
      </c>
      <c r="M67" s="1585">
        <f>S68*(K9+K10)*L68%+F68</f>
        <v>99.275000000000006</v>
      </c>
      <c r="N67" s="1607" t="s">
        <v>1161</v>
      </c>
      <c r="O67" s="1606" t="s">
        <v>1160</v>
      </c>
      <c r="P67" s="1582">
        <f>T68*(N9+N10)*O68%+F68</f>
        <v>117.32500000000002</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4906"/>
      <c r="F69" s="4906"/>
      <c r="G69" s="1588"/>
      <c r="H69" s="44"/>
      <c r="I69" s="73"/>
      <c r="J69" s="1582">
        <f>H70*$F70/1000</f>
        <v>20.92</v>
      </c>
      <c r="K69" s="1598"/>
      <c r="L69" s="1597"/>
      <c r="M69" s="1585">
        <f>K70*$F70/1000</f>
        <v>25.587199999999999</v>
      </c>
      <c r="N69" s="44"/>
      <c r="O69" s="73"/>
      <c r="P69" s="1582">
        <f>N70*$F70/1000</f>
        <v>30.254399999999997</v>
      </c>
      <c r="Q69" s="38"/>
    </row>
    <row r="70" spans="1:20" s="686" customFormat="1" ht="15" customHeight="1">
      <c r="A70" s="1248"/>
      <c r="B70" s="1310"/>
      <c r="C70" s="1309" t="s">
        <v>840</v>
      </c>
      <c r="D70" s="346"/>
      <c r="E70" s="278"/>
      <c r="F70" s="1596">
        <f>'SDK7'!G102</f>
        <v>16</v>
      </c>
      <c r="G70" s="1595" t="s">
        <v>171</v>
      </c>
      <c r="H70" s="1591">
        <f>I9+I10</f>
        <v>1307.5</v>
      </c>
      <c r="I70" s="1590"/>
      <c r="J70" s="1589"/>
      <c r="K70" s="1594">
        <f>L9+L10</f>
        <v>1599.2</v>
      </c>
      <c r="L70" s="1593"/>
      <c r="M70" s="1592"/>
      <c r="N70" s="1591">
        <f>O9+O10</f>
        <v>1890.8999999999999</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7.6405448265490197</v>
      </c>
      <c r="K75" s="689"/>
      <c r="L75" s="1034"/>
      <c r="M75" s="1546">
        <f>(M23+M27+M34+M43+M60+M65+M67+M69+M71)*('SDK1'!$O$59%*$G$75/12)</f>
        <v>8.136920154666667</v>
      </c>
      <c r="N75" s="1548"/>
      <c r="O75" s="1547"/>
      <c r="P75" s="1546">
        <f>(P23+P27+P34+P43+P60+P65+P67+P69+P71)*('SDK1'!$O$59%*$G$75/12)</f>
        <v>8.6332954827843142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50">
    <mergeCell ref="C74:E74"/>
    <mergeCell ref="C17:F17"/>
    <mergeCell ref="C19:F19"/>
    <mergeCell ref="C36:E36"/>
    <mergeCell ref="C42:E42"/>
    <mergeCell ref="C39:E39"/>
    <mergeCell ref="C40:E40"/>
    <mergeCell ref="C41:E41"/>
    <mergeCell ref="F34:G34"/>
    <mergeCell ref="C73:E73"/>
    <mergeCell ref="C64:E64"/>
    <mergeCell ref="C63:E63"/>
    <mergeCell ref="C57:D57"/>
    <mergeCell ref="C56:D56"/>
    <mergeCell ref="C47:D47"/>
    <mergeCell ref="C52:D52"/>
    <mergeCell ref="C51:D51"/>
    <mergeCell ref="C46:D46"/>
    <mergeCell ref="C37:E37"/>
    <mergeCell ref="J3:L3"/>
    <mergeCell ref="D25:E25"/>
    <mergeCell ref="D26:E26"/>
    <mergeCell ref="N3:O4"/>
    <mergeCell ref="F23:G23"/>
    <mergeCell ref="N1:O1"/>
    <mergeCell ref="C16:F16"/>
    <mergeCell ref="C20:F20"/>
    <mergeCell ref="E22:G22"/>
    <mergeCell ref="K2:P2"/>
    <mergeCell ref="C14:F14"/>
    <mergeCell ref="C15:F15"/>
    <mergeCell ref="N6:O6"/>
    <mergeCell ref="E10:F10"/>
    <mergeCell ref="K1:L1"/>
    <mergeCell ref="B75:C75"/>
    <mergeCell ref="J4:L4"/>
    <mergeCell ref="H6:I6"/>
    <mergeCell ref="C21:F21"/>
    <mergeCell ref="C62:E62"/>
    <mergeCell ref="E69:F69"/>
    <mergeCell ref="C68:E68"/>
    <mergeCell ref="C49:D49"/>
    <mergeCell ref="C38:E38"/>
    <mergeCell ref="C55:D55"/>
    <mergeCell ref="C48:D48"/>
    <mergeCell ref="C53:D53"/>
    <mergeCell ref="C50:D50"/>
    <mergeCell ref="K6:L6"/>
    <mergeCell ref="E4:I4"/>
    <mergeCell ref="C54:D5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6" orientation="portrait" r:id="rId1"/>
  <headerFooter alignWithMargins="0">
    <oddFooter>&amp;L&amp;11LEL Schwäbisch Gmünd&amp;C43&amp;R&amp;11&amp;F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'SDK5'!$L$214:$L$313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0000"/>
    <pageSetUpPr fitToPage="1"/>
  </sheetPr>
  <dimension ref="B1:Q6"/>
  <sheetViews>
    <sheetView showZeros="0" zoomScaleNormal="100" workbookViewId="0">
      <selection activeCell="Q1" sqref="Q1:Q1048576"/>
    </sheetView>
  </sheetViews>
  <sheetFormatPr baseColWidth="10" defaultColWidth="11.25" defaultRowHeight="12.75"/>
  <cols>
    <col min="1" max="1" width="3.625" style="33" customWidth="1"/>
    <col min="2" max="10" width="11.25" style="33"/>
    <col min="11" max="11" width="10.5" style="33" customWidth="1"/>
    <col min="12" max="12" width="9.875" style="33" customWidth="1"/>
    <col min="13" max="14" width="11.25" style="33"/>
    <col min="15" max="15" width="15.875" style="33" hidden="1" customWidth="1"/>
    <col min="16" max="16" width="10.25" style="33" hidden="1" customWidth="1"/>
    <col min="17" max="17" width="1.5" style="33" hidden="1" customWidth="1"/>
    <col min="18" max="21" width="10.25" style="33" customWidth="1"/>
    <col min="22" max="16384" width="11.25" style="33"/>
  </cols>
  <sheetData>
    <row r="1" spans="2:17">
      <c r="O1" s="135">
        <f>VLOOKUP(E5,O2:Q5,3,FALSE)</f>
        <v>2</v>
      </c>
    </row>
    <row r="2" spans="2:17" ht="27" customHeight="1">
      <c r="B2" s="134" t="s">
        <v>190</v>
      </c>
      <c r="I2" s="134" t="str">
        <f>'SDK1'!O8</f>
        <v>ohne MwSt.</v>
      </c>
      <c r="L2" s="133" t="s">
        <v>184</v>
      </c>
      <c r="M2" s="128"/>
      <c r="O2" s="132" t="s">
        <v>189</v>
      </c>
      <c r="P2" s="131"/>
      <c r="Q2" s="130">
        <v>1</v>
      </c>
    </row>
    <row r="3" spans="2:17" ht="19.5" customHeight="1">
      <c r="C3" s="4151" t="s">
        <v>188</v>
      </c>
      <c r="D3" s="4151"/>
      <c r="E3" s="4151"/>
      <c r="F3" s="4151"/>
      <c r="G3" s="4151"/>
      <c r="H3" s="4151"/>
      <c r="I3" s="4151"/>
      <c r="J3" s="4151"/>
      <c r="K3" s="4151"/>
      <c r="L3" s="129">
        <f>'SDK1'!O3</f>
        <v>0</v>
      </c>
      <c r="M3" s="128"/>
      <c r="O3" s="127" t="s">
        <v>185</v>
      </c>
      <c r="P3" s="126"/>
      <c r="Q3" s="125">
        <v>2</v>
      </c>
    </row>
    <row r="4" spans="2:17" ht="8.1" customHeight="1">
      <c r="M4" s="128"/>
      <c r="O4" s="127" t="s">
        <v>187</v>
      </c>
      <c r="P4" s="126"/>
      <c r="Q4" s="125">
        <v>3</v>
      </c>
    </row>
    <row r="5" spans="2:17" ht="34.5" customHeight="1">
      <c r="B5" s="4152" t="s">
        <v>186</v>
      </c>
      <c r="C5" s="4152"/>
      <c r="D5" s="4152"/>
      <c r="E5" s="4150" t="s">
        <v>185</v>
      </c>
      <c r="F5" s="4150"/>
      <c r="G5" s="4150"/>
      <c r="H5" s="4150"/>
      <c r="I5" s="124"/>
      <c r="J5" s="123"/>
      <c r="K5" s="122"/>
      <c r="O5" s="121"/>
      <c r="P5" s="120"/>
      <c r="Q5" s="119">
        <v>4</v>
      </c>
    </row>
    <row r="6" spans="2:17" ht="13.15" customHeight="1"/>
  </sheetData>
  <mergeCells count="3">
    <mergeCell ref="E5:H5"/>
    <mergeCell ref="C3:K3"/>
    <mergeCell ref="B5:D5"/>
  </mergeCells>
  <dataValidations count="1">
    <dataValidation type="list" allowBlank="1" showInputMessage="1" showErrorMessage="1" errorTitle="Leistungsniveau" error="Bitte Leistungsniveau aus Dropdownliste auswählen." sqref="E5:H5">
      <formula1>$O$2:$O$5</formula1>
    </dataValidation>
  </dataValidations>
  <printOptions horizontalCentered="1"/>
  <pageMargins left="0.59055118110236227" right="0.59055118110236227" top="0.59055118110236227" bottom="0.59055118110236227" header="0.39370078740157483" footer="0.39370078740157483"/>
  <pageSetup paperSize="9" scale="95" firstPageNumber="86" orientation="landscape" r:id="rId1"/>
  <headerFooter alignWithMargins="0">
    <oddFooter>&amp;L&amp;11LEL Schwäbisch Gmünd&amp;C&amp;P&amp;R&amp;11&amp;F</oddFooter>
  </headerFooter>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7">
    <tabColor rgb="FFFFC0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660.90629301714671</v>
      </c>
      <c r="K1" s="4855">
        <f>M1-J1</f>
        <v>135.81051882374197</v>
      </c>
      <c r="L1" s="4855"/>
      <c r="M1" s="1874">
        <f>(M7+M13+M18+M22+L11+L12)-(M23+M27+M34+M43+M60+M65+M67+M69+M71+M75)</f>
        <v>796.71681184088868</v>
      </c>
      <c r="N1" s="4855">
        <f>P1-M1</f>
        <v>152.65912085331991</v>
      </c>
      <c r="O1" s="4855"/>
      <c r="P1" s="1874">
        <f>(P7+P13+P18+P22+O11+O12)-(P23+P27+P34+P43+P60+P65+P67+P69+P71+P75)</f>
        <v>949.37593269420859</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206</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c r="U4" s="1860"/>
    </row>
    <row r="5" spans="1:41" ht="6" customHeight="1"/>
    <row r="6" spans="1:41" s="1853" customFormat="1" ht="24" customHeight="1">
      <c r="A6" s="48"/>
      <c r="B6" s="1858" t="s">
        <v>1151</v>
      </c>
      <c r="C6" s="1857"/>
      <c r="D6" s="1857"/>
      <c r="E6" s="1857"/>
      <c r="F6" s="1857"/>
      <c r="G6" s="1856"/>
      <c r="H6" s="4861" t="s">
        <v>179</v>
      </c>
      <c r="I6" s="4862"/>
      <c r="J6" s="1855">
        <v>45</v>
      </c>
      <c r="K6" s="4874" t="s">
        <v>152</v>
      </c>
      <c r="L6" s="4875"/>
      <c r="M6" s="1855">
        <v>55</v>
      </c>
      <c r="N6" s="4861" t="s">
        <v>178</v>
      </c>
      <c r="O6" s="4862"/>
      <c r="P6" s="1854">
        <v>65</v>
      </c>
      <c r="Q6" s="70"/>
    </row>
    <row r="7" spans="1:41" s="251" customFormat="1" ht="18.75" customHeight="1">
      <c r="A7" s="47"/>
      <c r="B7" s="305" t="s">
        <v>1202</v>
      </c>
      <c r="C7" s="47"/>
      <c r="D7" s="47"/>
      <c r="E7" s="47"/>
      <c r="F7" s="47"/>
      <c r="G7" s="1852"/>
      <c r="H7" s="1849"/>
      <c r="I7" s="1848"/>
      <c r="J7" s="1582">
        <f>SUM(I9:I10)</f>
        <v>959.99999999999977</v>
      </c>
      <c r="K7" s="1851"/>
      <c r="L7" s="1850"/>
      <c r="M7" s="1585">
        <f>SUM(L9:L10)</f>
        <v>1173.333333333333</v>
      </c>
      <c r="N7" s="1849"/>
      <c r="O7" s="1848"/>
      <c r="P7" s="1582">
        <f>SUM(O9:O10)</f>
        <v>1386.6666666666663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'SDK1'!O27</f>
        <v>21.333333333333329</v>
      </c>
      <c r="H9" s="1845">
        <f>J6-H10</f>
        <v>45</v>
      </c>
      <c r="I9" s="1841">
        <f>H9*G9</f>
        <v>959.99999999999977</v>
      </c>
      <c r="J9" s="43"/>
      <c r="K9" s="1844">
        <f>M6-K10</f>
        <v>55</v>
      </c>
      <c r="L9" s="1843">
        <f>K9*G9</f>
        <v>1173.333333333333</v>
      </c>
      <c r="M9" s="1822"/>
      <c r="N9" s="1842">
        <f>P6-N10</f>
        <v>65</v>
      </c>
      <c r="O9" s="1841">
        <f>N9*G9</f>
        <v>1386.6666666666663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1.1000000000000001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117.6</v>
      </c>
      <c r="K23" s="1587"/>
      <c r="L23" s="1586"/>
      <c r="M23" s="1768">
        <f>SUM(L25:L26)</f>
        <v>117.6</v>
      </c>
      <c r="N23" s="1584"/>
      <c r="O23" s="1583"/>
      <c r="P23" s="1567">
        <f>SUM(O25:O26)</f>
        <v>117.6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'SDK7'!F57/100</f>
        <v>0.84</v>
      </c>
      <c r="G25" s="1762">
        <f>F25*(100+$D$24)/100</f>
        <v>0.84</v>
      </c>
      <c r="H25" s="1761">
        <v>140</v>
      </c>
      <c r="I25" s="1722">
        <f>H25*$G25</f>
        <v>117.6</v>
      </c>
      <c r="J25" s="45"/>
      <c r="K25" s="1761">
        <f>H25</f>
        <v>140</v>
      </c>
      <c r="L25" s="1564">
        <f>K25*$G25</f>
        <v>117.6</v>
      </c>
      <c r="M25" s="1557"/>
      <c r="N25" s="1761">
        <f>H25</f>
        <v>140</v>
      </c>
      <c r="O25" s="1722">
        <f>N25*$G25</f>
        <v>117.6</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195.62240000000003</v>
      </c>
      <c r="K27" s="1716"/>
      <c r="L27" s="1715"/>
      <c r="M27" s="1585">
        <f>SUM(L30:L33)</f>
        <v>232.72960000000003</v>
      </c>
      <c r="N27" s="1714"/>
      <c r="O27" s="1713"/>
      <c r="P27" s="1582">
        <f>SUM(O30:O33)</f>
        <v>269.83680000000004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1.51</v>
      </c>
      <c r="F30" s="1742">
        <f>VLOOKUP(K2,'SD8'!B9:L42,7,FALSE)</f>
        <v>0.55000000000000004</v>
      </c>
      <c r="G30" s="1741">
        <v>20</v>
      </c>
      <c r="H30" s="1739">
        <f>IF(J$6=0,0,(J$6*$E30+$G30+X14))</f>
        <v>87.95</v>
      </c>
      <c r="I30" s="1722">
        <f>H30*$D30</f>
        <v>125.9444</v>
      </c>
      <c r="J30" s="45"/>
      <c r="K30" s="1740">
        <f>IF(M$6=0,0,(M$6*$E30+$G30+Y14))</f>
        <v>103.05</v>
      </c>
      <c r="L30" s="1564">
        <f>K30*$D30</f>
        <v>147.5676</v>
      </c>
      <c r="M30" s="1557"/>
      <c r="N30" s="1739">
        <f>IF(P$6=0,0,(P$6*$E30+$G30+Z14))</f>
        <v>118.15</v>
      </c>
      <c r="O30" s="1722">
        <f>N30*$D30</f>
        <v>169.1908</v>
      </c>
      <c r="P30" s="1686"/>
      <c r="Q30" s="38"/>
    </row>
    <row r="31" spans="1:26" s="42" customFormat="1" ht="15" customHeight="1">
      <c r="A31" s="1284"/>
      <c r="B31" s="272"/>
      <c r="C31" s="1284" t="s">
        <v>244</v>
      </c>
      <c r="D31" s="1691">
        <f>'SDK1'!O53</f>
        <v>1.05</v>
      </c>
      <c r="E31" s="1742">
        <f>VLOOKUP(K2,'SD8'!B9:L42,4,FALSE)</f>
        <v>0.8</v>
      </c>
      <c r="F31" s="1742">
        <f>VLOOKUP(K2,'SD8'!B9:L42,8,FALSE)</f>
        <v>0.32999999999999985</v>
      </c>
      <c r="G31" s="1741"/>
      <c r="H31" s="1739">
        <f>IF(J$6=0,0,(J$6*$E31+$G31+X15))</f>
        <v>36</v>
      </c>
      <c r="I31" s="1722">
        <f>H31*$D31</f>
        <v>37.800000000000004</v>
      </c>
      <c r="J31" s="45"/>
      <c r="K31" s="1740">
        <f>IF(M$6=0,0,(M$6*$E31+$G31+Y15))</f>
        <v>44</v>
      </c>
      <c r="L31" s="1564">
        <f>K31*$D31</f>
        <v>46.2</v>
      </c>
      <c r="M31" s="1557"/>
      <c r="N31" s="1739">
        <f>IF(P$6=0,0,(P$6*$E31+$G31+Z15))</f>
        <v>52</v>
      </c>
      <c r="O31" s="1722">
        <f>N31*$D31</f>
        <v>54.6</v>
      </c>
      <c r="P31" s="1686"/>
      <c r="Q31" s="38"/>
    </row>
    <row r="32" spans="1:26" s="42" customFormat="1" ht="15" customHeight="1">
      <c r="A32" s="1284"/>
      <c r="B32" s="272"/>
      <c r="C32" s="1284" t="s">
        <v>242</v>
      </c>
      <c r="D32" s="1691">
        <f>'SDK1'!O54</f>
        <v>0.98000000000000009</v>
      </c>
      <c r="E32" s="1742">
        <f>VLOOKUP(K2,'SD8'!B9:L42,5,FALSE)</f>
        <v>0.6</v>
      </c>
      <c r="F32" s="1742">
        <f>VLOOKUP(K2,'SD8'!B9:L42,9,FALSE)</f>
        <v>1.87</v>
      </c>
      <c r="G32" s="1741"/>
      <c r="H32" s="1739">
        <f>IF(J$6=0,0,(J$6*$E32+$G32+X16))</f>
        <v>27</v>
      </c>
      <c r="I32" s="1722">
        <f>H32*$D32</f>
        <v>26.46</v>
      </c>
      <c r="J32" s="45"/>
      <c r="K32" s="1740">
        <f>IF(M$6=0,0,(M$6*$E32+$G32+Y16))</f>
        <v>33</v>
      </c>
      <c r="L32" s="1564">
        <f>K32*$D32</f>
        <v>32.340000000000003</v>
      </c>
      <c r="M32" s="1557"/>
      <c r="N32" s="1739">
        <f>IF(P$6=0,0,(P$6*$E32+$G32+Z16))</f>
        <v>39</v>
      </c>
      <c r="O32" s="1722">
        <f>N32*$D32</f>
        <v>38.220000000000006</v>
      </c>
      <c r="P32" s="1686"/>
      <c r="Q32" s="38"/>
    </row>
    <row r="33" spans="1:17" s="42" customFormat="1" ht="15" customHeight="1">
      <c r="A33" s="1284"/>
      <c r="B33" s="239"/>
      <c r="C33" s="1309" t="s">
        <v>240</v>
      </c>
      <c r="D33" s="1674">
        <f>'SDK1'!O55</f>
        <v>0.60200000000000009</v>
      </c>
      <c r="E33" s="1738">
        <f>VLOOKUP(K2,'SD8'!B9:L42,6,FALSE)</f>
        <v>0.2</v>
      </c>
      <c r="F33" s="1738">
        <f>VLOOKUP(K2,'SD8'!B9:L42,10,FALSE)</f>
        <v>0.21999999999999997</v>
      </c>
      <c r="G33" s="1737"/>
      <c r="H33" s="1735">
        <f>IF(J$6=0,0,(J$6*$E33+$G33+X17))</f>
        <v>9</v>
      </c>
      <c r="I33" s="1718">
        <f>H33*$D33</f>
        <v>5.418000000000001</v>
      </c>
      <c r="J33" s="45"/>
      <c r="K33" s="1736">
        <f>IF(M$6=0,0,(M$6*$E33+$G33+Y17))</f>
        <v>11</v>
      </c>
      <c r="L33" s="1558">
        <f>K33*$D33</f>
        <v>6.6220000000000008</v>
      </c>
      <c r="M33" s="1557"/>
      <c r="N33" s="1735">
        <f>IF(P$6=0,0,(P$6*$E33+$G33+Z17))</f>
        <v>13</v>
      </c>
      <c r="O33" s="1718">
        <f>N33*$D33</f>
        <v>7.8260000000000014</v>
      </c>
      <c r="P33" s="1717"/>
      <c r="Q33" s="38"/>
    </row>
    <row r="34" spans="1:17" s="686" customFormat="1" ht="18.75" customHeight="1">
      <c r="A34" s="1248"/>
      <c r="B34" s="1254" t="s">
        <v>1178</v>
      </c>
      <c r="C34" s="1248"/>
      <c r="D34" s="37"/>
      <c r="E34" s="37"/>
      <c r="F34" s="4876" t="s">
        <v>1177</v>
      </c>
      <c r="G34" s="4877"/>
      <c r="H34" s="1732"/>
      <c r="I34" s="1731"/>
      <c r="J34" s="1582">
        <f>SUM(I36:I42)</f>
        <v>31.885000000000005</v>
      </c>
      <c r="K34" s="1734"/>
      <c r="L34" s="1733"/>
      <c r="M34" s="1585">
        <f>SUM(L36:L42)</f>
        <v>42.085000000000008</v>
      </c>
      <c r="N34" s="1732"/>
      <c r="O34" s="1731"/>
      <c r="P34" s="1582">
        <f>SUM(O36:O42)</f>
        <v>42.085000000000008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644</v>
      </c>
      <c r="D36" s="4884"/>
      <c r="E36" s="4885"/>
      <c r="F36" s="1724">
        <f>IF(C36="",0,VLOOKUP(C36,'SDK5'!C3:AF83,2,FALSE))</f>
        <v>6.8</v>
      </c>
      <c r="G36" s="1724">
        <f t="shared" ref="G36:G42" si="0">F36*(100+$D$35)/100</f>
        <v>6.8</v>
      </c>
      <c r="H36" s="1723"/>
      <c r="I36" s="1722">
        <f t="shared" ref="I36:I42" si="1">$G36*H36</f>
        <v>0</v>
      </c>
      <c r="J36" s="45"/>
      <c r="K36" s="1723">
        <v>1.5</v>
      </c>
      <c r="L36" s="1564">
        <f t="shared" ref="L36:L42" si="2">$G36*K36</f>
        <v>10.199999999999999</v>
      </c>
      <c r="M36" s="1557"/>
      <c r="N36" s="1723">
        <v>1.5</v>
      </c>
      <c r="O36" s="1722">
        <f t="shared" ref="O36:O42" si="3">$G36*N36</f>
        <v>10.199999999999999</v>
      </c>
      <c r="P36" s="1726"/>
      <c r="Q36" s="38"/>
    </row>
    <row r="37" spans="1:17" s="42" customFormat="1" ht="15" customHeight="1">
      <c r="A37" s="1284"/>
      <c r="B37" s="1562"/>
      <c r="C37" s="4870" t="s">
        <v>618</v>
      </c>
      <c r="D37" s="4870"/>
      <c r="E37" s="4871"/>
      <c r="F37" s="1724">
        <f>IF(C37="",0,VLOOKUP(C37,'SDK5'!C4:AF84,2,FALSE))</f>
        <v>637.70000000000005</v>
      </c>
      <c r="G37" s="1724">
        <f t="shared" si="0"/>
        <v>637.70000000000005</v>
      </c>
      <c r="H37" s="1723">
        <v>0.05</v>
      </c>
      <c r="I37" s="1722">
        <f t="shared" si="1"/>
        <v>31.885000000000005</v>
      </c>
      <c r="J37" s="45"/>
      <c r="K37" s="1723">
        <v>0.05</v>
      </c>
      <c r="L37" s="1564">
        <f t="shared" si="2"/>
        <v>31.885000000000005</v>
      </c>
      <c r="M37" s="1557"/>
      <c r="N37" s="1723">
        <v>0.05</v>
      </c>
      <c r="O37" s="1722">
        <f t="shared" si="3"/>
        <v>31.885000000000005</v>
      </c>
      <c r="P37" s="1686"/>
      <c r="Q37" s="38"/>
    </row>
    <row r="38" spans="1:17" s="42" customFormat="1" ht="15" customHeight="1">
      <c r="A38" s="1284"/>
      <c r="B38" s="1725"/>
      <c r="C38" s="4870"/>
      <c r="D38" s="4870"/>
      <c r="E38" s="4871"/>
      <c r="F38" s="1724">
        <f>IF(C38="",0,VLOOKUP(C38,'SDK5'!C5:AF85,2,FALSE))</f>
        <v>0</v>
      </c>
      <c r="G38" s="1724"/>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139.46582180117645</v>
      </c>
      <c r="K43" s="1716"/>
      <c r="L43" s="1715"/>
      <c r="M43" s="1585">
        <f>SUM(M46:M57)</f>
        <v>147.57741855999996</v>
      </c>
      <c r="N43" s="1714"/>
      <c r="O43" s="1713"/>
      <c r="P43" s="1582">
        <f>SUM(P46:P57)</f>
        <v>149.17965793411761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2</v>
      </c>
      <c r="L49" s="1690">
        <f t="shared" si="6"/>
        <v>0.78</v>
      </c>
      <c r="M49" s="1689">
        <f t="shared" si="7"/>
        <v>13.018714769411764</v>
      </c>
      <c r="N49" s="1688">
        <v>2</v>
      </c>
      <c r="O49" s="1687">
        <f t="shared" si="8"/>
        <v>0.78</v>
      </c>
      <c r="P49" s="1686">
        <f t="shared" si="9"/>
        <v>13.018714769411764</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0.75</v>
      </c>
      <c r="I50" s="1687">
        <f t="shared" si="4"/>
        <v>0.42000000000000004</v>
      </c>
      <c r="J50" s="1686">
        <f t="shared" si="5"/>
        <v>7.2100771835294104</v>
      </c>
      <c r="K50" s="1688">
        <v>0.91666666666666663</v>
      </c>
      <c r="L50" s="1690">
        <f t="shared" si="6"/>
        <v>0.51333333333333331</v>
      </c>
      <c r="M50" s="1689">
        <f t="shared" si="7"/>
        <v>8.8123165576470566</v>
      </c>
      <c r="N50" s="1688">
        <v>1.0833333333333333</v>
      </c>
      <c r="O50" s="1687">
        <f t="shared" si="8"/>
        <v>0.60666666666666669</v>
      </c>
      <c r="P50" s="1686">
        <f t="shared" si="9"/>
        <v>10.414555931764703</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4.830000000000001</v>
      </c>
      <c r="J58" s="1669"/>
      <c r="K58" s="1668"/>
      <c r="L58" s="1667">
        <f>SUM($L$46:$L$57)</f>
        <v>5.3133333333333344</v>
      </c>
      <c r="M58" s="1666"/>
      <c r="N58" s="1665"/>
      <c r="O58" s="1664">
        <f>SUM($O$46:$O$57)</f>
        <v>5.4066666666666672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8.6940000000000026</v>
      </c>
      <c r="J59" s="1654"/>
      <c r="K59" s="1659"/>
      <c r="L59" s="1658">
        <f>IF(L58+SUM($L$46:$L$57)*$E$59%&gt;L58+10,L58+10,L58+SUM($L$46:$L$57)*$E$59%)</f>
        <v>9.5640000000000018</v>
      </c>
      <c r="M59" s="1657"/>
      <c r="N59" s="1656"/>
      <c r="O59" s="1655">
        <f>IF(O58+SUM($O$46:$O$57)*$E$59%&gt;O58+10,O58+10,O58+SUM($O$46:$O$57)*$E$59%)</f>
        <v>9.7320000000000011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81.225000000000009</v>
      </c>
      <c r="K67" s="1609" t="s">
        <v>1161</v>
      </c>
      <c r="L67" s="1608" t="s">
        <v>1160</v>
      </c>
      <c r="M67" s="1585">
        <f>S68*(K9+K10)*L68%+F68</f>
        <v>99.275000000000006</v>
      </c>
      <c r="N67" s="1607" t="s">
        <v>1161</v>
      </c>
      <c r="O67" s="1606" t="s">
        <v>1160</v>
      </c>
      <c r="P67" s="1582">
        <f>T68*(N9+N10)*O68%+F68</f>
        <v>117.32500000000002</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15.359999999999996</v>
      </c>
      <c r="K69" s="1598"/>
      <c r="L69" s="1597"/>
      <c r="M69" s="1585">
        <f>K70*$F70/1000</f>
        <v>18.77333333333333</v>
      </c>
      <c r="N69" s="44"/>
      <c r="O69" s="73"/>
      <c r="P69" s="1582">
        <f>N70*$F70/1000</f>
        <v>22.18666666666666</v>
      </c>
      <c r="Q69" s="38"/>
    </row>
    <row r="70" spans="1:20" s="686" customFormat="1" ht="15" customHeight="1">
      <c r="A70" s="1248"/>
      <c r="B70" s="1310"/>
      <c r="C70" s="1309" t="s">
        <v>840</v>
      </c>
      <c r="D70" s="346"/>
      <c r="E70" s="278"/>
      <c r="F70" s="1596">
        <f>'SDK7'!G102</f>
        <v>16</v>
      </c>
      <c r="G70" s="1595" t="s">
        <v>171</v>
      </c>
      <c r="H70" s="1591">
        <f>I9+I10</f>
        <v>959.99999999999977</v>
      </c>
      <c r="I70" s="1590"/>
      <c r="J70" s="1589"/>
      <c r="K70" s="1594">
        <f>L9+L10</f>
        <v>1173.333333333333</v>
      </c>
      <c r="L70" s="1593"/>
      <c r="M70" s="1592"/>
      <c r="N70" s="1591">
        <f>O9+O10</f>
        <v>1386.6666666666663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6.23548518167647</v>
      </c>
      <c r="K75" s="689"/>
      <c r="L75" s="1034"/>
      <c r="M75" s="1546">
        <f>(M23+M27+M34+M43+M60+M65+M67+M69+M71)*('SDK1'!$O$59%*$G$75/12)</f>
        <v>6.8761695991111109</v>
      </c>
      <c r="N75" s="1548"/>
      <c r="O75" s="1547"/>
      <c r="P75" s="1546">
        <f>(P23+P27+P34+P43+P60+P65+P67+P69+P71)*('SDK1'!$O$59%*$G$75/12)</f>
        <v>7.377609371673203</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mergeCells count="49">
    <mergeCell ref="K1:L1"/>
    <mergeCell ref="N1:O1"/>
    <mergeCell ref="N3:O4"/>
    <mergeCell ref="J3:L3"/>
    <mergeCell ref="J4:L4"/>
    <mergeCell ref="C42:E42"/>
    <mergeCell ref="H6:I6"/>
    <mergeCell ref="C19:F19"/>
    <mergeCell ref="C39:E39"/>
    <mergeCell ref="E4:I4"/>
    <mergeCell ref="C41:E41"/>
    <mergeCell ref="C37:E37"/>
    <mergeCell ref="C36:E36"/>
    <mergeCell ref="C40:E40"/>
    <mergeCell ref="C38:E38"/>
    <mergeCell ref="C20:F20"/>
    <mergeCell ref="C21:F21"/>
    <mergeCell ref="E22:G22"/>
    <mergeCell ref="B75:C75"/>
    <mergeCell ref="K2:P2"/>
    <mergeCell ref="D25:E25"/>
    <mergeCell ref="D26:E26"/>
    <mergeCell ref="C14:F14"/>
    <mergeCell ref="C15:F15"/>
    <mergeCell ref="N6:O6"/>
    <mergeCell ref="K6:L6"/>
    <mergeCell ref="E10:F10"/>
    <mergeCell ref="C16:F16"/>
    <mergeCell ref="C48:D48"/>
    <mergeCell ref="F23:G23"/>
    <mergeCell ref="F34:G34"/>
    <mergeCell ref="C47:D47"/>
    <mergeCell ref="C46:D46"/>
    <mergeCell ref="C17:F17"/>
    <mergeCell ref="C74:E74"/>
    <mergeCell ref="C55:D55"/>
    <mergeCell ref="C68:E68"/>
    <mergeCell ref="C62:E62"/>
    <mergeCell ref="C64:E64"/>
    <mergeCell ref="C73:E73"/>
    <mergeCell ref="C63:E63"/>
    <mergeCell ref="C57:D57"/>
    <mergeCell ref="C56:D56"/>
    <mergeCell ref="C49:D49"/>
    <mergeCell ref="C53:D53"/>
    <mergeCell ref="C54:D54"/>
    <mergeCell ref="C50:D50"/>
    <mergeCell ref="C51:D51"/>
    <mergeCell ref="C52:D5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38" orientation="portrait" r:id="rId1"/>
  <headerFooter alignWithMargins="0">
    <oddFooter>&amp;L&amp;11LEL Schwäbisch Gmünd&amp;C45&amp;R&amp;11&amp;F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12</xdr:col>
                    <xdr:colOff>285750</xdr:colOff>
                    <xdr:row>3</xdr:row>
                    <xdr:rowOff>0</xdr:rowOff>
                  </from>
                  <to>
                    <xdr:col>13</xdr:col>
                    <xdr:colOff>0</xdr:colOff>
                    <xdr:row>3</xdr:row>
                    <xdr:rowOff>209550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12</xdr:col>
                    <xdr:colOff>285750</xdr:colOff>
                    <xdr:row>2</xdr:row>
                    <xdr:rowOff>0</xdr:rowOff>
                  </from>
                  <to>
                    <xdr:col>13</xdr:col>
                    <xdr:colOff>0</xdr:colOff>
                    <xdr:row>2</xdr:row>
                    <xdr:rowOff>238125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'SDK5'!$N$214:$N$313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9">
    <tabColor rgb="FF00B050"/>
    <pageSetUpPr fitToPage="1"/>
  </sheetPr>
  <dimension ref="A1:AO218"/>
  <sheetViews>
    <sheetView showZeros="0" zoomScaleNormal="100" workbookViewId="0">
      <selection activeCell="Q1" sqref="Q1:AA1048576"/>
    </sheetView>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9" style="38" hidden="1" customWidth="1"/>
    <col min="18" max="22" width="9" style="35" hidden="1" customWidth="1"/>
    <col min="23" max="25" width="6.375" style="35" hidden="1" customWidth="1"/>
    <col min="26" max="26" width="4.125" style="35" hidden="1" customWidth="1"/>
    <col min="27" max="27" width="0" style="35" hidden="1" customWidth="1"/>
    <col min="28" max="16384" width="10.5" style="35"/>
  </cols>
  <sheetData>
    <row r="1" spans="1:41" s="1859" customFormat="1" ht="30.4" customHeight="1">
      <c r="A1" s="1863"/>
      <c r="B1" s="319"/>
      <c r="C1" s="1876"/>
      <c r="D1" s="1795"/>
      <c r="E1" s="316"/>
      <c r="F1" s="316"/>
      <c r="G1" s="585"/>
      <c r="H1" s="1870"/>
      <c r="I1" s="1875" t="s">
        <v>1207</v>
      </c>
      <c r="J1" s="1874">
        <f>(J7+J13+J18+J22+I11+I12)-(J23+J27+J34+J43+J60+J65+J67+J69+J71+J75)</f>
        <v>894.7377026663014</v>
      </c>
      <c r="K1" s="4855">
        <f>M1-J1</f>
        <v>302.46171281775105</v>
      </c>
      <c r="L1" s="4855"/>
      <c r="M1" s="1874">
        <f>(M7+M13+M18+M22+L11+L12)-(M23+M27+M34+M43+M60+M65+M67+M69+M71+M75)</f>
        <v>1197.1994154840525</v>
      </c>
      <c r="N1" s="4855">
        <f>P1-M1</f>
        <v>302.46171281775219</v>
      </c>
      <c r="O1" s="4855"/>
      <c r="P1" s="1874">
        <f>(P7+P13+P18+P22+O11+O12)-(P23+P27+P34+P43+P60+P65+P67+P69+P71+P75)</f>
        <v>1499.6611283018046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205</v>
      </c>
      <c r="L2" s="4867"/>
      <c r="M2" s="4867"/>
      <c r="N2" s="4867"/>
      <c r="O2" s="4867"/>
      <c r="P2" s="4867"/>
      <c r="Q2" s="1888">
        <v>30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80</v>
      </c>
      <c r="K6" s="4874" t="s">
        <v>152</v>
      </c>
      <c r="L6" s="4875"/>
      <c r="M6" s="1855">
        <v>100</v>
      </c>
      <c r="N6" s="4861" t="s">
        <v>178</v>
      </c>
      <c r="O6" s="4862"/>
      <c r="P6" s="1854">
        <v>120</v>
      </c>
      <c r="Q6" s="70"/>
    </row>
    <row r="7" spans="1:41" s="251" customFormat="1" ht="18.75" customHeight="1">
      <c r="A7" s="47"/>
      <c r="B7" s="305" t="s">
        <v>1202</v>
      </c>
      <c r="C7" s="47"/>
      <c r="D7" s="47"/>
      <c r="E7" s="47"/>
      <c r="F7" s="47"/>
      <c r="G7" s="1852"/>
      <c r="H7" s="1849"/>
      <c r="I7" s="1848"/>
      <c r="J7" s="1582">
        <f>SUM(I9:I10)</f>
        <v>1970.666666666667</v>
      </c>
      <c r="K7" s="1851"/>
      <c r="L7" s="1850"/>
      <c r="M7" s="1585">
        <f>SUM(L9:L10)</f>
        <v>2463.3333333333335</v>
      </c>
      <c r="N7" s="1849"/>
      <c r="O7" s="1848"/>
      <c r="P7" s="1582">
        <f>SUM(O9:O10)</f>
        <v>2956.0000000000005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'SDK1'!O29</f>
        <v>24.633333333333336</v>
      </c>
      <c r="H9" s="1845">
        <f>J6-H10</f>
        <v>80</v>
      </c>
      <c r="I9" s="1841">
        <f>H9*G9</f>
        <v>1970.666666666667</v>
      </c>
      <c r="J9" s="43"/>
      <c r="K9" s="1844">
        <f>M6-K10</f>
        <v>100</v>
      </c>
      <c r="L9" s="1843">
        <f>K9*G9</f>
        <v>2463.3333333333335</v>
      </c>
      <c r="M9" s="1822"/>
      <c r="N9" s="1842">
        <f>P6-N10</f>
        <v>120</v>
      </c>
      <c r="O9" s="1841">
        <f>N9*G9</f>
        <v>2956.0000000000005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0</v>
      </c>
      <c r="K13" s="1895"/>
      <c r="L13" s="1793"/>
      <c r="M13" s="1585">
        <f>SUM(L14:L17)</f>
        <v>0</v>
      </c>
      <c r="N13" s="1894"/>
      <c r="O13" s="1791"/>
      <c r="P13" s="1582">
        <f>SUM(O14:O17)</f>
        <v>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c r="D14" s="4860"/>
      <c r="E14" s="4860"/>
      <c r="F14" s="4860"/>
      <c r="G14" s="1805"/>
      <c r="H14" s="1804" t="s">
        <v>1190</v>
      </c>
      <c r="I14" s="3909">
        <f>IF(H14="ja",Q14,0)</f>
        <v>0</v>
      </c>
      <c r="J14" s="45"/>
      <c r="K14" s="1804" t="s">
        <v>1190</v>
      </c>
      <c r="L14" s="1639">
        <f>IF(K14="ja",Q14,0)</f>
        <v>0</v>
      </c>
      <c r="M14" s="1557"/>
      <c r="N14" s="1804" t="s">
        <v>1190</v>
      </c>
      <c r="O14" s="1785">
        <f>IF(N14="ja",Q14,0)</f>
        <v>0</v>
      </c>
      <c r="P14" s="1554"/>
      <c r="Q14" s="1803">
        <f>IF(C14=0,0,VLOOKUP(C14,'SD2'!$C$11:$N$49,'SD2'!$N$1,FALSE))</f>
        <v>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355.4</v>
      </c>
      <c r="S19" s="1783">
        <f>M13+M18</f>
        <v>355.4</v>
      </c>
      <c r="T19" s="1782">
        <f>P13+P18</f>
        <v>355.4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243</v>
      </c>
      <c r="K23" s="1587"/>
      <c r="L23" s="1586"/>
      <c r="M23" s="1768">
        <f>SUM(L25:L26)</f>
        <v>243</v>
      </c>
      <c r="N23" s="1584"/>
      <c r="O23" s="1583"/>
      <c r="P23" s="1567">
        <f>SUM(O25:O26)</f>
        <v>243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'SDK7'!F59</f>
        <v>135</v>
      </c>
      <c r="G25" s="1762">
        <f>F25*(100+$D$24)/100</f>
        <v>135</v>
      </c>
      <c r="H25" s="1761">
        <v>1.8</v>
      </c>
      <c r="I25" s="1722">
        <f>H25*$G25</f>
        <v>243</v>
      </c>
      <c r="J25" s="45"/>
      <c r="K25" s="1761">
        <v>1.8</v>
      </c>
      <c r="L25" s="1564">
        <f>K25*$G25</f>
        <v>243</v>
      </c>
      <c r="M25" s="1557"/>
      <c r="N25" s="1761">
        <v>1.8</v>
      </c>
      <c r="O25" s="1722">
        <f>N25*$G25</f>
        <v>243</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302.76479999999998</v>
      </c>
      <c r="K27" s="1716"/>
      <c r="L27" s="1715"/>
      <c r="M27" s="1585">
        <f>SUM(L30:L33)</f>
        <v>371.29599999999999</v>
      </c>
      <c r="N27" s="1714"/>
      <c r="O27" s="1713"/>
      <c r="P27" s="1582">
        <f>SUM(O30:O33)</f>
        <v>439.8272</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1.38</v>
      </c>
      <c r="F30" s="1742">
        <f>VLOOKUP(K2,'SD8'!B9:L42,7,FALSE)</f>
        <v>0.89999999999999991</v>
      </c>
      <c r="G30" s="1741">
        <v>20</v>
      </c>
      <c r="H30" s="1739">
        <f>IF(J$6=0,0,(J$6*$E30+$G30+X14))</f>
        <v>130.39999999999998</v>
      </c>
      <c r="I30" s="1722">
        <f>H30*$D30</f>
        <v>186.73279999999997</v>
      </c>
      <c r="J30" s="45"/>
      <c r="K30" s="1740">
        <f>IF(M$6=0,0,(M$6*$E30+$G30+Y14))</f>
        <v>158</v>
      </c>
      <c r="L30" s="1564">
        <f>K30*$D30</f>
        <v>226.256</v>
      </c>
      <c r="M30" s="1557"/>
      <c r="N30" s="1739">
        <f>IF(P$6=0,0,(P$6*$E30+$G30+Z14))</f>
        <v>185.6</v>
      </c>
      <c r="O30" s="1722">
        <f>N30*$D30</f>
        <v>265.7792</v>
      </c>
      <c r="P30" s="1686"/>
      <c r="Q30" s="38"/>
    </row>
    <row r="31" spans="1:26" s="42" customFormat="1" ht="15" customHeight="1">
      <c r="A31" s="1284"/>
      <c r="B31" s="272"/>
      <c r="C31" s="1284" t="s">
        <v>244</v>
      </c>
      <c r="D31" s="1691">
        <f>'SDK1'!O53</f>
        <v>1.05</v>
      </c>
      <c r="E31" s="1742">
        <f>VLOOKUP(K2,'SD8'!B9:L42,4,FALSE)</f>
        <v>0.8</v>
      </c>
      <c r="F31" s="1742">
        <f>VLOOKUP(K2,'SD8'!B9:L42,8,FALSE)</f>
        <v>0.19999999999999996</v>
      </c>
      <c r="G31" s="1741"/>
      <c r="H31" s="1739">
        <f>IF(J$6=0,0,(J$6*$E31+$G31+X15))</f>
        <v>64</v>
      </c>
      <c r="I31" s="1722">
        <f>H31*$D31</f>
        <v>67.2</v>
      </c>
      <c r="J31" s="45"/>
      <c r="K31" s="1740">
        <f>IF(M$6=0,0,(M$6*$E31+$G31+Y15))</f>
        <v>80</v>
      </c>
      <c r="L31" s="1564">
        <f>K31*$D31</f>
        <v>84</v>
      </c>
      <c r="M31" s="1557"/>
      <c r="N31" s="1739">
        <f>IF(P$6=0,0,(P$6*$E31+$G31+Z15))</f>
        <v>96</v>
      </c>
      <c r="O31" s="1722">
        <f>N31*$D31</f>
        <v>100.80000000000001</v>
      </c>
      <c r="P31" s="1686"/>
      <c r="Q31" s="38"/>
    </row>
    <row r="32" spans="1:26" s="42" customFormat="1" ht="15" customHeight="1">
      <c r="A32" s="1284"/>
      <c r="B32" s="272"/>
      <c r="C32" s="1284" t="s">
        <v>242</v>
      </c>
      <c r="D32" s="1691">
        <f>'SDK1'!O54</f>
        <v>0.98000000000000009</v>
      </c>
      <c r="E32" s="1742">
        <f>VLOOKUP(K2,'SD8'!B9:L42,5,FALSE)</f>
        <v>0.5</v>
      </c>
      <c r="F32" s="1742">
        <f>VLOOKUP(K2,'SD8'!B9:L42,9,FALSE)</f>
        <v>2</v>
      </c>
      <c r="G32" s="1741"/>
      <c r="H32" s="1739">
        <f>IF(J$6=0,0,(J$6*$E32+$G32+X16))</f>
        <v>40</v>
      </c>
      <c r="I32" s="1722">
        <f>H32*$D32</f>
        <v>39.200000000000003</v>
      </c>
      <c r="J32" s="45"/>
      <c r="K32" s="1740">
        <f>IF(M$6=0,0,(M$6*$E32+$G32+Y16))</f>
        <v>50</v>
      </c>
      <c r="L32" s="1564">
        <f>K32*$D32</f>
        <v>49.000000000000007</v>
      </c>
      <c r="M32" s="1557"/>
      <c r="N32" s="1739">
        <f>IF(P$6=0,0,(P$6*$E32+$G32+Z16))</f>
        <v>60</v>
      </c>
      <c r="O32" s="1722">
        <f>N32*$D32</f>
        <v>58.800000000000004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0.39999999999999997</v>
      </c>
      <c r="G33" s="1737"/>
      <c r="H33" s="1735">
        <f>IF(J$6=0,0,(J$6*$E33+$G33+X17))</f>
        <v>16</v>
      </c>
      <c r="I33" s="1718">
        <f>H33*$D33</f>
        <v>9.6320000000000014</v>
      </c>
      <c r="J33" s="45"/>
      <c r="K33" s="1736">
        <f>IF(M$6=0,0,(M$6*$E33+$G33+Y17))</f>
        <v>20</v>
      </c>
      <c r="L33" s="1558">
        <f>K33*$D33</f>
        <v>12.040000000000003</v>
      </c>
      <c r="M33" s="1557"/>
      <c r="N33" s="1735">
        <f>IF(P$6=0,0,(P$6*$E33+$G33+Z17))</f>
        <v>24</v>
      </c>
      <c r="O33" s="1718">
        <f>N33*$D33</f>
        <v>14.448000000000002</v>
      </c>
      <c r="P33" s="1717"/>
      <c r="Q33" s="38"/>
    </row>
    <row r="34" spans="1:17" s="686" customFormat="1" ht="18.75" customHeight="1">
      <c r="A34" s="1248"/>
      <c r="B34" s="1254" t="s">
        <v>1178</v>
      </c>
      <c r="C34" s="1248"/>
      <c r="D34" s="37"/>
      <c r="E34" s="37"/>
      <c r="F34" s="4876" t="s">
        <v>1177</v>
      </c>
      <c r="G34" s="4877"/>
      <c r="H34" s="1732"/>
      <c r="I34" s="1731"/>
      <c r="J34" s="1582">
        <f>SUM(I36:I42)</f>
        <v>83.25</v>
      </c>
      <c r="K34" s="1734"/>
      <c r="L34" s="1733"/>
      <c r="M34" s="1585">
        <f>SUM(L36:L42)</f>
        <v>83.25</v>
      </c>
      <c r="N34" s="1732"/>
      <c r="O34" s="1731"/>
      <c r="P34" s="1582">
        <f>SUM(O36:O42)</f>
        <v>83.25</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624</v>
      </c>
      <c r="D36" s="4884"/>
      <c r="E36" s="4885"/>
      <c r="F36" s="1724">
        <f>IF(C36="",0,VLOOKUP(C36,'SDK5'!C3:AF83,2,FALSE))</f>
        <v>55.5</v>
      </c>
      <c r="G36" s="1724">
        <f t="shared" ref="G36:G42" si="0">F36*(100+$D$35)/100</f>
        <v>55.5</v>
      </c>
      <c r="H36" s="1723">
        <v>1.5</v>
      </c>
      <c r="I36" s="1722">
        <f t="shared" ref="I36:I42" si="1">$G36*H36</f>
        <v>83.25</v>
      </c>
      <c r="J36" s="45"/>
      <c r="K36" s="1723">
        <v>1.5</v>
      </c>
      <c r="L36" s="1564">
        <f t="shared" ref="L36:L42" si="2">$G36*K36</f>
        <v>83.25</v>
      </c>
      <c r="M36" s="1557"/>
      <c r="N36" s="1723">
        <v>1.5</v>
      </c>
      <c r="O36" s="1722">
        <f t="shared" ref="O36:O42" si="3">$G36*N36</f>
        <v>83.25</v>
      </c>
      <c r="P36" s="1726"/>
      <c r="Q36" s="38"/>
    </row>
    <row r="37" spans="1:17" s="42" customFormat="1" ht="15" customHeight="1">
      <c r="A37" s="1284"/>
      <c r="B37" s="1562"/>
      <c r="C37" s="4870" t="s">
        <v>351</v>
      </c>
      <c r="D37" s="4870"/>
      <c r="E37" s="487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132.49566567529411</v>
      </c>
      <c r="K43" s="1716"/>
      <c r="L43" s="1715"/>
      <c r="M43" s="1585">
        <f>SUM(M46:M57)</f>
        <v>135.70014442352939</v>
      </c>
      <c r="N43" s="1714"/>
      <c r="O43" s="1713"/>
      <c r="P43" s="1582">
        <f>SUM(P46:P57)</f>
        <v>138.90462317176468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30</v>
      </c>
    </row>
    <row r="47" spans="1:17" s="42" customFormat="1" ht="15" customHeight="1">
      <c r="A47" s="1284"/>
      <c r="B47" s="1694"/>
      <c r="C47" s="4882" t="s">
        <v>451</v>
      </c>
      <c r="D47" s="4883"/>
      <c r="E47" s="1693">
        <f>IF($C47=0,0,VLOOKUP($C47,'SDK3'!$C$24:$O$86,4,FALSE))</f>
        <v>102</v>
      </c>
      <c r="F47" s="1692">
        <f>IF($C47=0,0,VLOOKUP($C47,'SDK3'!$C$24:$O$86,12,FALSE))</f>
        <v>1.02</v>
      </c>
      <c r="G47" s="1691">
        <f>IF($C47=0,0,VLOOKUP($C47,'SDK3'!$C$24:$O$86,13,FALSE))</f>
        <v>28.610107599999999</v>
      </c>
      <c r="H47" s="1688">
        <v>1</v>
      </c>
      <c r="I47" s="1687">
        <f t="shared" si="4"/>
        <v>1.02</v>
      </c>
      <c r="J47" s="1686">
        <f t="shared" si="5"/>
        <v>28.610107599999999</v>
      </c>
      <c r="K47" s="1688">
        <v>1</v>
      </c>
      <c r="L47" s="1690">
        <f t="shared" si="6"/>
        <v>1.02</v>
      </c>
      <c r="M47" s="1689">
        <f t="shared" si="7"/>
        <v>28.610107599999999</v>
      </c>
      <c r="N47" s="1688">
        <v>1</v>
      </c>
      <c r="O47" s="1687">
        <f t="shared" si="8"/>
        <v>1.02</v>
      </c>
      <c r="P47" s="1686">
        <f t="shared" si="9"/>
        <v>28.610107599999999</v>
      </c>
      <c r="Q47" s="38"/>
    </row>
    <row r="48" spans="1:17" s="42" customFormat="1" ht="15" customHeight="1">
      <c r="A48" s="1284"/>
      <c r="B48" s="1694"/>
      <c r="C48" s="4882" t="s">
        <v>431</v>
      </c>
      <c r="D48" s="4883"/>
      <c r="E48" s="1693">
        <f>IF($C48=0,0,VLOOKUP($C48,'SDK3'!$C$24:$O$86,4,FALSE))</f>
        <v>83</v>
      </c>
      <c r="F48" s="1692">
        <f>IF($C48=0,0,VLOOKUP($C48,'SDK3'!$C$24:$O$86,12,FALSE))</f>
        <v>0.55000000000000004</v>
      </c>
      <c r="G48" s="1691">
        <f>IF($C48=0,0,VLOOKUP($C48,'SDK3'!$C$24:$O$86,13,FALSE))</f>
        <v>16.813196311764706</v>
      </c>
      <c r="H48" s="1688">
        <v>1</v>
      </c>
      <c r="I48" s="1687">
        <f t="shared" si="4"/>
        <v>0.55000000000000004</v>
      </c>
      <c r="J48" s="1686">
        <f t="shared" si="5"/>
        <v>16.813196311764706</v>
      </c>
      <c r="K48" s="1688">
        <v>1</v>
      </c>
      <c r="L48" s="1690">
        <f t="shared" si="6"/>
        <v>0.55000000000000004</v>
      </c>
      <c r="M48" s="1689">
        <f t="shared" si="7"/>
        <v>16.813196311764706</v>
      </c>
      <c r="N48" s="1688">
        <v>1</v>
      </c>
      <c r="O48" s="1687">
        <f t="shared" si="8"/>
        <v>0.55000000000000004</v>
      </c>
      <c r="P48" s="1686">
        <f t="shared" si="9"/>
        <v>16.813196311764706</v>
      </c>
      <c r="Q48" s="38"/>
    </row>
    <row r="49" spans="1:17" s="42" customFormat="1" ht="15" customHeight="1">
      <c r="A49" s="1284"/>
      <c r="B49" s="1694"/>
      <c r="C49" s="4882" t="s">
        <v>426</v>
      </c>
      <c r="D49" s="4883"/>
      <c r="E49" s="1693">
        <f>IF($C49=0,0,VLOOKUP($C49,'SDK3'!$C$24:$O$86,4,FALSE))</f>
        <v>54</v>
      </c>
      <c r="F49" s="1692">
        <f>IF($C49=0,0,VLOOKUP($C49,'SDK3'!$C$24:$O$86,12,FALSE))</f>
        <v>0.37</v>
      </c>
      <c r="G49" s="1691">
        <f>IF($C49=0,0,VLOOKUP($C49,'SDK3'!$C$24:$O$86,13,FALSE))</f>
        <v>4.2780853988235288</v>
      </c>
      <c r="H49" s="1688">
        <v>2</v>
      </c>
      <c r="I49" s="1687">
        <f t="shared" si="4"/>
        <v>0.74</v>
      </c>
      <c r="J49" s="1686">
        <f t="shared" si="5"/>
        <v>8.5561707976470576</v>
      </c>
      <c r="K49" s="1688">
        <v>2</v>
      </c>
      <c r="L49" s="1690">
        <f t="shared" si="6"/>
        <v>0.74</v>
      </c>
      <c r="M49" s="1689">
        <f t="shared" si="7"/>
        <v>8.5561707976470576</v>
      </c>
      <c r="N49" s="1688">
        <v>2</v>
      </c>
      <c r="O49" s="1687">
        <f t="shared" si="8"/>
        <v>0.74</v>
      </c>
      <c r="P49" s="1686">
        <f t="shared" si="9"/>
        <v>8.5561707976470576</v>
      </c>
      <c r="Q49" s="38"/>
    </row>
    <row r="50" spans="1:17" s="42" customFormat="1" ht="15" customHeight="1">
      <c r="A50" s="1284"/>
      <c r="B50" s="1694"/>
      <c r="C50" s="4882" t="s">
        <v>419</v>
      </c>
      <c r="D50" s="4883"/>
      <c r="E50" s="1693">
        <f>IF($C50=0,0,VLOOKUP($C50,'SDK3'!$C$24:$O$86,4,FALSE))</f>
        <v>83</v>
      </c>
      <c r="F50" s="1692">
        <f>IF($C50=0,0,VLOOKUP($C50,'SDK3'!$C$24:$O$86,12,FALSE))</f>
        <v>0.39</v>
      </c>
      <c r="G50" s="1691">
        <f>IF($C50=0,0,VLOOKUP($C50,'SDK3'!$C$24:$O$86,13,FALSE))</f>
        <v>6.5093573847058819</v>
      </c>
      <c r="H50" s="1688">
        <v>1</v>
      </c>
      <c r="I50" s="1687">
        <f t="shared" si="4"/>
        <v>0.39</v>
      </c>
      <c r="J50" s="1686">
        <f t="shared" si="5"/>
        <v>6.5093573847058819</v>
      </c>
      <c r="K50" s="1688">
        <v>1</v>
      </c>
      <c r="L50" s="1690">
        <f t="shared" si="6"/>
        <v>0.39</v>
      </c>
      <c r="M50" s="1689">
        <f t="shared" si="7"/>
        <v>6.5093573847058819</v>
      </c>
      <c r="N50" s="1688">
        <v>1</v>
      </c>
      <c r="O50" s="1687">
        <f t="shared" si="8"/>
        <v>0.39</v>
      </c>
      <c r="P50" s="1686">
        <f t="shared" si="9"/>
        <v>6.5093573847058819</v>
      </c>
      <c r="Q50" s="38"/>
    </row>
    <row r="51" spans="1:17" s="42" customFormat="1" ht="15" customHeight="1">
      <c r="A51" s="1284"/>
      <c r="B51" s="1694"/>
      <c r="C51" s="4882" t="s">
        <v>403</v>
      </c>
      <c r="D51" s="4883"/>
      <c r="E51" s="1693">
        <f>IF($C51=0,0,VLOOKUP($C51,'SDK3'!$C$24:$O$86,4,FALSE))</f>
        <v>83</v>
      </c>
      <c r="F51" s="1692">
        <f>IF($C51=0,0,VLOOKUP($C51,'SDK3'!$C$24:$O$86,12,FALSE))</f>
        <v>0.56000000000000005</v>
      </c>
      <c r="G51" s="1691">
        <f>IF($C51=0,0,VLOOKUP($C51,'SDK3'!$C$24:$O$86,13,FALSE))</f>
        <v>9.6134362447058805</v>
      </c>
      <c r="H51" s="1688">
        <f>$J$6/60</f>
        <v>1.3333333333333333</v>
      </c>
      <c r="I51" s="1687">
        <f t="shared" si="4"/>
        <v>0.7466666666666667</v>
      </c>
      <c r="J51" s="1686">
        <f t="shared" si="5"/>
        <v>12.817914992941173</v>
      </c>
      <c r="K51" s="1688">
        <f>$M$6/60</f>
        <v>1.6666666666666667</v>
      </c>
      <c r="L51" s="1690">
        <f t="shared" si="6"/>
        <v>0.93333333333333346</v>
      </c>
      <c r="M51" s="1689">
        <f t="shared" si="7"/>
        <v>16.022393741176469</v>
      </c>
      <c r="N51" s="1688">
        <f>$P$6/60</f>
        <v>2</v>
      </c>
      <c r="O51" s="1687">
        <f t="shared" si="8"/>
        <v>1.1200000000000001</v>
      </c>
      <c r="P51" s="1686">
        <f t="shared" si="9"/>
        <v>19.226872489411761</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v>0</v>
      </c>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4.8866666666666667</v>
      </c>
      <c r="J58" s="1669"/>
      <c r="K58" s="1668"/>
      <c r="L58" s="1667">
        <f>SUM($L$46:$L$57)</f>
        <v>5.0733333333333333</v>
      </c>
      <c r="M58" s="1666"/>
      <c r="N58" s="1665"/>
      <c r="O58" s="1664">
        <f>SUM($O$46:$O$57)</f>
        <v>5.26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8.7959999999999994</v>
      </c>
      <c r="J59" s="1654"/>
      <c r="K59" s="1659"/>
      <c r="L59" s="1658">
        <f>IF(L58+SUM($L$46:$L$57)*$E$59%&gt;L58+10,L58+10,L58+SUM($L$46:$L$57)*$E$59%)</f>
        <v>9.1319999999999997</v>
      </c>
      <c r="M59" s="1657"/>
      <c r="N59" s="1656"/>
      <c r="O59" s="1655">
        <f>IF(O58+SUM($O$46:$O$57)*$E$59%&gt;O58+10,O58+10,O58+SUM($O$46:$O$57)*$E$59%)</f>
        <v>9.468</v>
      </c>
      <c r="P59" s="1654"/>
      <c r="Q59" s="38"/>
    </row>
    <row r="60" spans="1:17" s="42" customFormat="1" ht="18.75" customHeight="1">
      <c r="A60" s="1284"/>
      <c r="B60" s="1254" t="s">
        <v>1164</v>
      </c>
      <c r="C60" s="1351"/>
      <c r="D60" s="1351"/>
      <c r="E60" s="45"/>
      <c r="F60" s="45"/>
      <c r="G60" s="1653"/>
      <c r="H60" s="1645"/>
      <c r="I60" s="1644"/>
      <c r="J60" s="1652">
        <f>IF(J6=0,0,SUM(I62:I64))</f>
        <v>190.4</v>
      </c>
      <c r="K60" s="1648"/>
      <c r="L60" s="1647"/>
      <c r="M60" s="1585">
        <f>IF(M6=0,0,SUM(L62:L64))</f>
        <v>190.4</v>
      </c>
      <c r="N60" s="1645"/>
      <c r="O60" s="1644"/>
      <c r="P60" s="1652">
        <f>IF(P6=0,0,SUM(O62:O64))</f>
        <v>190.4</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326</v>
      </c>
      <c r="D62" s="4860"/>
      <c r="E62" s="4860"/>
      <c r="F62" s="1642">
        <f>IF($C62=0,0,VLOOKUP($C62,'SDK3'!$C$92:$D$106,2,FALSE))</f>
        <v>190.4</v>
      </c>
      <c r="G62" s="1641">
        <f>(100+$D$61)/100*F62</f>
        <v>190.4</v>
      </c>
      <c r="H62" s="227"/>
      <c r="I62" s="1637">
        <f>$G$62</f>
        <v>190.4</v>
      </c>
      <c r="J62" s="227"/>
      <c r="K62" s="1640"/>
      <c r="L62" s="1639">
        <f>$G$62</f>
        <v>190.4</v>
      </c>
      <c r="M62" s="1557"/>
      <c r="N62" s="1638"/>
      <c r="O62" s="1637">
        <f>$G$62</f>
        <v>190.4</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v>0</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2"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2"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c r="S66" s="1909"/>
      <c r="T66" s="1909"/>
      <c r="U66" s="1909"/>
      <c r="V66" s="1909"/>
    </row>
    <row r="67" spans="1:22" s="686" customFormat="1" ht="22.9" customHeight="1">
      <c r="A67" s="1248"/>
      <c r="B67" s="1254" t="s">
        <v>1162</v>
      </c>
      <c r="C67" s="1248"/>
      <c r="D67" s="1248"/>
      <c r="E67" s="229"/>
      <c r="F67" s="1610"/>
      <c r="G67" s="1588"/>
      <c r="H67" s="1607" t="s">
        <v>1161</v>
      </c>
      <c r="I67" s="1606" t="s">
        <v>1160</v>
      </c>
      <c r="J67" s="1582">
        <f>T68*(H9+H10)*I68%+F68</f>
        <v>440</v>
      </c>
      <c r="K67" s="1609" t="s">
        <v>1161</v>
      </c>
      <c r="L67" s="1608" t="s">
        <v>1160</v>
      </c>
      <c r="M67" s="1585">
        <f>U68*(K9+K10)*L68%+F68</f>
        <v>550</v>
      </c>
      <c r="N67" s="1607" t="s">
        <v>1161</v>
      </c>
      <c r="O67" s="1606" t="s">
        <v>1160</v>
      </c>
      <c r="P67" s="1582">
        <f>V68*(N9+N10)*O68%+F68</f>
        <v>660</v>
      </c>
      <c r="Q67" s="38"/>
      <c r="T67" s="1599"/>
      <c r="U67" s="1599"/>
      <c r="V67" s="1599"/>
    </row>
    <row r="68" spans="1:22" s="686" customFormat="1" ht="15" customHeight="1">
      <c r="A68" s="1248"/>
      <c r="B68" s="1605"/>
      <c r="C68" s="4888" t="s">
        <v>1159</v>
      </c>
      <c r="D68" s="4888"/>
      <c r="E68" s="4888"/>
      <c r="F68" s="1604"/>
      <c r="G68" s="1595" t="s">
        <v>171</v>
      </c>
      <c r="H68" s="1602">
        <v>25</v>
      </c>
      <c r="I68" s="1601">
        <v>100</v>
      </c>
      <c r="J68" s="1600"/>
      <c r="K68" s="1602">
        <v>25</v>
      </c>
      <c r="L68" s="1601">
        <v>100</v>
      </c>
      <c r="M68" s="1603"/>
      <c r="N68" s="1602">
        <v>25</v>
      </c>
      <c r="O68" s="1601">
        <v>100</v>
      </c>
      <c r="P68" s="1600"/>
      <c r="Q68" s="38"/>
      <c r="S68" s="1908"/>
      <c r="T68" s="1599">
        <f>IF($H$68=0,0,VLOOKUP($H$68,'SD6'!H8:I256,'SD6'!$I$1,FALSE))*(1+'SDK1'!O11/100)</f>
        <v>5.5</v>
      </c>
      <c r="U68" s="1599">
        <f>IF($K$68=0,0,VLOOKUP($K$68,'SD6'!H8:I256,'SD6'!$I$1,FALSE))*(1+'SDK1'!O11/100)</f>
        <v>5.5</v>
      </c>
      <c r="V68" s="1599">
        <f>IF($N$68=0,0,VLOOKUP($N$68,'SD6'!H8:I256,'SD6'!$I$1,FALSE))*(1+'SDK1'!O11/100)</f>
        <v>5.5</v>
      </c>
    </row>
    <row r="69" spans="1:22" s="686" customFormat="1" ht="18.75" customHeight="1">
      <c r="A69" s="1248"/>
      <c r="B69" s="1254" t="s">
        <v>1158</v>
      </c>
      <c r="C69" s="1248"/>
      <c r="D69" s="1248"/>
      <c r="E69" s="38"/>
      <c r="F69" s="38"/>
      <c r="G69" s="1588"/>
      <c r="H69" s="44"/>
      <c r="I69" s="73"/>
      <c r="J69" s="1582">
        <f>H70*$F70/1000</f>
        <v>27.589333333333336</v>
      </c>
      <c r="K69" s="1598"/>
      <c r="L69" s="1597"/>
      <c r="M69" s="1585">
        <f>K70*$F70/1000</f>
        <v>34.486666666666672</v>
      </c>
      <c r="N69" s="44"/>
      <c r="O69" s="73"/>
      <c r="P69" s="1582">
        <f>N70*$F70/1000</f>
        <v>41.384000000000007</v>
      </c>
      <c r="Q69" s="38"/>
      <c r="S69" s="1908"/>
      <c r="T69" s="15"/>
      <c r="U69" s="15"/>
      <c r="V69" s="15"/>
    </row>
    <row r="70" spans="1:22" s="686" customFormat="1" ht="15" customHeight="1">
      <c r="A70" s="1248"/>
      <c r="B70" s="1310"/>
      <c r="C70" s="1309" t="s">
        <v>840</v>
      </c>
      <c r="D70" s="346"/>
      <c r="E70" s="278"/>
      <c r="F70" s="1596">
        <f>'SDK7'!G103</f>
        <v>14</v>
      </c>
      <c r="G70" s="1595" t="s">
        <v>171</v>
      </c>
      <c r="H70" s="1591">
        <f>I9+I10</f>
        <v>1970.666666666667</v>
      </c>
      <c r="I70" s="1590"/>
      <c r="J70" s="1589"/>
      <c r="K70" s="1594">
        <f>L9+L10</f>
        <v>2463.3333333333335</v>
      </c>
      <c r="L70" s="1593"/>
      <c r="M70" s="1592"/>
      <c r="N70" s="1591">
        <f>O9+O10</f>
        <v>2956.0000000000005</v>
      </c>
      <c r="O70" s="1590"/>
      <c r="P70" s="1589"/>
      <c r="Q70" s="38"/>
      <c r="S70" s="4010" t="s">
        <v>2125</v>
      </c>
    </row>
    <row r="71" spans="1:22" ht="18.75" customHeight="1">
      <c r="A71" s="370"/>
      <c r="B71" s="305" t="s">
        <v>1157</v>
      </c>
      <c r="C71" s="370"/>
      <c r="D71" s="370"/>
      <c r="E71" s="229"/>
      <c r="G71" s="1588"/>
      <c r="H71" s="1584"/>
      <c r="I71" s="1583"/>
      <c r="J71" s="1582">
        <f>SUM(I73:I74)</f>
        <v>0</v>
      </c>
      <c r="K71" s="1587"/>
      <c r="L71" s="1586"/>
      <c r="M71" s="1585">
        <f>SUM(L73:L74)</f>
        <v>0</v>
      </c>
      <c r="N71" s="1584"/>
      <c r="O71" s="1583"/>
      <c r="P71" s="1582">
        <f>SUM(O73:O74)</f>
        <v>0</v>
      </c>
      <c r="S71" s="1907"/>
      <c r="T71" s="15"/>
      <c r="U71" s="15"/>
      <c r="V71" s="15"/>
    </row>
    <row r="72" spans="1:22"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2"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2"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2" s="686" customFormat="1" ht="30.4" customHeight="1">
      <c r="A75" s="1248"/>
      <c r="B75" s="4886" t="s">
        <v>1154</v>
      </c>
      <c r="C75" s="4887"/>
      <c r="D75" s="1553" t="s">
        <v>1153</v>
      </c>
      <c r="E75" s="1552">
        <f>'SDK1'!$O$59/100</f>
        <v>0.02</v>
      </c>
      <c r="F75" s="1551" t="s">
        <v>1152</v>
      </c>
      <c r="G75" s="1550">
        <v>5</v>
      </c>
      <c r="H75" s="1548"/>
      <c r="I75" s="1549"/>
      <c r="J75" s="1546">
        <f>(J23+J27+J34+J43+J60+J65+J67+J69+J71)*('SDK1'!$O$59%*$G$75/12)</f>
        <v>11.82916499173856</v>
      </c>
      <c r="K75" s="689"/>
      <c r="L75" s="1034"/>
      <c r="M75" s="1546">
        <f>(M23+M27+M34+M43+M60+M65+M67+M69+M71)*('SDK1'!$O$59%*$G$75/12)</f>
        <v>13.401106759084968</v>
      </c>
      <c r="N75" s="1548"/>
      <c r="O75" s="1547"/>
      <c r="P75" s="1546">
        <f>(P23+P27+P34+P43+P60+P65+P67+P69+P71)*('SDK1'!$O$59%*$G$75/12)</f>
        <v>14.973048526431372</v>
      </c>
      <c r="Q75" s="38"/>
    </row>
    <row r="78" spans="1:22">
      <c r="L78" s="15"/>
    </row>
    <row r="79" spans="1:22">
      <c r="L79" s="15"/>
    </row>
    <row r="80" spans="1:22">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3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6">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Lohnmaschinen" error="Bitte aus Dropdownliste auswählen." sqref="C64:E64 C63">
      <formula1>$G$91:$G$113</formula1>
    </dataValidation>
    <dataValidation type="decimal" allowBlank="1" showInputMessage="1" showErrorMessage="1" errorTitle="Wassergehalt Körnermais" error="Zulässig sind nur Werte zwischen 15,1 und 28,9 % Wassergehalt." sqref="N68 H68">
      <formula1>15.1</formula1>
      <formula2>39.9</formula2>
    </dataValidation>
    <dataValidation type="decimal" allowBlank="1" showInputMessage="1" showErrorMessage="1" errorTitle="Wassergehalt Körnermais" error="Zulässig sind nur Werte zwischen 15,1 und 39,9 % Wassergehalt." sqref="K68">
      <formula1>15.1</formula1>
      <formula2>39.9</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2" orientation="portrait" r:id="rId1"/>
  <headerFooter alignWithMargins="0">
    <oddFooter>&amp;L&amp;11LEL Schwäbisch Gmünd&amp;C49&amp;R&amp;11&amp;F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'SDK5'!$R$214:$R$313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719.51779954622589</v>
      </c>
      <c r="K1" s="4855">
        <f>M1-J1</f>
        <v>384.9210979466468</v>
      </c>
      <c r="L1" s="4855"/>
      <c r="M1" s="1874">
        <f>(M7+M13+M18+M22+L11+L12)-(M23+M27+M34+M43+M60+M65+M67+M69+M71+M75)</f>
        <v>1104.4388974928727</v>
      </c>
      <c r="N1" s="4855">
        <f>P1-M1</f>
        <v>128.30703264888234</v>
      </c>
      <c r="O1" s="4855"/>
      <c r="P1" s="1874">
        <f>(P7+P13+P18+P22+O11+O12)-(P23+P27+P34+P43+P60+P65+P67+P69+P71+P75)</f>
        <v>1232.745930141755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73</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40</v>
      </c>
      <c r="K6" s="4874" t="s">
        <v>152</v>
      </c>
      <c r="L6" s="4875"/>
      <c r="M6" s="1855">
        <v>55</v>
      </c>
      <c r="N6" s="4861" t="s">
        <v>178</v>
      </c>
      <c r="O6" s="4862"/>
      <c r="P6" s="1854">
        <v>60</v>
      </c>
      <c r="Q6" s="70"/>
    </row>
    <row r="7" spans="1:41" s="251" customFormat="1" ht="18.75" customHeight="1">
      <c r="A7" s="47"/>
      <c r="B7" s="305" t="s">
        <v>1202</v>
      </c>
      <c r="C7" s="47"/>
      <c r="D7" s="47"/>
      <c r="E7" s="47"/>
      <c r="F7" s="47"/>
      <c r="G7" s="1852"/>
      <c r="H7" s="1849"/>
      <c r="I7" s="1848"/>
      <c r="J7" s="1582">
        <f>SUM(I9:I10)</f>
        <v>1320</v>
      </c>
      <c r="K7" s="1851"/>
      <c r="L7" s="1850"/>
      <c r="M7" s="1585">
        <f>SUM(L9:L10)</f>
        <v>1815</v>
      </c>
      <c r="N7" s="1849"/>
      <c r="O7" s="1848"/>
      <c r="P7" s="1582">
        <f>SUM(O9:O10)</f>
        <v>1980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'SDK1'!O28</f>
        <v>33</v>
      </c>
      <c r="H9" s="1845">
        <f>J6-H10</f>
        <v>40</v>
      </c>
      <c r="I9" s="1841">
        <f>H9*G9</f>
        <v>1320</v>
      </c>
      <c r="J9" s="43"/>
      <c r="K9" s="1844">
        <f>M6-K10</f>
        <v>55</v>
      </c>
      <c r="L9" s="1843">
        <f>K9*G9</f>
        <v>1815</v>
      </c>
      <c r="M9" s="1822"/>
      <c r="N9" s="1842">
        <f>P6-N10</f>
        <v>60</v>
      </c>
      <c r="O9" s="1841">
        <f>N9*G9</f>
        <v>1980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262</v>
      </c>
      <c r="K23" s="1587"/>
      <c r="L23" s="1586"/>
      <c r="M23" s="1768">
        <f>SUM(L25:L26)</f>
        <v>262</v>
      </c>
      <c r="N23" s="1584"/>
      <c r="O23" s="1583"/>
      <c r="P23" s="1567">
        <f>SUM(O25:O26)</f>
        <v>262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'SDK7'!F58/100</f>
        <v>1.31</v>
      </c>
      <c r="G25" s="1762">
        <f>F25*(100+$D$24)/100</f>
        <v>1.31</v>
      </c>
      <c r="H25" s="1761">
        <v>200</v>
      </c>
      <c r="I25" s="1722">
        <f>H25*$G25</f>
        <v>262</v>
      </c>
      <c r="J25" s="45"/>
      <c r="K25" s="1761">
        <f>H25</f>
        <v>200</v>
      </c>
      <c r="L25" s="1564">
        <f>K25*$G25</f>
        <v>262</v>
      </c>
      <c r="M25" s="1557"/>
      <c r="N25" s="1761">
        <f>H25</f>
        <v>200</v>
      </c>
      <c r="O25" s="1722">
        <f>N25*$G25</f>
        <v>262</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220.02879999999999</v>
      </c>
      <c r="K27" s="1716"/>
      <c r="L27" s="1715"/>
      <c r="M27" s="1585">
        <f>SUM(L30:L33)</f>
        <v>291.7996</v>
      </c>
      <c r="N27" s="1714"/>
      <c r="O27" s="1713"/>
      <c r="P27" s="1582">
        <f>SUM(O30:O33)</f>
        <v>315.72319999999996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2.2599999999999998</v>
      </c>
      <c r="F30" s="1742">
        <f>VLOOKUP(K2,'SD8'!B9:L42,7,FALSE)</f>
        <v>0.40000000000000036</v>
      </c>
      <c r="G30" s="1741">
        <v>20</v>
      </c>
      <c r="H30" s="1739">
        <f>IF(J$6=0,0,(J$6*$E30+$G30+X14))</f>
        <v>110.39999999999999</v>
      </c>
      <c r="I30" s="1722">
        <f>H30*$D30</f>
        <v>158.09279999999998</v>
      </c>
      <c r="J30" s="45"/>
      <c r="K30" s="1740">
        <f>IF(M$6=0,0,(M$6*$E30+$G30+Y14))</f>
        <v>144.29999999999998</v>
      </c>
      <c r="L30" s="1564">
        <f>K30*$D30</f>
        <v>206.63759999999996</v>
      </c>
      <c r="M30" s="1557"/>
      <c r="N30" s="1739">
        <f>IF(P$6=0,0,(P$6*$E30+$G30+Z14))</f>
        <v>155.6</v>
      </c>
      <c r="O30" s="1722">
        <f>N30*$D30</f>
        <v>222.8192</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32</v>
      </c>
      <c r="I31" s="1722">
        <f>H31*$D31</f>
        <v>33.6</v>
      </c>
      <c r="J31" s="45"/>
      <c r="K31" s="1740">
        <f>IF(M$6=0,0,(M$6*$E31+$G31+Y15))</f>
        <v>44</v>
      </c>
      <c r="L31" s="1564">
        <f>K31*$D31</f>
        <v>46.2</v>
      </c>
      <c r="M31" s="1557"/>
      <c r="N31" s="1739">
        <f>IF(P$6=0,0,(P$6*$E31+$G31+Z15))</f>
        <v>48</v>
      </c>
      <c r="O31" s="1722">
        <f>N31*$D31</f>
        <v>50.400000000000006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1.3599999999999999</v>
      </c>
      <c r="G32" s="1741"/>
      <c r="H32" s="1739">
        <f>IF(J$6=0,0,(J$6*$E32+$G32+X16))</f>
        <v>24</v>
      </c>
      <c r="I32" s="1722">
        <f>H32*$D32</f>
        <v>23.520000000000003</v>
      </c>
      <c r="J32" s="45"/>
      <c r="K32" s="1740">
        <f>IF(M$6=0,0,(M$6*$E32+$G32+Y16))</f>
        <v>33</v>
      </c>
      <c r="L32" s="1564">
        <f>K32*$D32</f>
        <v>32.340000000000003</v>
      </c>
      <c r="M32" s="1557"/>
      <c r="N32" s="1739">
        <f>IF(P$6=0,0,(P$6*$E32+$G32+Z16))</f>
        <v>36</v>
      </c>
      <c r="O32" s="1722">
        <f>N32*$D32</f>
        <v>35.28</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8</v>
      </c>
      <c r="I33" s="1718">
        <f>H33*$D33</f>
        <v>4.8160000000000007</v>
      </c>
      <c r="J33" s="45"/>
      <c r="K33" s="1736">
        <f>IF(M$6=0,0,(M$6*$E33+$G33+Y17))</f>
        <v>11</v>
      </c>
      <c r="L33" s="1558">
        <f>K33*$D33</f>
        <v>6.6220000000000008</v>
      </c>
      <c r="M33" s="1557"/>
      <c r="N33" s="1735">
        <f>IF(P$6=0,0,(P$6*$E33+$G33+Z17))</f>
        <v>12</v>
      </c>
      <c r="O33" s="1718">
        <f>N33*$D33</f>
        <v>7.2240000000000011</v>
      </c>
      <c r="P33" s="1717"/>
      <c r="Q33" s="38"/>
    </row>
    <row r="34" spans="1:17" s="686" customFormat="1" ht="18.75" customHeight="1">
      <c r="A34" s="1248"/>
      <c r="B34" s="1254" t="s">
        <v>1178</v>
      </c>
      <c r="C34" s="1248"/>
      <c r="D34" s="37"/>
      <c r="E34" s="37"/>
      <c r="F34" s="4876" t="s">
        <v>1177</v>
      </c>
      <c r="G34" s="4877"/>
      <c r="H34" s="1732"/>
      <c r="I34" s="1731"/>
      <c r="J34" s="1582">
        <f>SUM(I36:I42)</f>
        <v>143.142</v>
      </c>
      <c r="K34" s="1734"/>
      <c r="L34" s="1733"/>
      <c r="M34" s="1585">
        <f>SUM(L36:L42)</f>
        <v>143.142</v>
      </c>
      <c r="N34" s="1732"/>
      <c r="O34" s="1731"/>
      <c r="P34" s="1582">
        <f>SUM(O36:O42)</f>
        <v>143.142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2001</v>
      </c>
      <c r="D36" s="4884"/>
      <c r="E36" s="4885"/>
      <c r="F36" s="1724">
        <f>IF(C36="",0,VLOOKUP(C36,'SDK5'!C3:AF83,2,FALSE))</f>
        <v>510.6</v>
      </c>
      <c r="G36" s="1724">
        <f t="shared" ref="G36:G42" si="0">F36*(100+$D$35)/100</f>
        <v>510.6</v>
      </c>
      <c r="H36" s="1723">
        <v>7.0000000000000007E-2</v>
      </c>
      <c r="I36" s="1722">
        <f t="shared" ref="I36:I42" si="1">$G36*H36</f>
        <v>35.742000000000004</v>
      </c>
      <c r="J36" s="45"/>
      <c r="K36" s="1723">
        <v>7.0000000000000007E-2</v>
      </c>
      <c r="L36" s="1564">
        <f t="shared" ref="L36:L42" si="2">$G36*K36</f>
        <v>35.742000000000004</v>
      </c>
      <c r="M36" s="1557"/>
      <c r="N36" s="1723">
        <v>7.0000000000000007E-2</v>
      </c>
      <c r="O36" s="1722">
        <f t="shared" ref="O36:O42" si="3">$G36*N36</f>
        <v>35.742000000000004</v>
      </c>
      <c r="P36" s="1726"/>
      <c r="Q36" s="38"/>
    </row>
    <row r="37" spans="1:17" s="42" customFormat="1" ht="15" customHeight="1">
      <c r="A37" s="1284"/>
      <c r="B37" s="1562"/>
      <c r="C37" s="4870" t="s">
        <v>2007</v>
      </c>
      <c r="D37" s="4870"/>
      <c r="E37" s="4871"/>
      <c r="F37" s="1724">
        <f>IF(C37="",0,VLOOKUP(C37,'SDK5'!C4:AF84,2,FALSE))</f>
        <v>71.599999999999994</v>
      </c>
      <c r="G37" s="1724">
        <f t="shared" si="0"/>
        <v>71.599999999999994</v>
      </c>
      <c r="H37" s="1723">
        <v>1.5</v>
      </c>
      <c r="I37" s="1722">
        <f t="shared" si="1"/>
        <v>107.39999999999999</v>
      </c>
      <c r="J37" s="45"/>
      <c r="K37" s="1723">
        <v>1.5</v>
      </c>
      <c r="L37" s="1564">
        <f t="shared" si="2"/>
        <v>107.39999999999999</v>
      </c>
      <c r="M37" s="1557"/>
      <c r="N37" s="1723">
        <v>1.5</v>
      </c>
      <c r="O37" s="1722">
        <f t="shared" si="3"/>
        <v>107.39999999999999</v>
      </c>
      <c r="P37" s="1686"/>
      <c r="Q37" s="38"/>
    </row>
    <row r="38" spans="1:17" s="42" customFormat="1" ht="15" customHeight="1">
      <c r="A38" s="1284"/>
      <c r="B38" s="1725"/>
      <c r="C38" s="4870"/>
      <c r="D38" s="4870"/>
      <c r="E38" s="4871"/>
      <c r="F38" s="1724">
        <f>IF(C38="",0,VLOOKUP(C38,'SDK5'!C5:AF85,2,FALSE))</f>
        <v>0</v>
      </c>
      <c r="G38" s="1724"/>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161.56510127647056</v>
      </c>
      <c r="K43" s="1716"/>
      <c r="L43" s="1715"/>
      <c r="M43" s="1585">
        <f>SUM(M46:M57)</f>
        <v>163.96846033764703</v>
      </c>
      <c r="N43" s="1714"/>
      <c r="O43" s="1713"/>
      <c r="P43" s="1582">
        <f>SUM(P46:P57)</f>
        <v>164.76958002470585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410</v>
      </c>
      <c r="D48" s="4883"/>
      <c r="E48" s="1693">
        <f>IF($C48=0,0,VLOOKUP($C48,'SDK3'!$C$24:$O$86,4,FALSE))</f>
        <v>83</v>
      </c>
      <c r="F48" s="1692">
        <f>IF($C48=0,0,VLOOKUP($C48,'SDK3'!$C$24:$O$86,12,FALSE))</f>
        <v>0.27</v>
      </c>
      <c r="G48" s="1691">
        <f>IF($C48=0,0,VLOOKUP($C48,'SDK3'!$C$24:$O$86,13,FALSE))</f>
        <v>6.0564781894117647</v>
      </c>
      <c r="H48" s="1688">
        <v>2</v>
      </c>
      <c r="I48" s="1687">
        <f t="shared" si="4"/>
        <v>0.54</v>
      </c>
      <c r="J48" s="1686">
        <f t="shared" si="5"/>
        <v>12.112956378823529</v>
      </c>
      <c r="K48" s="1688">
        <v>2</v>
      </c>
      <c r="L48" s="1690">
        <f t="shared" si="6"/>
        <v>0.54</v>
      </c>
      <c r="M48" s="1689">
        <f t="shared" si="7"/>
        <v>12.112956378823529</v>
      </c>
      <c r="N48" s="1688">
        <v>2</v>
      </c>
      <c r="O48" s="1687">
        <f t="shared" si="8"/>
        <v>0.54</v>
      </c>
      <c r="P48" s="1686">
        <f t="shared" si="9"/>
        <v>12.112956378823529</v>
      </c>
      <c r="Q48" s="38"/>
    </row>
    <row r="49" spans="1:28" s="42" customFormat="1" ht="15" customHeight="1">
      <c r="A49" s="1284"/>
      <c r="B49" s="1694"/>
      <c r="C49" s="4882" t="s">
        <v>426</v>
      </c>
      <c r="D49" s="4883"/>
      <c r="E49" s="1693">
        <f>IF($C49=0,0,VLOOKUP($C49,'SDK3'!$C$24:$O$86,4,FALSE))</f>
        <v>54</v>
      </c>
      <c r="F49" s="1692">
        <f>IF($C49=0,0,VLOOKUP($C49,'SDK3'!$C$24:$O$86,12,FALSE))</f>
        <v>0.37</v>
      </c>
      <c r="G49" s="1691">
        <f>IF($C49=0,0,VLOOKUP($C49,'SDK3'!$C$24:$O$86,13,FALSE))</f>
        <v>4.2780853988235288</v>
      </c>
      <c r="H49" s="1688">
        <v>3</v>
      </c>
      <c r="I49" s="1687">
        <f t="shared" si="4"/>
        <v>1.1099999999999999</v>
      </c>
      <c r="J49" s="1686">
        <f t="shared" si="5"/>
        <v>12.834256196470587</v>
      </c>
      <c r="K49" s="1688">
        <v>3</v>
      </c>
      <c r="L49" s="1690">
        <f t="shared" si="6"/>
        <v>1.1099999999999999</v>
      </c>
      <c r="M49" s="1689">
        <f t="shared" si="7"/>
        <v>12.834256196470587</v>
      </c>
      <c r="N49" s="1688">
        <v>3</v>
      </c>
      <c r="O49" s="1687">
        <f t="shared" si="8"/>
        <v>1.1099999999999999</v>
      </c>
      <c r="P49" s="1686">
        <f t="shared" si="9"/>
        <v>12.834256196470587</v>
      </c>
      <c r="Q49" s="38"/>
      <c r="AB49" s="4003"/>
    </row>
    <row r="50" spans="1:28" s="42" customFormat="1" ht="15" customHeight="1">
      <c r="A50" s="1284"/>
      <c r="B50" s="1694"/>
      <c r="C50" s="4882" t="s">
        <v>419</v>
      </c>
      <c r="D50" s="4883"/>
      <c r="E50" s="1693">
        <f>IF($C50=0,0,VLOOKUP($C50,'SDK3'!$C$24:$O$86,4,FALSE))</f>
        <v>83</v>
      </c>
      <c r="F50" s="1692">
        <f>IF($C50=0,0,VLOOKUP($C50,'SDK3'!$C$24:$O$86,12,FALSE))</f>
        <v>0.39</v>
      </c>
      <c r="G50" s="1691">
        <f>IF($C50=0,0,VLOOKUP($C50,'SDK3'!$C$24:$O$86,13,FALSE))</f>
        <v>6.5093573847058819</v>
      </c>
      <c r="H50" s="1688">
        <v>2</v>
      </c>
      <c r="I50" s="1687">
        <f t="shared" si="4"/>
        <v>0.78</v>
      </c>
      <c r="J50" s="1686">
        <f t="shared" si="5"/>
        <v>13.018714769411764</v>
      </c>
      <c r="K50" s="1688">
        <v>2</v>
      </c>
      <c r="L50" s="1690">
        <f t="shared" si="6"/>
        <v>0.78</v>
      </c>
      <c r="M50" s="1689">
        <f t="shared" si="7"/>
        <v>13.018714769411764</v>
      </c>
      <c r="N50" s="1688">
        <v>2</v>
      </c>
      <c r="O50" s="1687">
        <f t="shared" si="8"/>
        <v>0.78</v>
      </c>
      <c r="P50" s="1686">
        <f t="shared" si="9"/>
        <v>13.018714769411764</v>
      </c>
      <c r="Q50" s="38"/>
    </row>
    <row r="51" spans="1:28" s="42" customFormat="1" ht="15" customHeight="1">
      <c r="A51" s="1284"/>
      <c r="B51" s="1694"/>
      <c r="C51" s="4882" t="s">
        <v>403</v>
      </c>
      <c r="D51" s="4883"/>
      <c r="E51" s="1693">
        <f>IF($C51=0,0,VLOOKUP($C51,'SDK3'!$C$24:$O$86,4,FALSE))</f>
        <v>83</v>
      </c>
      <c r="F51" s="1692">
        <f>IF($C51=0,0,VLOOKUP($C51,'SDK3'!$C$24:$O$86,12,FALSE))</f>
        <v>0.56000000000000005</v>
      </c>
      <c r="G51" s="1691">
        <f>IF($C51=0,0,VLOOKUP($C51,'SDK3'!$C$24:$O$86,13,FALSE))</f>
        <v>9.6134362447058805</v>
      </c>
      <c r="H51" s="1688">
        <v>0.66666666666666663</v>
      </c>
      <c r="I51" s="1687">
        <f t="shared" si="4"/>
        <v>0.37333333333333335</v>
      </c>
      <c r="J51" s="1686">
        <f t="shared" si="5"/>
        <v>6.4089574964705864</v>
      </c>
      <c r="K51" s="1688">
        <v>0.91666666666666663</v>
      </c>
      <c r="L51" s="1690">
        <f t="shared" si="6"/>
        <v>0.51333333333333331</v>
      </c>
      <c r="M51" s="1689">
        <f t="shared" si="7"/>
        <v>8.8123165576470566</v>
      </c>
      <c r="N51" s="1688">
        <v>1</v>
      </c>
      <c r="O51" s="1687">
        <f t="shared" si="8"/>
        <v>0.56000000000000005</v>
      </c>
      <c r="P51" s="1686">
        <f t="shared" si="9"/>
        <v>9.6134362447058805</v>
      </c>
      <c r="Q51" s="38"/>
    </row>
    <row r="52" spans="1:28" s="42" customFormat="1" ht="15" customHeight="1">
      <c r="A52" s="1284"/>
      <c r="B52" s="1694"/>
      <c r="C52" s="4882" t="s">
        <v>459</v>
      </c>
      <c r="D52" s="4883"/>
      <c r="E52" s="1693">
        <f>IF($C52=0,0,VLOOKUP($C52,'SDK3'!$C$24:$O$86,4,FALSE))</f>
        <v>102</v>
      </c>
      <c r="F52" s="1692">
        <f>IF($C52=0,0,VLOOKUP($C52,'SDK3'!$C$24:$O$86,12,FALSE))</f>
        <v>0.79</v>
      </c>
      <c r="G52" s="1691">
        <f>IF($C52=0,0,VLOOKUP($C52,'SDK3'!$C$24:$O$86,13,FALSE))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8"/>
    </row>
    <row r="53" spans="1:28"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28"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28"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28"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28"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28" s="65" customFormat="1" ht="18.75" customHeight="1">
      <c r="A58" s="1351"/>
      <c r="B58" s="1254" t="s">
        <v>1167</v>
      </c>
      <c r="C58" s="1351"/>
      <c r="D58" s="1351"/>
      <c r="E58" s="1351"/>
      <c r="F58" s="38"/>
      <c r="G58" s="1588"/>
      <c r="H58" s="1665"/>
      <c r="I58" s="1664">
        <f>SUM($I$46:$I$57)</f>
        <v>6.0833333333333339</v>
      </c>
      <c r="J58" s="1669"/>
      <c r="K58" s="1668"/>
      <c r="L58" s="1667">
        <f>SUM($L$46:$L$57)</f>
        <v>6.2233333333333345</v>
      </c>
      <c r="M58" s="1666"/>
      <c r="N58" s="1665"/>
      <c r="O58" s="1664">
        <f>SUM($O$46:$O$57)</f>
        <v>6.2700000000000005</v>
      </c>
      <c r="P58" s="1663"/>
      <c r="Q58" s="38"/>
    </row>
    <row r="59" spans="1:28" s="65" customFormat="1" ht="15" customHeight="1">
      <c r="A59" s="1351"/>
      <c r="B59" s="1662"/>
      <c r="C59" s="346"/>
      <c r="D59" s="278" t="s">
        <v>1166</v>
      </c>
      <c r="E59" s="1661">
        <v>80</v>
      </c>
      <c r="F59" s="346" t="s">
        <v>1165</v>
      </c>
      <c r="G59" s="1660"/>
      <c r="H59" s="1656"/>
      <c r="I59" s="1655">
        <f>IF(I58+SUM($I$46:$I$57)*$E$59%&gt;I58+10,I58+10,I58+SUM($I$46:$I$57)*$E$59%)</f>
        <v>10.950000000000001</v>
      </c>
      <c r="J59" s="1654"/>
      <c r="K59" s="1659"/>
      <c r="L59" s="1658">
        <f>IF(L58+SUM($L$46:$L$57)*$E$59%&gt;L58+10,L58+10,L58+SUM($L$46:$L$57)*$E$59%)</f>
        <v>11.202000000000002</v>
      </c>
      <c r="M59" s="1657"/>
      <c r="N59" s="1656"/>
      <c r="O59" s="1655">
        <f>IF(O58+SUM($O$46:$O$57)*$E$59%&gt;O58+10,O58+10,O58+SUM($O$46:$O$57)*$E$59%)</f>
        <v>11.286000000000001</v>
      </c>
      <c r="P59" s="1654"/>
      <c r="Q59" s="38"/>
    </row>
    <row r="60" spans="1:28"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28"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28"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28"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28"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72.2</v>
      </c>
      <c r="K67" s="1609" t="s">
        <v>1161</v>
      </c>
      <c r="L67" s="1608" t="s">
        <v>1160</v>
      </c>
      <c r="M67" s="1585">
        <f>S68*(K9+K10)*L68%+F68</f>
        <v>99.275000000000006</v>
      </c>
      <c r="N67" s="1607" t="s">
        <v>1161</v>
      </c>
      <c r="O67" s="1606" t="s">
        <v>1160</v>
      </c>
      <c r="P67" s="1582">
        <f>T68*(N9+N10)*O68%+F68</f>
        <v>108.30000000000001</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21.12</v>
      </c>
      <c r="K69" s="1598"/>
      <c r="L69" s="1597"/>
      <c r="M69" s="1585">
        <f>K70*$F70/1000</f>
        <v>29.04</v>
      </c>
      <c r="N69" s="44"/>
      <c r="O69" s="73"/>
      <c r="P69" s="1582">
        <f>N70*$F70/1000</f>
        <v>31.68</v>
      </c>
      <c r="Q69" s="38"/>
    </row>
    <row r="70" spans="1:20" s="686" customFormat="1" ht="15" customHeight="1">
      <c r="A70" s="1248"/>
      <c r="B70" s="1310"/>
      <c r="C70" s="1309" t="s">
        <v>840</v>
      </c>
      <c r="D70" s="346"/>
      <c r="E70" s="278"/>
      <c r="F70" s="1596">
        <f>'SDK7'!G102</f>
        <v>16</v>
      </c>
      <c r="G70" s="1595" t="s">
        <v>171</v>
      </c>
      <c r="H70" s="1591">
        <f>I9+I10</f>
        <v>1320</v>
      </c>
      <c r="I70" s="1590"/>
      <c r="J70" s="1589"/>
      <c r="K70" s="1594">
        <f>L9+L10</f>
        <v>1815</v>
      </c>
      <c r="L70" s="1593"/>
      <c r="M70" s="1592"/>
      <c r="N70" s="1591">
        <f>O9+O10</f>
        <v>1980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8.72629917730392</v>
      </c>
      <c r="K75" s="689"/>
      <c r="L75" s="1034"/>
      <c r="M75" s="1546">
        <f>(M23+M27+M34+M43+M60+M65+M67+M69+M71)*('SDK1'!$O$59%*$G$75/12)</f>
        <v>9.6360421694803922</v>
      </c>
      <c r="N75" s="1548"/>
      <c r="O75" s="1547"/>
      <c r="P75" s="1546">
        <f>(P23+P27+P34+P43+P60+P65+P67+P69+P71)*('SDK1'!$O$59%*$G$75/12)</f>
        <v>9.939289833539215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0" orientation="portrait" r:id="rId1"/>
  <headerFooter alignWithMargins="0">
    <oddFooter>&amp;L&amp;11LEL Schwäbisch Gmünd&amp;C47&amp;R&amp;11&amp;F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12</xdr:col>
                    <xdr:colOff>285750</xdr:colOff>
                    <xdr:row>3</xdr:row>
                    <xdr:rowOff>38100</xdr:rowOff>
                  </from>
                  <to>
                    <xdr:col>13</xdr:col>
                    <xdr:colOff>0</xdr:colOff>
                    <xdr:row>4</xdr:row>
                    <xdr:rowOff>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'SDK5'!$O$214:$O$313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D19 E19:F19 C19:C21</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tabColor rgb="FF92D050"/>
    <pageSetUpPr fitToPage="1"/>
  </sheetPr>
  <dimension ref="A1:AO218"/>
  <sheetViews>
    <sheetView showZeros="0" topLeftCell="A25"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29" width="21.5" style="35" hidden="1" customWidth="1"/>
    <col min="30"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381.48358169395487</v>
      </c>
      <c r="K1" s="4855">
        <f>M1-J1</f>
        <v>52.730815833184352</v>
      </c>
      <c r="L1" s="4855"/>
      <c r="M1" s="1874">
        <f>(M7+M13+M18+M22+L11+L12)-(M23+M27+M34+M43+M60+M65+M67+M69+M71+M75)</f>
        <v>434.21439752713923</v>
      </c>
      <c r="N1" s="4855">
        <f>P1-M1</f>
        <v>52.730815833184579</v>
      </c>
      <c r="O1" s="4855"/>
      <c r="P1" s="1874">
        <f>(P7+P13+P18+P22+O11+O12)-(P23+P27+P34+P43+P60+P65+P67+P69+P71+P75)</f>
        <v>486.94521336032381</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1215</v>
      </c>
      <c r="L2" s="4867"/>
      <c r="M2" s="4867"/>
      <c r="N2" s="4867"/>
      <c r="O2" s="4867"/>
      <c r="P2" s="4867"/>
      <c r="Q2" s="1888">
        <v>0</v>
      </c>
    </row>
    <row r="3" spans="1:41" s="1859" customFormat="1" ht="21.75" customHeight="1">
      <c r="A3" s="1863"/>
      <c r="B3" s="1887"/>
      <c r="H3" s="1870"/>
      <c r="J3" s="4863"/>
      <c r="K3" s="4864"/>
      <c r="L3" s="4864"/>
      <c r="M3" s="1911"/>
      <c r="N3" s="4868"/>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80</v>
      </c>
      <c r="K6" s="4874" t="s">
        <v>152</v>
      </c>
      <c r="L6" s="4875"/>
      <c r="M6" s="1855">
        <v>90</v>
      </c>
      <c r="N6" s="4861" t="s">
        <v>178</v>
      </c>
      <c r="O6" s="4862"/>
      <c r="P6" s="1854">
        <v>100</v>
      </c>
      <c r="Q6" s="70"/>
    </row>
    <row r="7" spans="1:41" s="251" customFormat="1" ht="18.75" customHeight="1">
      <c r="A7" s="47"/>
      <c r="B7" s="305" t="s">
        <v>1202</v>
      </c>
      <c r="C7" s="47"/>
      <c r="D7" s="47"/>
      <c r="E7" s="47"/>
      <c r="F7" s="47"/>
      <c r="G7" s="1852"/>
      <c r="H7" s="1849"/>
      <c r="I7" s="1848"/>
      <c r="J7" s="1582">
        <f>SUM(I9:I10)</f>
        <v>1480</v>
      </c>
      <c r="K7" s="1851"/>
      <c r="L7" s="1850"/>
      <c r="M7" s="1585">
        <f>SUM(L9:L10)</f>
        <v>1665</v>
      </c>
      <c r="N7" s="1849"/>
      <c r="O7" s="1848"/>
      <c r="P7" s="1582">
        <f>SUM(O9:O10)</f>
        <v>1850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'SDK1'!O30</f>
        <v>18.5</v>
      </c>
      <c r="H9" s="1845">
        <f>J6-H10</f>
        <v>80</v>
      </c>
      <c r="I9" s="1841">
        <f>H9*G9</f>
        <v>1480</v>
      </c>
      <c r="J9" s="43"/>
      <c r="K9" s="1844">
        <f>M6-K10</f>
        <v>90</v>
      </c>
      <c r="L9" s="1843">
        <f>K9*G9</f>
        <v>1665</v>
      </c>
      <c r="M9" s="1822"/>
      <c r="N9" s="1842">
        <f>P6-N10</f>
        <v>100</v>
      </c>
      <c r="O9" s="1841">
        <f>N9*G9</f>
        <v>1850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125</v>
      </c>
      <c r="K23" s="1587"/>
      <c r="L23" s="1586"/>
      <c r="M23" s="1768">
        <f>SUM(L25:L26)</f>
        <v>125</v>
      </c>
      <c r="N23" s="1584"/>
      <c r="O23" s="1583"/>
      <c r="P23" s="1567">
        <f>SUM(O25:O26)</f>
        <v>125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'SDK7'!F60</f>
        <v>125</v>
      </c>
      <c r="G25" s="1762">
        <f>F25*(100+$D$24)/100</f>
        <v>125</v>
      </c>
      <c r="H25" s="1914">
        <v>1</v>
      </c>
      <c r="I25" s="1722">
        <f>H25*$G25</f>
        <v>125</v>
      </c>
      <c r="J25" s="45"/>
      <c r="K25" s="1914">
        <f>H25</f>
        <v>1</v>
      </c>
      <c r="L25" s="1564">
        <f>K25*$G25</f>
        <v>125</v>
      </c>
      <c r="M25" s="1557"/>
      <c r="N25" s="1914">
        <f>H25</f>
        <v>1</v>
      </c>
      <c r="O25" s="1722">
        <f>N25*$G25</f>
        <v>125</v>
      </c>
      <c r="P25" s="1686"/>
      <c r="Q25" s="38"/>
    </row>
    <row r="26" spans="1:26" s="42" customFormat="1" ht="15" customHeight="1">
      <c r="A26" s="1284"/>
      <c r="B26" s="1310"/>
      <c r="C26" s="1760"/>
      <c r="D26" s="4880"/>
      <c r="E26" s="4881"/>
      <c r="F26" s="1759"/>
      <c r="G26" s="1758">
        <f>F26*(100+$D$24)/100</f>
        <v>0</v>
      </c>
      <c r="H26" s="1913"/>
      <c r="I26" s="1718">
        <f>H26*$G26</f>
        <v>0</v>
      </c>
      <c r="J26" s="45"/>
      <c r="K26" s="1913">
        <f>H26</f>
        <v>0</v>
      </c>
      <c r="L26" s="1558">
        <f>K26*$G26</f>
        <v>0</v>
      </c>
      <c r="M26" s="1557"/>
      <c r="N26" s="1913">
        <f>H26</f>
        <v>0</v>
      </c>
      <c r="O26" s="1718">
        <f>N26*$G26</f>
        <v>0</v>
      </c>
      <c r="P26" s="1717"/>
      <c r="Q26" s="38"/>
    </row>
    <row r="27" spans="1:26" s="686" customFormat="1" ht="18.75" customHeight="1">
      <c r="A27" s="1248"/>
      <c r="B27" s="1756" t="s">
        <v>1184</v>
      </c>
      <c r="C27" s="1248"/>
      <c r="D27" s="73"/>
      <c r="E27" s="38"/>
      <c r="F27" s="38"/>
      <c r="G27" s="1755"/>
      <c r="H27" s="1714"/>
      <c r="I27" s="1713"/>
      <c r="J27" s="1582">
        <f>SUM(I30:I33)</f>
        <v>378.93279999999999</v>
      </c>
      <c r="K27" s="1716"/>
      <c r="L27" s="1715"/>
      <c r="M27" s="1585">
        <f>SUM(L30:L33)</f>
        <v>422.71939999999995</v>
      </c>
      <c r="N27" s="1714"/>
      <c r="O27" s="1713"/>
      <c r="P27" s="1582">
        <f>SUM(O30:O33)</f>
        <v>466.50599999999997</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2.0699999999999998</v>
      </c>
      <c r="F30" s="1742">
        <f>VLOOKUP(K2,'SD8'!B9:L42,7,FALSE)</f>
        <v>0.11000000000000032</v>
      </c>
      <c r="G30" s="1741">
        <v>20</v>
      </c>
      <c r="H30" s="1739">
        <f>IF(J$6=0,0,(J$6*$E30+$G30+X14))</f>
        <v>185.6</v>
      </c>
      <c r="I30" s="1722">
        <f>H30*$D30</f>
        <v>265.7792</v>
      </c>
      <c r="J30" s="45"/>
      <c r="K30" s="1740">
        <f>IF(M$6=0,0,(M$6*$E30+$G30+Y14))</f>
        <v>206.29999999999998</v>
      </c>
      <c r="L30" s="1564">
        <f>K30*$D30</f>
        <v>295.42159999999996</v>
      </c>
      <c r="M30" s="1557"/>
      <c r="N30" s="1739">
        <f>IF(P$6=0,0,(P$6*$E30+$G30+Z14))</f>
        <v>226.99999999999997</v>
      </c>
      <c r="O30" s="1722">
        <f>N30*$D30</f>
        <v>325.06399999999996</v>
      </c>
      <c r="P30" s="1686"/>
      <c r="Q30" s="38"/>
      <c r="R30" s="42" t="s">
        <v>1214</v>
      </c>
    </row>
    <row r="31" spans="1:26" s="42" customFormat="1" ht="15" customHeight="1">
      <c r="A31" s="1284"/>
      <c r="B31" s="272"/>
      <c r="C31" s="1284" t="s">
        <v>244</v>
      </c>
      <c r="D31" s="1691">
        <f>'SDK1'!O53</f>
        <v>1.05</v>
      </c>
      <c r="E31" s="1742">
        <f>VLOOKUP(K2,'SD8'!B9:L42,4,FALSE)</f>
        <v>0.75</v>
      </c>
      <c r="F31" s="1742">
        <f>VLOOKUP(K2,'SD8'!B9:L42,8,FALSE)</f>
        <v>0.29000000000000004</v>
      </c>
      <c r="G31" s="1741"/>
      <c r="H31" s="1739">
        <f>IF(J$6=0,0,(J$6*$E31+$G31+X15))</f>
        <v>60</v>
      </c>
      <c r="I31" s="1722">
        <f>H31*$D31</f>
        <v>63</v>
      </c>
      <c r="J31" s="45"/>
      <c r="K31" s="1740">
        <f>IF(M$6=0,0,(M$6*$E31+$G31+Y15))</f>
        <v>67.5</v>
      </c>
      <c r="L31" s="1564">
        <f>K31*$D31</f>
        <v>70.875</v>
      </c>
      <c r="M31" s="1557"/>
      <c r="N31" s="1739">
        <f>IF(P$6=0,0,(P$6*$E31+$G31+Z15))</f>
        <v>75</v>
      </c>
      <c r="O31" s="1722">
        <f>N31*$D31</f>
        <v>78.75</v>
      </c>
      <c r="P31" s="1686"/>
      <c r="Q31" s="38"/>
    </row>
    <row r="32" spans="1:26" s="42" customFormat="1" ht="15" customHeight="1">
      <c r="A32" s="1284"/>
      <c r="B32" s="272"/>
      <c r="C32" s="1284" t="s">
        <v>242</v>
      </c>
      <c r="D32" s="1691">
        <f>'SDK1'!O54</f>
        <v>0.98000000000000009</v>
      </c>
      <c r="E32" s="1742">
        <f>VLOOKUP(K2,'SD8'!B9:L42,5,FALSE)</f>
        <v>0.48</v>
      </c>
      <c r="F32" s="1742">
        <f>VLOOKUP(K2,'SD8'!B9:L42,9,FALSE)</f>
        <v>2.09</v>
      </c>
      <c r="G32" s="1741"/>
      <c r="H32" s="1739">
        <f>IF(J$6=0,0,(J$6*$E32+$G32+X16))</f>
        <v>38.4</v>
      </c>
      <c r="I32" s="1722">
        <f>H32*$D32</f>
        <v>37.632000000000005</v>
      </c>
      <c r="J32" s="45"/>
      <c r="K32" s="1740">
        <f>IF(M$6=0,0,(M$6*$E32+$G32+Y16))</f>
        <v>43.199999999999996</v>
      </c>
      <c r="L32" s="1564">
        <f>K32*$D32</f>
        <v>42.335999999999999</v>
      </c>
      <c r="M32" s="1557"/>
      <c r="N32" s="1739">
        <f>IF(P$6=0,0,(P$6*$E32+$G32+Z16))</f>
        <v>48</v>
      </c>
      <c r="O32" s="1722">
        <f>N32*$D32</f>
        <v>47.040000000000006</v>
      </c>
      <c r="P32" s="1686"/>
      <c r="Q32" s="38"/>
    </row>
    <row r="33" spans="1:34" s="42" customFormat="1" ht="15" customHeight="1">
      <c r="A33" s="1284"/>
      <c r="B33" s="239"/>
      <c r="C33" s="1309" t="s">
        <v>240</v>
      </c>
      <c r="D33" s="1674">
        <f>'SDK1'!O55</f>
        <v>0.60200000000000009</v>
      </c>
      <c r="E33" s="1738">
        <f>VLOOKUP(K2,'SD8'!B9:L42,6,FALSE)</f>
        <v>0.26</v>
      </c>
      <c r="F33" s="1738">
        <f>VLOOKUP(K2,'SD8'!B9:L42,10,FALSE)</f>
        <v>0.29000000000000004</v>
      </c>
      <c r="G33" s="1737"/>
      <c r="H33" s="1735">
        <f>IF(J$6=0,0,(J$6*$E33+$G33+X17))</f>
        <v>20.8</v>
      </c>
      <c r="I33" s="1718">
        <f>H33*$D33</f>
        <v>12.521600000000003</v>
      </c>
      <c r="J33" s="45"/>
      <c r="K33" s="1736">
        <f>IF(M$6=0,0,(M$6*$E33+$G33+Y17))</f>
        <v>23.400000000000002</v>
      </c>
      <c r="L33" s="1558">
        <f>K33*$D33</f>
        <v>14.086800000000004</v>
      </c>
      <c r="M33" s="1557"/>
      <c r="N33" s="1735">
        <f>IF(P$6=0,0,(P$6*$E33+$G33+Z17))</f>
        <v>26</v>
      </c>
      <c r="O33" s="1718">
        <f>N33*$D33</f>
        <v>15.652000000000003</v>
      </c>
      <c r="P33" s="1717"/>
      <c r="Q33" s="38"/>
    </row>
    <row r="34" spans="1:34" s="686" customFormat="1" ht="18.75" customHeight="1">
      <c r="A34" s="1248"/>
      <c r="B34" s="1254" t="s">
        <v>1178</v>
      </c>
      <c r="C34" s="1248"/>
      <c r="D34" s="37"/>
      <c r="E34" s="37"/>
      <c r="F34" s="4876" t="s">
        <v>1177</v>
      </c>
      <c r="G34" s="4877"/>
      <c r="H34" s="1732"/>
      <c r="I34" s="1731"/>
      <c r="J34" s="1582">
        <f>SUM(I36:I42)</f>
        <v>37.049999999999997</v>
      </c>
      <c r="K34" s="1734"/>
      <c r="L34" s="1733"/>
      <c r="M34" s="1585">
        <f>SUM(L36:L42)</f>
        <v>37.049999999999997</v>
      </c>
      <c r="N34" s="1732"/>
      <c r="O34" s="1731"/>
      <c r="P34" s="1582">
        <f>SUM(O36:O42)</f>
        <v>37.049999999999997</v>
      </c>
      <c r="Q34" s="38"/>
    </row>
    <row r="35" spans="1:34"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34" s="42" customFormat="1" ht="15" customHeight="1">
      <c r="A36" s="1284"/>
      <c r="B36" s="1562"/>
      <c r="C36" s="4884" t="s">
        <v>351</v>
      </c>
      <c r="D36" s="4884"/>
      <c r="E36" s="4885"/>
      <c r="F36" s="1724">
        <f>IF(C36="",0,VLOOKUP(C36,'SDK5'!C3:AF83,2,FALSE))</f>
        <v>0</v>
      </c>
      <c r="G36" s="1724">
        <f t="shared" ref="G36:G42" si="0">F36*(100+$D$35)/100</f>
        <v>0</v>
      </c>
      <c r="H36" s="1723"/>
      <c r="I36" s="1722">
        <f t="shared" ref="I36:I42" si="1">$G36*H36</f>
        <v>0</v>
      </c>
      <c r="J36" s="45"/>
      <c r="K36" s="1723"/>
      <c r="L36" s="1564">
        <f t="shared" ref="L36:L42" si="2">$G36*K36</f>
        <v>0</v>
      </c>
      <c r="M36" s="1557"/>
      <c r="N36" s="1723"/>
      <c r="O36" s="1722">
        <f t="shared" ref="O36:O42" si="3">$G36*N36</f>
        <v>0</v>
      </c>
      <c r="P36" s="1726"/>
      <c r="Q36" s="38"/>
    </row>
    <row r="37" spans="1:34" s="42" customFormat="1" ht="15" customHeight="1">
      <c r="A37" s="1284"/>
      <c r="B37" s="1562"/>
      <c r="C37" s="4870" t="s">
        <v>625</v>
      </c>
      <c r="D37" s="4870"/>
      <c r="E37" s="4871"/>
      <c r="F37" s="1724">
        <f>IF(C37="",0,VLOOKUP(C37,'SDK5'!C4:AF84,2,FALSE))</f>
        <v>74.099999999999994</v>
      </c>
      <c r="G37" s="1724">
        <f t="shared" si="0"/>
        <v>74.099999999999994</v>
      </c>
      <c r="H37" s="1723">
        <v>0.5</v>
      </c>
      <c r="I37" s="1722">
        <f t="shared" si="1"/>
        <v>37.049999999999997</v>
      </c>
      <c r="J37" s="45"/>
      <c r="K37" s="1723">
        <v>0.5</v>
      </c>
      <c r="L37" s="1564">
        <f t="shared" si="2"/>
        <v>37.049999999999997</v>
      </c>
      <c r="M37" s="1557"/>
      <c r="N37" s="1723">
        <v>0.5</v>
      </c>
      <c r="O37" s="1722">
        <f t="shared" si="3"/>
        <v>37.049999999999997</v>
      </c>
      <c r="P37" s="1686"/>
      <c r="Q37" s="38"/>
    </row>
    <row r="38" spans="1:34"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34"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34"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34"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34"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34" s="686" customFormat="1" ht="18.75" customHeight="1">
      <c r="A43" s="1248"/>
      <c r="B43" s="1254" t="s">
        <v>1175</v>
      </c>
      <c r="C43" s="1248"/>
      <c r="D43" s="1248"/>
      <c r="E43" s="1248"/>
      <c r="F43" s="1248"/>
      <c r="G43" s="1588"/>
      <c r="H43" s="1714"/>
      <c r="I43" s="1713"/>
      <c r="J43" s="1582">
        <f>SUM(J46:J57)</f>
        <v>145.07365961058821</v>
      </c>
      <c r="K43" s="1716"/>
      <c r="L43" s="1715"/>
      <c r="M43" s="1585">
        <f>SUM(M46:M57)</f>
        <v>146.67589898470587</v>
      </c>
      <c r="N43" s="1714"/>
      <c r="O43" s="1713"/>
      <c r="P43" s="1582">
        <f>SUM(P46:P57)</f>
        <v>148.27813835882353</v>
      </c>
      <c r="Q43" s="38"/>
    </row>
    <row r="44" spans="1:34"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34"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34"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34"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34"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c r="AH48" s="4003"/>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1.3333333333333333</v>
      </c>
      <c r="I50" s="1687">
        <f t="shared" si="4"/>
        <v>0.7466666666666667</v>
      </c>
      <c r="J50" s="1686">
        <f t="shared" si="5"/>
        <v>12.817914992941173</v>
      </c>
      <c r="K50" s="1688">
        <f>$M$6/60</f>
        <v>1.5</v>
      </c>
      <c r="L50" s="1690">
        <f t="shared" si="6"/>
        <v>0.84000000000000008</v>
      </c>
      <c r="M50" s="1689">
        <f t="shared" si="7"/>
        <v>14.420154367058821</v>
      </c>
      <c r="N50" s="1688">
        <f>$P$6/60</f>
        <v>1.6666666666666667</v>
      </c>
      <c r="O50" s="1687">
        <f t="shared" si="8"/>
        <v>0.93333333333333346</v>
      </c>
      <c r="P50" s="1686">
        <f t="shared" si="9"/>
        <v>16.022393741176469</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v>0</v>
      </c>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5.1566666666666672</v>
      </c>
      <c r="J58" s="1669"/>
      <c r="K58" s="1668"/>
      <c r="L58" s="1667">
        <f>SUM($L$46:$L$57)</f>
        <v>5.2500000000000009</v>
      </c>
      <c r="M58" s="1666"/>
      <c r="N58" s="1665"/>
      <c r="O58" s="1664">
        <f>SUM($O$46:$O$57)</f>
        <v>5.3433333333333337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9.282</v>
      </c>
      <c r="J59" s="1654"/>
      <c r="K59" s="1659"/>
      <c r="L59" s="1658">
        <f>IF(L58+SUM($L$46:$L$57)*$E$59%&gt;L58+10,L58+10,L58+SUM($L$46:$L$57)*$E$59%)</f>
        <v>9.4500000000000028</v>
      </c>
      <c r="M59" s="1657"/>
      <c r="N59" s="1656"/>
      <c r="O59" s="1655">
        <f>IF(O58+SUM($O$46:$O$57)*$E$59%&gt;O58+10,O58+10,O58+SUM($O$46:$O$57)*$E$59%)</f>
        <v>9.6180000000000021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v>0</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648.79999999999995</v>
      </c>
      <c r="K67" s="1609" t="s">
        <v>1161</v>
      </c>
      <c r="L67" s="1608" t="s">
        <v>1160</v>
      </c>
      <c r="M67" s="1585">
        <f>S68*(K9+K10)*L68%+F68</f>
        <v>729.9</v>
      </c>
      <c r="N67" s="1607" t="s">
        <v>1161</v>
      </c>
      <c r="O67" s="1606" t="s">
        <v>1160</v>
      </c>
      <c r="P67" s="1582">
        <f>T68*(N9+N10)*O68%+F68</f>
        <v>811</v>
      </c>
      <c r="Q67" s="38"/>
    </row>
    <row r="68" spans="1:20" s="686" customFormat="1" ht="15" customHeight="1">
      <c r="A68" s="1248"/>
      <c r="B68" s="1605"/>
      <c r="C68" s="4888" t="s">
        <v>1159</v>
      </c>
      <c r="D68" s="4888"/>
      <c r="E68" s="4888"/>
      <c r="F68" s="1604"/>
      <c r="G68" s="1595" t="s">
        <v>171</v>
      </c>
      <c r="H68" s="1602">
        <v>21</v>
      </c>
      <c r="I68" s="1601">
        <v>100</v>
      </c>
      <c r="J68" s="1600"/>
      <c r="K68" s="1602">
        <v>21</v>
      </c>
      <c r="L68" s="1601">
        <v>100</v>
      </c>
      <c r="M68" s="1603"/>
      <c r="N68" s="1602">
        <v>21</v>
      </c>
      <c r="O68" s="1601">
        <v>100</v>
      </c>
      <c r="P68" s="1600"/>
      <c r="Q68" s="38"/>
      <c r="R68" s="1912">
        <f>IF($H$68=0,0,VLOOKUP($H$68,'SD6'!B8:C101,2,FALSE))*(1+'SDK1'!O11/100)</f>
        <v>8.11</v>
      </c>
      <c r="S68" s="1912">
        <f>IF($H$68=0,0,VLOOKUP($K$68,'SD6'!B8:C101,2,FALSE))*(1+'SDK1'!P11/100)</f>
        <v>8.11</v>
      </c>
      <c r="T68" s="1912">
        <f>IF($H$68=0,0,VLOOKUP($N$68,'SD6'!B8:C101,2,FALSE))*(1+'SDK1'!Q11/100)</f>
        <v>8.11</v>
      </c>
    </row>
    <row r="69" spans="1:20" s="686" customFormat="1" ht="18.75" customHeight="1">
      <c r="A69" s="1248"/>
      <c r="B69" s="1254" t="s">
        <v>1158</v>
      </c>
      <c r="C69" s="1248"/>
      <c r="D69" s="1248"/>
      <c r="E69" s="38"/>
      <c r="F69" s="38"/>
      <c r="G69" s="1588"/>
      <c r="H69" s="44"/>
      <c r="I69" s="73"/>
      <c r="J69" s="1582">
        <f>H70*$F70/1000</f>
        <v>34.04</v>
      </c>
      <c r="K69" s="1598"/>
      <c r="L69" s="1597"/>
      <c r="M69" s="1585">
        <f>K70*$F70/1000</f>
        <v>38.295000000000002</v>
      </c>
      <c r="N69" s="44"/>
      <c r="O69" s="73"/>
      <c r="P69" s="1582">
        <f>N70*$F70/1000</f>
        <v>42.55</v>
      </c>
      <c r="Q69" s="38"/>
      <c r="R69" s="686" t="s">
        <v>1213</v>
      </c>
    </row>
    <row r="70" spans="1:20" s="686" customFormat="1" ht="15" customHeight="1">
      <c r="A70" s="1248"/>
      <c r="B70" s="1310"/>
      <c r="C70" s="1309" t="s">
        <v>840</v>
      </c>
      <c r="D70" s="346"/>
      <c r="E70" s="278"/>
      <c r="F70" s="1596">
        <f>'SDK7'!G111</f>
        <v>23</v>
      </c>
      <c r="G70" s="1595" t="s">
        <v>171</v>
      </c>
      <c r="H70" s="1591">
        <f>I9+I10</f>
        <v>1480</v>
      </c>
      <c r="I70" s="1590"/>
      <c r="J70" s="1589"/>
      <c r="K70" s="1594">
        <f>L9+L10</f>
        <v>1665</v>
      </c>
      <c r="L70" s="1593"/>
      <c r="M70" s="1592"/>
      <c r="N70" s="1591">
        <f>O9+O10</f>
        <v>1850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17.919958695456863</v>
      </c>
      <c r="K75" s="689"/>
      <c r="L75" s="1034"/>
      <c r="M75" s="1546">
        <f>(M23+M27+M34+M43+M60+M65+M67+M69+M71)*('SDK1'!$O$59%*$G$75/12)</f>
        <v>19.445303488154906</v>
      </c>
      <c r="N75" s="1548"/>
      <c r="O75" s="1547"/>
      <c r="P75" s="1546">
        <f>(P23+P27+P34+P43+P60+P65+P67+P69+P71)*('SDK1'!$O$59%*$G$75/12)</f>
        <v>20.970648280852942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3">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8" orientation="portrait" r:id="rId1"/>
  <headerFooter alignWithMargins="0">
    <oddFooter>&amp;L&amp;11LEL Schwäbisch Gmünd&amp;C55&amp;R&amp;11&amp;F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'SDK5'!$Q$214:$Q$313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25.62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938.01149735783497</v>
      </c>
      <c r="K1" s="4855">
        <f>M1-J1</f>
        <v>362.95916850121216</v>
      </c>
      <c r="L1" s="4855"/>
      <c r="M1" s="1874">
        <f>(M7+M13+M18+M22+L11+L12)-(M23+M27+M34+M43+M60+M65+M67+M69+M71+M75)</f>
        <v>1300.9706658590471</v>
      </c>
      <c r="N1" s="4855">
        <f>P1-M1</f>
        <v>390.56690172207345</v>
      </c>
      <c r="O1" s="4855"/>
      <c r="P1" s="1874">
        <f>(P7+P13+P18+P22+O11+O12)-(P23+P27+P34+P43+P60+P65+P67+P69+P71+P75)</f>
        <v>1691.5375675811206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64</v>
      </c>
      <c r="L2" s="4867"/>
      <c r="M2" s="4867"/>
      <c r="N2" s="4867"/>
      <c r="O2" s="4867"/>
      <c r="P2" s="4867"/>
      <c r="Q2" s="1888">
        <v>20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30</v>
      </c>
      <c r="K6" s="4874" t="s">
        <v>152</v>
      </c>
      <c r="L6" s="4875"/>
      <c r="M6" s="1855">
        <v>40</v>
      </c>
      <c r="N6" s="4861" t="s">
        <v>178</v>
      </c>
      <c r="O6" s="4862"/>
      <c r="P6" s="1854">
        <v>50</v>
      </c>
      <c r="Q6" s="70"/>
    </row>
    <row r="7" spans="1:41" s="251" customFormat="1" ht="18.75" customHeight="1">
      <c r="A7" s="47"/>
      <c r="B7" s="305" t="s">
        <v>1202</v>
      </c>
      <c r="C7" s="47"/>
      <c r="D7" s="47"/>
      <c r="E7" s="47"/>
      <c r="F7" s="47"/>
      <c r="G7" s="1852"/>
      <c r="H7" s="1849"/>
      <c r="I7" s="1848"/>
      <c r="J7" s="1582">
        <f>SUM(I9:I10)</f>
        <v>1564.9999999999998</v>
      </c>
      <c r="K7" s="1851"/>
      <c r="L7" s="1850"/>
      <c r="M7" s="1585">
        <f>SUM(L9:L10)</f>
        <v>2086.6666666666661</v>
      </c>
      <c r="N7" s="1849"/>
      <c r="O7" s="1848"/>
      <c r="P7" s="1582">
        <f>SUM(O9:O10)</f>
        <v>2608.333333333333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'SDK1'!O31</f>
        <v>52.166666666666657</v>
      </c>
      <c r="H9" s="1845">
        <f>J6-H10</f>
        <v>30</v>
      </c>
      <c r="I9" s="1841">
        <f>H9*G9</f>
        <v>1564.9999999999998</v>
      </c>
      <c r="J9" s="43"/>
      <c r="K9" s="1844">
        <f>M6-K10</f>
        <v>40</v>
      </c>
      <c r="L9" s="1843">
        <f>K9*G9</f>
        <v>2086.6666666666661</v>
      </c>
      <c r="M9" s="1822"/>
      <c r="N9" s="1842">
        <f>P6-N10</f>
        <v>50</v>
      </c>
      <c r="O9" s="1841">
        <f>N9*G9</f>
        <v>2608.333333333333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105</v>
      </c>
      <c r="K23" s="1587"/>
      <c r="L23" s="1586"/>
      <c r="M23" s="1768">
        <f>SUM(L25:L26)</f>
        <v>105</v>
      </c>
      <c r="N23" s="1584"/>
      <c r="O23" s="1583"/>
      <c r="P23" s="1567">
        <f>SUM(O25:O26)</f>
        <v>105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t="s">
        <v>1216</v>
      </c>
      <c r="E25" s="4879"/>
      <c r="F25" s="1763">
        <f>'SDK7'!F62</f>
        <v>182</v>
      </c>
      <c r="G25" s="1762">
        <f>F25*(100+$D$24)/100</f>
        <v>182</v>
      </c>
      <c r="H25" s="1914"/>
      <c r="I25" s="1722">
        <f>H25*$G25</f>
        <v>0</v>
      </c>
      <c r="J25" s="45"/>
      <c r="K25" s="1914">
        <f>H25</f>
        <v>0</v>
      </c>
      <c r="L25" s="1564">
        <f>K25*$G25</f>
        <v>0</v>
      </c>
      <c r="M25" s="1557"/>
      <c r="N25" s="1914">
        <f>H25</f>
        <v>0</v>
      </c>
      <c r="O25" s="1722">
        <f>N25*$G25</f>
        <v>0</v>
      </c>
      <c r="P25" s="1686"/>
      <c r="Q25" s="38"/>
    </row>
    <row r="26" spans="1:26" s="42" customFormat="1" ht="15" customHeight="1">
      <c r="A26" s="1284"/>
      <c r="B26" s="1310"/>
      <c r="C26" s="1760"/>
      <c r="D26" s="4880" t="s">
        <v>895</v>
      </c>
      <c r="E26" s="4881"/>
      <c r="F26" s="1759">
        <f>'SDK7'!F61</f>
        <v>300</v>
      </c>
      <c r="G26" s="1758">
        <f>F26*(100+$D$24)/100</f>
        <v>300</v>
      </c>
      <c r="H26" s="1913">
        <v>0.35</v>
      </c>
      <c r="I26" s="1718">
        <f>H26*$G26</f>
        <v>105</v>
      </c>
      <c r="J26" s="45"/>
      <c r="K26" s="1913">
        <f>H26</f>
        <v>0.35</v>
      </c>
      <c r="L26" s="1558">
        <f>K26*$G26</f>
        <v>105</v>
      </c>
      <c r="M26" s="1557"/>
      <c r="N26" s="1913">
        <f>H26</f>
        <v>0.35</v>
      </c>
      <c r="O26" s="1718">
        <f>N26*$G26</f>
        <v>105</v>
      </c>
      <c r="P26" s="1717"/>
      <c r="Q26" s="38"/>
    </row>
    <row r="27" spans="1:26" s="686" customFormat="1" ht="18.75" customHeight="1">
      <c r="A27" s="1248"/>
      <c r="B27" s="1756" t="s">
        <v>1184</v>
      </c>
      <c r="C27" s="1248"/>
      <c r="D27" s="73"/>
      <c r="E27" s="38"/>
      <c r="F27" s="38"/>
      <c r="G27" s="1755"/>
      <c r="H27" s="1714"/>
      <c r="I27" s="1713"/>
      <c r="J27" s="1582">
        <f>SUM(I30:I33)</f>
        <v>310.64599999999996</v>
      </c>
      <c r="K27" s="1716"/>
      <c r="L27" s="1715"/>
      <c r="M27" s="1585">
        <f>SUM(L30:L33)</f>
        <v>390.32800000000003</v>
      </c>
      <c r="N27" s="1714"/>
      <c r="O27" s="1713"/>
      <c r="P27" s="1582">
        <f>SUM(O30:O33)</f>
        <v>470.01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3.35</v>
      </c>
      <c r="F30" s="1742">
        <f>VLOOKUP(K2,'SD8'!B9:L42,7,FALSE)</f>
        <v>1.19</v>
      </c>
      <c r="G30" s="1741">
        <v>50</v>
      </c>
      <c r="H30" s="1739">
        <f>IF(J$6=0,0,(J$6*$E30+$G30+X14))</f>
        <v>150.5</v>
      </c>
      <c r="I30" s="1722">
        <f>H30*$D30</f>
        <v>215.51599999999999</v>
      </c>
      <c r="J30" s="45"/>
      <c r="K30" s="1740">
        <f>IF(M$6=0,0,(M$6*$E30+$G30+Y14))</f>
        <v>184</v>
      </c>
      <c r="L30" s="1564">
        <f>K30*$D30</f>
        <v>263.488</v>
      </c>
      <c r="M30" s="1557"/>
      <c r="N30" s="1739">
        <f>IF(P$6=0,0,(P$6*$E30+$G30+Z14))</f>
        <v>217.5</v>
      </c>
      <c r="O30" s="1722">
        <f>N30*$D30</f>
        <v>311.45999999999998</v>
      </c>
      <c r="P30" s="1686"/>
      <c r="Q30" s="38"/>
    </row>
    <row r="31" spans="1:26" s="42" customFormat="1" ht="15" customHeight="1">
      <c r="A31" s="1284"/>
      <c r="B31" s="272"/>
      <c r="C31" s="1284" t="s">
        <v>244</v>
      </c>
      <c r="D31" s="1691">
        <f>'SDK1'!O53</f>
        <v>1.05</v>
      </c>
      <c r="E31" s="1742">
        <f>VLOOKUP(K2,'SD8'!B9:L42,4,FALSE)</f>
        <v>1.8</v>
      </c>
      <c r="F31" s="1742">
        <f>VLOOKUP(K2,'SD8'!B9:L42,8,FALSE)</f>
        <v>0.67999999999999994</v>
      </c>
      <c r="G31" s="1741"/>
      <c r="H31" s="1739">
        <f>IF(J$6=0,0,(J$6*$E31+$G31+X15))</f>
        <v>54</v>
      </c>
      <c r="I31" s="1722">
        <f>H31*$D31</f>
        <v>56.7</v>
      </c>
      <c r="J31" s="45"/>
      <c r="K31" s="1740">
        <f>IF(M$6=0,0,(M$6*$E31+$G31+Y15))</f>
        <v>72</v>
      </c>
      <c r="L31" s="1564">
        <f>K31*$D31</f>
        <v>75.600000000000009</v>
      </c>
      <c r="M31" s="1557"/>
      <c r="N31" s="1739">
        <f>IF(P$6=0,0,(P$6*$E31+$G31+Z15))</f>
        <v>90</v>
      </c>
      <c r="O31" s="1722">
        <f>N31*$D31</f>
        <v>94.5</v>
      </c>
      <c r="P31" s="1686"/>
      <c r="Q31" s="38"/>
    </row>
    <row r="32" spans="1:26" s="42" customFormat="1" ht="15" customHeight="1">
      <c r="A32" s="1284"/>
      <c r="B32" s="272"/>
      <c r="C32" s="1284" t="s">
        <v>242</v>
      </c>
      <c r="D32" s="1691">
        <f>'SDK1'!O54</f>
        <v>0.98000000000000009</v>
      </c>
      <c r="E32" s="1742">
        <f>VLOOKUP(K2,'SD8'!B9:L42,5,FALSE)</f>
        <v>1</v>
      </c>
      <c r="F32" s="1742">
        <f>VLOOKUP(K2,'SD8'!B9:L42,9,FALSE)</f>
        <v>4.25</v>
      </c>
      <c r="G32" s="1741"/>
      <c r="H32" s="1739">
        <f>IF(J$6=0,0,(J$6*$E32+$G32+X16))</f>
        <v>30</v>
      </c>
      <c r="I32" s="1722">
        <f>H32*$D32</f>
        <v>29.400000000000002</v>
      </c>
      <c r="J32" s="45"/>
      <c r="K32" s="1740">
        <f>IF(M$6=0,0,(M$6*$E32+$G32+Y16))</f>
        <v>40</v>
      </c>
      <c r="L32" s="1564">
        <f>K32*$D32</f>
        <v>39.200000000000003</v>
      </c>
      <c r="M32" s="1557"/>
      <c r="N32" s="1739">
        <f>IF(P$6=0,0,(P$6*$E32+$G32+Z16))</f>
        <v>50</v>
      </c>
      <c r="O32" s="1722">
        <f>N32*$D32</f>
        <v>49.000000000000007</v>
      </c>
      <c r="P32" s="1686"/>
      <c r="Q32" s="38"/>
    </row>
    <row r="33" spans="1:17" s="42" customFormat="1" ht="15" customHeight="1">
      <c r="A33" s="1284"/>
      <c r="B33" s="239"/>
      <c r="C33" s="1309" t="s">
        <v>240</v>
      </c>
      <c r="D33" s="1674">
        <f>'SDK1'!O55</f>
        <v>0.60200000000000009</v>
      </c>
      <c r="E33" s="1738">
        <f>VLOOKUP(K2,'SD8'!B9:L42,6,FALSE)</f>
        <v>0.5</v>
      </c>
      <c r="F33" s="1738">
        <f>VLOOKUP(K2,'SD8'!B9:L42,10,FALSE)</f>
        <v>0.7</v>
      </c>
      <c r="G33" s="1737"/>
      <c r="H33" s="1735">
        <f>IF(J$6=0,0,(J$6*$E33+$G33+X17))</f>
        <v>15</v>
      </c>
      <c r="I33" s="1718">
        <f>H33*$D33</f>
        <v>9.0300000000000011</v>
      </c>
      <c r="J33" s="45"/>
      <c r="K33" s="1736">
        <f>IF(M$6=0,0,(M$6*$E33+$G33+Y17))</f>
        <v>20</v>
      </c>
      <c r="L33" s="1558">
        <f>K33*$D33</f>
        <v>12.040000000000003</v>
      </c>
      <c r="M33" s="1557"/>
      <c r="N33" s="1735">
        <f>IF(P$6=0,0,(P$6*$E33+$G33+Z17))</f>
        <v>25</v>
      </c>
      <c r="O33" s="1718">
        <f>N33*$D33</f>
        <v>15.050000000000002</v>
      </c>
      <c r="P33" s="1717"/>
      <c r="Q33" s="38"/>
    </row>
    <row r="34" spans="1:17" s="686" customFormat="1" ht="18.75" customHeight="1">
      <c r="A34" s="1248"/>
      <c r="B34" s="1254" t="s">
        <v>1178</v>
      </c>
      <c r="C34" s="1248"/>
      <c r="D34" s="37"/>
      <c r="E34" s="37"/>
      <c r="F34" s="4876" t="s">
        <v>1177</v>
      </c>
      <c r="G34" s="4877"/>
      <c r="H34" s="1732"/>
      <c r="I34" s="1731"/>
      <c r="J34" s="1582">
        <f>SUM(I36:I42)</f>
        <v>170.39</v>
      </c>
      <c r="K34" s="1734"/>
      <c r="L34" s="1733"/>
      <c r="M34" s="1585">
        <f>SUM(L36:L42)</f>
        <v>191.17</v>
      </c>
      <c r="N34" s="1732"/>
      <c r="O34" s="1731"/>
      <c r="P34" s="1582">
        <f>SUM(O36:O42)</f>
        <v>191.17</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2127</v>
      </c>
      <c r="D36" s="4884"/>
      <c r="E36" s="4885"/>
      <c r="F36" s="1724">
        <f>IF(C36="",0,VLOOKUP(C36,'SDK5'!C3:AF83,2,FALSE))</f>
        <v>39.299999999999997</v>
      </c>
      <c r="G36" s="1724">
        <f t="shared" ref="G36:G42" si="0">F36*(100+$D$35)/100</f>
        <v>39.299999999999997</v>
      </c>
      <c r="H36" s="1723">
        <v>1.3</v>
      </c>
      <c r="I36" s="1722">
        <f>$G36*H36</f>
        <v>51.089999999999996</v>
      </c>
      <c r="J36" s="45"/>
      <c r="K36" s="1723">
        <v>1.3</v>
      </c>
      <c r="L36" s="1564">
        <f t="shared" ref="L36:L42" si="1">$G36*K36</f>
        <v>51.089999999999996</v>
      </c>
      <c r="M36" s="1557"/>
      <c r="N36" s="1723">
        <v>1.3</v>
      </c>
      <c r="O36" s="1722">
        <f t="shared" ref="O36:O42" si="2">$G36*N36</f>
        <v>51.089999999999996</v>
      </c>
      <c r="P36" s="1726"/>
      <c r="Q36" s="38"/>
    </row>
    <row r="37" spans="1:17" s="42" customFormat="1" ht="15" customHeight="1">
      <c r="A37" s="1284"/>
      <c r="B37" s="1562"/>
      <c r="C37" s="4870" t="s">
        <v>599</v>
      </c>
      <c r="D37" s="4870"/>
      <c r="E37" s="4871"/>
      <c r="F37" s="1724">
        <f>IF(C37="",0,VLOOKUP(C37,'SDK5'!C4:AF84,2,FALSE))</f>
        <v>41.5</v>
      </c>
      <c r="G37" s="1724">
        <f t="shared" si="0"/>
        <v>41.5</v>
      </c>
      <c r="H37" s="1723">
        <v>1</v>
      </c>
      <c r="I37" s="1722">
        <f t="shared" ref="I37:I42" si="3">$G37*H37</f>
        <v>41.5</v>
      </c>
      <c r="J37" s="45"/>
      <c r="K37" s="1723">
        <v>1</v>
      </c>
      <c r="L37" s="1564">
        <f t="shared" si="1"/>
        <v>41.5</v>
      </c>
      <c r="M37" s="1557"/>
      <c r="N37" s="1723">
        <v>1</v>
      </c>
      <c r="O37" s="1722">
        <f t="shared" si="2"/>
        <v>41.5</v>
      </c>
      <c r="P37" s="1686"/>
      <c r="Q37" s="38"/>
    </row>
    <row r="38" spans="1:17" s="42" customFormat="1" ht="15" customHeight="1">
      <c r="A38" s="1284"/>
      <c r="B38" s="1725"/>
      <c r="C38" s="4870" t="s">
        <v>595</v>
      </c>
      <c r="D38" s="4870"/>
      <c r="E38" s="4871"/>
      <c r="F38" s="1724">
        <f>IF(C38="",0,VLOOKUP(C38,'SDK5'!C5:AF85,2,FALSE))</f>
        <v>77.8</v>
      </c>
      <c r="G38" s="1724">
        <f t="shared" si="0"/>
        <v>77.8</v>
      </c>
      <c r="H38" s="1723">
        <v>1</v>
      </c>
      <c r="I38" s="1722">
        <f t="shared" si="3"/>
        <v>77.8</v>
      </c>
      <c r="J38" s="45"/>
      <c r="K38" s="1723">
        <v>1</v>
      </c>
      <c r="L38" s="1564">
        <f t="shared" si="1"/>
        <v>77.8</v>
      </c>
      <c r="M38" s="1557"/>
      <c r="N38" s="1723">
        <v>1</v>
      </c>
      <c r="O38" s="1722">
        <f t="shared" si="2"/>
        <v>77.8</v>
      </c>
      <c r="P38" s="1686"/>
      <c r="Q38" s="38"/>
    </row>
    <row r="39" spans="1:17" s="42" customFormat="1" ht="15" customHeight="1">
      <c r="A39" s="1284"/>
      <c r="B39" s="1562"/>
      <c r="C39" s="4870" t="s">
        <v>351</v>
      </c>
      <c r="D39" s="4870"/>
      <c r="E39" s="4871"/>
      <c r="F39" s="1724">
        <f>IF(C39="",0,VLOOKUP(C39,'SDK5'!C6:AF86,2,FALSE))</f>
        <v>0</v>
      </c>
      <c r="G39" s="1724">
        <f t="shared" si="0"/>
        <v>0</v>
      </c>
      <c r="H39" s="1723"/>
      <c r="I39" s="1722">
        <f t="shared" si="3"/>
        <v>0</v>
      </c>
      <c r="J39" s="45"/>
      <c r="K39" s="1723"/>
      <c r="L39" s="1564">
        <f t="shared" si="1"/>
        <v>0</v>
      </c>
      <c r="M39" s="1557"/>
      <c r="N39" s="1723"/>
      <c r="O39" s="1722">
        <f t="shared" si="2"/>
        <v>0</v>
      </c>
      <c r="P39" s="1686"/>
      <c r="Q39" s="38"/>
    </row>
    <row r="40" spans="1:17" s="42" customFormat="1" ht="15" customHeight="1">
      <c r="A40" s="1284"/>
      <c r="B40" s="1562"/>
      <c r="C40" s="4870" t="s">
        <v>2027</v>
      </c>
      <c r="D40" s="4870"/>
      <c r="E40" s="4871"/>
      <c r="F40" s="1724">
        <f>IF(C40="",0,VLOOKUP(C40,'SDK5'!C7:AF87,2,FALSE))</f>
        <v>103.9</v>
      </c>
      <c r="G40" s="1724">
        <f t="shared" si="0"/>
        <v>103.9</v>
      </c>
      <c r="H40" s="1723"/>
      <c r="I40" s="1722">
        <f t="shared" si="3"/>
        <v>0</v>
      </c>
      <c r="J40" s="45"/>
      <c r="K40" s="1723">
        <v>0.2</v>
      </c>
      <c r="L40" s="1564">
        <f t="shared" si="1"/>
        <v>20.78</v>
      </c>
      <c r="M40" s="1557"/>
      <c r="N40" s="1723">
        <v>0.2</v>
      </c>
      <c r="O40" s="1722">
        <f t="shared" si="2"/>
        <v>20.78</v>
      </c>
      <c r="P40" s="1686"/>
      <c r="Q40" s="38"/>
    </row>
    <row r="41" spans="1:17" s="42" customFormat="1" ht="15" customHeight="1">
      <c r="A41" s="1284"/>
      <c r="B41" s="1562"/>
      <c r="C41" s="4870" t="s">
        <v>351</v>
      </c>
      <c r="D41" s="4870"/>
      <c r="E41" s="4871"/>
      <c r="F41" s="1724">
        <f>IF(C41="",0,VLOOKUP(C41,'SDK5'!C8:AF88,2,FALSE))</f>
        <v>0</v>
      </c>
      <c r="G41" s="1724">
        <f t="shared" si="0"/>
        <v>0</v>
      </c>
      <c r="H41" s="1723"/>
      <c r="I41" s="1722">
        <f t="shared" si="3"/>
        <v>0</v>
      </c>
      <c r="J41" s="45"/>
      <c r="K41" s="1723"/>
      <c r="L41" s="1564">
        <f t="shared" si="1"/>
        <v>0</v>
      </c>
      <c r="M41" s="1557"/>
      <c r="N41" s="1723"/>
      <c r="O41" s="1722">
        <f t="shared" si="2"/>
        <v>0</v>
      </c>
      <c r="P41" s="1686"/>
      <c r="Q41" s="38"/>
    </row>
    <row r="42" spans="1:17" s="42" customFormat="1" ht="15" customHeight="1">
      <c r="A42" s="1284"/>
      <c r="B42" s="1721"/>
      <c r="C42" s="4856"/>
      <c r="D42" s="4856"/>
      <c r="E42" s="4857"/>
      <c r="F42" s="1724">
        <f>IF(C42="",0,VLOOKUP(C42,'SDK5'!C9:AF89,2,FALSE))</f>
        <v>0</v>
      </c>
      <c r="G42" s="1720">
        <f t="shared" si="0"/>
        <v>0</v>
      </c>
      <c r="H42" s="1719"/>
      <c r="I42" s="1718">
        <f t="shared" si="3"/>
        <v>0</v>
      </c>
      <c r="J42" s="45"/>
      <c r="K42" s="1719"/>
      <c r="L42" s="1558">
        <f t="shared" si="1"/>
        <v>0</v>
      </c>
      <c r="M42" s="1557"/>
      <c r="N42" s="1719"/>
      <c r="O42" s="1718">
        <f t="shared" si="2"/>
        <v>0</v>
      </c>
      <c r="P42" s="1717"/>
      <c r="Q42" s="38"/>
    </row>
    <row r="43" spans="1:17" s="686" customFormat="1" ht="18.75" customHeight="1">
      <c r="A43" s="1248"/>
      <c r="B43" s="1254" t="s">
        <v>1175</v>
      </c>
      <c r="C43" s="1248"/>
      <c r="D43" s="1248"/>
      <c r="E43" s="1248"/>
      <c r="F43" s="1248"/>
      <c r="G43" s="1588"/>
      <c r="H43" s="1714"/>
      <c r="I43" s="1713"/>
      <c r="J43" s="1582">
        <f>SUM(J46:J57)</f>
        <v>154.35926290823528</v>
      </c>
      <c r="K43" s="1716"/>
      <c r="L43" s="1715"/>
      <c r="M43" s="1585">
        <f>SUM(M46:M57)</f>
        <v>162.47085966705879</v>
      </c>
      <c r="N43" s="1714"/>
      <c r="O43" s="1713"/>
      <c r="P43" s="1582">
        <f>SUM(P46:P57)</f>
        <v>164.07309904117645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20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3</v>
      </c>
      <c r="I48" s="1687">
        <f t="shared" si="4"/>
        <v>1.1099999999999999</v>
      </c>
      <c r="J48" s="1686">
        <f t="shared" si="5"/>
        <v>12.834256196470587</v>
      </c>
      <c r="K48" s="1688">
        <v>3</v>
      </c>
      <c r="L48" s="1690">
        <f t="shared" si="6"/>
        <v>1.1099999999999999</v>
      </c>
      <c r="M48" s="1689">
        <f t="shared" si="7"/>
        <v>12.834256196470587</v>
      </c>
      <c r="N48" s="1688">
        <v>3</v>
      </c>
      <c r="O48" s="1687">
        <f t="shared" si="8"/>
        <v>1.1099999999999999</v>
      </c>
      <c r="P48" s="1686">
        <f t="shared" si="9"/>
        <v>12.834256196470587</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4</v>
      </c>
      <c r="L49" s="1690">
        <f t="shared" si="6"/>
        <v>1.56</v>
      </c>
      <c r="M49" s="1689">
        <f t="shared" si="7"/>
        <v>26.037429538823528</v>
      </c>
      <c r="N49" s="1688">
        <v>4</v>
      </c>
      <c r="O49" s="1687">
        <f t="shared" si="8"/>
        <v>1.56</v>
      </c>
      <c r="P49" s="1686">
        <f t="shared" si="9"/>
        <v>26.037429538823528</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0.5</v>
      </c>
      <c r="I50" s="1687">
        <f t="shared" si="4"/>
        <v>0.28000000000000003</v>
      </c>
      <c r="J50" s="1686">
        <f t="shared" si="5"/>
        <v>4.8067181223529403</v>
      </c>
      <c r="K50" s="1688">
        <f>$M$6/60</f>
        <v>0.66666666666666663</v>
      </c>
      <c r="L50" s="1690">
        <f t="shared" si="6"/>
        <v>0.37333333333333335</v>
      </c>
      <c r="M50" s="1689">
        <f t="shared" si="7"/>
        <v>6.4089574964705864</v>
      </c>
      <c r="N50" s="1688">
        <f>$P$6/60</f>
        <v>0.83333333333333337</v>
      </c>
      <c r="O50" s="1687">
        <f t="shared" si="8"/>
        <v>0.46666666666666673</v>
      </c>
      <c r="P50" s="1686">
        <f t="shared" si="9"/>
        <v>8.0111968705882344</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v>0</v>
      </c>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5.84</v>
      </c>
      <c r="J58" s="1669"/>
      <c r="K58" s="1668"/>
      <c r="L58" s="1667">
        <f>SUM($L$46:$L$57)</f>
        <v>6.3233333333333333</v>
      </c>
      <c r="M58" s="1666"/>
      <c r="N58" s="1665"/>
      <c r="O58" s="1664">
        <f>SUM($O$46:$O$57)</f>
        <v>6.416666666666667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10.512</v>
      </c>
      <c r="J59" s="1654"/>
      <c r="K59" s="1659"/>
      <c r="L59" s="1658">
        <f>IF(L58+SUM($L$46:$L$57)*$E$59%&gt;L58+10,L58+10,L58+SUM($L$46:$L$57)*$E$59%)</f>
        <v>11.382000000000001</v>
      </c>
      <c r="M59" s="1657"/>
      <c r="N59" s="1656"/>
      <c r="O59" s="1655">
        <f>IF(O58+SUM($O$46:$O$57)*$E$59%&gt;O58+10,O58+10,O58+SUM($O$46:$O$57)*$E$59%)</f>
        <v>11.55</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330</v>
      </c>
      <c r="D62" s="4860"/>
      <c r="E62" s="4860"/>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v>0</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77.616000000000014</v>
      </c>
      <c r="K67" s="1609" t="s">
        <v>1161</v>
      </c>
      <c r="L67" s="1608" t="s">
        <v>1160</v>
      </c>
      <c r="M67" s="1585">
        <f>S68*(K9+K10)*L68%+F68</f>
        <v>103.48800000000001</v>
      </c>
      <c r="N67" s="1607" t="s">
        <v>1161</v>
      </c>
      <c r="O67" s="1606" t="s">
        <v>1160</v>
      </c>
      <c r="P67" s="1582">
        <f>T68*(N9+N10)*O68%+F68</f>
        <v>129.36000000000001</v>
      </c>
      <c r="Q67" s="38"/>
    </row>
    <row r="68" spans="1:20" s="686" customFormat="1" ht="15" customHeight="1">
      <c r="A68" s="1248"/>
      <c r="B68" s="1605"/>
      <c r="C68" s="4888" t="s">
        <v>1159</v>
      </c>
      <c r="D68" s="4888"/>
      <c r="E68" s="4888"/>
      <c r="F68" s="1604"/>
      <c r="G68" s="1595" t="s">
        <v>171</v>
      </c>
      <c r="H68" s="1602">
        <v>11</v>
      </c>
      <c r="I68" s="1601">
        <v>66</v>
      </c>
      <c r="J68" s="1600"/>
      <c r="K68" s="1602">
        <v>11</v>
      </c>
      <c r="L68" s="1601">
        <v>66</v>
      </c>
      <c r="M68" s="1603"/>
      <c r="N68" s="1602">
        <v>11</v>
      </c>
      <c r="O68" s="1601">
        <v>66</v>
      </c>
      <c r="P68" s="1600"/>
      <c r="Q68" s="38"/>
      <c r="R68" s="1599">
        <f>IF($H$68=0,0,VLOOKUP($H$68,'SD6'!J8:K156,'SD6'!$I$1,FALSE))*(1+'SDK1'!O11/100)</f>
        <v>3.9200000000000004</v>
      </c>
      <c r="S68" s="1599">
        <f>IF($K$68=0,0,VLOOKUP($K$68,'SD6'!J8:K156,'SD6'!I1,FALSE))*(1+'SDK1'!O11/100)</f>
        <v>3.9200000000000004</v>
      </c>
      <c r="T68" s="1599">
        <f>IF($N$68=0,0,VLOOKUP($N$68,'SD6'!J8:K156,'SD6'!I1,FALSE))*(1+'SDK1'!O11/100)</f>
        <v>3.9200000000000004</v>
      </c>
    </row>
    <row r="69" spans="1:20" s="686" customFormat="1" ht="18.75" customHeight="1">
      <c r="A69" s="1248"/>
      <c r="B69" s="1254" t="s">
        <v>1158</v>
      </c>
      <c r="C69" s="1248"/>
      <c r="D69" s="1248"/>
      <c r="E69" s="38"/>
      <c r="F69" s="38"/>
      <c r="G69" s="1588"/>
      <c r="H69" s="44"/>
      <c r="I69" s="73"/>
      <c r="J69" s="1582">
        <f>H70*$F70/1000</f>
        <v>67.294999999999987</v>
      </c>
      <c r="K69" s="1598"/>
      <c r="L69" s="1597"/>
      <c r="M69" s="1585">
        <f>K70*$F70/1000</f>
        <v>89.726666666666645</v>
      </c>
      <c r="N69" s="44"/>
      <c r="O69" s="73"/>
      <c r="P69" s="1582">
        <f>N70*$F70/1000</f>
        <v>112.15833333333332</v>
      </c>
      <c r="Q69" s="38"/>
    </row>
    <row r="70" spans="1:20" s="686" customFormat="1" ht="15" customHeight="1">
      <c r="A70" s="1248"/>
      <c r="B70" s="1310"/>
      <c r="C70" s="1309" t="s">
        <v>840</v>
      </c>
      <c r="D70" s="346"/>
      <c r="E70" s="278"/>
      <c r="F70" s="1596">
        <f>'SDK7'!G105</f>
        <v>43</v>
      </c>
      <c r="G70" s="1595" t="s">
        <v>171</v>
      </c>
      <c r="H70" s="1591">
        <f>I9+I10</f>
        <v>1564.9999999999998</v>
      </c>
      <c r="I70" s="1590"/>
      <c r="J70" s="1589"/>
      <c r="K70" s="1594">
        <f>L9+L10</f>
        <v>2086.6666666666661</v>
      </c>
      <c r="L70" s="1593"/>
      <c r="M70" s="1592"/>
      <c r="N70" s="1591">
        <f>O9+O10</f>
        <v>2608.333333333333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12.482239733929411</v>
      </c>
      <c r="K75" s="689"/>
      <c r="L75" s="1034"/>
      <c r="M75" s="1546">
        <f>(M23+M27+M34+M43+M60+M65+M67+M69+M71)*('SDK1'!$O$59%*$G$75/12)</f>
        <v>14.312474473893467</v>
      </c>
      <c r="N75" s="1548"/>
      <c r="O75" s="1547"/>
      <c r="P75" s="1546">
        <f>(P23+P27+P34+P43+P60+P65+P67+P69+P71)*('SDK1'!$O$59%*$G$75/12)</f>
        <v>15.824333377702615</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35"/>
      <c r="M150" s="35"/>
      <c r="N150" s="35"/>
      <c r="O150" s="35"/>
      <c r="P150" s="35"/>
      <c r="Q150" s="35"/>
    </row>
    <row r="151" spans="1:17">
      <c r="A151" s="35"/>
      <c r="B151" s="601"/>
      <c r="C151" s="15"/>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D162" s="15"/>
      <c r="F162" s="15"/>
      <c r="G162" s="15"/>
      <c r="H162" s="15"/>
      <c r="I162" s="15"/>
      <c r="J162" s="15"/>
      <c r="K162" s="35"/>
      <c r="L162" s="35"/>
      <c r="M162" s="35"/>
      <c r="N162" s="35"/>
      <c r="O162" s="35"/>
      <c r="P162" s="35"/>
      <c r="Q162" s="35"/>
    </row>
    <row r="163" spans="1:17">
      <c r="A163" s="35"/>
      <c r="B163" s="601"/>
      <c r="C163" s="15"/>
      <c r="D163" s="15"/>
      <c r="F163" s="15"/>
      <c r="G163" s="15"/>
      <c r="H163" s="15"/>
      <c r="I163" s="15"/>
      <c r="J163" s="15"/>
      <c r="K163" s="35"/>
      <c r="L163" s="35"/>
      <c r="M163" s="35"/>
      <c r="N163" s="35"/>
      <c r="O163" s="35"/>
      <c r="P163" s="35"/>
      <c r="Q163" s="35"/>
    </row>
    <row r="164" spans="1:17">
      <c r="A164" s="35"/>
      <c r="B164" s="601"/>
      <c r="C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B193" s="601"/>
      <c r="C193" s="15"/>
      <c r="F193" s="35"/>
      <c r="G193" s="35"/>
      <c r="H193" s="35"/>
      <c r="I193" s="35"/>
      <c r="J193" s="35"/>
      <c r="K193" s="35"/>
      <c r="L193" s="35"/>
      <c r="M193" s="35"/>
      <c r="N193" s="35"/>
      <c r="O193" s="35"/>
      <c r="P193" s="35"/>
      <c r="Q193" s="35"/>
    </row>
    <row r="194" spans="1:17">
      <c r="B194" s="601"/>
      <c r="C194" s="15"/>
      <c r="F194" s="35"/>
      <c r="G194" s="35"/>
      <c r="H194" s="35"/>
      <c r="I194" s="35"/>
      <c r="J194" s="35"/>
      <c r="K194" s="35"/>
      <c r="L194" s="35"/>
      <c r="M194" s="35"/>
      <c r="N194" s="35"/>
      <c r="O194" s="35"/>
      <c r="P194" s="35"/>
      <c r="Q194" s="35"/>
    </row>
    <row r="195" spans="1:17">
      <c r="B195" s="601"/>
      <c r="C195" s="15"/>
      <c r="F195" s="35"/>
      <c r="G195" s="35"/>
      <c r="H195" s="35"/>
      <c r="I195" s="35"/>
      <c r="J195" s="35"/>
      <c r="K195" s="35"/>
      <c r="L195" s="35"/>
      <c r="M195" s="35"/>
      <c r="N195" s="35"/>
      <c r="O195" s="35"/>
      <c r="P195" s="35"/>
      <c r="Q195" s="35"/>
    </row>
    <row r="196" spans="1:17">
      <c r="B196" s="601"/>
      <c r="C196" s="15"/>
      <c r="F196" s="35"/>
      <c r="G196" s="35"/>
      <c r="H196" s="35"/>
      <c r="I196" s="35"/>
      <c r="J196" s="35"/>
      <c r="K196" s="35"/>
      <c r="L196" s="35"/>
      <c r="M196" s="35"/>
      <c r="N196" s="35"/>
      <c r="O196" s="35"/>
      <c r="P196" s="35"/>
      <c r="Q196" s="35"/>
    </row>
    <row r="197" spans="1:17">
      <c r="B197" s="601"/>
      <c r="C197" s="15"/>
      <c r="F197" s="35"/>
      <c r="G197" s="35"/>
      <c r="H197" s="35"/>
      <c r="I197" s="35"/>
      <c r="J197" s="35"/>
      <c r="K197" s="35"/>
      <c r="L197" s="35"/>
      <c r="M197" s="35"/>
      <c r="N197" s="35"/>
      <c r="O197" s="35"/>
      <c r="P197" s="35"/>
      <c r="Q197" s="35"/>
    </row>
    <row r="198" spans="1:17">
      <c r="B198" s="601"/>
      <c r="C198" s="15"/>
      <c r="F198" s="35"/>
      <c r="G198" s="35"/>
      <c r="H198" s="35"/>
      <c r="I198" s="35"/>
      <c r="J198" s="35"/>
      <c r="K198" s="35"/>
      <c r="L198" s="35"/>
      <c r="M198" s="35"/>
      <c r="N198" s="35"/>
      <c r="O198" s="35"/>
      <c r="P198" s="35"/>
      <c r="Q198" s="35"/>
    </row>
    <row r="199" spans="1:17">
      <c r="B199" s="601"/>
      <c r="C199" s="15"/>
      <c r="F199" s="35"/>
      <c r="G199" s="35"/>
      <c r="H199" s="35"/>
      <c r="I199" s="35"/>
      <c r="J199" s="35"/>
      <c r="K199" s="35"/>
      <c r="L199" s="35"/>
      <c r="M199" s="35"/>
      <c r="N199" s="35"/>
      <c r="O199" s="35"/>
      <c r="P199" s="35"/>
      <c r="Q199" s="35"/>
    </row>
    <row r="200" spans="1:17">
      <c r="B200" s="601"/>
      <c r="C200" s="15"/>
      <c r="F200" s="35"/>
      <c r="G200" s="35"/>
      <c r="H200" s="35"/>
      <c r="I200" s="35"/>
      <c r="J200" s="35"/>
      <c r="K200" s="35"/>
      <c r="L200" s="35"/>
      <c r="M200" s="35"/>
      <c r="N200" s="35"/>
      <c r="O200" s="35"/>
      <c r="P200" s="35"/>
      <c r="Q200" s="35"/>
    </row>
    <row r="201" spans="1:17">
      <c r="B201" s="601"/>
      <c r="C201" s="15"/>
      <c r="F201" s="35"/>
      <c r="G201" s="35"/>
      <c r="H201" s="35"/>
      <c r="I201" s="35"/>
      <c r="J201" s="35"/>
      <c r="K201" s="35"/>
      <c r="L201" s="35"/>
      <c r="M201" s="35"/>
      <c r="N201" s="35"/>
      <c r="O201" s="35"/>
      <c r="P201" s="35"/>
      <c r="Q201" s="35"/>
    </row>
    <row r="202" spans="1:17">
      <c r="A202" s="15"/>
      <c r="B202" s="601"/>
      <c r="C202" s="15"/>
      <c r="D202" s="15"/>
      <c r="F202" s="35"/>
      <c r="G202" s="35"/>
      <c r="H202" s="35"/>
      <c r="I202" s="35"/>
      <c r="J202" s="35"/>
      <c r="K202" s="35"/>
      <c r="L202" s="35"/>
      <c r="M202" s="35"/>
      <c r="N202" s="35"/>
      <c r="O202" s="35"/>
      <c r="P202" s="35"/>
      <c r="Q202" s="35"/>
    </row>
    <row r="203" spans="1:17">
      <c r="A203" s="15"/>
      <c r="B203" s="601"/>
      <c r="C203" s="15"/>
      <c r="D203" s="15"/>
      <c r="F203" s="35"/>
      <c r="G203" s="35"/>
      <c r="H203" s="35"/>
      <c r="I203" s="35"/>
      <c r="J203" s="35"/>
      <c r="K203" s="35"/>
      <c r="L203" s="35"/>
      <c r="M203" s="35"/>
      <c r="N203" s="35"/>
      <c r="O203" s="35"/>
      <c r="P203" s="35"/>
      <c r="Q203" s="35"/>
    </row>
    <row r="204" spans="1:17">
      <c r="A204" s="15"/>
      <c r="B204" s="601"/>
      <c r="C204" s="15"/>
      <c r="D204" s="15"/>
      <c r="F204" s="35"/>
      <c r="G204" s="35"/>
      <c r="H204" s="35"/>
      <c r="I204" s="35"/>
      <c r="J204" s="35"/>
      <c r="K204" s="35"/>
      <c r="L204" s="35"/>
      <c r="M204" s="35"/>
      <c r="N204" s="35"/>
      <c r="O204" s="35"/>
      <c r="P204" s="35"/>
      <c r="Q204" s="35"/>
    </row>
    <row r="205" spans="1:17">
      <c r="A205" s="15"/>
      <c r="B205" s="601"/>
      <c r="C205" s="15"/>
      <c r="D205" s="15"/>
      <c r="F205" s="35"/>
      <c r="G205" s="35"/>
      <c r="H205" s="35"/>
      <c r="I205" s="35"/>
      <c r="J205" s="35"/>
      <c r="K205" s="35"/>
      <c r="L205" s="35"/>
      <c r="M205" s="35"/>
      <c r="N205" s="35"/>
      <c r="O205" s="35"/>
      <c r="P205" s="35"/>
      <c r="Q205" s="35"/>
    </row>
    <row r="206" spans="1:17">
      <c r="A206" s="15"/>
      <c r="B206" s="601"/>
      <c r="C206" s="15"/>
      <c r="D206" s="15"/>
      <c r="F206" s="35"/>
      <c r="G206" s="35"/>
      <c r="H206" s="35"/>
      <c r="I206" s="35"/>
      <c r="J206" s="35"/>
      <c r="K206" s="35"/>
      <c r="L206" s="35"/>
      <c r="M206" s="35"/>
      <c r="N206" s="35"/>
      <c r="O206" s="35"/>
      <c r="P206" s="35"/>
      <c r="Q206" s="35"/>
    </row>
    <row r="207" spans="1:17">
      <c r="A207" s="15"/>
      <c r="B207" s="601"/>
      <c r="C207" s="15"/>
      <c r="D207" s="15"/>
      <c r="F207" s="35"/>
      <c r="G207" s="35"/>
      <c r="H207" s="35"/>
      <c r="I207" s="35"/>
      <c r="J207" s="35"/>
      <c r="K207" s="35"/>
      <c r="L207" s="35"/>
      <c r="M207" s="35"/>
      <c r="N207" s="35"/>
      <c r="O207" s="35"/>
      <c r="P207" s="35"/>
      <c r="Q207" s="35"/>
    </row>
    <row r="208" spans="1:17">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68:E68"/>
    <mergeCell ref="C38:E38"/>
    <mergeCell ref="C55:D55"/>
    <mergeCell ref="C51:D51"/>
    <mergeCell ref="C49:D49"/>
    <mergeCell ref="C50:D50"/>
    <mergeCell ref="C42:E42"/>
    <mergeCell ref="C64:E64"/>
    <mergeCell ref="C63:E63"/>
    <mergeCell ref="C48:D48"/>
    <mergeCell ref="C52:D52"/>
    <mergeCell ref="C53:D53"/>
    <mergeCell ref="C54:D54"/>
    <mergeCell ref="C56:D56"/>
    <mergeCell ref="C57:D57"/>
    <mergeCell ref="N1:O1"/>
    <mergeCell ref="E4:I4"/>
    <mergeCell ref="N3:O4"/>
    <mergeCell ref="J3:L3"/>
    <mergeCell ref="J4:L4"/>
    <mergeCell ref="K2:P2"/>
    <mergeCell ref="B75:C75"/>
    <mergeCell ref="K1:L1"/>
    <mergeCell ref="E10:F10"/>
    <mergeCell ref="C16:F16"/>
    <mergeCell ref="K6:L6"/>
    <mergeCell ref="E22:G22"/>
    <mergeCell ref="F23:G23"/>
    <mergeCell ref="H6:I6"/>
    <mergeCell ref="C41:E41"/>
    <mergeCell ref="C62:E62"/>
    <mergeCell ref="C74:E74"/>
    <mergeCell ref="C17:F17"/>
    <mergeCell ref="C19:F19"/>
    <mergeCell ref="C36:E36"/>
    <mergeCell ref="C37:E37"/>
    <mergeCell ref="C73:E73"/>
    <mergeCell ref="C14:F14"/>
    <mergeCell ref="C15:F15"/>
    <mergeCell ref="N6:O6"/>
    <mergeCell ref="F34:G34"/>
    <mergeCell ref="C47:D47"/>
    <mergeCell ref="C40:E40"/>
    <mergeCell ref="C39:E39"/>
    <mergeCell ref="C46:D46"/>
    <mergeCell ref="D25:E25"/>
    <mergeCell ref="D26:E26"/>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70" firstPageNumber="44" orientation="portrait" r:id="rId1"/>
  <headerFooter alignWithMargins="0">
    <oddFooter>&amp;L&amp;11LEL Schwäbisch Gmünd&amp;C57&amp;R&amp;11&amp;F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'SDK5'!$S$214:$S$313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tabColor rgb="FF7030A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428.9462945429143</v>
      </c>
      <c r="K1" s="4855">
        <f>M1-J1</f>
        <v>161.10156953796923</v>
      </c>
      <c r="L1" s="4855"/>
      <c r="M1" s="1874">
        <f>(M7+M13+M18+M22+L11+L12)-(M23+M27+M34+M43+M60+M65+M67+M69+M71+M75)</f>
        <v>590.04786408088353</v>
      </c>
      <c r="N1" s="4855">
        <f>P1-M1</f>
        <v>188.61833823421443</v>
      </c>
      <c r="O1" s="4855"/>
      <c r="P1" s="1874">
        <f>(P7+P13+P18+P22+O11+O12)-(P23+P27+P34+P43+P60+P65+P67+P69+P71+P75)</f>
        <v>778.66620231509796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203</v>
      </c>
      <c r="L2" s="4867"/>
      <c r="M2" s="4867"/>
      <c r="N2" s="4867"/>
      <c r="O2" s="4867"/>
      <c r="P2" s="4867"/>
      <c r="Q2" s="1888">
        <v>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20</v>
      </c>
      <c r="K6" s="4874" t="s">
        <v>152</v>
      </c>
      <c r="L6" s="4875"/>
      <c r="M6" s="1855">
        <v>25</v>
      </c>
      <c r="N6" s="4861" t="s">
        <v>178</v>
      </c>
      <c r="O6" s="4862"/>
      <c r="P6" s="1854">
        <v>30</v>
      </c>
      <c r="Q6" s="70"/>
    </row>
    <row r="7" spans="1:41" s="251" customFormat="1" ht="18.75" customHeight="1">
      <c r="A7" s="47"/>
      <c r="B7" s="305" t="s">
        <v>1202</v>
      </c>
      <c r="C7" s="47"/>
      <c r="D7" s="47"/>
      <c r="E7" s="47"/>
      <c r="F7" s="47"/>
      <c r="G7" s="1852"/>
      <c r="H7" s="1849"/>
      <c r="I7" s="1848"/>
      <c r="J7" s="1582">
        <f>SUM(I9:I10)</f>
        <v>1043.333333333333</v>
      </c>
      <c r="K7" s="1851"/>
      <c r="L7" s="1850"/>
      <c r="M7" s="1585">
        <f>SUM(L9:L10)</f>
        <v>1304.1666666666665</v>
      </c>
      <c r="N7" s="1849"/>
      <c r="O7" s="1848"/>
      <c r="P7" s="1582">
        <f>SUM(O9:O10)</f>
        <v>1564.9999999999998</v>
      </c>
      <c r="Q7" s="38"/>
    </row>
    <row r="8" spans="1:41" s="251" customFormat="1" ht="13.15" customHeight="1">
      <c r="A8" s="47"/>
      <c r="B8" s="1767"/>
      <c r="C8" s="1847"/>
      <c r="D8" s="1847"/>
      <c r="E8" s="1847"/>
      <c r="F8" s="3830"/>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'SDK1'!O31</f>
        <v>52.166666666666657</v>
      </c>
      <c r="H9" s="1845">
        <f>J6-H10</f>
        <v>20</v>
      </c>
      <c r="I9" s="1841">
        <f>H9*G9</f>
        <v>1043.333333333333</v>
      </c>
      <c r="J9" s="43"/>
      <c r="K9" s="1844">
        <f>M6-K10</f>
        <v>25</v>
      </c>
      <c r="L9" s="1843">
        <f>K9*G9</f>
        <v>1304.1666666666665</v>
      </c>
      <c r="M9" s="1822"/>
      <c r="N9" s="1842">
        <f>P6-N10</f>
        <v>30</v>
      </c>
      <c r="O9" s="1841">
        <f>N9*G9</f>
        <v>1564.9999999999998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168</v>
      </c>
      <c r="K23" s="1587"/>
      <c r="L23" s="1586"/>
      <c r="M23" s="1768">
        <f>SUM(L25:L26)</f>
        <v>168</v>
      </c>
      <c r="N23" s="1584"/>
      <c r="O23" s="1583"/>
      <c r="P23" s="1567">
        <f>SUM(O25:O26)</f>
        <v>168</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t="s">
        <v>1217</v>
      </c>
      <c r="E25" s="4879"/>
      <c r="F25" s="1763">
        <v>280</v>
      </c>
      <c r="G25" s="1762">
        <f>F25*(100+$D$24)/100</f>
        <v>280</v>
      </c>
      <c r="H25" s="1761">
        <v>0.6</v>
      </c>
      <c r="I25" s="1722">
        <f>H25*$G25</f>
        <v>168</v>
      </c>
      <c r="J25" s="45"/>
      <c r="K25" s="1761">
        <f>H25</f>
        <v>0.6</v>
      </c>
      <c r="L25" s="1564">
        <f>K25*$G25</f>
        <v>168</v>
      </c>
      <c r="M25" s="1557"/>
      <c r="N25" s="1761">
        <f>H25</f>
        <v>0.6</v>
      </c>
      <c r="O25" s="1722">
        <f>N25*$G25</f>
        <v>168</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230.964</v>
      </c>
      <c r="K27" s="1716"/>
      <c r="L27" s="1715"/>
      <c r="M27" s="1585">
        <f>SUM(L30:L33)</f>
        <v>270.80500000000001</v>
      </c>
      <c r="N27" s="1714"/>
      <c r="O27" s="1713"/>
      <c r="P27" s="1582">
        <f>SUM(O30:O33)</f>
        <v>310.64599999999996</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3.35</v>
      </c>
      <c r="F30" s="1742">
        <f>VLOOKUP(K2,'SD8'!B9:L42,7,FALSE)</f>
        <v>1.19</v>
      </c>
      <c r="G30" s="1741">
        <v>50</v>
      </c>
      <c r="H30" s="1739">
        <f>IF(J$6=0,0,(J$6*$E30+$G30+X14))</f>
        <v>117</v>
      </c>
      <c r="I30" s="1722">
        <f>H30*$D30</f>
        <v>167.54399999999998</v>
      </c>
      <c r="J30" s="45"/>
      <c r="K30" s="1740">
        <f>IF(M$6=0,0,(M$6*$E30+$G30+Y14))</f>
        <v>133.75</v>
      </c>
      <c r="L30" s="1564">
        <f>K30*$D30</f>
        <v>191.53</v>
      </c>
      <c r="M30" s="1557"/>
      <c r="N30" s="1739">
        <f>IF(P$6=0,0,(P$6*$E30+$G30+Z14))</f>
        <v>150.5</v>
      </c>
      <c r="O30" s="1722">
        <f>N30*$D30</f>
        <v>215.51599999999999</v>
      </c>
      <c r="P30" s="1686"/>
      <c r="Q30" s="38"/>
    </row>
    <row r="31" spans="1:26" s="42" customFormat="1" ht="15" customHeight="1">
      <c r="A31" s="1284"/>
      <c r="B31" s="272"/>
      <c r="C31" s="1284" t="s">
        <v>244</v>
      </c>
      <c r="D31" s="1691">
        <f>'SDK1'!O53</f>
        <v>1.05</v>
      </c>
      <c r="E31" s="1742">
        <f>VLOOKUP(K2,'SD8'!B9:L42,4,FALSE)</f>
        <v>1.8</v>
      </c>
      <c r="F31" s="1742">
        <f>VLOOKUP(K2,'SD8'!B9:L42,8,FALSE)</f>
        <v>0.67999999999999994</v>
      </c>
      <c r="G31" s="1741"/>
      <c r="H31" s="1739">
        <f>IF(J$6=0,0,(J$6*$E31+$G31+X15))</f>
        <v>36</v>
      </c>
      <c r="I31" s="1722">
        <f>H31*$D31</f>
        <v>37.800000000000004</v>
      </c>
      <c r="J31" s="45"/>
      <c r="K31" s="1740">
        <f>IF(M$6=0,0,(M$6*$E31+$G31+Y15))</f>
        <v>45</v>
      </c>
      <c r="L31" s="1564">
        <f>K31*$D31</f>
        <v>47.25</v>
      </c>
      <c r="M31" s="1557"/>
      <c r="N31" s="1739">
        <f>IF(P$6=0,0,(P$6*$E31+$G31+Z15))</f>
        <v>54</v>
      </c>
      <c r="O31" s="1722">
        <f>N31*$D31</f>
        <v>56.7</v>
      </c>
      <c r="P31" s="1686"/>
      <c r="Q31" s="38"/>
    </row>
    <row r="32" spans="1:26" s="42" customFormat="1" ht="15" customHeight="1">
      <c r="A32" s="1284"/>
      <c r="B32" s="272"/>
      <c r="C32" s="1284" t="s">
        <v>242</v>
      </c>
      <c r="D32" s="1691">
        <f>'SDK1'!O54</f>
        <v>0.98000000000000009</v>
      </c>
      <c r="E32" s="1742">
        <f>VLOOKUP(K2,'SD8'!B9:L42,5,FALSE)</f>
        <v>1</v>
      </c>
      <c r="F32" s="1742">
        <f>VLOOKUP(K2,'SD8'!B9:L42,9,FALSE)</f>
        <v>4.25</v>
      </c>
      <c r="G32" s="1741"/>
      <c r="H32" s="1739">
        <f>IF(J$6=0,0,(J$6*$E32+$G32+X16))</f>
        <v>20</v>
      </c>
      <c r="I32" s="1722">
        <f>H32*$D32</f>
        <v>19.600000000000001</v>
      </c>
      <c r="J32" s="45"/>
      <c r="K32" s="1740">
        <f>IF(M$6=0,0,(M$6*$E32+$G32+Y16))</f>
        <v>25</v>
      </c>
      <c r="L32" s="1564">
        <f>K32*$D32</f>
        <v>24.500000000000004</v>
      </c>
      <c r="M32" s="1557"/>
      <c r="N32" s="1739">
        <f>IF(P$6=0,0,(P$6*$E32+$G32+Z16))</f>
        <v>30</v>
      </c>
      <c r="O32" s="1722">
        <f>N32*$D32</f>
        <v>29.400000000000002</v>
      </c>
      <c r="P32" s="1686"/>
      <c r="Q32" s="38"/>
    </row>
    <row r="33" spans="1:17" s="42" customFormat="1" ht="15" customHeight="1">
      <c r="A33" s="1284"/>
      <c r="B33" s="239"/>
      <c r="C33" s="1309" t="s">
        <v>240</v>
      </c>
      <c r="D33" s="1674">
        <f>'SDK1'!O55</f>
        <v>0.60200000000000009</v>
      </c>
      <c r="E33" s="1738">
        <f>VLOOKUP(K2,'SD8'!B9:L42,6,FALSE)</f>
        <v>0.5</v>
      </c>
      <c r="F33" s="1738">
        <f>VLOOKUP(K2,'SD8'!B9:L42,10,FALSE)</f>
        <v>0.7</v>
      </c>
      <c r="G33" s="1737"/>
      <c r="H33" s="1735">
        <f>IF(J$6=0,0,(J$6*$E33+$G33+X17))</f>
        <v>10</v>
      </c>
      <c r="I33" s="1718">
        <f>H33*$D33</f>
        <v>6.0200000000000014</v>
      </c>
      <c r="J33" s="45"/>
      <c r="K33" s="1736">
        <f>IF(M$6=0,0,(M$6*$E33+$G33+Y17))</f>
        <v>12.5</v>
      </c>
      <c r="L33" s="1558">
        <f>K33*$D33</f>
        <v>7.5250000000000012</v>
      </c>
      <c r="M33" s="1557"/>
      <c r="N33" s="1735">
        <f>IF(P$6=0,0,(P$6*$E33+$G33+Z17))</f>
        <v>15</v>
      </c>
      <c r="O33" s="1718">
        <f>N33*$D33</f>
        <v>9.0300000000000011</v>
      </c>
      <c r="P33" s="1717"/>
      <c r="Q33" s="38"/>
    </row>
    <row r="34" spans="1:17" s="686" customFormat="1" ht="18.75" customHeight="1">
      <c r="A34" s="1248"/>
      <c r="B34" s="1254" t="s">
        <v>1178</v>
      </c>
      <c r="C34" s="1248"/>
      <c r="D34" s="37"/>
      <c r="E34" s="37"/>
      <c r="F34" s="4876" t="s">
        <v>1177</v>
      </c>
      <c r="G34" s="4877"/>
      <c r="H34" s="1732"/>
      <c r="I34" s="1731"/>
      <c r="J34" s="1582">
        <f>SUM(I36:I42)</f>
        <v>205.95999999999998</v>
      </c>
      <c r="K34" s="1734"/>
      <c r="L34" s="1733"/>
      <c r="M34" s="1585">
        <f>SUM(L36:L42)</f>
        <v>226.73999999999998</v>
      </c>
      <c r="N34" s="1732"/>
      <c r="O34" s="1731"/>
      <c r="P34" s="1582">
        <f>SUM(O36:O42)</f>
        <v>226.73999999999998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2128</v>
      </c>
      <c r="D36" s="4884"/>
      <c r="E36" s="4885"/>
      <c r="F36" s="1724">
        <f>IF(C36="",0,VLOOKUP(C36,'SDK5'!C1:AF83,2,FALSE))</f>
        <v>54.6</v>
      </c>
      <c r="G36" s="1724">
        <f>F36*(100+$D$35)/100</f>
        <v>54.6</v>
      </c>
      <c r="H36" s="1723">
        <v>2</v>
      </c>
      <c r="I36" s="1722">
        <f>$G36*H36</f>
        <v>109.2</v>
      </c>
      <c r="J36" s="45"/>
      <c r="K36" s="1723">
        <v>2</v>
      </c>
      <c r="L36" s="1564">
        <f t="shared" ref="L36:L42" si="0">$G36*K36</f>
        <v>109.2</v>
      </c>
      <c r="M36" s="1557"/>
      <c r="N36" s="1723">
        <v>2</v>
      </c>
      <c r="O36" s="1722">
        <f t="shared" ref="O36:O42" si="1">$G36*N36</f>
        <v>109.2</v>
      </c>
      <c r="P36" s="1726"/>
      <c r="Q36" s="38"/>
    </row>
    <row r="37" spans="1:17" s="42" customFormat="1" ht="15" customHeight="1">
      <c r="A37" s="1284"/>
      <c r="B37" s="1562"/>
      <c r="C37" s="4870" t="s">
        <v>636</v>
      </c>
      <c r="D37" s="4870"/>
      <c r="E37" s="4871"/>
      <c r="F37" s="1724">
        <f>IF(C37="",0,VLOOKUP(C37,'SDK5'!C4:AF84,2,FALSE))</f>
        <v>31.6</v>
      </c>
      <c r="G37" s="1724">
        <f t="shared" ref="G37:G42" si="2">F37*(100+$D$35)/100</f>
        <v>31.6</v>
      </c>
      <c r="H37" s="1723">
        <v>0.6</v>
      </c>
      <c r="I37" s="1722">
        <f t="shared" ref="I37:I42" si="3">$G37*H37</f>
        <v>18.96</v>
      </c>
      <c r="J37" s="45"/>
      <c r="K37" s="1723">
        <v>0.6</v>
      </c>
      <c r="L37" s="1564">
        <f t="shared" si="0"/>
        <v>18.96</v>
      </c>
      <c r="M37" s="1557"/>
      <c r="N37" s="1723">
        <v>0.6</v>
      </c>
      <c r="O37" s="1722">
        <f t="shared" si="1"/>
        <v>18.96</v>
      </c>
      <c r="P37" s="1686"/>
      <c r="Q37" s="38"/>
    </row>
    <row r="38" spans="1:17" s="42" customFormat="1" ht="15" customHeight="1">
      <c r="A38" s="1284"/>
      <c r="B38" s="1725"/>
      <c r="C38" s="4870" t="s">
        <v>595</v>
      </c>
      <c r="D38" s="4870"/>
      <c r="E38" s="4871"/>
      <c r="F38" s="1724">
        <f>IF(C38="",0,VLOOKUP(C38,'SDK5'!C5:AF85,2,FALSE))</f>
        <v>77.8</v>
      </c>
      <c r="G38" s="1724">
        <f t="shared" si="2"/>
        <v>77.8</v>
      </c>
      <c r="H38" s="1723">
        <v>1</v>
      </c>
      <c r="I38" s="1722">
        <f t="shared" si="3"/>
        <v>77.8</v>
      </c>
      <c r="J38" s="45"/>
      <c r="K38" s="1723">
        <v>1</v>
      </c>
      <c r="L38" s="1564">
        <f t="shared" si="0"/>
        <v>77.8</v>
      </c>
      <c r="M38" s="1557"/>
      <c r="N38" s="1723">
        <v>1</v>
      </c>
      <c r="O38" s="1722">
        <f t="shared" si="1"/>
        <v>77.8</v>
      </c>
      <c r="P38" s="1686"/>
      <c r="Q38" s="38"/>
    </row>
    <row r="39" spans="1:17" s="42" customFormat="1" ht="15" customHeight="1">
      <c r="A39" s="1284"/>
      <c r="B39" s="1562"/>
      <c r="C39" s="4870" t="s">
        <v>2027</v>
      </c>
      <c r="D39" s="4870"/>
      <c r="E39" s="4871"/>
      <c r="F39" s="1724">
        <f>IF(C39="",0,VLOOKUP(C39,'SDK5'!C6:AF86,2,FALSE))</f>
        <v>103.9</v>
      </c>
      <c r="G39" s="1724">
        <f t="shared" si="2"/>
        <v>103.9</v>
      </c>
      <c r="H39" s="1723"/>
      <c r="I39" s="1722">
        <f t="shared" si="3"/>
        <v>0</v>
      </c>
      <c r="J39" s="45"/>
      <c r="K39" s="1723">
        <v>0.2</v>
      </c>
      <c r="L39" s="1564">
        <f t="shared" si="0"/>
        <v>20.78</v>
      </c>
      <c r="M39" s="1557"/>
      <c r="N39" s="1723">
        <v>0.2</v>
      </c>
      <c r="O39" s="1722">
        <f t="shared" si="1"/>
        <v>20.78</v>
      </c>
      <c r="P39" s="1686"/>
      <c r="Q39" s="38"/>
    </row>
    <row r="40" spans="1:17" s="42" customFormat="1" ht="15" customHeight="1">
      <c r="A40" s="1284"/>
      <c r="B40" s="1562"/>
      <c r="C40" s="4870"/>
      <c r="D40" s="4870"/>
      <c r="E40" s="4871"/>
      <c r="F40" s="1724">
        <f>IF(C40="",0,VLOOKUP(C40,'SDK5'!C7:AF87,2,FALSE))</f>
        <v>0</v>
      </c>
      <c r="G40" s="1724">
        <f t="shared" si="2"/>
        <v>0</v>
      </c>
      <c r="H40" s="1723"/>
      <c r="I40" s="1722">
        <f t="shared" si="3"/>
        <v>0</v>
      </c>
      <c r="J40" s="45"/>
      <c r="K40" s="1723"/>
      <c r="L40" s="1564">
        <f t="shared" si="0"/>
        <v>0</v>
      </c>
      <c r="M40" s="1557"/>
      <c r="N40" s="1723"/>
      <c r="O40" s="1722">
        <f t="shared" si="1"/>
        <v>0</v>
      </c>
      <c r="P40" s="1686"/>
      <c r="Q40" s="38"/>
    </row>
    <row r="41" spans="1:17" s="42" customFormat="1" ht="15" customHeight="1">
      <c r="A41" s="1284"/>
      <c r="B41" s="1562"/>
      <c r="C41" s="4870"/>
      <c r="D41" s="4870"/>
      <c r="E41" s="4871"/>
      <c r="F41" s="1724">
        <f>IF(C41="",0,VLOOKUP(C41,'SDK5'!C8:AF88,2,FALSE))</f>
        <v>0</v>
      </c>
      <c r="G41" s="1724">
        <f t="shared" si="2"/>
        <v>0</v>
      </c>
      <c r="H41" s="1723"/>
      <c r="I41" s="1722">
        <f t="shared" si="3"/>
        <v>0</v>
      </c>
      <c r="J41" s="45"/>
      <c r="K41" s="1723"/>
      <c r="L41" s="1564">
        <f t="shared" si="0"/>
        <v>0</v>
      </c>
      <c r="M41" s="1557"/>
      <c r="N41" s="1723"/>
      <c r="O41" s="1722">
        <f t="shared" si="1"/>
        <v>0</v>
      </c>
      <c r="P41" s="1686"/>
      <c r="Q41" s="38"/>
    </row>
    <row r="42" spans="1:17" s="42" customFormat="1" ht="15" customHeight="1">
      <c r="A42" s="1284"/>
      <c r="B42" s="1721"/>
      <c r="C42" s="4856"/>
      <c r="D42" s="4856"/>
      <c r="E42" s="4857"/>
      <c r="F42" s="1724">
        <f>IF(C42="",0,VLOOKUP(C42,'SDK5'!C9:AF89,2,FALSE))</f>
        <v>0</v>
      </c>
      <c r="G42" s="1720">
        <f t="shared" si="2"/>
        <v>0</v>
      </c>
      <c r="H42" s="1719"/>
      <c r="I42" s="1718">
        <f t="shared" si="3"/>
        <v>0</v>
      </c>
      <c r="J42" s="45"/>
      <c r="K42" s="1719"/>
      <c r="L42" s="1558">
        <f t="shared" si="0"/>
        <v>0</v>
      </c>
      <c r="M42" s="1557"/>
      <c r="N42" s="1719"/>
      <c r="O42" s="1718">
        <f t="shared" si="1"/>
        <v>0</v>
      </c>
      <c r="P42" s="1717"/>
      <c r="Q42" s="38"/>
    </row>
    <row r="43" spans="1:17" s="686" customFormat="1" ht="18.75" customHeight="1">
      <c r="A43" s="1248"/>
      <c r="B43" s="1254" t="s">
        <v>1175</v>
      </c>
      <c r="C43" s="1248"/>
      <c r="D43" s="1248"/>
      <c r="E43" s="1248"/>
      <c r="F43" s="1248"/>
      <c r="G43" s="1588"/>
      <c r="H43" s="1714"/>
      <c r="I43" s="1713"/>
      <c r="J43" s="1582">
        <f>SUM(J46:J57)</f>
        <v>148.15849026047056</v>
      </c>
      <c r="K43" s="1716"/>
      <c r="L43" s="1715"/>
      <c r="M43" s="1585">
        <f>SUM(M46:M57)</f>
        <v>155.62919126964704</v>
      </c>
      <c r="N43" s="1714"/>
      <c r="O43" s="1713"/>
      <c r="P43" s="1582">
        <f>SUM(P46:P57)</f>
        <v>156.59053489411764</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82" t="s">
        <v>462</v>
      </c>
      <c r="D46" s="4883"/>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2</v>
      </c>
      <c r="L48" s="1690">
        <f t="shared" si="6"/>
        <v>0.74</v>
      </c>
      <c r="M48" s="1689">
        <f t="shared" si="7"/>
        <v>8.5561707976470576</v>
      </c>
      <c r="N48" s="1688">
        <v>2</v>
      </c>
      <c r="O48" s="1687">
        <f t="shared" si="8"/>
        <v>0.74</v>
      </c>
      <c r="P48" s="1686">
        <f t="shared" si="9"/>
        <v>8.5561707976470576</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4</v>
      </c>
      <c r="L49" s="1690">
        <f t="shared" si="6"/>
        <v>1.56</v>
      </c>
      <c r="M49" s="1689">
        <f t="shared" si="7"/>
        <v>26.037429538823528</v>
      </c>
      <c r="N49" s="1688">
        <v>4</v>
      </c>
      <c r="O49" s="1687">
        <f t="shared" si="8"/>
        <v>1.56</v>
      </c>
      <c r="P49" s="1686">
        <f t="shared" si="9"/>
        <v>26.037429538823528</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0.3</v>
      </c>
      <c r="I50" s="1687">
        <f t="shared" si="4"/>
        <v>0.16800000000000001</v>
      </c>
      <c r="J50" s="1686">
        <f t="shared" si="5"/>
        <v>2.8840308734117639</v>
      </c>
      <c r="K50" s="1688">
        <v>0.4</v>
      </c>
      <c r="L50" s="1690">
        <f t="shared" si="6"/>
        <v>0.22400000000000003</v>
      </c>
      <c r="M50" s="1689">
        <f t="shared" si="7"/>
        <v>3.8453744978823523</v>
      </c>
      <c r="N50" s="1688">
        <v>0.5</v>
      </c>
      <c r="O50" s="1687">
        <f t="shared" si="8"/>
        <v>0.28000000000000003</v>
      </c>
      <c r="P50" s="1686">
        <f t="shared" si="9"/>
        <v>4.8067181223529403</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5.3580000000000005</v>
      </c>
      <c r="J58" s="1669"/>
      <c r="K58" s="1668"/>
      <c r="L58" s="1667">
        <f>SUM($L$46:$L$57)</f>
        <v>5.8040000000000012</v>
      </c>
      <c r="M58" s="1666"/>
      <c r="N58" s="1665"/>
      <c r="O58" s="1664">
        <f>SUM($O$46:$O$57)</f>
        <v>5.8600000000000012</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9.644400000000001</v>
      </c>
      <c r="J59" s="1654"/>
      <c r="K59" s="1659"/>
      <c r="L59" s="1658">
        <f>IF(L58+SUM($L$46:$L$57)*$E$59%&gt;L58+10,L58+10,L58+SUM($L$46:$L$57)*$E$59%)</f>
        <v>10.447200000000002</v>
      </c>
      <c r="M59" s="1657"/>
      <c r="N59" s="1656"/>
      <c r="O59" s="1655">
        <f>IF(O58+SUM($O$46:$O$57)*$E$59%&gt;O58+10,O58+10,O58+SUM($O$46:$O$57)*$E$59%)</f>
        <v>10.548000000000002</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330</v>
      </c>
      <c r="D62" s="4860"/>
      <c r="E62" s="4860"/>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78.400000000000006</v>
      </c>
      <c r="K67" s="1609" t="s">
        <v>1161</v>
      </c>
      <c r="L67" s="1608" t="s">
        <v>1160</v>
      </c>
      <c r="M67" s="1585">
        <f>S68*(K9+K10)*L68%+F68</f>
        <v>98.000000000000014</v>
      </c>
      <c r="N67" s="1607" t="s">
        <v>1161</v>
      </c>
      <c r="O67" s="1606" t="s">
        <v>1160</v>
      </c>
      <c r="P67" s="1582">
        <f>T68*(N9+N10)*O68%+F68</f>
        <v>117.60000000000001</v>
      </c>
      <c r="Q67" s="38"/>
    </row>
    <row r="68" spans="1:20" s="686" customFormat="1" ht="15" customHeight="1">
      <c r="A68" s="1248"/>
      <c r="B68" s="1605"/>
      <c r="C68" s="4888" t="s">
        <v>1159</v>
      </c>
      <c r="D68" s="4888"/>
      <c r="E68" s="4888"/>
      <c r="F68" s="1604"/>
      <c r="G68" s="1595" t="s">
        <v>171</v>
      </c>
      <c r="H68" s="1602">
        <v>11</v>
      </c>
      <c r="I68" s="1601">
        <v>100</v>
      </c>
      <c r="J68" s="1600"/>
      <c r="K68" s="1602">
        <v>11</v>
      </c>
      <c r="L68" s="1601">
        <v>100</v>
      </c>
      <c r="M68" s="1603"/>
      <c r="N68" s="1602">
        <v>11</v>
      </c>
      <c r="O68" s="1601">
        <v>100</v>
      </c>
      <c r="P68" s="1600"/>
      <c r="Q68" s="38"/>
      <c r="R68" s="1599">
        <f>IF($H$68=0,0,VLOOKUP($H$68,'SD6'!J8:K156,'SD6'!$I$1,FALSE))*(1+'SDK1'!O11/100)</f>
        <v>3.9200000000000004</v>
      </c>
      <c r="S68" s="1599">
        <f>IF($K$68=0,0,VLOOKUP($K$68,'SD6'!J8:K156,'SD6'!I1,FALSE))*(1+'SDK1'!O11/100)</f>
        <v>3.9200000000000004</v>
      </c>
      <c r="T68" s="1599">
        <f>IF($N$68=0,0,VLOOKUP($N$68,'SD6'!J8:K156,'SD6'!I1,FALSE))*(1+'SDK1'!O11/100)</f>
        <v>3.9200000000000004</v>
      </c>
    </row>
    <row r="69" spans="1:20" s="686" customFormat="1" ht="18.75" customHeight="1">
      <c r="A69" s="1248"/>
      <c r="B69" s="1254" t="s">
        <v>1158</v>
      </c>
      <c r="C69" s="1248"/>
      <c r="D69" s="1248"/>
      <c r="E69" s="38"/>
      <c r="F69" s="38"/>
      <c r="G69" s="1588"/>
      <c r="H69" s="44"/>
      <c r="I69" s="73"/>
      <c r="J69" s="1582">
        <f>H70*$F70/1000</f>
        <v>44.863333333333323</v>
      </c>
      <c r="K69" s="1598"/>
      <c r="L69" s="1597"/>
      <c r="M69" s="1585">
        <f>K70*$F70/1000</f>
        <v>56.079166666666659</v>
      </c>
      <c r="N69" s="44"/>
      <c r="O69" s="73"/>
      <c r="P69" s="1582">
        <f>N70*$F70/1000</f>
        <v>67.294999999999987</v>
      </c>
      <c r="Q69" s="38"/>
    </row>
    <row r="70" spans="1:20" s="686" customFormat="1" ht="15" customHeight="1">
      <c r="A70" s="1248"/>
      <c r="B70" s="1310"/>
      <c r="C70" s="1309" t="s">
        <v>840</v>
      </c>
      <c r="D70" s="346"/>
      <c r="E70" s="278"/>
      <c r="F70" s="1596">
        <f>'SDK7'!G105</f>
        <v>43</v>
      </c>
      <c r="G70" s="1595" t="s">
        <v>171</v>
      </c>
      <c r="H70" s="1591">
        <f>I9+I10</f>
        <v>1043.333333333333</v>
      </c>
      <c r="I70" s="1590"/>
      <c r="J70" s="1589"/>
      <c r="K70" s="1594">
        <f>L9+L10</f>
        <v>1304.1666666666665</v>
      </c>
      <c r="L70" s="1593"/>
      <c r="M70" s="1592"/>
      <c r="N70" s="1591">
        <f>O9+O10</f>
        <v>1564.9999999999998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8.8412151966150319</v>
      </c>
      <c r="K75" s="689"/>
      <c r="L75" s="1034"/>
      <c r="M75" s="1546">
        <f>(M23+M27+M34+M43+M60+M65+M67+M69+M71)*('SDK1'!$O$59%*$G$75/12)</f>
        <v>9.6654446494692827</v>
      </c>
      <c r="N75" s="1548"/>
      <c r="O75" s="1547"/>
      <c r="P75" s="1546">
        <f>(P23+P27+P34+P43+P60+P65+P67+P69+P71)*('SDK1'!$O$59%*$G$75/12)</f>
        <v>10.262262790784312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6" orientation="portrait" r:id="rId1"/>
  <headerFooter alignWithMargins="0">
    <oddFooter>&amp;L&amp;11LEL Schwäbisch Gmünd&amp;C59&amp;R&amp;11&amp;F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'SDK5'!$T$214:$T$313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4">
    <tabColor theme="8" tint="0.39997558519241921"/>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33" width="10.5" style="35" customWidth="1"/>
    <col min="34" max="16384" width="10.5" style="35"/>
  </cols>
  <sheetData>
    <row r="1" spans="1:41" s="1859" customFormat="1" ht="30.4" customHeight="1">
      <c r="A1" s="1863"/>
      <c r="B1" s="319"/>
      <c r="C1" s="1876"/>
      <c r="D1" s="1795"/>
      <c r="E1" s="316"/>
      <c r="F1" s="316"/>
      <c r="G1" s="585"/>
      <c r="H1" s="1870"/>
      <c r="I1" s="1875" t="s">
        <v>1207</v>
      </c>
      <c r="J1" s="1874">
        <f>(J7+J13+J18+J22+I11+I12)-(J23+J27+J34+J43+J60+J65+J67+J69+J71+J75)</f>
        <v>546.36938526810752</v>
      </c>
      <c r="K1" s="4855">
        <f>M1-J1</f>
        <v>307.92362791287303</v>
      </c>
      <c r="L1" s="4855"/>
      <c r="M1" s="1874">
        <f>(M7+M13+M18+M22+L11+L12)-(M23+M27+M34+M43+M60+M65+M67+M69+M71+M75)</f>
        <v>854.29301318098055</v>
      </c>
      <c r="N1" s="4855">
        <f>P1-M1</f>
        <v>307.92362791287314</v>
      </c>
      <c r="O1" s="4855"/>
      <c r="P1" s="1874">
        <f>(P7+P13+P18+P22+O11+O12)-(P23+P27+P34+P43+P60+P65+P67+P69+P71+P75)</f>
        <v>1162.2166410938537</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201</v>
      </c>
      <c r="L2" s="4867"/>
      <c r="M2" s="4867"/>
      <c r="N2" s="4867"/>
      <c r="O2" s="4867"/>
      <c r="P2" s="4867"/>
      <c r="Q2" s="1888">
        <v>0</v>
      </c>
    </row>
    <row r="3" spans="1:41" s="1859" customFormat="1" ht="21.75" customHeight="1">
      <c r="A3" s="1863"/>
      <c r="B3" s="1887"/>
      <c r="H3" s="1870"/>
      <c r="J3" s="4863"/>
      <c r="K3" s="4909"/>
      <c r="L3" s="4909"/>
      <c r="M3" s="1911"/>
      <c r="N3" s="4910"/>
      <c r="O3" s="4911"/>
      <c r="P3" s="1868"/>
      <c r="Q3" s="1863"/>
      <c r="T3" s="1886" t="b">
        <v>0</v>
      </c>
    </row>
    <row r="4" spans="1:41" s="1859" customFormat="1" ht="20.25" customHeight="1">
      <c r="A4" s="1863"/>
      <c r="B4" s="370" t="s">
        <v>1098</v>
      </c>
      <c r="C4" s="35"/>
      <c r="D4" s="35"/>
      <c r="E4" s="4898" t="s">
        <v>1211</v>
      </c>
      <c r="F4" s="4898"/>
      <c r="G4" s="4898"/>
      <c r="H4" s="4898"/>
      <c r="I4" s="4898"/>
      <c r="J4" s="4863"/>
      <c r="K4" s="4909"/>
      <c r="L4" s="4909"/>
      <c r="M4" s="1910"/>
      <c r="N4" s="4911"/>
      <c r="O4" s="4911"/>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20</v>
      </c>
      <c r="K6" s="4874" t="s">
        <v>152</v>
      </c>
      <c r="L6" s="4875"/>
      <c r="M6" s="1855">
        <v>27</v>
      </c>
      <c r="N6" s="4861" t="s">
        <v>178</v>
      </c>
      <c r="O6" s="4862"/>
      <c r="P6" s="1854">
        <v>34</v>
      </c>
      <c r="Q6" s="70"/>
    </row>
    <row r="7" spans="1:41" s="251" customFormat="1" ht="18.75" customHeight="1">
      <c r="A7" s="47"/>
      <c r="B7" s="305" t="s">
        <v>1202</v>
      </c>
      <c r="C7" s="47"/>
      <c r="D7" s="47"/>
      <c r="E7" s="47"/>
      <c r="F7" s="47"/>
      <c r="G7" s="1852"/>
      <c r="H7" s="1849"/>
      <c r="I7" s="1848"/>
      <c r="J7" s="1582">
        <f>SUM(I9:I10)</f>
        <v>1046.666666666667</v>
      </c>
      <c r="K7" s="1851"/>
      <c r="L7" s="1850"/>
      <c r="M7" s="1585">
        <f>SUM(L9:L10)</f>
        <v>1413.0000000000002</v>
      </c>
      <c r="N7" s="1849"/>
      <c r="O7" s="1848"/>
      <c r="P7" s="1582">
        <f>SUM(O9:O10)</f>
        <v>1779.3333333333337</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'SDK1'!O33</f>
        <v>52.333333333333343</v>
      </c>
      <c r="H9" s="1845">
        <f>J6-H10</f>
        <v>20</v>
      </c>
      <c r="I9" s="1841">
        <f>H9*G9</f>
        <v>1046.666666666667</v>
      </c>
      <c r="J9" s="43"/>
      <c r="K9" s="1844">
        <f>M6-K10</f>
        <v>27</v>
      </c>
      <c r="L9" s="1843">
        <f>K9*G9</f>
        <v>1413.0000000000002</v>
      </c>
      <c r="M9" s="1822"/>
      <c r="N9" s="1842">
        <f>P6-N10</f>
        <v>34</v>
      </c>
      <c r="O9" s="1841">
        <f>N9*G9</f>
        <v>1779.3333333333337</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3909">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340</v>
      </c>
      <c r="K23" s="1587"/>
      <c r="L23" s="1586"/>
      <c r="M23" s="1768">
        <f>SUM(L25:L26)</f>
        <v>340</v>
      </c>
      <c r="N23" s="1584"/>
      <c r="O23" s="1583"/>
      <c r="P23" s="1567">
        <f>SUM(O25:O26)</f>
        <v>340</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'SDK7'!F65</f>
        <v>85</v>
      </c>
      <c r="G25" s="1762">
        <f>F25*(100+$D$24)/100</f>
        <v>85</v>
      </c>
      <c r="H25" s="1761">
        <v>4</v>
      </c>
      <c r="I25" s="1722">
        <f>H25*$G25</f>
        <v>340</v>
      </c>
      <c r="J25" s="45"/>
      <c r="K25" s="1761">
        <v>4</v>
      </c>
      <c r="L25" s="1564">
        <f>K25*$G25</f>
        <v>340</v>
      </c>
      <c r="M25" s="1557"/>
      <c r="N25" s="1761">
        <v>4</v>
      </c>
      <c r="O25" s="1722">
        <f>N25*$G25</f>
        <v>340</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47.281600000000026</v>
      </c>
      <c r="K27" s="1716"/>
      <c r="L27" s="1715"/>
      <c r="M27" s="1585">
        <f>SUM(L30:L33)</f>
        <v>63.830160000000021</v>
      </c>
      <c r="N27" s="1714"/>
      <c r="O27" s="1713"/>
      <c r="P27" s="1582">
        <f>SUM(O30:O33)</f>
        <v>80.378720000000044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-0.89999999999999947</v>
      </c>
      <c r="F30" s="1742">
        <f>VLOOKUP(K2,'SD8'!B9:L42,7,FALSE)</f>
        <v>1.5</v>
      </c>
      <c r="G30" s="1741"/>
      <c r="H30" s="1739">
        <f>IF(J$6=0,0,(J$6*$E30+$G30+X14))</f>
        <v>-17.999999999999989</v>
      </c>
      <c r="I30" s="1722">
        <f>H30*$D30</f>
        <v>-25.775999999999982</v>
      </c>
      <c r="J30" s="45"/>
      <c r="K30" s="1740">
        <f>IF(M$6=0,0,(M$6*$E30+$G30+Y14))</f>
        <v>-24.299999999999986</v>
      </c>
      <c r="L30" s="1564">
        <f>K30*$D30</f>
        <v>-34.797599999999981</v>
      </c>
      <c r="M30" s="1557"/>
      <c r="N30" s="1739">
        <f>IF(P$6=0,0,(P$6*$E30+$G30+Z14))</f>
        <v>-30.59999999999998</v>
      </c>
      <c r="O30" s="1722">
        <f>N30*$D30</f>
        <v>-43.819199999999967</v>
      </c>
      <c r="P30" s="1686"/>
      <c r="Q30" s="38"/>
    </row>
    <row r="31" spans="1:26" s="42" customFormat="1" ht="15" customHeight="1">
      <c r="A31" s="1284"/>
      <c r="B31" s="272"/>
      <c r="C31" s="1284" t="s">
        <v>244</v>
      </c>
      <c r="D31" s="1691">
        <f>'SDK1'!O53</f>
        <v>1.05</v>
      </c>
      <c r="E31" s="1742">
        <f>VLOOKUP(K2,'SD8'!B9:L42,4,FALSE)</f>
        <v>1.5</v>
      </c>
      <c r="F31" s="1742">
        <f>VLOOKUP(K2,'SD8'!B9:L42,8,FALSE)</f>
        <v>0.30000000000000004</v>
      </c>
      <c r="G31" s="1741"/>
      <c r="H31" s="1739">
        <f>IF(J$6=0,0,(J$6*$E31+$G31+X15))</f>
        <v>30</v>
      </c>
      <c r="I31" s="1722">
        <f>H31*$D31</f>
        <v>31.5</v>
      </c>
      <c r="J31" s="45"/>
      <c r="K31" s="1740">
        <f>IF(M$6=0,0,(M$6*$E31+$G31+Y15))</f>
        <v>40.5</v>
      </c>
      <c r="L31" s="1564">
        <f>K31*$D31</f>
        <v>42.524999999999999</v>
      </c>
      <c r="M31" s="1557"/>
      <c r="N31" s="1739">
        <f>IF(P$6=0,0,(P$6*$E31+$G31+Z15))</f>
        <v>51</v>
      </c>
      <c r="O31" s="1722">
        <f>N31*$D31</f>
        <v>53.550000000000004</v>
      </c>
      <c r="P31" s="1686"/>
      <c r="Q31" s="38"/>
    </row>
    <row r="32" spans="1:26" s="42" customFormat="1" ht="15" customHeight="1">
      <c r="A32" s="1284"/>
      <c r="B32" s="272"/>
      <c r="C32" s="1284" t="s">
        <v>242</v>
      </c>
      <c r="D32" s="1691">
        <f>'SDK1'!O54</f>
        <v>0.98000000000000009</v>
      </c>
      <c r="E32" s="1742">
        <f>VLOOKUP(K2,'SD8'!B9:L42,5,FALSE)</f>
        <v>1.9359999999999999</v>
      </c>
      <c r="F32" s="1742">
        <f>VLOOKUP(K2,'SD8'!B9:L42,9,FALSE)</f>
        <v>3.2839999999999998</v>
      </c>
      <c r="G32" s="1741"/>
      <c r="H32" s="1739">
        <f>IF(J$6=0,0,(J$6*$E32+$G32+X16))</f>
        <v>38.72</v>
      </c>
      <c r="I32" s="1722">
        <f>H32*$D32</f>
        <v>37.945600000000006</v>
      </c>
      <c r="J32" s="45"/>
      <c r="K32" s="1740">
        <f>IF(M$6=0,0,(M$6*$E32+$G32+Y16))</f>
        <v>52.271999999999998</v>
      </c>
      <c r="L32" s="1564">
        <f>K32*$D32</f>
        <v>51.226560000000006</v>
      </c>
      <c r="M32" s="1557"/>
      <c r="N32" s="1739">
        <f>IF(P$6=0,0,(P$6*$E32+$G32+Z16))</f>
        <v>65.823999999999998</v>
      </c>
      <c r="O32" s="1722">
        <f>N32*$D32</f>
        <v>64.50752</v>
      </c>
      <c r="P32" s="1686"/>
      <c r="Q32" s="38"/>
    </row>
    <row r="33" spans="1:17" s="42" customFormat="1" ht="15" customHeight="1">
      <c r="A33" s="1284"/>
      <c r="B33" s="239"/>
      <c r="C33" s="1309" t="s">
        <v>240</v>
      </c>
      <c r="D33" s="1674">
        <f>'SDK1'!O55</f>
        <v>0.60200000000000009</v>
      </c>
      <c r="E33" s="1738">
        <f>VLOOKUP(K2,'SD8'!B9:L42,6,FALSE)</f>
        <v>0.3</v>
      </c>
      <c r="F33" s="1738">
        <f>VLOOKUP(K2,'SD8'!B9:L42,10,FALSE)</f>
        <v>0.66999999999999993</v>
      </c>
      <c r="G33" s="1737"/>
      <c r="H33" s="1735">
        <f>IF(J$6=0,0,(J$6*$E33+$G33+X17))</f>
        <v>6</v>
      </c>
      <c r="I33" s="1718">
        <f>H33*$D33</f>
        <v>3.6120000000000005</v>
      </c>
      <c r="J33" s="45"/>
      <c r="K33" s="1736">
        <f>IF(M$6=0,0,(M$6*$E33+$G33+Y17))</f>
        <v>8.1</v>
      </c>
      <c r="L33" s="1558">
        <f>K33*$D33</f>
        <v>4.8762000000000008</v>
      </c>
      <c r="M33" s="1557"/>
      <c r="N33" s="1735">
        <f>IF(P$6=0,0,(P$6*$E33+$G33+Z17))</f>
        <v>10.199999999999999</v>
      </c>
      <c r="O33" s="1718">
        <f>N33*$D33</f>
        <v>6.1404000000000005</v>
      </c>
      <c r="P33" s="1717"/>
      <c r="Q33" s="38"/>
    </row>
    <row r="34" spans="1:17" s="686" customFormat="1" ht="18.75" customHeight="1">
      <c r="A34" s="1248"/>
      <c r="B34" s="1254" t="s">
        <v>1178</v>
      </c>
      <c r="C34" s="1248"/>
      <c r="D34" s="37"/>
      <c r="E34" s="37"/>
      <c r="F34" s="4876" t="s">
        <v>1177</v>
      </c>
      <c r="G34" s="4877"/>
      <c r="H34" s="1732"/>
      <c r="I34" s="1731"/>
      <c r="J34" s="1582">
        <f>SUM(I36:I42)</f>
        <v>92.425000000000011</v>
      </c>
      <c r="K34" s="1734"/>
      <c r="L34" s="1733"/>
      <c r="M34" s="1585">
        <f>SUM(L36:L42)</f>
        <v>92.425000000000011</v>
      </c>
      <c r="N34" s="1732"/>
      <c r="O34" s="1731"/>
      <c r="P34" s="1582">
        <f>SUM(O36:O42)</f>
        <v>92.425000000000011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605</v>
      </c>
      <c r="D36" s="4884"/>
      <c r="E36" s="4885"/>
      <c r="F36" s="1724">
        <f>IF(C36="",0,VLOOKUP(C36,'SDK5'!C3:AF83,2,FALSE))</f>
        <v>62.8</v>
      </c>
      <c r="G36" s="1724">
        <f t="shared" ref="G36:G42" si="0">F36*(100+$D$35)/100</f>
        <v>62.8</v>
      </c>
      <c r="H36" s="1917">
        <v>0.3</v>
      </c>
      <c r="I36" s="1722">
        <f t="shared" ref="I36:I42" si="1">$G36*H36</f>
        <v>18.84</v>
      </c>
      <c r="J36" s="45"/>
      <c r="K36" s="1917">
        <v>0.3</v>
      </c>
      <c r="L36" s="1564">
        <f t="shared" ref="L36:L42" si="2">$G36*K36</f>
        <v>18.84</v>
      </c>
      <c r="M36" s="1557"/>
      <c r="N36" s="1917">
        <v>0.3</v>
      </c>
      <c r="O36" s="1722">
        <f t="shared" ref="O36:O42" si="3">$G36*N36</f>
        <v>18.84</v>
      </c>
      <c r="P36" s="1726"/>
      <c r="Q36" s="38"/>
    </row>
    <row r="37" spans="1:17" s="42" customFormat="1" ht="15" customHeight="1">
      <c r="A37" s="1284"/>
      <c r="B37" s="1562"/>
      <c r="C37" s="4870" t="s">
        <v>1925</v>
      </c>
      <c r="D37" s="4870"/>
      <c r="E37" s="4871"/>
      <c r="F37" s="1724">
        <f>IF(C37="",0,VLOOKUP(C37,'SDK5'!C4:AF84,2,FALSE))</f>
        <v>38.700000000000003</v>
      </c>
      <c r="G37" s="1724">
        <f t="shared" si="0"/>
        <v>38.700000000000003</v>
      </c>
      <c r="H37" s="1917">
        <v>0.8</v>
      </c>
      <c r="I37" s="1722">
        <f t="shared" si="1"/>
        <v>30.960000000000004</v>
      </c>
      <c r="J37" s="45"/>
      <c r="K37" s="1917">
        <v>0.8</v>
      </c>
      <c r="L37" s="1564">
        <f t="shared" si="2"/>
        <v>30.960000000000004</v>
      </c>
      <c r="M37" s="1557"/>
      <c r="N37" s="1917">
        <v>0.8</v>
      </c>
      <c r="O37" s="1722">
        <f t="shared" si="3"/>
        <v>30.960000000000004</v>
      </c>
      <c r="P37" s="1686"/>
      <c r="Q37" s="38"/>
    </row>
    <row r="38" spans="1:17" s="42" customFormat="1" ht="15" customHeight="1">
      <c r="A38" s="1284"/>
      <c r="B38" s="1725"/>
      <c r="C38" s="4870" t="s">
        <v>643</v>
      </c>
      <c r="D38" s="4870"/>
      <c r="E38" s="4871"/>
      <c r="F38" s="1724">
        <f>IF(C38="",0,VLOOKUP(C38,'SDK5'!C5:AF85,2,FALSE))</f>
        <v>170.5</v>
      </c>
      <c r="G38" s="1724">
        <f t="shared" si="0"/>
        <v>170.5</v>
      </c>
      <c r="H38" s="1917">
        <v>0.25</v>
      </c>
      <c r="I38" s="1722">
        <f t="shared" si="1"/>
        <v>42.625</v>
      </c>
      <c r="J38" s="45"/>
      <c r="K38" s="1917">
        <v>0.25</v>
      </c>
      <c r="L38" s="1564">
        <f t="shared" si="2"/>
        <v>42.625</v>
      </c>
      <c r="M38" s="1557"/>
      <c r="N38" s="1917">
        <v>0.25</v>
      </c>
      <c r="O38" s="1722">
        <f t="shared" si="3"/>
        <v>42.625</v>
      </c>
      <c r="P38" s="1686"/>
      <c r="Q38" s="38"/>
    </row>
    <row r="39" spans="1:17" s="42" customFormat="1" ht="15" customHeight="1">
      <c r="A39" s="1284"/>
      <c r="B39" s="1562"/>
      <c r="C39" s="4870"/>
      <c r="D39" s="4870"/>
      <c r="E39" s="4871"/>
      <c r="F39" s="1724">
        <f>IF(C39="",0,VLOOKUP(C39,'SDK5'!C6:AF86,2,FALSE))</f>
        <v>0</v>
      </c>
      <c r="G39" s="1724">
        <f t="shared" si="0"/>
        <v>0</v>
      </c>
      <c r="H39" s="1917"/>
      <c r="I39" s="1722">
        <f t="shared" si="1"/>
        <v>0</v>
      </c>
      <c r="J39" s="45"/>
      <c r="K39" s="1917"/>
      <c r="L39" s="1564">
        <f t="shared" si="2"/>
        <v>0</v>
      </c>
      <c r="M39" s="1557"/>
      <c r="N39" s="1917"/>
      <c r="O39" s="1722">
        <f t="shared" si="3"/>
        <v>0</v>
      </c>
      <c r="P39" s="1686"/>
      <c r="Q39" s="38"/>
    </row>
    <row r="40" spans="1:17" s="42" customFormat="1" ht="15" customHeight="1">
      <c r="A40" s="1284"/>
      <c r="B40" s="1562"/>
      <c r="C40" s="4870"/>
      <c r="D40" s="4870"/>
      <c r="E40" s="4871"/>
      <c r="F40" s="1724">
        <f>IF(C40="",0,VLOOKUP(C40,'SDK5'!C7:AF87,2,FALSE))</f>
        <v>0</v>
      </c>
      <c r="G40" s="1724">
        <f t="shared" si="0"/>
        <v>0</v>
      </c>
      <c r="H40" s="1917"/>
      <c r="I40" s="1722">
        <f t="shared" si="1"/>
        <v>0</v>
      </c>
      <c r="J40" s="45"/>
      <c r="K40" s="1917"/>
      <c r="L40" s="1564">
        <f t="shared" si="2"/>
        <v>0</v>
      </c>
      <c r="M40" s="1557"/>
      <c r="N40" s="1917"/>
      <c r="O40" s="1722">
        <f t="shared" si="3"/>
        <v>0</v>
      </c>
      <c r="P40" s="1686"/>
      <c r="Q40" s="38"/>
    </row>
    <row r="41" spans="1:17" s="42" customFormat="1" ht="15" customHeight="1">
      <c r="A41" s="1284"/>
      <c r="B41" s="1562"/>
      <c r="C41" s="4870"/>
      <c r="D41" s="4870"/>
      <c r="E41" s="4871"/>
      <c r="F41" s="1724">
        <f>IF(C41="",0,VLOOKUP(C41,'SDK5'!C8:AF88,2,FALSE))</f>
        <v>0</v>
      </c>
      <c r="G41" s="1724">
        <f t="shared" si="0"/>
        <v>0</v>
      </c>
      <c r="H41" s="1917"/>
      <c r="I41" s="1722">
        <f t="shared" si="1"/>
        <v>0</v>
      </c>
      <c r="J41" s="45"/>
      <c r="K41" s="1917"/>
      <c r="L41" s="1564">
        <f t="shared" si="2"/>
        <v>0</v>
      </c>
      <c r="M41" s="1557"/>
      <c r="N41" s="1917"/>
      <c r="O41" s="1722">
        <f t="shared" si="3"/>
        <v>0</v>
      </c>
      <c r="P41" s="1686"/>
      <c r="Q41" s="38"/>
    </row>
    <row r="42" spans="1:17" s="42" customFormat="1" ht="15" customHeight="1">
      <c r="A42" s="1284"/>
      <c r="B42" s="1721"/>
      <c r="C42" s="4856"/>
      <c r="D42" s="4856"/>
      <c r="E42" s="4857"/>
      <c r="F42" s="1720">
        <f>IF(C42="",0,VLOOKUP(C42,'SDK5'!C9:AF89,2,FALSE))</f>
        <v>0</v>
      </c>
      <c r="G42" s="1720">
        <f t="shared" si="0"/>
        <v>0</v>
      </c>
      <c r="H42" s="1918"/>
      <c r="I42" s="1718">
        <f t="shared" si="1"/>
        <v>0</v>
      </c>
      <c r="J42" s="45"/>
      <c r="K42" s="1918"/>
      <c r="L42" s="1558">
        <f t="shared" si="2"/>
        <v>0</v>
      </c>
      <c r="M42" s="1557"/>
      <c r="N42" s="1918"/>
      <c r="O42" s="1718">
        <f t="shared" si="3"/>
        <v>0</v>
      </c>
      <c r="P42" s="1717"/>
      <c r="Q42" s="38"/>
    </row>
    <row r="43" spans="1:17" s="686" customFormat="1" ht="18.75" customHeight="1">
      <c r="A43" s="1248"/>
      <c r="B43" s="1254" t="s">
        <v>1175</v>
      </c>
      <c r="C43" s="1248"/>
      <c r="D43" s="1248"/>
      <c r="E43" s="1248"/>
      <c r="F43" s="1248"/>
      <c r="G43" s="1588"/>
      <c r="H43" s="1714"/>
      <c r="I43" s="1713"/>
      <c r="J43" s="1582">
        <f>SUM(J46:J57)</f>
        <v>130.86169009223528</v>
      </c>
      <c r="K43" s="1917"/>
      <c r="L43" s="1715"/>
      <c r="M43" s="1585">
        <f>SUM(M46:M57)</f>
        <v>132.78437734117645</v>
      </c>
      <c r="N43" s="1714"/>
      <c r="O43" s="1713"/>
      <c r="P43" s="1582">
        <f>SUM(P46:P57)</f>
        <v>134.70706459011762</v>
      </c>
      <c r="Q43" s="38"/>
    </row>
    <row r="44" spans="1:17" s="42" customFormat="1" ht="15" customHeight="1">
      <c r="A44" s="1284"/>
      <c r="B44" s="1312"/>
      <c r="C44" s="1284" t="s">
        <v>1174</v>
      </c>
      <c r="D44" s="1284"/>
      <c r="E44" s="1712" t="s">
        <v>466</v>
      </c>
      <c r="F44" s="1711" t="s">
        <v>1173</v>
      </c>
      <c r="G44" s="1710"/>
      <c r="H44" s="367" t="s">
        <v>1172</v>
      </c>
      <c r="I44" s="1706" t="s">
        <v>1171</v>
      </c>
      <c r="J44" s="1705"/>
      <c r="K44" s="1917"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917" t="s">
        <v>1168</v>
      </c>
      <c r="L45" s="1702" t="s">
        <v>114</v>
      </c>
      <c r="M45" s="1701" t="s">
        <v>171</v>
      </c>
      <c r="N45" s="1700" t="s">
        <v>1168</v>
      </c>
      <c r="O45" s="1574" t="s">
        <v>114</v>
      </c>
      <c r="P45" s="1699" t="s">
        <v>171</v>
      </c>
      <c r="Q45" s="38"/>
    </row>
    <row r="46" spans="1:17" s="42" customFormat="1" ht="15" customHeight="1">
      <c r="A46" s="1284"/>
      <c r="B46" s="1698"/>
      <c r="C46" s="3758" t="s">
        <v>462</v>
      </c>
      <c r="D46" s="37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3758" t="s">
        <v>446</v>
      </c>
      <c r="D47" s="3759"/>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3758" t="s">
        <v>426</v>
      </c>
      <c r="D48" s="3759"/>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3758" t="s">
        <v>419</v>
      </c>
      <c r="D49" s="3759"/>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3758" t="s">
        <v>403</v>
      </c>
      <c r="D50" s="3759"/>
      <c r="E50" s="1693">
        <f>IF($C50=0,0,VLOOKUP($C50,'SDK3'!$C$24:$O$86,4,FALSE))</f>
        <v>83</v>
      </c>
      <c r="F50" s="1692">
        <f>IF($C50=0,0,VLOOKUP($C50,'SDK3'!$C$24:$O$86,12,FALSE))</f>
        <v>0.56000000000000005</v>
      </c>
      <c r="G50" s="1691">
        <f>IF($C50=0,0,VLOOKUP($C50,'SDK3'!$C$24:$O$86,13,FALSE))</f>
        <v>9.6134362447058805</v>
      </c>
      <c r="H50" s="1688">
        <v>0.3</v>
      </c>
      <c r="I50" s="1687">
        <f t="shared" si="4"/>
        <v>0.16800000000000001</v>
      </c>
      <c r="J50" s="1686">
        <f t="shared" si="5"/>
        <v>2.8840308734117639</v>
      </c>
      <c r="K50" s="1688">
        <v>0.5</v>
      </c>
      <c r="L50" s="1690">
        <f t="shared" si="6"/>
        <v>0.28000000000000003</v>
      </c>
      <c r="M50" s="1689">
        <f t="shared" si="7"/>
        <v>4.8067181223529403</v>
      </c>
      <c r="N50" s="1688">
        <v>0.7</v>
      </c>
      <c r="O50" s="1687">
        <f t="shared" si="8"/>
        <v>0.39200000000000002</v>
      </c>
      <c r="P50" s="1686">
        <f t="shared" si="9"/>
        <v>6.7294053712941162</v>
      </c>
      <c r="Q50" s="38"/>
    </row>
    <row r="51" spans="1:17" s="42" customFormat="1" ht="15" customHeight="1">
      <c r="A51" s="1284"/>
      <c r="B51" s="1694"/>
      <c r="C51" s="3758" t="s">
        <v>459</v>
      </c>
      <c r="D51" s="3759"/>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4.2080000000000002</v>
      </c>
      <c r="J58" s="1669"/>
      <c r="K58" s="1668"/>
      <c r="L58" s="1667">
        <f>SUM($L$46:$L$57)</f>
        <v>4.32</v>
      </c>
      <c r="M58" s="1666"/>
      <c r="N58" s="1665"/>
      <c r="O58" s="1664">
        <f>SUM($O$46:$O$57)</f>
        <v>4.4320000000000004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7.5744000000000007</v>
      </c>
      <c r="J59" s="1654"/>
      <c r="K59" s="1659"/>
      <c r="L59" s="1658">
        <f>IF(L58+SUM($L$46:$L$57)*$E$59%&gt;L58+10,L58+10,L58+SUM($L$46:$L$57)*$E$59%)</f>
        <v>7.7760000000000007</v>
      </c>
      <c r="M59" s="1657"/>
      <c r="N59" s="1656"/>
      <c r="O59" s="1655">
        <f>IF(O58+SUM($O$46:$O$57)*$E$59%&gt;O58+10,O58+10,O58+SUM($O$46:$O$57)*$E$59%)</f>
        <v>7.9776000000000007</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83.424000000000007</v>
      </c>
      <c r="K67" s="1609" t="s">
        <v>1161</v>
      </c>
      <c r="L67" s="1608" t="s">
        <v>1160</v>
      </c>
      <c r="M67" s="1585">
        <f>S68*(K9+K10)*L68%+F68</f>
        <v>112.62240000000001</v>
      </c>
      <c r="N67" s="1607" t="s">
        <v>1161</v>
      </c>
      <c r="O67" s="1606" t="s">
        <v>1160</v>
      </c>
      <c r="P67" s="1582">
        <f>T68*(N9+N10)*O68%+F68</f>
        <v>141.82079999999999</v>
      </c>
      <c r="Q67" s="38"/>
    </row>
    <row r="68" spans="1:20" s="686" customFormat="1" ht="15" customHeight="1">
      <c r="A68" s="1248"/>
      <c r="B68" s="1605"/>
      <c r="C68" s="4888" t="s">
        <v>1159</v>
      </c>
      <c r="D68" s="4888"/>
      <c r="E68" s="4888"/>
      <c r="F68" s="1604"/>
      <c r="G68" s="1595" t="s">
        <v>171</v>
      </c>
      <c r="H68" s="1602">
        <v>18</v>
      </c>
      <c r="I68" s="1601">
        <v>66</v>
      </c>
      <c r="J68" s="1600"/>
      <c r="K68" s="1602">
        <v>18</v>
      </c>
      <c r="L68" s="1601">
        <v>66</v>
      </c>
      <c r="M68" s="1603"/>
      <c r="N68" s="1602">
        <v>18</v>
      </c>
      <c r="O68" s="1601">
        <v>66</v>
      </c>
      <c r="P68" s="1600"/>
      <c r="Q68" s="38"/>
      <c r="R68" s="1599">
        <f>IF($H$68=0,0,VLOOKUP($H$68,'SD6'!F8:G146,'SD6'!G1,FALSE))*(1+'SDK1'!O11/100)</f>
        <v>6.32</v>
      </c>
      <c r="S68" s="1599">
        <f>IF($K$68=0,0,VLOOKUP($K$68,'SD6'!F8:G146,'SD6'!G1,FALSE))*(1+'SDK1'!O11/100)</f>
        <v>6.32</v>
      </c>
      <c r="T68" s="1599">
        <f>IF($N$68=0,0,VLOOKUP($N$68,'SD6'!F8:G146,'SD6'!G1,FALSE))*(1+'SDK1'!O11/100)</f>
        <v>6.32</v>
      </c>
    </row>
    <row r="69" spans="1:20" s="686" customFormat="1" ht="18.75" customHeight="1">
      <c r="A69" s="1248"/>
      <c r="B69" s="1254" t="s">
        <v>1158</v>
      </c>
      <c r="C69" s="1248"/>
      <c r="D69" s="1248"/>
      <c r="E69" s="38"/>
      <c r="F69" s="38"/>
      <c r="G69" s="1588"/>
      <c r="H69" s="44"/>
      <c r="I69" s="73"/>
      <c r="J69" s="1582">
        <f>H70*$F70/1000</f>
        <v>29.306666666666676</v>
      </c>
      <c r="K69" s="1598"/>
      <c r="L69" s="1597"/>
      <c r="M69" s="1585">
        <f>K70*$F70/1000</f>
        <v>39.564000000000007</v>
      </c>
      <c r="N69" s="44"/>
      <c r="O69" s="73"/>
      <c r="P69" s="1582">
        <f>N70*$F70/1000</f>
        <v>49.821333333333342</v>
      </c>
      <c r="Q69" s="38"/>
    </row>
    <row r="70" spans="1:20" s="686" customFormat="1" ht="15" customHeight="1">
      <c r="A70" s="1248"/>
      <c r="B70" s="1310"/>
      <c r="C70" s="1309" t="s">
        <v>840</v>
      </c>
      <c r="D70" s="346"/>
      <c r="E70" s="278"/>
      <c r="F70" s="1596">
        <f>'SDK7'!G110</f>
        <v>28</v>
      </c>
      <c r="G70" s="1595" t="s">
        <v>171</v>
      </c>
      <c r="H70" s="1591">
        <f>I9+I10</f>
        <v>1046.666666666667</v>
      </c>
      <c r="I70" s="1590"/>
      <c r="J70" s="1589"/>
      <c r="K70" s="1594">
        <f>L9+L10</f>
        <v>1413.0000000000002</v>
      </c>
      <c r="L70" s="1593"/>
      <c r="M70" s="1592"/>
      <c r="N70" s="1591">
        <f>O9+O10</f>
        <v>1779.3333333333337</v>
      </c>
      <c r="O70" s="1590"/>
      <c r="P70" s="1589"/>
      <c r="Q70" s="38"/>
    </row>
    <row r="71" spans="1:20" ht="18.75" customHeight="1">
      <c r="A71" s="370"/>
      <c r="B71" s="305" t="s">
        <v>1157</v>
      </c>
      <c r="C71" s="370"/>
      <c r="D71" s="370"/>
      <c r="E71" s="229"/>
      <c r="G71" s="1588"/>
      <c r="H71" s="1584"/>
      <c r="I71" s="1583"/>
      <c r="J71" s="1582">
        <f>SUM(I73:I74)</f>
        <v>30</v>
      </c>
      <c r="K71" s="1587"/>
      <c r="L71" s="1586"/>
      <c r="M71" s="1585">
        <f>SUM(L73:L74)</f>
        <v>30</v>
      </c>
      <c r="N71" s="1584"/>
      <c r="O71" s="1583"/>
      <c r="P71" s="1582">
        <f>SUM(O73:O74)</f>
        <v>30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t="s">
        <v>1218</v>
      </c>
      <c r="D73" s="4895"/>
      <c r="E73" s="4895"/>
      <c r="F73" s="1566"/>
      <c r="G73" s="1565"/>
      <c r="H73" s="1559">
        <v>30</v>
      </c>
      <c r="I73" s="1563">
        <f>(100+$D$72)/100*H73</f>
        <v>30</v>
      </c>
      <c r="J73" s="45"/>
      <c r="K73" s="1559">
        <v>30</v>
      </c>
      <c r="L73" s="1564">
        <f>(100+$D$72)/100*K73</f>
        <v>30</v>
      </c>
      <c r="M73" s="1557"/>
      <c r="N73" s="1559">
        <v>30</v>
      </c>
      <c r="O73" s="1563">
        <f>(100+$D$72)/100*N73</f>
        <v>30</v>
      </c>
      <c r="P73" s="1554"/>
      <c r="Q73" s="38"/>
    </row>
    <row r="74" spans="1:20" s="42" customFormat="1" ht="15" customHeight="1">
      <c r="A74" s="1284"/>
      <c r="B74" s="1562"/>
      <c r="C74" s="4894" t="s">
        <v>692</v>
      </c>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7.8983246396575169</v>
      </c>
      <c r="K75" s="689"/>
      <c r="L75" s="1034"/>
      <c r="M75" s="1546">
        <f>(M23+M27+M34+M43+M60+M65+M67+M69+M71)*('SDK1'!$O$59%*$G$75/12)</f>
        <v>8.3810494778431366</v>
      </c>
      <c r="N75" s="1548"/>
      <c r="O75" s="1547"/>
      <c r="P75" s="1546">
        <f>(P23+P27+P34+P43+P60+P65+P67+P69+P71)*('SDK1'!$O$59%*$G$75/12)</f>
        <v>8.8637743160287581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K159" s="15"/>
      <c r="M159" s="35"/>
      <c r="N159" s="35"/>
      <c r="O159" s="35"/>
      <c r="P159" s="35"/>
      <c r="Q159" s="35"/>
    </row>
    <row r="160" spans="1:17">
      <c r="A160" s="35"/>
      <c r="B160" s="601"/>
      <c r="C160" s="15"/>
      <c r="D160" s="15"/>
      <c r="F160" s="15"/>
      <c r="G160" s="15"/>
      <c r="H160" s="15"/>
      <c r="I160" s="15"/>
      <c r="J160" s="15"/>
      <c r="K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3">
    <mergeCell ref="C63:E63"/>
    <mergeCell ref="B75:C75"/>
    <mergeCell ref="K1:L1"/>
    <mergeCell ref="K2:P2"/>
    <mergeCell ref="D25:E25"/>
    <mergeCell ref="D26:E26"/>
    <mergeCell ref="C14:F14"/>
    <mergeCell ref="C15:F15"/>
    <mergeCell ref="N6:O6"/>
    <mergeCell ref="E10:F10"/>
    <mergeCell ref="K6:L6"/>
    <mergeCell ref="E4:I4"/>
    <mergeCell ref="N3:O4"/>
    <mergeCell ref="J3:L3"/>
    <mergeCell ref="C52:D52"/>
    <mergeCell ref="C57:D57"/>
    <mergeCell ref="C74:E74"/>
    <mergeCell ref="C64:E64"/>
    <mergeCell ref="C55:D55"/>
    <mergeCell ref="C73:E73"/>
    <mergeCell ref="F23:G23"/>
    <mergeCell ref="C38:E38"/>
    <mergeCell ref="C68:E68"/>
    <mergeCell ref="C62:E62"/>
    <mergeCell ref="C36:E36"/>
    <mergeCell ref="C42:E42"/>
    <mergeCell ref="C40:E40"/>
    <mergeCell ref="C41:E41"/>
    <mergeCell ref="F34:G34"/>
    <mergeCell ref="C39:E39"/>
    <mergeCell ref="C53:D53"/>
    <mergeCell ref="C54:D54"/>
    <mergeCell ref="C56:D56"/>
    <mergeCell ref="J4:L4"/>
    <mergeCell ref="H6:I6"/>
    <mergeCell ref="C37:E37"/>
    <mergeCell ref="N1:O1"/>
    <mergeCell ref="C16:F16"/>
    <mergeCell ref="C17:F17"/>
    <mergeCell ref="C19:F19"/>
    <mergeCell ref="E22:G22"/>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N68 H68 K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0" orientation="portrait" r:id="rId1"/>
  <headerFooter alignWithMargins="0">
    <oddFooter>&amp;L&amp;11LEL Schwäbisch Gmünd&amp;C63&amp;R&amp;11&amp;F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'SDK5'!$V$214:$V$313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59" customFormat="1" ht="30.4" customHeight="1">
      <c r="A1" s="1863"/>
      <c r="B1" s="319"/>
      <c r="C1" s="1876"/>
      <c r="D1" s="1795"/>
      <c r="E1" s="316"/>
      <c r="F1" s="316"/>
      <c r="G1" s="585"/>
      <c r="H1" s="1870"/>
      <c r="I1" s="1875" t="s">
        <v>1207</v>
      </c>
      <c r="J1" s="1874">
        <f>(J7+J13+J18+J22+I11+I12)-(J23+J27+J34+J43+J60+J65+J67+J69+J71+J75)</f>
        <v>29.645991252303929</v>
      </c>
      <c r="K1" s="4855">
        <f>M1-J1</f>
        <v>84.186970982215598</v>
      </c>
      <c r="L1" s="4855"/>
      <c r="M1" s="1874">
        <f>(M7+M13+M18+M22+L11+L12)-(M23+M27+M34+M43+M60+M65+M67+M69+M71+M75)</f>
        <v>113.83296223451953</v>
      </c>
      <c r="N1" s="4855">
        <f>P1-M1</f>
        <v>84.186970982215826</v>
      </c>
      <c r="O1" s="4855"/>
      <c r="P1" s="1874">
        <f>(P7+P13+P18+P22+O11+O12)-(P23+P27+P34+P43+P60+P65+P67+P69+P71+P75)</f>
        <v>198.01993321673535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200</v>
      </c>
      <c r="L2" s="4867"/>
      <c r="M2" s="4867"/>
      <c r="N2" s="4867"/>
      <c r="O2" s="4867"/>
      <c r="P2" s="4867"/>
      <c r="Q2" s="1888">
        <v>0</v>
      </c>
    </row>
    <row r="3" spans="1:41" s="1859" customFormat="1" ht="21.75" customHeight="1">
      <c r="A3" s="1863"/>
      <c r="B3" s="1887"/>
      <c r="H3" s="1870"/>
      <c r="J3" s="4863"/>
      <c r="K3" s="4909"/>
      <c r="L3" s="4909"/>
      <c r="M3" s="1911"/>
      <c r="N3" s="4910"/>
      <c r="O3" s="4911"/>
      <c r="P3" s="1868"/>
      <c r="Q3" s="1863"/>
      <c r="T3" s="1886" t="b">
        <v>0</v>
      </c>
    </row>
    <row r="4" spans="1:41" s="1859" customFormat="1" ht="20.25" customHeight="1">
      <c r="A4" s="1863"/>
      <c r="B4" s="370" t="s">
        <v>1098</v>
      </c>
      <c r="C4" s="35"/>
      <c r="D4" s="35"/>
      <c r="E4" s="4898" t="s">
        <v>1211</v>
      </c>
      <c r="F4" s="4898"/>
      <c r="G4" s="4898"/>
      <c r="H4" s="4898"/>
      <c r="I4" s="4898"/>
      <c r="J4" s="4863"/>
      <c r="K4" s="4909"/>
      <c r="L4" s="4909"/>
      <c r="M4" s="1910"/>
      <c r="N4" s="4911"/>
      <c r="O4" s="4911"/>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15</v>
      </c>
      <c r="K6" s="4874" t="s">
        <v>152</v>
      </c>
      <c r="L6" s="4875"/>
      <c r="M6" s="1855">
        <v>20</v>
      </c>
      <c r="N6" s="4861" t="s">
        <v>178</v>
      </c>
      <c r="O6" s="4862"/>
      <c r="P6" s="1854">
        <v>25</v>
      </c>
      <c r="Q6" s="70"/>
    </row>
    <row r="7" spans="1:41" s="251" customFormat="1" ht="18.75" customHeight="1">
      <c r="A7" s="47"/>
      <c r="B7" s="305" t="s">
        <v>1202</v>
      </c>
      <c r="C7" s="47"/>
      <c r="D7" s="47"/>
      <c r="E7" s="47"/>
      <c r="F7" s="47"/>
      <c r="G7" s="1852"/>
      <c r="H7" s="1849"/>
      <c r="I7" s="1848"/>
      <c r="J7" s="1582">
        <f>SUM(I9:I10)</f>
        <v>450</v>
      </c>
      <c r="K7" s="1851"/>
      <c r="L7" s="1850"/>
      <c r="M7" s="1585">
        <f>SUM(L9:L10)</f>
        <v>600</v>
      </c>
      <c r="N7" s="1849"/>
      <c r="O7" s="1848"/>
      <c r="P7" s="1582">
        <f>SUM(O9:O10)</f>
        <v>750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'SDK1'!O34</f>
        <v>30</v>
      </c>
      <c r="H9" s="1845">
        <f>J6-H10</f>
        <v>15</v>
      </c>
      <c r="I9" s="1841">
        <f>H9*G9</f>
        <v>450</v>
      </c>
      <c r="J9" s="43"/>
      <c r="K9" s="1844">
        <f>M6-K10</f>
        <v>20</v>
      </c>
      <c r="L9" s="1843">
        <f>K9*G9</f>
        <v>600</v>
      </c>
      <c r="M9" s="1822"/>
      <c r="N9" s="1842">
        <f>P6-N10</f>
        <v>25</v>
      </c>
      <c r="O9" s="1841">
        <f>N9*G9</f>
        <v>750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t="s">
        <v>2058</v>
      </c>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100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310</v>
      </c>
      <c r="K23" s="1587"/>
      <c r="L23" s="1586"/>
      <c r="M23" s="1768">
        <f>SUM(L25:L26)</f>
        <v>310</v>
      </c>
      <c r="N23" s="1584"/>
      <c r="O23" s="1583"/>
      <c r="P23" s="1567">
        <f>SUM(O25:O26)</f>
        <v>310</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'SDK7'!F66</f>
        <v>310</v>
      </c>
      <c r="G25" s="1762">
        <f>F25*(100+$D$24)/100</f>
        <v>310</v>
      </c>
      <c r="H25" s="1761">
        <v>1</v>
      </c>
      <c r="I25" s="1722">
        <f>H25*$G25</f>
        <v>310</v>
      </c>
      <c r="J25" s="45"/>
      <c r="K25" s="1761">
        <v>1</v>
      </c>
      <c r="L25" s="1564">
        <f>K25*$G25</f>
        <v>310</v>
      </c>
      <c r="M25" s="1557"/>
      <c r="N25" s="1761">
        <v>1</v>
      </c>
      <c r="O25" s="1722">
        <f>N25*$G25</f>
        <v>310</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116.004</v>
      </c>
      <c r="K27" s="1716"/>
      <c r="L27" s="1715"/>
      <c r="M27" s="1585">
        <f>SUM(L30:L33)</f>
        <v>154.672</v>
      </c>
      <c r="N27" s="1714"/>
      <c r="O27" s="1713"/>
      <c r="P27" s="1582">
        <f>SUM(O30:O33)</f>
        <v>193.34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3.5</v>
      </c>
      <c r="F30" s="1742">
        <f>VLOOKUP(K2,'SD8'!B9:L42,7,FALSE)</f>
        <v>0.79999999999999982</v>
      </c>
      <c r="G30" s="1741"/>
      <c r="H30" s="1739">
        <f>IF(J$6=0,0,(J$6*$E30+$G30+X14))</f>
        <v>52.5</v>
      </c>
      <c r="I30" s="1722">
        <f>H30*$D30</f>
        <v>75.179999999999993</v>
      </c>
      <c r="J30" s="45"/>
      <c r="K30" s="1740">
        <f>IF(M$6=0,0,(M$6*$E30+$G30+Y14))</f>
        <v>70</v>
      </c>
      <c r="L30" s="1564">
        <f>K30*$D30</f>
        <v>100.24</v>
      </c>
      <c r="M30" s="1557"/>
      <c r="N30" s="1739">
        <f>IF(P$6=0,0,(P$6*$E30+$G30+Z14))</f>
        <v>87.5</v>
      </c>
      <c r="O30" s="1722">
        <f>N30*$D30</f>
        <v>125.3</v>
      </c>
      <c r="P30" s="1686"/>
      <c r="Q30" s="38"/>
    </row>
    <row r="31" spans="1:26" s="42" customFormat="1" ht="15" customHeight="1">
      <c r="A31" s="1284"/>
      <c r="B31" s="272"/>
      <c r="C31" s="1284" t="s">
        <v>244</v>
      </c>
      <c r="D31" s="1691">
        <f>'SDK1'!O53</f>
        <v>1.05</v>
      </c>
      <c r="E31" s="1742">
        <f>VLOOKUP(K2,'SD8'!B9:L42,4,FALSE)</f>
        <v>1.2</v>
      </c>
      <c r="F31" s="1742">
        <f>VLOOKUP(K2,'SD8'!B9:L42,8,FALSE)</f>
        <v>0.30000000000000004</v>
      </c>
      <c r="G31" s="1741"/>
      <c r="H31" s="1739">
        <f>IF(J$6=0,0,(J$6*$E31+$G31+X15))</f>
        <v>18</v>
      </c>
      <c r="I31" s="1722">
        <f>H31*$D31</f>
        <v>18.900000000000002</v>
      </c>
      <c r="J31" s="45"/>
      <c r="K31" s="1740">
        <f>IF(M$6=0,0,(M$6*$E31+$G31+Y15))</f>
        <v>24</v>
      </c>
      <c r="L31" s="1564">
        <f>K31*$D31</f>
        <v>25.200000000000003</v>
      </c>
      <c r="M31" s="1557"/>
      <c r="N31" s="1739">
        <f>IF(P$6=0,0,(P$6*$E31+$G31+Z15))</f>
        <v>30</v>
      </c>
      <c r="O31" s="1722">
        <f>N31*$D31</f>
        <v>31.5</v>
      </c>
      <c r="P31" s="1686"/>
      <c r="Q31" s="38"/>
    </row>
    <row r="32" spans="1:26" s="42" customFormat="1" ht="15" customHeight="1">
      <c r="A32" s="1284"/>
      <c r="B32" s="272"/>
      <c r="C32" s="1284" t="s">
        <v>242</v>
      </c>
      <c r="D32" s="1691">
        <f>'SDK1'!O54</f>
        <v>0.98000000000000009</v>
      </c>
      <c r="E32" s="1742">
        <f>VLOOKUP(K2,'SD8'!B9:L42,5,FALSE)</f>
        <v>1</v>
      </c>
      <c r="F32" s="1742">
        <f>VLOOKUP(K2,'SD8'!B9:L42,9,FALSE)</f>
        <v>2.1</v>
      </c>
      <c r="G32" s="1741"/>
      <c r="H32" s="1739">
        <f>IF(J$6=0,0,(J$6*$E32+$G32+X16))</f>
        <v>15</v>
      </c>
      <c r="I32" s="1722">
        <f>H32*$D32</f>
        <v>14.700000000000001</v>
      </c>
      <c r="J32" s="45"/>
      <c r="K32" s="1740">
        <f>IF(M$6=0,0,(M$6*$E32+$G32+Y16))</f>
        <v>20</v>
      </c>
      <c r="L32" s="1564">
        <f>K32*$D32</f>
        <v>19.600000000000001</v>
      </c>
      <c r="M32" s="1557"/>
      <c r="N32" s="1739">
        <f>IF(P$6=0,0,(P$6*$E32+$G32+Z16))</f>
        <v>25</v>
      </c>
      <c r="O32" s="1722">
        <f>N32*$D32</f>
        <v>24.500000000000004</v>
      </c>
      <c r="P32" s="1686"/>
      <c r="Q32" s="38"/>
    </row>
    <row r="33" spans="1:17" s="42" customFormat="1" ht="15" customHeight="1">
      <c r="A33" s="1284"/>
      <c r="B33" s="239"/>
      <c r="C33" s="1309" t="s">
        <v>240</v>
      </c>
      <c r="D33" s="1674">
        <f>'SDK1'!O55</f>
        <v>0.60200000000000009</v>
      </c>
      <c r="E33" s="1738">
        <f>VLOOKUP(K2,'SD8'!B9:L42,6,FALSE)</f>
        <v>0.8</v>
      </c>
      <c r="F33" s="1738">
        <f>VLOOKUP(K2,'SD8'!B9:L42,10,FALSE)</f>
        <v>0.14999999999999991</v>
      </c>
      <c r="G33" s="1737"/>
      <c r="H33" s="1735">
        <f>IF(J$6=0,0,(J$6*$E33+$G33+X17))</f>
        <v>12</v>
      </c>
      <c r="I33" s="1718">
        <f>H33*$D33</f>
        <v>7.2240000000000011</v>
      </c>
      <c r="J33" s="45"/>
      <c r="K33" s="1736">
        <f>IF(M$6=0,0,(M$6*$E33+$G33+Y17))</f>
        <v>16</v>
      </c>
      <c r="L33" s="1558">
        <f>K33*$D33</f>
        <v>9.6320000000000014</v>
      </c>
      <c r="M33" s="1557"/>
      <c r="N33" s="1735">
        <f>IF(P$6=0,0,(P$6*$E33+$G33+Z17))</f>
        <v>20</v>
      </c>
      <c r="O33" s="1718">
        <f>N33*$D33</f>
        <v>12.040000000000003</v>
      </c>
      <c r="P33" s="1717"/>
      <c r="Q33" s="38"/>
    </row>
    <row r="34" spans="1:17" s="686" customFormat="1" ht="18.75" customHeight="1">
      <c r="A34" s="1248"/>
      <c r="B34" s="1254" t="s">
        <v>1178</v>
      </c>
      <c r="C34" s="1248"/>
      <c r="D34" s="37"/>
      <c r="E34" s="37"/>
      <c r="F34" s="4876" t="s">
        <v>1177</v>
      </c>
      <c r="G34" s="4877"/>
      <c r="H34" s="1732"/>
      <c r="I34" s="1731"/>
      <c r="J34" s="1582">
        <f>SUM(I36:I42)</f>
        <v>32.76</v>
      </c>
      <c r="K34" s="1734"/>
      <c r="L34" s="1733"/>
      <c r="M34" s="1585">
        <f>SUM(L36:L42)</f>
        <v>32.76</v>
      </c>
      <c r="N34" s="1732"/>
      <c r="O34" s="1731"/>
      <c r="P34" s="1582">
        <f>SUM(O36:O42)</f>
        <v>32.76</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648</v>
      </c>
      <c r="D36" s="4884"/>
      <c r="E36" s="4885"/>
      <c r="F36" s="1724">
        <f>IF(C36="",0,VLOOKUP(C36,'SDK5'!C3:AF83,2,FALSE))</f>
        <v>25.2</v>
      </c>
      <c r="G36" s="1724">
        <f t="shared" ref="G36:G42" si="0">F36*(100+$D$35)/100</f>
        <v>25.2</v>
      </c>
      <c r="H36" s="1723">
        <v>1.3</v>
      </c>
      <c r="I36" s="1722">
        <f t="shared" ref="I36:I42" si="1">$G36*H36</f>
        <v>32.76</v>
      </c>
      <c r="J36" s="45"/>
      <c r="K36" s="1723">
        <v>1.3</v>
      </c>
      <c r="L36" s="1564">
        <f t="shared" ref="L36:L42" si="2">$G36*K36</f>
        <v>32.76</v>
      </c>
      <c r="M36" s="1557"/>
      <c r="N36" s="1723">
        <v>1.3</v>
      </c>
      <c r="O36" s="1722">
        <f t="shared" ref="O36:O42" si="3">$G36*N36</f>
        <v>32.76</v>
      </c>
      <c r="P36" s="1726"/>
      <c r="Q36" s="38"/>
    </row>
    <row r="37" spans="1:17" s="42" customFormat="1" ht="15" customHeight="1">
      <c r="A37" s="1284"/>
      <c r="B37" s="1562"/>
      <c r="C37" s="4870"/>
      <c r="D37" s="4870"/>
      <c r="E37" s="487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147.7523723117647</v>
      </c>
      <c r="K43" s="1716"/>
      <c r="L43" s="1715"/>
      <c r="M43" s="1585">
        <f>SUM(M46:M57)</f>
        <v>148.55349199882352</v>
      </c>
      <c r="N43" s="1714"/>
      <c r="O43" s="1713"/>
      <c r="P43" s="1582">
        <f>SUM(P46:P57)</f>
        <v>149.35461168588233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c r="D47" s="4883"/>
      <c r="E47" s="1693">
        <f>IF($C47=0,0,VLOOKUP($C47,'SDK3'!$C$24:$O$86,4,FALSE))</f>
        <v>0</v>
      </c>
      <c r="F47" s="1692">
        <f>IF($C47=0,0,VLOOKUP($C47,'SDK3'!$C$24:$O$86,12,FALSE))</f>
        <v>0</v>
      </c>
      <c r="G47" s="1691">
        <f>IF($C47=0,0,VLOOKUP($C47,'SDK3'!$C$24:$O$86,13,FALSE))</f>
        <v>0</v>
      </c>
      <c r="H47" s="1688"/>
      <c r="I47" s="1687">
        <f t="shared" si="4"/>
        <v>0</v>
      </c>
      <c r="J47" s="1686">
        <f t="shared" si="5"/>
        <v>0</v>
      </c>
      <c r="K47" s="1688"/>
      <c r="L47" s="1690">
        <f t="shared" si="6"/>
        <v>0</v>
      </c>
      <c r="M47" s="1689">
        <f t="shared" si="7"/>
        <v>0</v>
      </c>
      <c r="N47" s="1688"/>
      <c r="O47" s="1687">
        <f t="shared" si="8"/>
        <v>0</v>
      </c>
      <c r="P47" s="1686">
        <f t="shared" si="9"/>
        <v>0</v>
      </c>
      <c r="Q47" s="38"/>
    </row>
    <row r="48" spans="1:17" s="42" customFormat="1" ht="15" customHeight="1">
      <c r="A48" s="1284"/>
      <c r="B48" s="1694"/>
      <c r="C48" s="4882" t="s">
        <v>446</v>
      </c>
      <c r="D48" s="4883"/>
      <c r="E48" s="1693">
        <f>IF($C48=0,0,VLOOKUP($C48,'SDK3'!$C$24:$O$86,4,FALSE))</f>
        <v>120</v>
      </c>
      <c r="F48" s="1692">
        <f>IF($C48=0,0,VLOOKUP($C48,'SDK3'!$C$24:$O$86,12,FALSE))</f>
        <v>1.05</v>
      </c>
      <c r="G48" s="1691">
        <f>IF($C48=0,0,VLOOKUP($C48,'SDK3'!$C$24:$O$86,13,FALSE))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8"/>
    </row>
    <row r="49" spans="1:17" s="42" customFormat="1" ht="15" customHeight="1">
      <c r="A49" s="1284"/>
      <c r="B49" s="1694"/>
      <c r="C49" s="4882" t="s">
        <v>449</v>
      </c>
      <c r="D49" s="4883"/>
      <c r="E49" s="1693">
        <f>IF($C49=0,0,VLOOKUP($C49,'SDK3'!$C$24:$O$86,4,FALSE))</f>
        <v>83</v>
      </c>
      <c r="F49" s="1692">
        <f>IF($C49=0,0,VLOOKUP($C49,'SDK3'!$C$24:$O$86,12,FALSE))</f>
        <v>0.62</v>
      </c>
      <c r="G49" s="1691">
        <f>IF($C49=0,0,VLOOKUP($C49,'SDK3'!$C$24:$O$86,13,FALSE))</f>
        <v>11.31487584235294</v>
      </c>
      <c r="H49" s="1688">
        <v>1</v>
      </c>
      <c r="I49" s="1687">
        <f t="shared" si="4"/>
        <v>0.62</v>
      </c>
      <c r="J49" s="1686">
        <f t="shared" si="5"/>
        <v>11.31487584235294</v>
      </c>
      <c r="K49" s="1688">
        <v>1</v>
      </c>
      <c r="L49" s="1690">
        <f t="shared" si="6"/>
        <v>0.62</v>
      </c>
      <c r="M49" s="1689">
        <f t="shared" si="7"/>
        <v>11.31487584235294</v>
      </c>
      <c r="N49" s="1688">
        <v>1</v>
      </c>
      <c r="O49" s="1687">
        <f t="shared" si="8"/>
        <v>0.62</v>
      </c>
      <c r="P49" s="1686">
        <f t="shared" si="9"/>
        <v>11.31487584235294</v>
      </c>
      <c r="Q49" s="38"/>
    </row>
    <row r="50" spans="1:17" s="42" customFormat="1" ht="15" customHeight="1">
      <c r="A50" s="1284"/>
      <c r="B50" s="1694"/>
      <c r="C50" s="4882" t="s">
        <v>410</v>
      </c>
      <c r="D50" s="4883"/>
      <c r="E50" s="1693">
        <f>IF($C50=0,0,VLOOKUP($C50,'SDK3'!$C$24:$O$86,4,FALSE))</f>
        <v>83</v>
      </c>
      <c r="F50" s="1692">
        <f>IF($C50=0,0,VLOOKUP($C50,'SDK3'!$C$24:$O$86,12,FALSE))</f>
        <v>0.27</v>
      </c>
      <c r="G50" s="1691">
        <f>IF($C50=0,0,VLOOKUP($C50,'SDK3'!$C$24:$O$86,13,FALSE))</f>
        <v>6.0564781894117647</v>
      </c>
      <c r="H50" s="1688">
        <v>1</v>
      </c>
      <c r="I50" s="1687">
        <f t="shared" si="4"/>
        <v>0.27</v>
      </c>
      <c r="J50" s="1686">
        <f t="shared" si="5"/>
        <v>6.0564781894117647</v>
      </c>
      <c r="K50" s="1688">
        <v>1</v>
      </c>
      <c r="L50" s="1690">
        <f t="shared" si="6"/>
        <v>0.27</v>
      </c>
      <c r="M50" s="1689">
        <f t="shared" si="7"/>
        <v>6.0564781894117647</v>
      </c>
      <c r="N50" s="1688">
        <v>1</v>
      </c>
      <c r="O50" s="1687">
        <f t="shared" si="8"/>
        <v>0.27</v>
      </c>
      <c r="P50" s="1686">
        <f t="shared" si="9"/>
        <v>6.0564781894117647</v>
      </c>
      <c r="Q50" s="38"/>
    </row>
    <row r="51" spans="1:17" s="42" customFormat="1" ht="15" customHeight="1">
      <c r="A51" s="1284"/>
      <c r="B51" s="1694"/>
      <c r="C51" s="4882" t="s">
        <v>419</v>
      </c>
      <c r="D51" s="4883"/>
      <c r="E51" s="1693">
        <f>IF($C51=0,0,VLOOKUP($C51,'SDK3'!$C$24:$O$86,4,FALSE))</f>
        <v>83</v>
      </c>
      <c r="F51" s="1692">
        <f>IF($C51=0,0,VLOOKUP($C51,'SDK3'!$C$24:$O$86,12,FALSE))</f>
        <v>0.39</v>
      </c>
      <c r="G51" s="1691">
        <f>IF($C51=0,0,VLOOKUP($C51,'SDK3'!$C$24:$O$86,13,FALSE))</f>
        <v>6.5093573847058819</v>
      </c>
      <c r="H51" s="1688">
        <v>1</v>
      </c>
      <c r="I51" s="1687">
        <f t="shared" si="4"/>
        <v>0.39</v>
      </c>
      <c r="J51" s="1686">
        <f t="shared" si="5"/>
        <v>6.5093573847058819</v>
      </c>
      <c r="K51" s="1688">
        <v>1</v>
      </c>
      <c r="L51" s="1690">
        <f t="shared" si="6"/>
        <v>0.39</v>
      </c>
      <c r="M51" s="1689">
        <f t="shared" si="7"/>
        <v>6.5093573847058819</v>
      </c>
      <c r="N51" s="1688">
        <v>1</v>
      </c>
      <c r="O51" s="1687">
        <f t="shared" si="8"/>
        <v>0.39</v>
      </c>
      <c r="P51" s="1686">
        <f t="shared" si="9"/>
        <v>6.5093573847058819</v>
      </c>
      <c r="Q51" s="38"/>
    </row>
    <row r="52" spans="1:17" s="42" customFormat="1" ht="15" customHeight="1">
      <c r="A52" s="1284"/>
      <c r="B52" s="1694"/>
      <c r="C52" s="4882" t="s">
        <v>426</v>
      </c>
      <c r="D52" s="4883"/>
      <c r="E52" s="1693">
        <f>IF($C52=0,0,VLOOKUP($C52,'SDK3'!$C$24:$O$86,4,FALSE))</f>
        <v>54</v>
      </c>
      <c r="F52" s="1692">
        <f>IF($C52=0,0,VLOOKUP($C52,'SDK3'!$C$24:$O$86,12,FALSE))</f>
        <v>0.37</v>
      </c>
      <c r="G52" s="1691">
        <f>IF($C52=0,0,VLOOKUP($C52,'SDK3'!$C$24:$O$86,13,FALSE))</f>
        <v>4.2780853988235288</v>
      </c>
      <c r="H52" s="1688">
        <v>1</v>
      </c>
      <c r="I52" s="1687">
        <f t="shared" si="4"/>
        <v>0.37</v>
      </c>
      <c r="J52" s="1686">
        <f t="shared" si="5"/>
        <v>4.2780853988235288</v>
      </c>
      <c r="K52" s="1688">
        <v>1</v>
      </c>
      <c r="L52" s="1690">
        <f t="shared" si="6"/>
        <v>0.37</v>
      </c>
      <c r="M52" s="1689">
        <f t="shared" si="7"/>
        <v>4.2780853988235288</v>
      </c>
      <c r="N52" s="1688">
        <v>1</v>
      </c>
      <c r="O52" s="1687">
        <f t="shared" si="8"/>
        <v>0.37</v>
      </c>
      <c r="P52" s="1686">
        <f t="shared" si="9"/>
        <v>4.2780853988235288</v>
      </c>
      <c r="Q52" s="38"/>
    </row>
    <row r="53" spans="1:17" s="42" customFormat="1" ht="15" customHeight="1">
      <c r="A53" s="1284"/>
      <c r="B53" s="1694"/>
      <c r="C53" s="4882" t="s">
        <v>403</v>
      </c>
      <c r="D53" s="4883"/>
      <c r="E53" s="1693">
        <f>IF($C53=0,0,VLOOKUP($C53,'SDK3'!$C$24:$O$86,4,FALSE))</f>
        <v>83</v>
      </c>
      <c r="F53" s="1692">
        <f>IF($C53=0,0,VLOOKUP($C53,'SDK3'!$C$24:$O$86,12,FALSE))</f>
        <v>0.56000000000000005</v>
      </c>
      <c r="G53" s="1691">
        <f>IF($C53=0,0,VLOOKUP($C53,'SDK3'!$C$24:$O$86,13,FALSE))</f>
        <v>9.6134362447058805</v>
      </c>
      <c r="H53" s="1688">
        <f>$J$6/60</f>
        <v>0.25</v>
      </c>
      <c r="I53" s="1687">
        <f t="shared" si="4"/>
        <v>0.14000000000000001</v>
      </c>
      <c r="J53" s="1686">
        <f t="shared" si="5"/>
        <v>2.4033590611764701</v>
      </c>
      <c r="K53" s="1688">
        <f>$M$6/60</f>
        <v>0.33333333333333331</v>
      </c>
      <c r="L53" s="1690">
        <f t="shared" si="6"/>
        <v>0.18666666666666668</v>
      </c>
      <c r="M53" s="1689">
        <f t="shared" si="7"/>
        <v>3.2044787482352932</v>
      </c>
      <c r="N53" s="1688">
        <f>$P$6/60</f>
        <v>0.41666666666666669</v>
      </c>
      <c r="O53" s="1687">
        <f t="shared" si="8"/>
        <v>0.23333333333333336</v>
      </c>
      <c r="P53" s="1686">
        <f t="shared" si="9"/>
        <v>4.0055984352941172</v>
      </c>
      <c r="Q53" s="38"/>
    </row>
    <row r="54" spans="1:17" s="42" customFormat="1" ht="15" customHeight="1">
      <c r="A54" s="1284"/>
      <c r="B54" s="1694"/>
      <c r="C54" s="4882" t="s">
        <v>459</v>
      </c>
      <c r="D54" s="4883"/>
      <c r="E54" s="1693">
        <f>IF($C54=0,0,VLOOKUP($C54,'SDK3'!$C$24:$O$86,4,FALSE))</f>
        <v>102</v>
      </c>
      <c r="F54" s="1692">
        <f>IF($C54=0,0,VLOOKUP($C54,'SDK3'!$C$24:$O$86,12,FALSE))</f>
        <v>0.79</v>
      </c>
      <c r="G54" s="1691">
        <f>IF($C54=0,0,VLOOKUP($C54,'SDK3'!$C$24:$O$86,13,FALSE))</f>
        <v>21.737240200000002</v>
      </c>
      <c r="H54" s="1688">
        <v>1</v>
      </c>
      <c r="I54" s="1687">
        <f t="shared" si="4"/>
        <v>0.79</v>
      </c>
      <c r="J54" s="1686">
        <f t="shared" si="5"/>
        <v>21.737240200000002</v>
      </c>
      <c r="K54" s="1688">
        <v>1</v>
      </c>
      <c r="L54" s="1690">
        <f t="shared" si="6"/>
        <v>0.79</v>
      </c>
      <c r="M54" s="1689">
        <f t="shared" si="7"/>
        <v>21.737240200000002</v>
      </c>
      <c r="N54" s="1688">
        <v>1</v>
      </c>
      <c r="O54" s="1687">
        <f t="shared" si="8"/>
        <v>0.79</v>
      </c>
      <c r="P54" s="1686">
        <f t="shared" si="9"/>
        <v>21.737240200000002</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5.07</v>
      </c>
      <c r="J58" s="1669"/>
      <c r="K58" s="1668"/>
      <c r="L58" s="1667">
        <f>SUM($L$46:$L$57)</f>
        <v>5.1166666666666671</v>
      </c>
      <c r="M58" s="1666"/>
      <c r="N58" s="1665"/>
      <c r="O58" s="1664">
        <f>SUM($O$46:$O$57)</f>
        <v>5.163333333333334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9.1260000000000012</v>
      </c>
      <c r="J59" s="1654"/>
      <c r="K59" s="1659"/>
      <c r="L59" s="1658">
        <f>IF(L58+SUM($L$46:$L$57)*$E$59%&gt;L58+10,L58+10,L58+SUM($L$46:$L$57)*$E$59%)</f>
        <v>9.2100000000000009</v>
      </c>
      <c r="M59" s="1657"/>
      <c r="N59" s="1656"/>
      <c r="O59" s="1655">
        <f>IF(O58+SUM($O$46:$O$57)*$E$59%&gt;O58+10,O58+10,O58+SUM($O$46:$O$57)*$E$59%)</f>
        <v>9.2940000000000005</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330</v>
      </c>
      <c r="D62" s="4860"/>
      <c r="E62" s="4860"/>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58.5</v>
      </c>
      <c r="K67" s="1609" t="s">
        <v>1161</v>
      </c>
      <c r="L67" s="1608" t="s">
        <v>1160</v>
      </c>
      <c r="M67" s="1585">
        <f>S68*(K9+K10)*L68%+F68</f>
        <v>78</v>
      </c>
      <c r="N67" s="1607" t="s">
        <v>1161</v>
      </c>
      <c r="O67" s="1606" t="s">
        <v>1160</v>
      </c>
      <c r="P67" s="1582">
        <f>T68*(N9+N10)*O68%+F68</f>
        <v>97.5</v>
      </c>
      <c r="Q67" s="38"/>
    </row>
    <row r="68" spans="1:20" s="686" customFormat="1" ht="15" customHeight="1">
      <c r="A68" s="1248"/>
      <c r="B68" s="1605"/>
      <c r="C68" s="4888" t="s">
        <v>1159</v>
      </c>
      <c r="D68" s="4888"/>
      <c r="E68" s="4888"/>
      <c r="F68" s="1604"/>
      <c r="G68" s="1595" t="s">
        <v>171</v>
      </c>
      <c r="H68" s="1602">
        <v>10</v>
      </c>
      <c r="I68" s="1601">
        <v>100</v>
      </c>
      <c r="J68" s="1600"/>
      <c r="K68" s="1602">
        <v>10</v>
      </c>
      <c r="L68" s="1601">
        <v>100</v>
      </c>
      <c r="M68" s="1603"/>
      <c r="N68" s="1602">
        <v>10</v>
      </c>
      <c r="O68" s="1601">
        <v>100</v>
      </c>
      <c r="P68" s="1600"/>
      <c r="Q68" s="38"/>
      <c r="R68" s="1599">
        <f>IF($H$68=0,0,VLOOKUP($H$68,'SD6'!P8:Q156,'SD6'!Q1,FALSE))*(1+'SDK1'!O11/100)</f>
        <v>3.9</v>
      </c>
      <c r="S68" s="1599">
        <f>IF($K$68=0,0,VLOOKUP($K$68,'SD6'!P8:Q156,'SD6'!Q1,FALSE))*(1+'SDK1'!O11/100)</f>
        <v>3.9</v>
      </c>
      <c r="T68" s="1599">
        <f>IF($N$68=0,0,VLOOKUP($N$68,'SD6'!P8:Q156,'SD6'!Q1,FALSE))*(1+'SDK1'!O11/100)</f>
        <v>3.9</v>
      </c>
    </row>
    <row r="69" spans="1:20" s="686" customFormat="1" ht="18.75" customHeight="1">
      <c r="A69" s="1248"/>
      <c r="B69" s="1254" t="s">
        <v>1158</v>
      </c>
      <c r="C69" s="1248"/>
      <c r="D69" s="1248"/>
      <c r="E69" s="38"/>
      <c r="F69" s="38"/>
      <c r="G69" s="1588"/>
      <c r="H69" s="44"/>
      <c r="I69" s="73"/>
      <c r="J69" s="1582">
        <f>H70*$F70/1000</f>
        <v>18.899999999999999</v>
      </c>
      <c r="K69" s="1598"/>
      <c r="L69" s="1597"/>
      <c r="M69" s="1585">
        <f>K70*$F70/1000</f>
        <v>25.2</v>
      </c>
      <c r="N69" s="44"/>
      <c r="O69" s="73"/>
      <c r="P69" s="1582">
        <f>N70*$F70/1000</f>
        <v>31.5</v>
      </c>
      <c r="Q69" s="38"/>
    </row>
    <row r="70" spans="1:20" s="686" customFormat="1" ht="15" customHeight="1">
      <c r="A70" s="1248"/>
      <c r="B70" s="1310"/>
      <c r="C70" s="1309" t="s">
        <v>840</v>
      </c>
      <c r="D70" s="346"/>
      <c r="E70" s="278"/>
      <c r="F70" s="1596">
        <f>'SDK7'!G107</f>
        <v>42</v>
      </c>
      <c r="G70" s="1595" t="s">
        <v>171</v>
      </c>
      <c r="H70" s="1591">
        <f>I9+I10</f>
        <v>450</v>
      </c>
      <c r="I70" s="1590"/>
      <c r="J70" s="1589"/>
      <c r="K70" s="1594">
        <f>L9+L10</f>
        <v>600</v>
      </c>
      <c r="L70" s="1593"/>
      <c r="M70" s="1592"/>
      <c r="N70" s="1591">
        <f>O9+O10</f>
        <v>750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7.2376364359313721</v>
      </c>
      <c r="K75" s="689"/>
      <c r="L75" s="1034"/>
      <c r="M75" s="1546">
        <f>(M23+M27+M34+M43+M60+M65+M67+M69+M71)*('SDK1'!$O$59%*$G$75/12)</f>
        <v>7.7815457666568637</v>
      </c>
      <c r="N75" s="1548"/>
      <c r="O75" s="1547"/>
      <c r="P75" s="1546">
        <f>(P23+P27+P34+P43+P60+P65+P67+P69+P71)*('SDK1'!$O$59%*$G$75/12)</f>
        <v>8.3254550973823527</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K159" s="15"/>
      <c r="M159" s="35"/>
      <c r="N159" s="35"/>
      <c r="O159" s="35"/>
      <c r="P159" s="35"/>
      <c r="Q159" s="35"/>
    </row>
    <row r="160" spans="1:17">
      <c r="A160" s="35"/>
      <c r="B160" s="601"/>
      <c r="C160" s="15"/>
      <c r="D160" s="15"/>
      <c r="F160" s="15"/>
      <c r="G160" s="15"/>
      <c r="H160" s="15"/>
      <c r="I160" s="15"/>
      <c r="J160" s="15"/>
      <c r="K160" s="15"/>
      <c r="M160" s="35"/>
      <c r="N160" s="35"/>
      <c r="O160" s="35"/>
      <c r="P160" s="35"/>
      <c r="Q160" s="35"/>
    </row>
    <row r="161" spans="1:17">
      <c r="A161" s="35"/>
      <c r="B161" s="601"/>
      <c r="C161" s="15"/>
      <c r="D161" s="15"/>
      <c r="F161" s="15"/>
      <c r="G161" s="15"/>
      <c r="H161" s="15"/>
      <c r="I161" s="15"/>
      <c r="J161" s="15"/>
      <c r="K161" s="15"/>
      <c r="L161" s="35"/>
      <c r="M161" s="35"/>
      <c r="N161" s="35"/>
      <c r="O161" s="35"/>
      <c r="P161" s="35"/>
      <c r="Q161" s="35"/>
    </row>
    <row r="162" spans="1:17">
      <c r="A162" s="35"/>
      <c r="B162" s="601"/>
      <c r="C162" s="15"/>
      <c r="D162" s="15"/>
      <c r="F162" s="15"/>
      <c r="G162" s="15"/>
      <c r="H162" s="15"/>
      <c r="I162" s="15"/>
      <c r="J162" s="15"/>
      <c r="K162" s="15"/>
      <c r="L162" s="35"/>
      <c r="M162" s="35"/>
      <c r="N162" s="35"/>
      <c r="O162" s="35"/>
      <c r="P162" s="35"/>
      <c r="Q162" s="35"/>
    </row>
    <row r="163" spans="1:17">
      <c r="A163" s="35"/>
      <c r="B163" s="601"/>
      <c r="C163" s="15"/>
      <c r="D163" s="15"/>
      <c r="F163" s="15"/>
      <c r="G163" s="15"/>
      <c r="H163" s="15"/>
      <c r="I163" s="15"/>
      <c r="J163" s="15"/>
      <c r="K163" s="15"/>
      <c r="L163" s="35"/>
      <c r="M163" s="35"/>
      <c r="N163" s="35"/>
      <c r="O163" s="35"/>
      <c r="P163" s="35"/>
      <c r="Q163" s="35"/>
    </row>
    <row r="164" spans="1:17">
      <c r="A164" s="35"/>
      <c r="B164" s="601"/>
      <c r="C164" s="15"/>
      <c r="L164" s="35"/>
      <c r="M164" s="35"/>
      <c r="N164" s="35"/>
      <c r="O164" s="35"/>
      <c r="P164" s="35"/>
      <c r="Q164" s="35"/>
    </row>
    <row r="165" spans="1:17">
      <c r="A165" s="35"/>
      <c r="B165" s="601"/>
      <c r="C165" s="15"/>
      <c r="L165" s="35"/>
      <c r="M165" s="35"/>
      <c r="N165" s="35"/>
      <c r="O165" s="35"/>
      <c r="P165" s="35"/>
      <c r="Q165" s="35"/>
    </row>
    <row r="166" spans="1:17">
      <c r="A166" s="35"/>
      <c r="B166" s="601"/>
      <c r="C166" s="15"/>
      <c r="L166" s="35"/>
      <c r="M166" s="35"/>
      <c r="N166" s="35"/>
      <c r="O166" s="35"/>
      <c r="P166" s="35"/>
      <c r="Q166" s="35"/>
    </row>
    <row r="167" spans="1:17">
      <c r="A167" s="35"/>
      <c r="B167" s="601"/>
      <c r="C167" s="15"/>
      <c r="L167" s="35"/>
      <c r="M167" s="35"/>
      <c r="N167" s="35"/>
      <c r="O167" s="35"/>
      <c r="P167" s="35"/>
      <c r="Q167" s="35"/>
    </row>
    <row r="168" spans="1:17">
      <c r="A168" s="35"/>
      <c r="B168" s="601"/>
      <c r="C168" s="15"/>
      <c r="L168" s="35"/>
      <c r="M168" s="35"/>
      <c r="N168" s="35"/>
      <c r="O168" s="35"/>
      <c r="P168" s="35"/>
      <c r="Q168" s="35"/>
    </row>
    <row r="169" spans="1:17">
      <c r="A169" s="35"/>
      <c r="B169" s="601"/>
      <c r="C169" s="15"/>
      <c r="L169" s="35"/>
      <c r="M169" s="35"/>
      <c r="N169" s="35"/>
      <c r="O169" s="35"/>
      <c r="P169" s="35"/>
      <c r="Q169" s="35"/>
    </row>
    <row r="170" spans="1:17">
      <c r="A170" s="35"/>
      <c r="B170" s="601"/>
      <c r="C170" s="15"/>
      <c r="L170" s="35"/>
      <c r="M170" s="35"/>
      <c r="N170" s="35"/>
      <c r="O170" s="35"/>
      <c r="P170" s="35"/>
      <c r="Q170" s="35"/>
    </row>
    <row r="171" spans="1:17">
      <c r="A171" s="35"/>
      <c r="B171" s="601"/>
      <c r="C171" s="15"/>
      <c r="L171" s="35"/>
      <c r="M171" s="35"/>
      <c r="N171" s="35"/>
      <c r="O171" s="35"/>
      <c r="P171" s="35"/>
      <c r="Q171" s="35"/>
    </row>
    <row r="172" spans="1:17">
      <c r="A172" s="35"/>
      <c r="B172" s="601"/>
      <c r="C172" s="15"/>
      <c r="L172" s="35"/>
      <c r="M172" s="35"/>
      <c r="N172" s="35"/>
      <c r="O172" s="35"/>
      <c r="P172" s="35"/>
      <c r="Q172" s="35"/>
    </row>
    <row r="173" spans="1:17">
      <c r="A173" s="35"/>
      <c r="B173" s="601"/>
      <c r="C173" s="15"/>
      <c r="L173" s="35"/>
      <c r="M173" s="35"/>
      <c r="N173" s="35"/>
      <c r="O173" s="35"/>
      <c r="P173" s="35"/>
      <c r="Q173" s="35"/>
    </row>
    <row r="174" spans="1:17">
      <c r="A174" s="35"/>
      <c r="B174" s="601"/>
      <c r="C174" s="15"/>
      <c r="L174" s="35"/>
      <c r="M174" s="35"/>
      <c r="N174" s="35"/>
      <c r="O174" s="35"/>
      <c r="P174" s="35"/>
      <c r="Q174" s="35"/>
    </row>
    <row r="175" spans="1:17">
      <c r="A175" s="35"/>
      <c r="B175" s="601"/>
      <c r="C175" s="15"/>
      <c r="L175" s="35"/>
      <c r="M175" s="35"/>
      <c r="N175" s="35"/>
      <c r="O175" s="35"/>
      <c r="P175" s="35"/>
      <c r="Q175" s="35"/>
    </row>
    <row r="176" spans="1:17">
      <c r="A176" s="35"/>
      <c r="B176" s="601"/>
      <c r="C176" s="1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2" orientation="portrait" r:id="rId1"/>
  <headerFooter alignWithMargins="0">
    <oddFooter>&amp;L&amp;11LEL Schwäbisch Gmünd&amp;C65&amp;R&amp;11&amp;F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'SDK5'!$W$214:$W$313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6">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470.80195358186143</v>
      </c>
      <c r="K1" s="4855">
        <f>M1-J1</f>
        <v>355.8510416666669</v>
      </c>
      <c r="L1" s="4855"/>
      <c r="M1" s="1874">
        <f>(M7+M13+M18+M22+L11+L12)-(M23+M27+M34+M43+M60+M65+M67+M69+M71+M75)</f>
        <v>826.65299524852833</v>
      </c>
      <c r="N1" s="4855">
        <f>P1-M1</f>
        <v>353.91233202398428</v>
      </c>
      <c r="O1" s="4855"/>
      <c r="P1" s="1874">
        <f>(P7+P13+P18+P22+O11+O12)-(P23+P27+P34+P43+P60+P65+P67+P69+P71+P75)</f>
        <v>1180.5653272725126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199</v>
      </c>
      <c r="L2" s="4867"/>
      <c r="M2" s="4867"/>
      <c r="N2" s="4867"/>
      <c r="O2" s="4867"/>
      <c r="P2" s="4867"/>
      <c r="Q2" s="1888">
        <v>10</v>
      </c>
    </row>
    <row r="3" spans="1:41" s="1859" customFormat="1" ht="21.75" customHeight="1">
      <c r="A3" s="1863"/>
      <c r="B3" s="1887"/>
      <c r="H3" s="1870"/>
      <c r="J3" s="4863"/>
      <c r="K3" s="4909"/>
      <c r="L3" s="4909"/>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909"/>
      <c r="L4" s="4909"/>
      <c r="M4" s="1910"/>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20</v>
      </c>
      <c r="K6" s="4874" t="s">
        <v>152</v>
      </c>
      <c r="L6" s="4875"/>
      <c r="M6" s="1855">
        <v>35</v>
      </c>
      <c r="N6" s="4861" t="s">
        <v>178</v>
      </c>
      <c r="O6" s="4862"/>
      <c r="P6" s="1854">
        <v>50</v>
      </c>
      <c r="Q6" s="70"/>
    </row>
    <row r="7" spans="1:41" s="251" customFormat="1" ht="18.75" customHeight="1">
      <c r="A7" s="47"/>
      <c r="B7" s="305" t="s">
        <v>1202</v>
      </c>
      <c r="C7" s="47"/>
      <c r="D7" s="47"/>
      <c r="E7" s="47"/>
      <c r="F7" s="47"/>
      <c r="G7" s="1852"/>
      <c r="H7" s="1849"/>
      <c r="I7" s="1848"/>
      <c r="J7" s="1582">
        <f>SUM(I9:I10)</f>
        <v>599.33333333333337</v>
      </c>
      <c r="K7" s="1851"/>
      <c r="L7" s="1850"/>
      <c r="M7" s="1585">
        <f>SUM(L9:L10)</f>
        <v>1048.8333333333335</v>
      </c>
      <c r="N7" s="1849"/>
      <c r="O7" s="1848"/>
      <c r="P7" s="1582">
        <f>SUM(O9:O10)</f>
        <v>1498.3333333333335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'SDK1'!O35</f>
        <v>29.966666666666669</v>
      </c>
      <c r="H9" s="1845">
        <f>J6-H10</f>
        <v>20</v>
      </c>
      <c r="I9" s="1841">
        <f>H9*G9</f>
        <v>599.33333333333337</v>
      </c>
      <c r="J9" s="43"/>
      <c r="K9" s="1844">
        <f>M6-K10</f>
        <v>35</v>
      </c>
      <c r="L9" s="1843">
        <f>K9*G9</f>
        <v>1048.8333333333335</v>
      </c>
      <c r="M9" s="1822"/>
      <c r="N9" s="1842">
        <f>P6-N10</f>
        <v>50</v>
      </c>
      <c r="O9" s="1841">
        <f>N9*G9</f>
        <v>1498.3333333333335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200</v>
      </c>
      <c r="K13" s="1895"/>
      <c r="L13" s="1793"/>
      <c r="M13" s="1585">
        <f>SUM(L14:L17)</f>
        <v>200</v>
      </c>
      <c r="N13" s="1894"/>
      <c r="O13" s="1791"/>
      <c r="P13" s="1582">
        <f>SUM(O14:O17)</f>
        <v>200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t="s">
        <v>2058</v>
      </c>
      <c r="D15" s="4860"/>
      <c r="E15" s="4860"/>
      <c r="F15" s="4860"/>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555.4</v>
      </c>
      <c r="S19" s="1783">
        <f>M13+M18</f>
        <v>555.4</v>
      </c>
      <c r="T19" s="1782">
        <f>P13+P18</f>
        <v>555.4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153.6</v>
      </c>
      <c r="K23" s="1587"/>
      <c r="L23" s="1586"/>
      <c r="M23" s="1768">
        <f>SUM(L25:L26)</f>
        <v>168</v>
      </c>
      <c r="N23" s="1584"/>
      <c r="O23" s="1583"/>
      <c r="P23" s="1567">
        <f>SUM(O25:O26)</f>
        <v>182.4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'SDK7'!F67/100</f>
        <v>0.96</v>
      </c>
      <c r="G25" s="1762">
        <f>F25*(100+$D$24)/100</f>
        <v>0.96</v>
      </c>
      <c r="H25" s="1761">
        <v>160</v>
      </c>
      <c r="I25" s="1722">
        <f>H25*$G25</f>
        <v>153.6</v>
      </c>
      <c r="J25" s="45"/>
      <c r="K25" s="1761">
        <v>175</v>
      </c>
      <c r="L25" s="1564">
        <f>K25*$G25</f>
        <v>168</v>
      </c>
      <c r="M25" s="1557"/>
      <c r="N25" s="1761">
        <v>190</v>
      </c>
      <c r="O25" s="1722">
        <f>N25*$G25</f>
        <v>182.4</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30.035999999999994</v>
      </c>
      <c r="K27" s="1716"/>
      <c r="L27" s="1715"/>
      <c r="M27" s="1585">
        <f>SUM(L30:L33)</f>
        <v>52.562999999999995</v>
      </c>
      <c r="N27" s="1714"/>
      <c r="O27" s="1713"/>
      <c r="P27" s="1582">
        <f>SUM(O30:O33)</f>
        <v>75.089999999999989</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-0.80000000000000027</v>
      </c>
      <c r="F30" s="1742">
        <f>VLOOKUP(K2,'SD8'!B9:L42,7,FALSE)</f>
        <v>1.4999999999999996</v>
      </c>
      <c r="G30" s="1741"/>
      <c r="H30" s="1739">
        <f>IF(J$6=0,0,(J$6*$E30+$G30+X14))</f>
        <v>-16.000000000000007</v>
      </c>
      <c r="I30" s="1722">
        <f>H30*$D30</f>
        <v>-22.91200000000001</v>
      </c>
      <c r="J30" s="45"/>
      <c r="K30" s="1740">
        <f>IF(M$6=0,0,(M$6*$E30+$G30+Y14))</f>
        <v>-28.000000000000011</v>
      </c>
      <c r="L30" s="1564">
        <f>K30*$D30</f>
        <v>-40.096000000000011</v>
      </c>
      <c r="M30" s="1557"/>
      <c r="N30" s="1739">
        <f>IF(P$6=0,0,(P$6*$E30+$G30+Z14))</f>
        <v>-40.000000000000014</v>
      </c>
      <c r="O30" s="1722">
        <f>N30*$D30</f>
        <v>-57.280000000000015</v>
      </c>
      <c r="P30" s="1686"/>
      <c r="Q30" s="38"/>
    </row>
    <row r="31" spans="1:26" s="42" customFormat="1" ht="15" customHeight="1">
      <c r="A31" s="1284"/>
      <c r="B31" s="272"/>
      <c r="C31" s="1284" t="s">
        <v>244</v>
      </c>
      <c r="D31" s="1691">
        <f>'SDK1'!O53</f>
        <v>1.05</v>
      </c>
      <c r="E31" s="1742">
        <f>VLOOKUP(K2,'SD8'!B9:L42,4,FALSE)</f>
        <v>1.1000000000000001</v>
      </c>
      <c r="F31" s="1742">
        <f>VLOOKUP(K2,'SD8'!B9:L42,8,FALSE)</f>
        <v>0.29999999999999982</v>
      </c>
      <c r="G31" s="1741"/>
      <c r="H31" s="1739">
        <f>IF(J$6=0,0,(J$6*$E31+$G31+X15))</f>
        <v>22</v>
      </c>
      <c r="I31" s="1722">
        <f>H31*$D31</f>
        <v>23.1</v>
      </c>
      <c r="J31" s="45"/>
      <c r="K31" s="1740">
        <f>IF(M$6=0,0,(M$6*$E31+$G31+Y15))</f>
        <v>38.5</v>
      </c>
      <c r="L31" s="1564">
        <f>K31*$D31</f>
        <v>40.425000000000004</v>
      </c>
      <c r="M31" s="1557"/>
      <c r="N31" s="1739">
        <f>IF(P$6=0,0,(P$6*$E31+$G31+Z15))</f>
        <v>55.000000000000007</v>
      </c>
      <c r="O31" s="1722">
        <f>N31*$D31</f>
        <v>57.750000000000007</v>
      </c>
      <c r="P31" s="1686"/>
      <c r="Q31" s="38"/>
    </row>
    <row r="32" spans="1:26" s="42" customFormat="1" ht="15" customHeight="1">
      <c r="A32" s="1284"/>
      <c r="B32" s="272"/>
      <c r="C32" s="1284" t="s">
        <v>242</v>
      </c>
      <c r="D32" s="1691">
        <f>'SDK1'!O54</f>
        <v>0.98000000000000009</v>
      </c>
      <c r="E32" s="1742">
        <f>VLOOKUP(K2,'SD8'!B9:L42,5,FALSE)</f>
        <v>1.4</v>
      </c>
      <c r="F32" s="1742">
        <f>VLOOKUP(K2,'SD8'!B9:L42,9,FALSE)</f>
        <v>2.6</v>
      </c>
      <c r="G32" s="1741"/>
      <c r="H32" s="1739">
        <f>IF(J$6=0,0,(J$6*$E32+$G32+X16))</f>
        <v>28</v>
      </c>
      <c r="I32" s="1722">
        <f>H32*$D32</f>
        <v>27.44</v>
      </c>
      <c r="J32" s="45"/>
      <c r="K32" s="1740">
        <f>IF(M$6=0,0,(M$6*$E32+$G32+Y16))</f>
        <v>49</v>
      </c>
      <c r="L32" s="1564">
        <f>K32*$D32</f>
        <v>48.02</v>
      </c>
      <c r="M32" s="1557"/>
      <c r="N32" s="1739">
        <f>IF(P$6=0,0,(P$6*$E32+$G32+Z16))</f>
        <v>70</v>
      </c>
      <c r="O32" s="1722">
        <f>N32*$D32</f>
        <v>68.600000000000009</v>
      </c>
      <c r="P32" s="1686"/>
      <c r="Q32" s="38"/>
    </row>
    <row r="33" spans="1:17" s="42" customFormat="1" ht="15" customHeight="1">
      <c r="A33" s="1284"/>
      <c r="B33" s="239"/>
      <c r="C33" s="1309" t="s">
        <v>240</v>
      </c>
      <c r="D33" s="1674">
        <f>'SDK1'!O55</f>
        <v>0.60200000000000009</v>
      </c>
      <c r="E33" s="1738">
        <f>VLOOKUP(K2,'SD8'!B9:L42,6,FALSE)</f>
        <v>0.2</v>
      </c>
      <c r="F33" s="1738">
        <f>VLOOKUP(K2,'SD8'!B9:L42,10,FALSE)</f>
        <v>0.3</v>
      </c>
      <c r="G33" s="1737"/>
      <c r="H33" s="1735">
        <f>IF(J$6=0,0,(J$6*$E33+$G33+X17))</f>
        <v>4</v>
      </c>
      <c r="I33" s="1718">
        <f>H33*$D33</f>
        <v>2.4080000000000004</v>
      </c>
      <c r="J33" s="45"/>
      <c r="K33" s="1736">
        <f>IF(M$6=0,0,(M$6*$E33+$G33+Y17))</f>
        <v>7</v>
      </c>
      <c r="L33" s="1558">
        <f>K33*$D33</f>
        <v>4.2140000000000004</v>
      </c>
      <c r="M33" s="1557"/>
      <c r="N33" s="1735">
        <f>IF(P$6=0,0,(P$6*$E33+$G33+Z17))</f>
        <v>10</v>
      </c>
      <c r="O33" s="1718">
        <f>N33*$D33</f>
        <v>6.0200000000000014</v>
      </c>
      <c r="P33" s="1717"/>
      <c r="Q33" s="38"/>
    </row>
    <row r="34" spans="1:17" s="686" customFormat="1" ht="18.75" customHeight="1">
      <c r="A34" s="1248"/>
      <c r="B34" s="1254" t="s">
        <v>1178</v>
      </c>
      <c r="C34" s="1248"/>
      <c r="D34" s="37"/>
      <c r="E34" s="37"/>
      <c r="F34" s="4876" t="s">
        <v>1177</v>
      </c>
      <c r="G34" s="487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651</v>
      </c>
      <c r="D36" s="4884"/>
      <c r="E36" s="4885"/>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70" t="s">
        <v>601</v>
      </c>
      <c r="D37" s="4870"/>
      <c r="E37" s="487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133.74572096564705</v>
      </c>
      <c r="K43" s="1716"/>
      <c r="L43" s="1715"/>
      <c r="M43" s="1585">
        <f>SUM(M46:M57)</f>
        <v>133.74572096564705</v>
      </c>
      <c r="N43" s="1714"/>
      <c r="O43" s="1713"/>
      <c r="P43" s="1582">
        <f>SUM(P46:P57)</f>
        <v>135.66840821458823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10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0.6</v>
      </c>
      <c r="I50" s="1687">
        <f t="shared" si="4"/>
        <v>0.33600000000000002</v>
      </c>
      <c r="J50" s="1686">
        <f t="shared" si="5"/>
        <v>5.7680617468235278</v>
      </c>
      <c r="K50" s="1688">
        <v>0.6</v>
      </c>
      <c r="L50" s="1690">
        <f t="shared" si="6"/>
        <v>0.33600000000000002</v>
      </c>
      <c r="M50" s="1689">
        <f t="shared" si="7"/>
        <v>5.7680617468235278</v>
      </c>
      <c r="N50" s="1688">
        <v>0.8</v>
      </c>
      <c r="O50" s="1687">
        <f t="shared" si="8"/>
        <v>0.44800000000000006</v>
      </c>
      <c r="P50" s="1686">
        <f t="shared" si="9"/>
        <v>7.6907489957647046</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4.3760000000000003</v>
      </c>
      <c r="J58" s="1669"/>
      <c r="K58" s="1668"/>
      <c r="L58" s="1667">
        <f>SUM($L$46:$L$57)</f>
        <v>4.3760000000000003</v>
      </c>
      <c r="M58" s="1666"/>
      <c r="N58" s="1665"/>
      <c r="O58" s="1664">
        <f>SUM($O$46:$O$57)</f>
        <v>4.4880000000000004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7.8768000000000011</v>
      </c>
      <c r="J59" s="1654"/>
      <c r="K59" s="1659"/>
      <c r="L59" s="1658">
        <f>IF(L58+SUM($L$46:$L$57)*$E$59%&gt;L58+10,L58+10,L58+SUM($L$46:$L$57)*$E$59%)</f>
        <v>7.8768000000000011</v>
      </c>
      <c r="M59" s="1657"/>
      <c r="N59" s="1656"/>
      <c r="O59" s="1655">
        <f>IF(O58+SUM($O$46:$O$57)*$E$59%&gt;O58+10,O58+10,O58+SUM($O$46:$O$57)*$E$59%)</f>
        <v>8.078400000000002</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57.816000000000003</v>
      </c>
      <c r="K67" s="1609" t="s">
        <v>1161</v>
      </c>
      <c r="L67" s="1608" t="s">
        <v>1160</v>
      </c>
      <c r="M67" s="1585">
        <f>S68*(K9+K10)*L68%+F68</f>
        <v>101.178</v>
      </c>
      <c r="N67" s="1607" t="s">
        <v>1161</v>
      </c>
      <c r="O67" s="1606" t="s">
        <v>1160</v>
      </c>
      <c r="P67" s="1582">
        <f>T68*(N9+N10)*O68%+F68</f>
        <v>144.54000000000002</v>
      </c>
      <c r="Q67" s="38"/>
    </row>
    <row r="68" spans="1:20" s="686" customFormat="1" ht="15" customHeight="1">
      <c r="A68" s="1248"/>
      <c r="B68" s="1605"/>
      <c r="C68" s="4888" t="s">
        <v>1159</v>
      </c>
      <c r="D68" s="4888"/>
      <c r="E68" s="4888"/>
      <c r="F68" s="1604"/>
      <c r="G68" s="1595" t="s">
        <v>171</v>
      </c>
      <c r="H68" s="1602">
        <v>16</v>
      </c>
      <c r="I68" s="1601">
        <v>66</v>
      </c>
      <c r="J68" s="1600"/>
      <c r="K68" s="1602">
        <v>16</v>
      </c>
      <c r="L68" s="1601">
        <v>66</v>
      </c>
      <c r="M68" s="1603"/>
      <c r="N68" s="1602">
        <v>16</v>
      </c>
      <c r="O68" s="1601">
        <v>66</v>
      </c>
      <c r="P68" s="1600"/>
      <c r="Q68" s="38"/>
      <c r="R68" s="1912">
        <f>IF($H$68=0,0,VLOOKUP($H$68,'SD6'!D8:E156,'SD6'!$E$1,FALSE))*(1+'SDK1'!O11/100)</f>
        <v>4.38</v>
      </c>
      <c r="S68" s="1599">
        <f>IF($H$68=0,0,VLOOKUP($H$68,'SD6'!D8:E156,'SD6'!$E$1,FALSE))*(1+'SDK1'!O11/100)</f>
        <v>4.38</v>
      </c>
      <c r="T68" s="1912">
        <f>IF($H$68=0,0,VLOOKUP($H$68,'SD6'!D8:E156,'SD6'!$E$1,FALSE))*(1+'SDK1'!O11/100)</f>
        <v>4.38</v>
      </c>
    </row>
    <row r="69" spans="1:20" s="686" customFormat="1" ht="18.75" customHeight="1">
      <c r="A69" s="1248"/>
      <c r="B69" s="1254" t="s">
        <v>1158</v>
      </c>
      <c r="C69" s="1248"/>
      <c r="D69" s="1248"/>
      <c r="E69" s="38"/>
      <c r="F69" s="38"/>
      <c r="G69" s="1588"/>
      <c r="H69" s="44"/>
      <c r="I69" s="73"/>
      <c r="J69" s="1582">
        <f>H70*$F70/1000</f>
        <v>16.781333333333336</v>
      </c>
      <c r="K69" s="1598"/>
      <c r="L69" s="1597"/>
      <c r="M69" s="1585">
        <f>K70*$F70/1000</f>
        <v>29.367333333333335</v>
      </c>
      <c r="N69" s="44"/>
      <c r="O69" s="73"/>
      <c r="P69" s="1582">
        <f>N70*$F70/1000</f>
        <v>41.953333333333333</v>
      </c>
      <c r="Q69" s="38"/>
    </row>
    <row r="70" spans="1:20" s="686" customFormat="1" ht="15" customHeight="1">
      <c r="A70" s="1248"/>
      <c r="B70" s="1310"/>
      <c r="C70" s="1309" t="s">
        <v>840</v>
      </c>
      <c r="D70" s="346"/>
      <c r="E70" s="278"/>
      <c r="F70" s="1596">
        <f>'SDK7'!G109</f>
        <v>28</v>
      </c>
      <c r="G70" s="1595" t="s">
        <v>171</v>
      </c>
      <c r="H70" s="1591">
        <f>I9+I10</f>
        <v>599.33333333333337</v>
      </c>
      <c r="I70" s="1590"/>
      <c r="J70" s="1589"/>
      <c r="K70" s="1594">
        <f>L9+L10</f>
        <v>1048.8333333333335</v>
      </c>
      <c r="L70" s="1593"/>
      <c r="M70" s="1592"/>
      <c r="N70" s="1591">
        <f>O9+O10</f>
        <v>1498.3333333333335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5.6523254524915032</v>
      </c>
      <c r="K75" s="689"/>
      <c r="L75" s="1034"/>
      <c r="M75" s="1546">
        <f>(M23+M27+M34+M43+M60+M65+M67+M69+M71)*('SDK1'!$O$59%*$G$75/12)</f>
        <v>6.4262837858248369</v>
      </c>
      <c r="N75" s="1548"/>
      <c r="O75" s="1547"/>
      <c r="P75" s="1546">
        <f>(P23+P27+P34+P43+P60+P65+P67+P69+P71)*('SDK1'!$O$59%*$G$75/12)</f>
        <v>7.2162645128993459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D209" s="35"/>
      <c r="E209" s="35"/>
      <c r="F209" s="35"/>
      <c r="G209" s="35"/>
      <c r="H209" s="35"/>
      <c r="I209" s="35"/>
      <c r="J209" s="35"/>
      <c r="K209" s="35"/>
      <c r="L209" s="35"/>
      <c r="M209" s="35"/>
      <c r="N209" s="35"/>
      <c r="O209" s="35"/>
      <c r="P209" s="35"/>
      <c r="Q209" s="35"/>
    </row>
    <row r="210" spans="1:17">
      <c r="A210" s="35"/>
      <c r="B210" s="601"/>
      <c r="C210" s="15"/>
      <c r="D210" s="35"/>
      <c r="E210" s="35"/>
      <c r="F210" s="35"/>
      <c r="G210" s="35"/>
      <c r="H210" s="35"/>
      <c r="I210" s="35"/>
      <c r="J210" s="35"/>
      <c r="K210" s="35"/>
      <c r="L210" s="35"/>
      <c r="M210" s="35"/>
      <c r="N210" s="35"/>
      <c r="O210" s="35"/>
      <c r="P210" s="35"/>
      <c r="Q210" s="35"/>
    </row>
    <row r="211" spans="1:17">
      <c r="A211" s="35"/>
      <c r="B211" s="601"/>
      <c r="C211" s="15"/>
      <c r="D211" s="35"/>
      <c r="E211" s="35"/>
      <c r="F211" s="35"/>
      <c r="G211" s="35"/>
      <c r="H211" s="35"/>
      <c r="I211" s="35"/>
      <c r="J211" s="35"/>
      <c r="K211" s="35"/>
      <c r="L211" s="35"/>
      <c r="M211" s="35"/>
      <c r="N211" s="35"/>
      <c r="O211" s="35"/>
      <c r="P211" s="35"/>
      <c r="Q211" s="35"/>
    </row>
    <row r="212" spans="1:17">
      <c r="A212" s="35"/>
      <c r="B212" s="601"/>
      <c r="C212" s="15"/>
      <c r="D212" s="35"/>
      <c r="E212" s="35"/>
      <c r="F212" s="35"/>
      <c r="G212" s="35"/>
      <c r="H212" s="35"/>
      <c r="I212" s="35"/>
      <c r="J212" s="35"/>
      <c r="K212" s="35"/>
      <c r="L212" s="35"/>
      <c r="M212" s="35"/>
      <c r="N212" s="35"/>
      <c r="O212" s="35"/>
      <c r="P212" s="35"/>
      <c r="Q212" s="35"/>
    </row>
    <row r="213" spans="1:17">
      <c r="A213" s="35"/>
      <c r="B213" s="601"/>
      <c r="C213" s="15"/>
      <c r="D213" s="35"/>
      <c r="E213" s="35"/>
      <c r="F213" s="35"/>
      <c r="G213" s="35"/>
      <c r="H213" s="35"/>
      <c r="I213" s="35"/>
      <c r="J213" s="35"/>
      <c r="K213" s="35"/>
      <c r="L213" s="35"/>
      <c r="M213" s="35"/>
      <c r="N213" s="35"/>
      <c r="O213" s="35"/>
      <c r="P213" s="35"/>
      <c r="Q213" s="35"/>
    </row>
    <row r="214" spans="1:17">
      <c r="A214" s="35"/>
      <c r="B214" s="601"/>
      <c r="C214" s="15"/>
      <c r="D214" s="35"/>
      <c r="E214" s="35"/>
      <c r="F214" s="35"/>
      <c r="G214" s="35"/>
      <c r="H214" s="35"/>
      <c r="I214" s="35"/>
      <c r="J214" s="35"/>
      <c r="K214" s="35"/>
      <c r="L214" s="35"/>
      <c r="M214" s="35"/>
      <c r="N214" s="35"/>
      <c r="O214" s="35"/>
      <c r="P214" s="35"/>
      <c r="Q214" s="35"/>
    </row>
    <row r="215" spans="1:17">
      <c r="A215" s="35"/>
      <c r="B215" s="601"/>
      <c r="C215" s="15"/>
      <c r="D215" s="35"/>
      <c r="E215" s="35"/>
      <c r="F215" s="35"/>
      <c r="G215" s="35"/>
      <c r="H215" s="35"/>
      <c r="I215" s="35"/>
      <c r="J215" s="35"/>
      <c r="K215" s="35"/>
      <c r="L215" s="35"/>
      <c r="M215" s="35"/>
      <c r="N215" s="35"/>
      <c r="O215" s="35"/>
      <c r="P215" s="35"/>
      <c r="Q215" s="35"/>
    </row>
    <row r="216" spans="1:17">
      <c r="A216" s="35"/>
      <c r="B216" s="601"/>
      <c r="C216" s="15"/>
      <c r="D216" s="35"/>
      <c r="E216" s="35"/>
      <c r="F216" s="35"/>
      <c r="G216" s="35"/>
      <c r="H216" s="35"/>
      <c r="I216" s="35"/>
      <c r="J216" s="35"/>
      <c r="K216" s="35"/>
      <c r="L216" s="35"/>
      <c r="M216" s="35"/>
      <c r="N216" s="35"/>
      <c r="O216" s="35"/>
      <c r="P216" s="35"/>
      <c r="Q216" s="35"/>
    </row>
    <row r="217" spans="1:17">
      <c r="A217" s="35"/>
      <c r="B217" s="601"/>
      <c r="C217" s="15"/>
      <c r="D217" s="35"/>
      <c r="E217" s="35"/>
      <c r="F217" s="35"/>
      <c r="G217" s="35"/>
      <c r="H217" s="35"/>
      <c r="I217" s="35"/>
      <c r="J217" s="35"/>
      <c r="K217" s="35"/>
      <c r="L217" s="35"/>
      <c r="M217" s="35"/>
      <c r="N217" s="35"/>
      <c r="O217" s="35"/>
      <c r="P217" s="35"/>
      <c r="Q217" s="35"/>
    </row>
    <row r="218" spans="1:17">
      <c r="A218" s="35"/>
      <c r="B218" s="601"/>
      <c r="C218" s="15"/>
      <c r="D218" s="35"/>
      <c r="E218" s="35"/>
      <c r="F218" s="35"/>
      <c r="G218" s="35"/>
      <c r="H218" s="35"/>
      <c r="I218" s="35"/>
      <c r="J218" s="35"/>
      <c r="K218" s="35"/>
      <c r="L218" s="35"/>
      <c r="M218" s="35"/>
      <c r="N218" s="35"/>
      <c r="O218" s="35"/>
      <c r="P218" s="35"/>
      <c r="Q218" s="35"/>
    </row>
  </sheetData>
  <sheetProtection sheet="1" objects="1" scenarios="1"/>
  <mergeCells count="49">
    <mergeCell ref="K1:L1"/>
    <mergeCell ref="N1:O1"/>
    <mergeCell ref="C42:E42"/>
    <mergeCell ref="H6:I6"/>
    <mergeCell ref="C19:F19"/>
    <mergeCell ref="C39:E39"/>
    <mergeCell ref="E4:I4"/>
    <mergeCell ref="N3:O4"/>
    <mergeCell ref="J3:L3"/>
    <mergeCell ref="J4:L4"/>
    <mergeCell ref="K6:L6"/>
    <mergeCell ref="E10:F10"/>
    <mergeCell ref="C16:F16"/>
    <mergeCell ref="C17:F17"/>
    <mergeCell ref="K2:P2"/>
    <mergeCell ref="C14:F14"/>
    <mergeCell ref="C48:D48"/>
    <mergeCell ref="F23:G23"/>
    <mergeCell ref="F34:G34"/>
    <mergeCell ref="C47:D47"/>
    <mergeCell ref="B75:C75"/>
    <mergeCell ref="C38:E38"/>
    <mergeCell ref="C54:D54"/>
    <mergeCell ref="C50:D50"/>
    <mergeCell ref="C51:D51"/>
    <mergeCell ref="D25:E25"/>
    <mergeCell ref="D26:E26"/>
    <mergeCell ref="C49:D49"/>
    <mergeCell ref="C74:E74"/>
    <mergeCell ref="C55:D55"/>
    <mergeCell ref="C68:E68"/>
    <mergeCell ref="C62:E62"/>
    <mergeCell ref="C15:F15"/>
    <mergeCell ref="N6:O6"/>
    <mergeCell ref="C46:D46"/>
    <mergeCell ref="C41:E41"/>
    <mergeCell ref="C37:E37"/>
    <mergeCell ref="C36:E36"/>
    <mergeCell ref="C40:E40"/>
    <mergeCell ref="E22:G22"/>
    <mergeCell ref="C20:F20"/>
    <mergeCell ref="C21:F21"/>
    <mergeCell ref="C52:D52"/>
    <mergeCell ref="C53:D53"/>
    <mergeCell ref="C64:E64"/>
    <mergeCell ref="C73:E73"/>
    <mergeCell ref="C63:E63"/>
    <mergeCell ref="C57:D57"/>
    <mergeCell ref="C56:D56"/>
  </mergeCells>
  <dataValidations count="4">
    <dataValidation type="list" showInputMessage="1" showErrorMessage="1" sqref="N14 K14 H14">
      <formula1>"ja,nein"</formula1>
    </dataValidation>
    <dataValidation type="list" allowBlank="1" showInputMessage="1" showErrorMessage="1" sqref="N15:N17 K15:K17 H15:H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4" orientation="portrait" r:id="rId1"/>
  <headerFooter alignWithMargins="0">
    <oddFooter>&amp;L&amp;11LEL Schwäbisch Gmünd&amp;C67&amp;R&amp;11&amp;F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'SDK5'!$X$214:$X$313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7">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1921"/>
      <c r="H1" s="1870"/>
      <c r="I1" s="1875" t="s">
        <v>1207</v>
      </c>
      <c r="J1" s="1874">
        <f>(J7+J13+J18+J22+I11+I12)-(J23+J27+J34+J43+J60+J65+J67+J69+J71+J75)</f>
        <v>381.44011951431378</v>
      </c>
      <c r="K1" s="4855">
        <f>M1-J1</f>
        <v>349.42829517865891</v>
      </c>
      <c r="L1" s="4855"/>
      <c r="M1" s="1874">
        <f>(M7+M13+M18+M22+L11+L12)-(M23+M27+M34+M43+M60+M65+M67+M69+M71+M75)</f>
        <v>730.86841469297269</v>
      </c>
      <c r="N1" s="4855">
        <f>P1-M1</f>
        <v>348.45894035731772</v>
      </c>
      <c r="O1" s="4855"/>
      <c r="P1" s="1874">
        <f>(P7+P13+P18+P22+O11+O12)-(P23+P27+P34+P43+P60+P65+P67+P69+P71+P75)</f>
        <v>1079.3273550502904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198</v>
      </c>
      <c r="L2" s="4867"/>
      <c r="M2" s="4867"/>
      <c r="N2" s="4867"/>
      <c r="O2" s="4867"/>
      <c r="P2" s="4867"/>
      <c r="Q2" s="1888">
        <v>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20</v>
      </c>
      <c r="K6" s="4874" t="s">
        <v>152</v>
      </c>
      <c r="L6" s="4875"/>
      <c r="M6" s="1855">
        <v>35</v>
      </c>
      <c r="N6" s="4861" t="s">
        <v>178</v>
      </c>
      <c r="O6" s="4862"/>
      <c r="P6" s="1854">
        <v>50</v>
      </c>
      <c r="Q6" s="70"/>
    </row>
    <row r="7" spans="1:41" s="251" customFormat="1" ht="18.75" customHeight="1">
      <c r="A7" s="47"/>
      <c r="B7" s="305" t="s">
        <v>1202</v>
      </c>
      <c r="C7" s="47"/>
      <c r="D7" s="47"/>
      <c r="E7" s="47"/>
      <c r="F7" s="47"/>
      <c r="G7" s="1852"/>
      <c r="H7" s="1849"/>
      <c r="I7" s="1848"/>
      <c r="J7" s="1582">
        <f>SUM(I9:I10)</f>
        <v>606</v>
      </c>
      <c r="K7" s="1851"/>
      <c r="L7" s="1850"/>
      <c r="M7" s="1585">
        <f>SUM(L9:L10)</f>
        <v>1060.5</v>
      </c>
      <c r="N7" s="1849"/>
      <c r="O7" s="1848"/>
      <c r="P7" s="1582">
        <f>SUM(O9:O10)</f>
        <v>1515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'SDK1'!O36</f>
        <v>30.3</v>
      </c>
      <c r="H9" s="1845">
        <f>J6-H10</f>
        <v>20</v>
      </c>
      <c r="I9" s="1841">
        <f>H9*G9</f>
        <v>606</v>
      </c>
      <c r="J9" s="43"/>
      <c r="K9" s="1844">
        <f>M6-K10</f>
        <v>35</v>
      </c>
      <c r="L9" s="1843">
        <f>K9*G9</f>
        <v>1060.5</v>
      </c>
      <c r="M9" s="1822"/>
      <c r="N9" s="1842">
        <f>P6-N10</f>
        <v>50</v>
      </c>
      <c r="O9" s="1841">
        <f>N9*G9</f>
        <v>1515</v>
      </c>
      <c r="P9" s="43"/>
      <c r="Q9" s="38"/>
      <c r="R9" s="913"/>
      <c r="S9" s="263" t="s">
        <v>1208</v>
      </c>
      <c r="T9" s="1840"/>
    </row>
    <row r="10" spans="1:41" s="1810" customFormat="1" ht="15">
      <c r="A10" s="370"/>
      <c r="B10" s="239"/>
      <c r="C10" s="279" t="str">
        <f>IF('SDK1'!O9&gt;0,"Nebenprodukt (incl. MwSt.)","Nebenprodukt (ohne MwSt)")</f>
        <v>Nebenprodukt (ohne MwSt)</v>
      </c>
      <c r="D10" s="1819"/>
      <c r="E10" s="4872"/>
      <c r="F10" s="4873"/>
      <c r="G10" s="1839"/>
      <c r="H10" s="1919"/>
      <c r="I10" s="1833">
        <f>H10*G10</f>
        <v>0</v>
      </c>
      <c r="J10" s="1838"/>
      <c r="K10" s="1920"/>
      <c r="L10" s="1836">
        <f>K10*G10</f>
        <v>0</v>
      </c>
      <c r="M10" s="1835"/>
      <c r="N10" s="1919"/>
      <c r="O10" s="1833">
        <f>N10*G10</f>
        <v>0</v>
      </c>
      <c r="P10" s="1832"/>
      <c r="Q10" s="38"/>
      <c r="R10" s="1831">
        <f>I10+I11+I12</f>
        <v>0</v>
      </c>
      <c r="S10" s="1830">
        <f>L10+L11+L12</f>
        <v>0</v>
      </c>
      <c r="T10" s="1829">
        <f>O10+O11+O12</f>
        <v>0</v>
      </c>
      <c r="W10" s="251" t="s">
        <v>1198</v>
      </c>
    </row>
    <row r="11" spans="1:41" s="1810" customFormat="1" ht="15">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5.75">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151.19999999999999</v>
      </c>
      <c r="K23" s="1587"/>
      <c r="L23" s="1586"/>
      <c r="M23" s="1768">
        <f>SUM(L25:L26)</f>
        <v>176.4</v>
      </c>
      <c r="N23" s="1584"/>
      <c r="O23" s="1583"/>
      <c r="P23" s="1567">
        <f>SUM(O25:O26)</f>
        <v>201.6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'SDK7'!F68/100</f>
        <v>0.84</v>
      </c>
      <c r="G25" s="1762">
        <f>F25*(100+$D$24)/100</f>
        <v>0.84</v>
      </c>
      <c r="H25" s="1761">
        <v>180</v>
      </c>
      <c r="I25" s="1722">
        <f>H25*$G25</f>
        <v>151.19999999999999</v>
      </c>
      <c r="J25" s="45"/>
      <c r="K25" s="1761">
        <v>210</v>
      </c>
      <c r="L25" s="1564">
        <f>K25*$G25</f>
        <v>176.4</v>
      </c>
      <c r="M25" s="1557"/>
      <c r="N25" s="1761">
        <v>240</v>
      </c>
      <c r="O25" s="1722">
        <f>N25*$G25</f>
        <v>201.6</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29.271999999999995</v>
      </c>
      <c r="K27" s="1716"/>
      <c r="L27" s="1715"/>
      <c r="M27" s="1585">
        <f>SUM(L30:L33)</f>
        <v>51.225999999999985</v>
      </c>
      <c r="N27" s="1714"/>
      <c r="O27" s="1713"/>
      <c r="P27" s="1582">
        <f>SUM(O30:O33)</f>
        <v>73.179999999999993</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-0.90000000000000036</v>
      </c>
      <c r="F30" s="1742">
        <f>VLOOKUP(K2,'SD8'!B9:L42,7,FALSE)</f>
        <v>1.5</v>
      </c>
      <c r="G30" s="1741"/>
      <c r="H30" s="1739">
        <f>IF(J$6=0,0,(J$6*$E30+$G30+X14))</f>
        <v>-18.000000000000007</v>
      </c>
      <c r="I30" s="1722">
        <f>H30*$D30</f>
        <v>-25.77600000000001</v>
      </c>
      <c r="J30" s="45"/>
      <c r="K30" s="1740">
        <f>IF(M$6=0,0,(M$6*$E30+$G30+Y14))</f>
        <v>-31.500000000000014</v>
      </c>
      <c r="L30" s="1564">
        <f>K30*$D30</f>
        <v>-45.108000000000018</v>
      </c>
      <c r="M30" s="1557"/>
      <c r="N30" s="1739">
        <f>IF(P$6=0,0,(P$6*$E30+$G30+Z14))</f>
        <v>-45.000000000000014</v>
      </c>
      <c r="O30" s="1722">
        <f>N30*$D30</f>
        <v>-64.440000000000012</v>
      </c>
      <c r="P30" s="1686"/>
      <c r="Q30" s="38"/>
    </row>
    <row r="31" spans="1:26" s="42" customFormat="1" ht="15" customHeight="1">
      <c r="A31" s="1284"/>
      <c r="B31" s="272"/>
      <c r="C31" s="1284" t="s">
        <v>244</v>
      </c>
      <c r="D31" s="1691">
        <f>'SDK1'!O53</f>
        <v>1.05</v>
      </c>
      <c r="E31" s="1742">
        <f>VLOOKUP(K2,'SD8'!B9:L42,4,FALSE)</f>
        <v>1.2</v>
      </c>
      <c r="F31" s="1742">
        <f>VLOOKUP(K2,'SD8'!B9:L42,8,FALSE)</f>
        <v>0.3</v>
      </c>
      <c r="G31" s="1741"/>
      <c r="H31" s="1739">
        <f>IF(J$6=0,0,(J$6*$E31+$G31+X15))</f>
        <v>24</v>
      </c>
      <c r="I31" s="1722">
        <f>H31*$D31</f>
        <v>25.200000000000003</v>
      </c>
      <c r="J31" s="45"/>
      <c r="K31" s="1740">
        <f>IF(M$6=0,0,(M$6*$E31+$G31+Y15))</f>
        <v>42</v>
      </c>
      <c r="L31" s="1564">
        <f>K31*$D31</f>
        <v>44.1</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1.4</v>
      </c>
      <c r="F32" s="1742">
        <f>VLOOKUP(K2,'SD8'!B9:L42,9,FALSE)</f>
        <v>1.7</v>
      </c>
      <c r="G32" s="1741"/>
      <c r="H32" s="1739">
        <f>IF(J$6=0,0,(J$6*$E32+$G32+X16))</f>
        <v>28</v>
      </c>
      <c r="I32" s="1722">
        <f>H32*$D32</f>
        <v>27.44</v>
      </c>
      <c r="J32" s="45"/>
      <c r="K32" s="1740">
        <f>IF(M$6=0,0,(M$6*$E32+$G32+Y16))</f>
        <v>49</v>
      </c>
      <c r="L32" s="1564">
        <f>K32*$D32</f>
        <v>48.02</v>
      </c>
      <c r="M32" s="1557"/>
      <c r="N32" s="1739">
        <f>IF(P$6=0,0,(P$6*$E32+$G32+Z16))</f>
        <v>70</v>
      </c>
      <c r="O32" s="1722">
        <f>N32*$D32</f>
        <v>68.600000000000009</v>
      </c>
      <c r="P32" s="1686"/>
      <c r="Q32" s="38"/>
    </row>
    <row r="33" spans="1:17" s="42" customFormat="1" ht="15" customHeight="1">
      <c r="A33" s="1284"/>
      <c r="B33" s="239"/>
      <c r="C33" s="1309" t="s">
        <v>240</v>
      </c>
      <c r="D33" s="1674">
        <f>'SDK1'!O55</f>
        <v>0.60200000000000009</v>
      </c>
      <c r="E33" s="1738">
        <f>VLOOKUP(K2,'SD8'!B9:L42,6,FALSE)</f>
        <v>0.2</v>
      </c>
      <c r="F33" s="1738">
        <f>VLOOKUP(K2,'SD8'!B9:L42,10,FALSE)</f>
        <v>0.15</v>
      </c>
      <c r="G33" s="1737"/>
      <c r="H33" s="1735">
        <f>IF(J$6=0,0,(J$6*$E33+$G33+X17))</f>
        <v>4</v>
      </c>
      <c r="I33" s="1718">
        <f>H33*$D33</f>
        <v>2.4080000000000004</v>
      </c>
      <c r="J33" s="45"/>
      <c r="K33" s="1736">
        <f>IF(M$6=0,0,(M$6*$E33+$G33+Y17))</f>
        <v>7</v>
      </c>
      <c r="L33" s="1558">
        <f>K33*$D33</f>
        <v>4.2140000000000004</v>
      </c>
      <c r="M33" s="1557"/>
      <c r="N33" s="1735">
        <f>IF(P$6=0,0,(P$6*$E33+$G33+Z17))</f>
        <v>10</v>
      </c>
      <c r="O33" s="1718">
        <f>N33*$D33</f>
        <v>6.0200000000000014</v>
      </c>
      <c r="P33" s="1717"/>
      <c r="Q33" s="38"/>
    </row>
    <row r="34" spans="1:17" s="686" customFormat="1" ht="18.75" customHeight="1">
      <c r="A34" s="1248"/>
      <c r="B34" s="1254" t="s">
        <v>1178</v>
      </c>
      <c r="C34" s="1248"/>
      <c r="D34" s="37"/>
      <c r="E34" s="37"/>
      <c r="F34" s="4876" t="s">
        <v>1177</v>
      </c>
      <c r="G34" s="487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651</v>
      </c>
      <c r="D36" s="4884"/>
      <c r="E36" s="4885"/>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70" t="s">
        <v>601</v>
      </c>
      <c r="D37" s="4870"/>
      <c r="E37" s="487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132.78437734117645</v>
      </c>
      <c r="K43" s="1716"/>
      <c r="L43" s="1715"/>
      <c r="M43" s="1585">
        <f>SUM(M46:M57)</f>
        <v>133.74572096564705</v>
      </c>
      <c r="N43" s="1714"/>
      <c r="O43" s="1713"/>
      <c r="P43" s="1582">
        <f>SUM(P46:P57)</f>
        <v>135.66840821458823</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v>0.5</v>
      </c>
      <c r="I50" s="1687">
        <f t="shared" si="4"/>
        <v>0.28000000000000003</v>
      </c>
      <c r="J50" s="1686">
        <f t="shared" si="5"/>
        <v>4.8067181223529403</v>
      </c>
      <c r="K50" s="1688">
        <v>0.6</v>
      </c>
      <c r="L50" s="1690">
        <f t="shared" si="6"/>
        <v>0.33600000000000002</v>
      </c>
      <c r="M50" s="1689">
        <f t="shared" si="7"/>
        <v>5.7680617468235278</v>
      </c>
      <c r="N50" s="1688">
        <v>0.8</v>
      </c>
      <c r="O50" s="1687">
        <f t="shared" si="8"/>
        <v>0.44800000000000006</v>
      </c>
      <c r="P50" s="1686">
        <f t="shared" si="9"/>
        <v>7.6907489957647046</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4.32</v>
      </c>
      <c r="J58" s="1669"/>
      <c r="K58" s="1668"/>
      <c r="L58" s="1667">
        <f>SUM($L$46:$L$57)</f>
        <v>4.3760000000000003</v>
      </c>
      <c r="M58" s="1666"/>
      <c r="N58" s="1665"/>
      <c r="O58" s="1664">
        <f>SUM($O$46:$O$57)</f>
        <v>4.4880000000000004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7.7760000000000007</v>
      </c>
      <c r="J59" s="1654"/>
      <c r="K59" s="1659"/>
      <c r="L59" s="1658">
        <f>IF(L58+SUM($L$46:$L$57)*$E$59%&gt;L58+10,L58+10,L58+SUM($L$46:$L$57)*$E$59%)</f>
        <v>7.8768000000000011</v>
      </c>
      <c r="M59" s="1657"/>
      <c r="N59" s="1656"/>
      <c r="O59" s="1655">
        <f>IF(O58+SUM($O$46:$O$57)*$E$59%&gt;O58+10,O58+10,O58+SUM($O$46:$O$57)*$E$59%)</f>
        <v>8.078400000000002</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57.816000000000003</v>
      </c>
      <c r="K67" s="1609" t="s">
        <v>1161</v>
      </c>
      <c r="L67" s="1608" t="s">
        <v>1160</v>
      </c>
      <c r="M67" s="1585">
        <f>S68*(K9+K10)*L68%+F68</f>
        <v>101.178</v>
      </c>
      <c r="N67" s="1607" t="s">
        <v>1161</v>
      </c>
      <c r="O67" s="1606" t="s">
        <v>1160</v>
      </c>
      <c r="P67" s="1582">
        <f>T68*(N9+N10)*O68%+F68</f>
        <v>144.54000000000002</v>
      </c>
      <c r="Q67" s="38"/>
    </row>
    <row r="68" spans="1:20" s="686" customFormat="1" ht="15" customHeight="1">
      <c r="A68" s="1248"/>
      <c r="B68" s="1605"/>
      <c r="C68" s="4888" t="s">
        <v>1159</v>
      </c>
      <c r="D68" s="4888"/>
      <c r="E68" s="4888"/>
      <c r="F68" s="1604"/>
      <c r="G68" s="1595" t="s">
        <v>171</v>
      </c>
      <c r="H68" s="1602">
        <v>16</v>
      </c>
      <c r="I68" s="1601">
        <v>66</v>
      </c>
      <c r="J68" s="1600"/>
      <c r="K68" s="1602">
        <v>16</v>
      </c>
      <c r="L68" s="1601">
        <v>66</v>
      </c>
      <c r="M68" s="1603"/>
      <c r="N68" s="1602">
        <v>16</v>
      </c>
      <c r="O68" s="1601">
        <v>66</v>
      </c>
      <c r="P68" s="1600"/>
      <c r="Q68" s="38"/>
      <c r="R68" s="1912">
        <f>IF($H$68=0,0,VLOOKUP($H$68,'SD6'!D8:E156,'SD6'!$E$1,FALSE))*(1+'SDK1'!O11/100)</f>
        <v>4.38</v>
      </c>
      <c r="S68" s="1599">
        <f>IF($H$68=0,0,VLOOKUP($H$68,'SD6'!D8:E156,'SD6'!$E$1,FALSE))*(1+'SDK1'!O11/100)</f>
        <v>4.38</v>
      </c>
      <c r="T68" s="1912">
        <f>IF($H$68=0,0,VLOOKUP($H$68,'SD6'!D8:E156,'SD6'!$E$1,FALSE))*(1+'SDK1'!O11/100)</f>
        <v>4.38</v>
      </c>
    </row>
    <row r="69" spans="1:20" s="686" customFormat="1" ht="18.75" customHeight="1">
      <c r="A69" s="1248"/>
      <c r="B69" s="1254" t="s">
        <v>1158</v>
      </c>
      <c r="C69" s="1248"/>
      <c r="D69" s="1248"/>
      <c r="E69" s="38"/>
      <c r="F69" s="38"/>
      <c r="G69" s="1588"/>
      <c r="H69" s="44"/>
      <c r="I69" s="73"/>
      <c r="J69" s="1582">
        <f>H70*$F70/1000</f>
        <v>16.968</v>
      </c>
      <c r="K69" s="1598"/>
      <c r="L69" s="1597"/>
      <c r="M69" s="1585">
        <f>K70*$F70/1000</f>
        <v>29.693999999999999</v>
      </c>
      <c r="N69" s="44"/>
      <c r="O69" s="73"/>
      <c r="P69" s="1582">
        <f>N70*$F70/1000</f>
        <v>42.42</v>
      </c>
      <c r="Q69" s="38"/>
    </row>
    <row r="70" spans="1:20" s="686" customFormat="1" ht="15" customHeight="1">
      <c r="A70" s="1248"/>
      <c r="B70" s="1310"/>
      <c r="C70" s="1309" t="s">
        <v>840</v>
      </c>
      <c r="D70" s="346"/>
      <c r="E70" s="278"/>
      <c r="F70" s="1596">
        <f>'SDK7'!G108</f>
        <v>28</v>
      </c>
      <c r="G70" s="1595" t="s">
        <v>171</v>
      </c>
      <c r="H70" s="1591">
        <f>I9+I10</f>
        <v>606</v>
      </c>
      <c r="I70" s="1590"/>
      <c r="J70" s="1589"/>
      <c r="K70" s="1594">
        <f>L9+L10</f>
        <v>1060.5</v>
      </c>
      <c r="L70" s="1593"/>
      <c r="M70" s="1592"/>
      <c r="N70" s="1591">
        <f>O9+O10</f>
        <v>1515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5.619503144509804</v>
      </c>
      <c r="K75" s="689"/>
      <c r="L75" s="1034"/>
      <c r="M75" s="1546">
        <f>(M23+M27+M34+M43+M60+M65+M67+M69+M71)*('SDK1'!$O$59%*$G$75/12)</f>
        <v>6.4878643413803916</v>
      </c>
      <c r="N75" s="1548"/>
      <c r="O75" s="1547"/>
      <c r="P75" s="1546">
        <f>(P23+P27+P34+P43+P60+P65+P67+P69+P71)*('SDK1'!$O$59%*$G$75/12)</f>
        <v>7.3642367351215672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6" orientation="portrait" r:id="rId1"/>
  <headerFooter alignWithMargins="0">
    <oddFooter>&amp;L&amp;11LEL Schwäbisch Gmünd&amp;C69&amp;R&amp;11&amp;F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'SDK5'!$Y$214:$Y$313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0000"/>
    <pageSetUpPr fitToPage="1"/>
  </sheetPr>
  <dimension ref="A1:L58"/>
  <sheetViews>
    <sheetView showZeros="0" topLeftCell="A2" zoomScaleNormal="100" workbookViewId="0">
      <selection activeCell="A2" sqref="A2"/>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0.625" style="136" customWidth="1"/>
    <col min="6" max="6" width="11.375" style="136" customWidth="1"/>
    <col min="7" max="7" width="13" style="136" customWidth="1"/>
    <col min="8" max="9" width="10.875" style="136" customWidth="1"/>
    <col min="10" max="10" width="10.75" style="136" customWidth="1"/>
    <col min="11" max="11" width="7.75" style="136" customWidth="1"/>
    <col min="12" max="12" width="0" style="136" hidden="1" customWidth="1"/>
    <col min="13" max="16384" width="10.5" style="136"/>
  </cols>
  <sheetData>
    <row r="1" spans="1:12" ht="13.5" hidden="1">
      <c r="A1" s="4154">
        <f>IF(J7=100,0,   "Flächenanteile ergeben nicht 100% !")</f>
        <v>0</v>
      </c>
      <c r="B1" s="4154"/>
      <c r="D1" s="206">
        <f t="shared" ref="D1:I1" si="0">VLOOKUP(D6,$D$27:$F$58,3,FALSE)</f>
        <v>17</v>
      </c>
      <c r="E1" s="206">
        <f t="shared" si="0"/>
        <v>3</v>
      </c>
      <c r="F1" s="206">
        <f t="shared" si="0"/>
        <v>12</v>
      </c>
      <c r="G1" s="206">
        <f t="shared" si="0"/>
        <v>2</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201" t="s">
        <v>184</v>
      </c>
      <c r="K2" s="201"/>
    </row>
    <row r="3" spans="1:12" ht="15.75" customHeight="1">
      <c r="B3" s="203"/>
      <c r="D3" s="140"/>
      <c r="E3" s="140"/>
      <c r="F3" s="140"/>
      <c r="G3" s="140"/>
      <c r="H3" s="140"/>
      <c r="I3" s="140"/>
    </row>
    <row r="4" spans="1:12" ht="21.4" customHeight="1">
      <c r="B4" s="4153" t="s">
        <v>213</v>
      </c>
      <c r="C4" s="4153"/>
      <c r="D4" s="202">
        <f>VLOOKUP(B4,G27:J30,4,FALSE)</f>
        <v>2</v>
      </c>
      <c r="E4" s="202"/>
      <c r="F4" s="202"/>
      <c r="G4" s="202"/>
      <c r="H4" s="140"/>
      <c r="I4" s="140"/>
      <c r="J4" s="201">
        <f>'SDK1'!O3</f>
        <v>0</v>
      </c>
      <c r="K4" s="201"/>
    </row>
    <row r="5" spans="1:12" ht="19.899999999999999" customHeight="1">
      <c r="B5" s="33"/>
      <c r="C5" s="33"/>
      <c r="D5" s="200">
        <f t="shared" ref="D5:I5" si="1">$D$4*100+D1</f>
        <v>217</v>
      </c>
      <c r="E5" s="200">
        <f t="shared" si="1"/>
        <v>203</v>
      </c>
      <c r="F5" s="200">
        <f t="shared" si="1"/>
        <v>212</v>
      </c>
      <c r="G5" s="200">
        <f t="shared" si="1"/>
        <v>202</v>
      </c>
      <c r="H5" s="200">
        <f t="shared" si="1"/>
        <v>215</v>
      </c>
      <c r="I5" s="200">
        <f t="shared" si="1"/>
        <v>232</v>
      </c>
      <c r="J5" s="33"/>
    </row>
    <row r="6" spans="1:12" ht="48.4" customHeight="1">
      <c r="B6" s="199"/>
      <c r="C6" s="198" t="s">
        <v>232</v>
      </c>
      <c r="D6" s="3357" t="s">
        <v>64</v>
      </c>
      <c r="E6" s="3357" t="s">
        <v>96</v>
      </c>
      <c r="F6" s="3357" t="s">
        <v>77</v>
      </c>
      <c r="G6" s="3357" t="s">
        <v>98</v>
      </c>
      <c r="H6" s="3358" t="s">
        <v>205</v>
      </c>
      <c r="I6" s="197" t="s">
        <v>191</v>
      </c>
      <c r="J6" s="196" t="s">
        <v>231</v>
      </c>
      <c r="K6" s="195"/>
      <c r="L6" s="3209" t="str">
        <f>J6</f>
        <v xml:space="preserve">Ø DB je ha AF </v>
      </c>
    </row>
    <row r="7" spans="1:12" ht="18.75" customHeight="1">
      <c r="B7" s="194" t="s">
        <v>230</v>
      </c>
      <c r="C7" s="193" t="s">
        <v>113</v>
      </c>
      <c r="D7" s="192">
        <v>10</v>
      </c>
      <c r="E7" s="192">
        <v>40</v>
      </c>
      <c r="F7" s="192">
        <v>10</v>
      </c>
      <c r="G7" s="192">
        <v>10</v>
      </c>
      <c r="H7" s="191">
        <v>30</v>
      </c>
      <c r="I7" s="190">
        <v>20</v>
      </c>
      <c r="J7" s="189">
        <f>SUM($D$7:$H$7)</f>
        <v>100</v>
      </c>
      <c r="L7" s="3216">
        <v>100</v>
      </c>
    </row>
    <row r="8" spans="1:12" ht="21.6" customHeight="1">
      <c r="B8" s="179" t="s">
        <v>229</v>
      </c>
      <c r="C8" s="165" t="s">
        <v>172</v>
      </c>
      <c r="D8" s="164">
        <f>IF(ISERROR(IF(D5&lt;200,0,HLOOKUP(D5,Daten!$D$1:$CT$6,6,FALSE))),"",IF(D5&lt;200,0,HLOOKUP(D5,Daten!$D$1:$CT$6,6,FALSE)))</f>
        <v>30</v>
      </c>
      <c r="E8" s="164">
        <f>IF(ISERROR(IF(E5&lt;200,0,HLOOKUP(E5,Daten!$D$1:$CT$6,6,FALSE))),"",IF(E5&lt;200,0,HLOOKUP(E5,Daten!$D$1:$CT$6,6,FALSE)))</f>
        <v>60</v>
      </c>
      <c r="F8" s="164">
        <f>IF(ISERROR(IF(F5&lt;200,0,HLOOKUP(F5,Daten!$D$1:$CT$6,6,FALSE))),"",IF(F5&lt;200,0,HLOOKUP(F5,Daten!$D$1:$CT$6,6,FALSE)))</f>
        <v>40</v>
      </c>
      <c r="G8" s="164">
        <f>IF(ISERROR(IF(G5&lt;200,0,HLOOKUP(G5,Daten!$D$1:$CT$6,6,FALSE))),"",IF(G5&lt;200,0,HLOOKUP(G5,Daten!$D$1:$CT$6,6,FALSE)))</f>
        <v>65</v>
      </c>
      <c r="H8" s="162">
        <f>IF(ISERROR(IF(H5&lt;200,0,HLOOKUP(H5,Daten!$D$1:$CT$6,6,FALSE))),"",IF(H5&lt;200,0,HLOOKUP(H5,Daten!$D$1:$CT$6,6,FALSE)))</f>
        <v>80</v>
      </c>
      <c r="I8" s="178"/>
      <c r="J8" s="177"/>
      <c r="K8" s="176"/>
      <c r="L8" s="3214"/>
    </row>
    <row r="9" spans="1:12" ht="19.899999999999999" customHeight="1">
      <c r="B9" s="179" t="str">
        <f>IF('SDK1'!O9&gt;0," Preis (inkl. MwSt.)","Preis (ohne. MwSt.)")</f>
        <v>Preis (ohne. MwSt.)</v>
      </c>
      <c r="C9" s="165" t="s">
        <v>228</v>
      </c>
      <c r="D9" s="188">
        <f>IF(ISERROR(IF(D5&lt;200,0,HLOOKUP(D5,Daten!$D$1:$CT$7,7,FALSE))),"",IF(D5&lt;200,0,HLOOKUP(D5,Daten!$D$1:$CT$7,7,FALSE)))</f>
        <v>52.166666666666657</v>
      </c>
      <c r="E9" s="188">
        <f>IF(ISERROR(IF(E5&lt;200,0,HLOOKUP(E5,Daten!$D$1:$CT$7,7,FALSE))),"",IF(E5&lt;200,0,HLOOKUP(E5,Daten!$D$1:$CT$7,7,FALSE)))</f>
        <v>23.533333333333331</v>
      </c>
      <c r="F9" s="188">
        <f>IF(ISERROR(IF(F5&lt;200,0,HLOOKUP(F5,Daten!$D$1:$CT$7,7,FALSE))),"",IF(F5&lt;200,0,HLOOKUP(F5,Daten!$D$1:$CT$7,7,FALSE)))</f>
        <v>30.2</v>
      </c>
      <c r="G9" s="188">
        <f>IF(ISERROR(IF(G5&lt;200,0,HLOOKUP(G5,Daten!$D$1:$CT$7,7,FALSE))),"",IF(G5&lt;200,0,HLOOKUP(G5,Daten!$D$1:$CT$7,7,FALSE)))</f>
        <v>22.233333333333334</v>
      </c>
      <c r="H9" s="187">
        <f>IF(ISERROR(IF(H5&lt;200,0,HLOOKUP(H5,Daten!$D$1:$CT$7,7,FALSE))),"",IF(H5&lt;200,0,HLOOKUP(H5,Daten!$D$1:$CT$7,7,FALSE)))</f>
        <v>24.633333333333336</v>
      </c>
      <c r="I9" s="186">
        <f>IF(I7=0,0,IF(ISERROR(IF(I5&lt;200,0,HLOOKUP(I5,Daten!$D$1:$CT$7,7,FALSE))),"",IF(I5&lt;200,0,HLOOKUP(I5,Daten!$D$1:$CT$7,7,FALSE))))</f>
        <v>0</v>
      </c>
      <c r="J9" s="185"/>
      <c r="K9" s="184"/>
      <c r="L9" s="3214"/>
    </row>
    <row r="10" spans="1:12" ht="19.899999999999999" customHeight="1">
      <c r="B10" s="179" t="s">
        <v>227</v>
      </c>
      <c r="C10" s="165" t="s">
        <v>171</v>
      </c>
      <c r="D10" s="164">
        <f>IF(ISERROR(IF(D$5&lt;200,0,HLOOKUP(D$5,Daten!$D$1:$CT$11,8,FALSE))),"",IF(D$5&lt;200,0,HLOOKUP(D$5,Daten!$D$1:$CT$11,8,FALSE)))</f>
        <v>1564.9999999999998</v>
      </c>
      <c r="E10" s="164">
        <f>IF(ISERROR(IF(E$5&lt;200,0,HLOOKUP(E$5,Daten!$D$1:$CT$11,8,FALSE))),"",IF(E$5&lt;200,0,HLOOKUP(E$5,Daten!$D$1:$CT$11,8,FALSE)))</f>
        <v>1412</v>
      </c>
      <c r="F10" s="164">
        <f>IF(ISERROR(IF(F$5&lt;200,0,HLOOKUP(F$5,Daten!$D$1:$CT$11,8,FALSE))),"",IF(F$5&lt;200,0,HLOOKUP(F$5,Daten!$D$1:$CT$11,8,FALSE)))</f>
        <v>1208</v>
      </c>
      <c r="G10" s="164">
        <f>IF(ISERROR(IF(G$5&lt;200,0,HLOOKUP(G$5,Daten!$D$1:$CT$11,8,FALSE))),"",IF(G$5&lt;200,0,HLOOKUP(G$5,Daten!$D$1:$CT$11,8,FALSE)))</f>
        <v>1445.1666666666667</v>
      </c>
      <c r="H10" s="162">
        <f>IF(ISERROR(IF(H$5&lt;200,0,HLOOKUP(H$5,Daten!$D$1:$CT$11,8,FALSE))),"",IF(H$5&lt;200,0,HLOOKUP(H$5,Daten!$D$1:$CT$11,8,FALSE)))</f>
        <v>1970.666666666667</v>
      </c>
      <c r="I10" s="178">
        <f>IF(I7=0,0,IF(ISERROR(IF(I$5&lt;200,0,HLOOKUP(I$5,Daten!$D$1:$CT$11,8,FALSE))),"",IF(I$5&lt;200,0,HLOOKUP(I$5,Daten!$D$1:$CT$11,8,FALSE))))</f>
        <v>0</v>
      </c>
      <c r="J10" s="185"/>
      <c r="K10" s="184"/>
      <c r="L10" s="3214"/>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99.500000000000014</v>
      </c>
      <c r="G11" s="164">
        <f>IF(ISERROR(IF(G$5&lt;200,0,HLOOKUP(G$5,Daten!$D$1:$CT$11,9,FALSE))),"",IF(G$5&lt;200,0,HLOOKUP(G$5,Daten!$D$1:$CT$11,9,FALSE)))</f>
        <v>476.66666666666663</v>
      </c>
      <c r="H11" s="162">
        <f>IF(ISERROR(IF(H$5&lt;200,0,HLOOKUP(H$5,Daten!$D$1:$CT$11,9,FALSE))),"",IF(H$5&lt;200,0,HLOOKUP(H$5,Daten!$D$1:$CT$11,9,FALSE)))</f>
        <v>0</v>
      </c>
      <c r="I11" s="178">
        <f>IF(I7=0,0,IF(ISERROR(IF(I$5&lt;200,0,HLOOKUP(I$5,Daten!$D$1:$CT$11,9,FALSE))),"",IF(I$5&lt;200,0,HLOOKUP(I$5,Daten!$D$1:$CT$11,9,FALSE))))</f>
        <v>0</v>
      </c>
      <c r="J11" s="185"/>
      <c r="K11" s="184"/>
      <c r="L11" s="3214"/>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15"/>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321.39999999999998</v>
      </c>
      <c r="F13" s="164">
        <f>IF(ISERROR(IF(F$5&lt;200,0,HLOOKUP(F$5,Daten!$D$1:$CT$23,23,FALSE))),"",IF(F$5&lt;200,0,HLOOKUP(F$5,Daten!$D$1:$CT$23,23,FALSE)))</f>
        <v>455.4</v>
      </c>
      <c r="G13" s="164">
        <f>IF(ISERROR(IF(G$5&lt;200,0,HLOOKUP(G$5,Daten!$D$1:$CT$23,23,FALSE))),"",IF(G$5&lt;200,0,HLOOKUP(G$5,Daten!$D$1:$CT$23,23,FALSE)))</f>
        <v>455.4</v>
      </c>
      <c r="H13" s="162">
        <f>IF(ISERROR(IF(H$5&lt;200,0,HLOOKUP(H$5,Daten!$D$1:$CT$23,23,FALSE))),"",IF(H$5&lt;200,0,HLOOKUP(H$5,Daten!$D$1:$CT$23,23,FALSE)))</f>
        <v>355.4</v>
      </c>
      <c r="I13" s="178">
        <f>IF(I7=0,0,IF(ISERROR(IF(I$5&lt;200,0,HLOOKUP(I$5,Daten!$D$1:$CT$23,23,FALSE))),"",IF(I$5&lt;200,0,HLOOKUP(I$5,Daten!$D$1:$CT$23,23,FALSE))))</f>
        <v>455.4</v>
      </c>
      <c r="J13" s="185"/>
      <c r="K13" s="184"/>
      <c r="L13" s="3210">
        <f t="shared" ref="L13:L22" si="2">IF(ISERROR((D13*$D$7+E13*$E$7+F13*$F$7+G13*$G$7+H13*$H$7+I13*$I$7)/$J$7),"",(D13*$D$7+E13*$E$7+F13*$F$7+G13*$G$7+H13*$H$7+I13*$I$7)/$J$7)</f>
        <v>462.88</v>
      </c>
    </row>
    <row r="14" spans="1:12" ht="19.899999999999999" customHeight="1">
      <c r="B14" s="175" t="s">
        <v>223</v>
      </c>
      <c r="C14" s="183" t="s">
        <v>171</v>
      </c>
      <c r="D14" s="170">
        <f>IF(ISERROR(IF(D5&lt;200,0,(HLOOKUP(D5,Daten!$D$1:$CT$63,11,FALSE))+(HLOOKUP(D5,Daten!$D$1:$CT$63,23,FALSE)))),"",IF(D5&lt;200,0,(HLOOKUP(D5,Daten!$D$1:$CT$63,11,FALSE))+(HLOOKUP(D5,Daten!$D$1:$CT$63,23,FALSE))))</f>
        <v>2020.3999999999996</v>
      </c>
      <c r="E14" s="170">
        <f>IF(ISERROR(IF(E5&lt;200,0,(HLOOKUP(E5,Daten!$D$1:$CT$63,11,FALSE))+(HLOOKUP(E5,Daten!$D$1:$CT$63,23,FALSE)))),"",IF(E5&lt;200,0,(HLOOKUP(E5,Daten!$D$1:$CT$63,11,FALSE))+(HLOOKUP(E5,Daten!$D$1:$CT$63,23,FALSE))))</f>
        <v>1733.4</v>
      </c>
      <c r="F14" s="170">
        <f>IF(ISERROR(IF(F5&lt;200,0,(HLOOKUP(F5,Daten!$D$1:$CT$63,11,FALSE))+(HLOOKUP(F5,Daten!$D$1:$CT$63,23,FALSE)))),"",IF(F5&lt;200,0,(HLOOKUP(F5,Daten!$D$1:$CT$63,11,FALSE))+(HLOOKUP(F5,Daten!$D$1:$CT$63,23,FALSE))))</f>
        <v>1762.9</v>
      </c>
      <c r="G14" s="170">
        <f>IF(ISERROR(IF(G5&lt;200,0,(HLOOKUP(G5,Daten!$D$1:$CT$63,11,FALSE))+(HLOOKUP(G5,Daten!$D$1:$CT$63,23,FALSE)))),"",IF(G5&lt;200,0,(HLOOKUP(G5,Daten!$D$1:$CT$63,11,FALSE))+(HLOOKUP(G5,Daten!$D$1:$CT$63,23,FALSE))))</f>
        <v>2377.2333333333336</v>
      </c>
      <c r="H14" s="169">
        <f>IF(ISERROR(IF(H5&lt;200,0,(HLOOKUP(H5,Daten!$D$1:$CT$63,11,FALSE))+(HLOOKUP(H5,Daten!$D$1:$CT$63,23,FALSE)))),"",IF(H5&lt;200,0,(HLOOKUP(H5,Daten!$D$1:$CT$63,11,FALSE))+(HLOOKUP(H5,Daten!$D$1:$CT$63,23,FALSE))))</f>
        <v>2326.0666666666671</v>
      </c>
      <c r="I14" s="168">
        <f>IF(I7=0,0,IF(ISERROR(IF(I5&lt;200,0,(HLOOKUP(I5,Daten!$D$1:$CT$63,11,FALSE))+(HLOOKUP(I5,Daten!$D$1:$CT$63,23,FALSE)))),"",IF(I5&lt;200,0,(HLOOKUP(I5,Daten!$D$1:$CT$63,11,FALSE))+(HLOOKUP(I5,Daten!$D$1:$CT$63,23,FALSE)))))</f>
        <v>455.4</v>
      </c>
      <c r="J14" s="182"/>
      <c r="K14" s="181"/>
      <c r="L14" s="3218">
        <f t="shared" si="2"/>
        <v>2098.3133333333335</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152</v>
      </c>
      <c r="G15" s="164">
        <f>IF(ISERROR(IF(G5&lt;200,0,HLOOKUP(G5,Daten!$D$1:$CT$12,12,FALSE))),"",IF(G5&lt;200,0,HLOOKUP(G5,Daten!$D$1:$CT$12,12,FALSE)))</f>
        <v>158</v>
      </c>
      <c r="H15" s="162">
        <f>IF(ISERROR(IF(H5&lt;200,0,HLOOKUP(H5,Daten!$D$1:$CT$12,12,FALSE))),"",IF(H5&lt;200,0,HLOOKUP(H5,Daten!$D$1:$CT$12,12,FALSE)))</f>
        <v>243</v>
      </c>
      <c r="I15" s="178">
        <f>IF(I7=0,0,IF(ISERROR(IF(I5&lt;200,0,HLOOKUP(I5,Daten!$D$1:$CT$12,12,FALSE))),"",IF(I5&lt;200,0,HLOOKUP(I5,Daten!$D$1:$CT$12,12,FALSE))))</f>
        <v>62.5</v>
      </c>
      <c r="J15" s="180"/>
      <c r="K15" s="176"/>
      <c r="L15" s="3210">
        <f t="shared" si="2"/>
        <v>191.5</v>
      </c>
    </row>
    <row r="16" spans="1:12" ht="19.899999999999999" customHeight="1">
      <c r="B16" s="179" t="s">
        <v>1283</v>
      </c>
      <c r="C16" s="165" t="s">
        <v>171</v>
      </c>
      <c r="D16" s="164">
        <f>IF(ISERROR(IF(D5&lt;200,0,HLOOKUP(D5,Daten!$D$1:$CT$13,13,FALSE))),"",IF(D5&lt;200,0,HLOOKUP(D5,Daten!$D$1:$CT$13,13,FALSE)))</f>
        <v>310.64599999999996</v>
      </c>
      <c r="E16" s="164">
        <f>IF(ISERROR(IF(E5&lt;200,0,HLOOKUP(E5,Daten!$D$1:$CT$13,13,FALSE))),"",IF(E5&lt;200,0,HLOOKUP(E5,Daten!$D$1:$CT$13,13,FALSE)))</f>
        <v>302.83519999999993</v>
      </c>
      <c r="F16" s="164">
        <f>IF(ISERROR(IF(F5&lt;200,0,HLOOKUP(F5,Daten!$D$1:$CT$13,13,FALSE))),"",IF(F5&lt;200,0,HLOOKUP(F5,Daten!$D$1:$CT$13,13,FALSE)))</f>
        <v>187.24520000000001</v>
      </c>
      <c r="G16" s="164">
        <f>IF(ISERROR(IF(G5&lt;200,0,HLOOKUP(G5,Daten!$D$1:$CT$13,13,FALSE))),"",IF(G5&lt;200,0,HLOOKUP(G5,Daten!$D$1:$CT$13,13,FALSE)))</f>
        <v>402.73423999999994</v>
      </c>
      <c r="H16" s="162">
        <f>IF(ISERROR(IF(H5&lt;200,0,HLOOKUP(H5,Daten!$D$1:$CT$13,13,FALSE))),"",IF(H5&lt;200,0,HLOOKUP(H5,Daten!$D$1:$CT$13,13,FALSE)))</f>
        <v>302.76479999999998</v>
      </c>
      <c r="I16" s="178">
        <f>IF(I7=0,0,IF(ISERROR(IF(I5&lt;200,0,HLOOKUP(I5,Daten!$D$1:$CT$13,13,FALSE))),"",IF(I5&lt;200,0,HLOOKUP(I5,Daten!$D$1:$CT$13,13,FALSE))))</f>
        <v>0</v>
      </c>
      <c r="J16" s="177"/>
      <c r="K16" s="176"/>
      <c r="L16" s="3210">
        <f t="shared" si="2"/>
        <v>302.02606399999991</v>
      </c>
    </row>
    <row r="17" spans="2:12" ht="19.899999999999999" customHeight="1">
      <c r="B17" s="179" t="s">
        <v>220</v>
      </c>
      <c r="C17" s="165" t="s">
        <v>171</v>
      </c>
      <c r="D17" s="164">
        <f>IF(ISERROR(IF(D5&lt;200,0,HLOOKUP(D5,Daten!$D$1:$CT$14,14,FALSE))),"",IF(D5&lt;200,0,HLOOKUP(D5,Daten!$D$1:$CT$14,14,FALSE)))</f>
        <v>170.39</v>
      </c>
      <c r="E17" s="164">
        <f>IF(ISERROR(IF(E5&lt;200,0,HLOOKUP(E5,Daten!$D$1:$CT$14,14,FALSE))),"",IF(E5&lt;200,0,HLOOKUP(E5,Daten!$D$1:$CT$14,14,FALSE)))</f>
        <v>203.22000000000003</v>
      </c>
      <c r="F17" s="164">
        <f>IF(ISERROR(IF(F5&lt;200,0,HLOOKUP(F5,Daten!$D$1:$CT$14,14,FALSE))),"",IF(F5&lt;200,0,HLOOKUP(F5,Daten!$D$1:$CT$14,14,FALSE)))</f>
        <v>162.4</v>
      </c>
      <c r="G17" s="164">
        <f>IF(ISERROR(IF(G5&lt;200,0,HLOOKUP(G5,Daten!$D$1:$CT$14,14,FALSE))),"",IF(G5&lt;200,0,HLOOKUP(G5,Daten!$D$1:$CT$14,14,FALSE)))</f>
        <v>55.08</v>
      </c>
      <c r="H17" s="162">
        <f>IF(ISERROR(IF(H5&lt;200,0,HLOOKUP(H5,Daten!$D$1:$CT$14,14,FALSE))),"",IF(H5&lt;200,0,HLOOKUP(H5,Daten!$D$1:$CT$14,14,FALSE)))</f>
        <v>83.25</v>
      </c>
      <c r="I17" s="178">
        <f>IF(I7=0,0,IF(ISERROR(IF(I5&lt;200,0,HLOOKUP(I5,Daten!$D$1:$CT$14,14,FALSE))),"",IF(I5&lt;200,0,HLOOKUP(I5,Daten!$D$1:$CT$14,14,FALSE))))</f>
        <v>0</v>
      </c>
      <c r="J17" s="177"/>
      <c r="K17" s="176"/>
      <c r="L17" s="3210">
        <f t="shared" si="2"/>
        <v>145.05000000000001</v>
      </c>
    </row>
    <row r="18" spans="2:12" ht="19.899999999999999" customHeight="1">
      <c r="B18" s="179" t="s">
        <v>219</v>
      </c>
      <c r="C18" s="165" t="s">
        <v>171</v>
      </c>
      <c r="D18" s="164">
        <f>IF(ISERROR(IF(D5&lt;200,0,HLOOKUP(D5,Daten!$D$1:$CT$60,60,FALSE))),"",IF(D5&lt;200,0,HLOOKUP(D5,Daten!$D$1:$CT$60,60,FALSE)))</f>
        <v>338.95926290823525</v>
      </c>
      <c r="E18" s="164">
        <f>IF(ISERROR(IF(E5&lt;200,0,HLOOKUP(E5,Daten!$D$1:$CT$60,60,FALSE))),"",IF(E5&lt;200,0,HLOOKUP(E5,Daten!$D$1:$CT$60,60,FALSE)))</f>
        <v>321.98789563176467</v>
      </c>
      <c r="F18" s="164">
        <f>IF(ISERROR(IF(F5&lt;200,0,HLOOKUP(F5,Daten!$D$1:$CT$60,60,FALSE))),"",IF(F5&lt;200,0,HLOOKUP(F5,Daten!$D$1:$CT$60,60,FALSE)))</f>
        <v>313.07517918588235</v>
      </c>
      <c r="G18" s="164">
        <f>IF(ISERROR(IF(G5&lt;200,0,HLOOKUP(G5,Daten!$D$1:$CT$60,60,FALSE))),"",IF(G5&lt;200,0,HLOOKUP(G5,Daten!$D$1:$CT$60,60,FALSE)))</f>
        <v>470.57551062141169</v>
      </c>
      <c r="H18" s="162">
        <f>IF(ISERROR(IF(H5&lt;200,0,HLOOKUP(H5,Daten!$D$1:$CT$60,60,FALSE))),"",IF(H5&lt;200,0,HLOOKUP(H5,Daten!$D$1:$CT$60,60,FALSE)))</f>
        <v>322.89566567529414</v>
      </c>
      <c r="I18" s="178">
        <f>IF(I7=0,0,IF(ISERROR(IF(I5&lt;200,0,HLOOKUP(I5,Daten!$D$1:$CT$60,60,FALSE))),"",IF(I5&lt;200,0,HLOOKUP(I5,Daten!$D$1:$CT$60,60,FALSE))))</f>
        <v>93.566991052436961</v>
      </c>
      <c r="J18" s="177"/>
      <c r="K18" s="176"/>
      <c r="L18" s="3210">
        <f t="shared" si="2"/>
        <v>356.63825143733442</v>
      </c>
    </row>
    <row r="19" spans="2:12" ht="19.899999999999999" customHeight="1">
      <c r="B19" s="179" t="s">
        <v>218</v>
      </c>
      <c r="C19" s="165" t="s">
        <v>171</v>
      </c>
      <c r="D19" s="164">
        <f>IF(ISERROR(IF(D5&lt;200,0,HLOOKUP(D5,Daten!$D$1:$CT$59,59,FALSE))),"",IF(D5&lt;200,0,HLOOKUP(D5,Daten!$D$1:$CT$59,59,FALSE)))</f>
        <v>157.39323973392942</v>
      </c>
      <c r="E19" s="164">
        <f>IF(ISERROR(IF(E5&lt;200,0,HLOOKUP(E5,Daten!$D$1:$CT$59,59,FALSE))),"",IF(E5&lt;200,0,HLOOKUP(E5,Daten!$D$1:$CT$59,59,FALSE)))</f>
        <v>119.38024278237059</v>
      </c>
      <c r="F19" s="164">
        <f>IF(ISERROR(IF(F5&lt;200,0,HLOOKUP(F5,Daten!$D$1:$CT$59,59,FALSE))),"",IF(F5&lt;200,0,HLOOKUP(F5,Daten!$D$1:$CT$59,59,FALSE)))</f>
        <v>109.78554482654903</v>
      </c>
      <c r="G19" s="164">
        <f>IF(ISERROR(IF(G5&lt;200,0,HLOOKUP(G5,Daten!$D$1:$CT$59,59,FALSE))),"",IF(G5&lt;200,0,HLOOKUP(G5,Daten!$D$1:$CT$59,59,FALSE)))</f>
        <v>154.76076986836094</v>
      </c>
      <c r="H19" s="162">
        <f>IF(ISERROR(IF(H5&lt;200,0,HLOOKUP(H5,Daten!$D$1:$CT$59,59,FALSE))),"",IF(H5&lt;200,0,HLOOKUP(H5,Daten!$D$1:$CT$59,59,FALSE)))</f>
        <v>479.41849832507188</v>
      </c>
      <c r="I19" s="178">
        <f>IF(I7=0,0,IF(ISERROR(IF(I5&lt;200,0,HLOOKUP(I5,Daten!$D$1:$CT$59,59,FALSE))),"",IF(I5&lt;200,0,HLOOKUP(I5,Daten!$D$1:$CT$59,59,FALSE))))</f>
        <v>1.300558258770308</v>
      </c>
      <c r="J19" s="177"/>
      <c r="K19" s="176"/>
      <c r="L19" s="3210">
        <f t="shared" si="2"/>
        <v>234.03171370510779</v>
      </c>
    </row>
    <row r="20" spans="2:12" ht="19.899999999999999" customHeight="1">
      <c r="B20" s="175" t="s">
        <v>217</v>
      </c>
      <c r="C20" s="171" t="s">
        <v>171</v>
      </c>
      <c r="D20" s="170">
        <f>IF(ISERROR(IF(D5&lt;200,0,(HLOOKUP(D5,Daten!$D$1:$CT$63,21,FALSE))+(HLOOKUP(D5,Daten!$D$1:$CT$63,24,FALSE)))),"",IF(D5&lt;200,0,(HLOOKUP(D5,Daten!$D$1:$CT$63,21,FALSE))+(HLOOKUP(D5,Daten!$D$1:$CT$63,24,FALSE))))</f>
        <v>1082.3885026421647</v>
      </c>
      <c r="E20" s="170">
        <f>IF(ISERROR(IF(E5&lt;200,0,(HLOOKUP(E5,Daten!$D$1:$CT$63,21,FALSE))+(HLOOKUP(E5,Daten!$D$1:$CT$63,24,FALSE)))),"",IF(E5&lt;200,0,(HLOOKUP(E5,Daten!$D$1:$CT$63,21,FALSE))+(HLOOKUP(E5,Daten!$D$1:$CT$63,24,FALSE))))</f>
        <v>1108.9233384141353</v>
      </c>
      <c r="F20" s="170">
        <f>IF(ISERROR(IF(F5&lt;200,0,(HLOOKUP(F5,Daten!$D$1:$CT$63,21,FALSE))+(HLOOKUP(F5,Daten!$D$1:$CT$63,24,FALSE)))),"",IF(F5&lt;200,0,(HLOOKUP(F5,Daten!$D$1:$CT$63,21,FALSE))+(HLOOKUP(F5,Daten!$D$1:$CT$63,24,FALSE))))</f>
        <v>924.50592401243136</v>
      </c>
      <c r="G20" s="170">
        <f>IF(ISERROR(IF(G5&lt;200,0,(HLOOKUP(G5,Daten!$D$1:$CT$63,21,FALSE))+(HLOOKUP(G5,Daten!$D$1:$CT$63,24,FALSE)))),"",IF(G5&lt;200,0,(HLOOKUP(G5,Daten!$D$1:$CT$63,21,FALSE))+(HLOOKUP(G5,Daten!$D$1:$CT$63,24,FALSE))))</f>
        <v>1241.1505204897728</v>
      </c>
      <c r="H20" s="169">
        <f>IF(ISERROR(IF(H5&lt;200,0,(HLOOKUP(H5,Daten!$D$1:$CT$63,21,FALSE))+(HLOOKUP(H5,Daten!$D$1:$CT$63,24,FALSE)))),"",IF(H5&lt;200,0,(HLOOKUP(H5,Daten!$D$1:$CT$63,21,FALSE))+(HLOOKUP(H5,Daten!$D$1:$CT$63,24,FALSE))))</f>
        <v>1431.3289640003657</v>
      </c>
      <c r="I20" s="168">
        <f>IF(I7=0,0,IF(ISERROR(IF(I5&lt;200,0,(HLOOKUP(I5,Daten!$D$1:$CT$63,21,FALSE))+(HLOOKUP(I5,Daten!$D$1:$CT$63,24,FALSE)))),"",IF(I5&lt;200,0,(HLOOKUP(I5,Daten!$D$1:$CT$63,21,FALSE))+(HLOOKUP(I5,Daten!$D$1:$CT$63,24,FALSE)))))</f>
        <v>157.36754931120726</v>
      </c>
      <c r="J20" s="174"/>
      <c r="K20" s="162"/>
      <c r="L20" s="3210">
        <f t="shared" si="2"/>
        <v>1229.2460291424422</v>
      </c>
    </row>
    <row r="21" spans="2:12" ht="33" customHeight="1">
      <c r="B21" s="3219" t="s">
        <v>216</v>
      </c>
      <c r="C21" s="171" t="s">
        <v>171</v>
      </c>
      <c r="D21" s="170">
        <f>IF(ISERROR(IF(D5&lt;200,0,HLOOKUP(D5,Daten!$D$1:$CT$25,22,FALSE))),"",IF(D5&lt;200,0,HLOOKUP(D5,Daten!$D$1:$CT$25,22,FALSE)))</f>
        <v>495.09373709176452</v>
      </c>
      <c r="E21" s="170">
        <f>IF(ISERROR(IF(E5&lt;200,0,HLOOKUP(E5,Daten!$D$1:$CT$25,22,FALSE))),"",IF(E5&lt;200,0,HLOOKUP(E5,Daten!$D$1:$CT$25,22,FALSE)))</f>
        <v>315.86490436823533</v>
      </c>
      <c r="F21" s="170">
        <f>IF(ISERROR(IF(F5&lt;200,0,HLOOKUP(F5,Daten!$D$1:$CT$25,22,FALSE))),"",IF(F5&lt;200,0,HLOOKUP(F5,Daten!$D$1:$CT$25,22,FALSE)))</f>
        <v>390.63462081411762</v>
      </c>
      <c r="G21" s="170">
        <f>IF(ISERROR(IF(G5&lt;200,0,HLOOKUP(G5,Daten!$D$1:$CT$25,22,FALSE))),"",IF(G5&lt;200,0,HLOOKUP(G5,Daten!$D$1:$CT$25,22,FALSE)))</f>
        <v>694.99591604525494</v>
      </c>
      <c r="H21" s="169">
        <f>IF(ISERROR(IF(H5&lt;200,0,HLOOKUP(H5,Daten!$D$1:$CT$25,22,FALSE))),"",IF(H5&lt;200,0,HLOOKUP(H5,Daten!$D$1:$CT$25,22,FALSE)))</f>
        <v>551.16686765803979</v>
      </c>
      <c r="I21" s="168">
        <f>IF(I7=0,0,IF(ISERROR(IF(I5&lt;200,0,HLOOKUP(I5,Daten!$D$1:$CT$25,22,FALSE))),"",IF(I5&lt;200,0,HLOOKUP(I5,Daten!$D$1:$CT$25,22,FALSE))))</f>
        <v>-156.06699105243695</v>
      </c>
      <c r="J21" s="167">
        <f>SUMPRODUCT(D7:H7,D21:H21)%+(I7*I21)%</f>
        <v>418.55505122933238</v>
      </c>
      <c r="K21" s="162"/>
      <c r="L21" s="3217">
        <f t="shared" si="2"/>
        <v>418.55505122933243</v>
      </c>
    </row>
    <row r="22" spans="2:12" ht="46.5" customHeight="1">
      <c r="B22" s="3221" t="s">
        <v>215</v>
      </c>
      <c r="C22" s="171" t="s">
        <v>171</v>
      </c>
      <c r="D22" s="170">
        <f>IF(ISERROR(IF(D5&lt;200,0,HLOOKUP(D5,Daten!$D$1:$CT$25,25,FALSE))),"",IF(D5&lt;200,0,HLOOKUP(D5,Daten!$D$1:$CT$25,25,FALSE)))</f>
        <v>938.01149735783508</v>
      </c>
      <c r="E22" s="170">
        <f>IF(ISERROR(IF(E5&lt;200,0,HLOOKUP(E5,Daten!$D$1:$CT$25,25,FALSE))),"",IF(E5&lt;200,0,HLOOKUP(E5,Daten!$D$1:$CT$25,25,FALSE)))</f>
        <v>624.47666158586469</v>
      </c>
      <c r="F22" s="170">
        <f>IF(ISERROR(IF(F5&lt;200,0,HLOOKUP(F5,Daten!$D$1:$CT$25,25,FALSE))),"",IF(F5&lt;200,0,HLOOKUP(F5,Daten!$D$1:$CT$25,25,FALSE)))</f>
        <v>838.39407598756861</v>
      </c>
      <c r="G22" s="170">
        <f>IF(ISERROR(IF(G5&lt;200,0,HLOOKUP(G5,Daten!$D$1:$CT$25,25,FALSE))),"",IF(G5&lt;200,0,HLOOKUP(G5,Daten!$D$1:$CT$25,25,FALSE)))</f>
        <v>1136.0828128435608</v>
      </c>
      <c r="H22" s="169">
        <f>IF(ISERROR(IF(H5&lt;200,0,HLOOKUP(H5,Daten!$D$1:$CT$25,25,FALSE))),"",IF(H5&lt;200,0,HLOOKUP(H5,Daten!$D$1:$CT$25,25,FALSE)))</f>
        <v>894.73770266630117</v>
      </c>
      <c r="I22" s="168">
        <f>IF(I7=0,0,IF(ISERROR(IF(I5&lt;200,0,HLOOKUP(I5,Daten!$D$1:$CT$25,25,FALSE))),"",IF(I5&lt;200,0,HLOOKUP(I5,Daten!$D$1:$CT$25,25,FALSE))))</f>
        <v>298.03245068879272</v>
      </c>
      <c r="J22" s="167">
        <f>SUMPRODUCT(D7:H7,D22:H22)%+(I7*I22)%</f>
        <v>869.06730419089138</v>
      </c>
      <c r="K22" s="150"/>
      <c r="L22" s="3211">
        <f t="shared" si="2"/>
        <v>869.06730419089126</v>
      </c>
    </row>
    <row r="23" spans="2:12" ht="19.899999999999999" hidden="1" customHeight="1">
      <c r="B23" s="166"/>
      <c r="C23" s="165"/>
      <c r="D23" s="164"/>
      <c r="E23" s="164"/>
      <c r="F23" s="164"/>
      <c r="G23" s="164"/>
      <c r="H23" s="164"/>
      <c r="I23" s="162"/>
      <c r="J23" s="163"/>
      <c r="K23" s="162"/>
    </row>
    <row r="24" spans="2:12" ht="25.15" hidden="1" customHeight="1" thickBot="1">
      <c r="B24" s="161"/>
      <c r="C24" s="160"/>
      <c r="D24" s="158"/>
      <c r="E24" s="159"/>
      <c r="F24" s="158"/>
      <c r="G24" s="158"/>
      <c r="H24" s="157"/>
      <c r="I24" s="156"/>
      <c r="J24" s="155"/>
      <c r="K24" s="154"/>
    </row>
    <row r="25" spans="2:12" ht="23.1" customHeight="1">
      <c r="B25" s="153" t="s">
        <v>214</v>
      </c>
      <c r="C25" s="152"/>
      <c r="D25" s="151"/>
      <c r="E25" s="151"/>
      <c r="F25" s="151"/>
      <c r="G25" s="151"/>
      <c r="H25" s="151"/>
      <c r="I25" s="151"/>
      <c r="J25" s="151"/>
    </row>
    <row r="26" spans="2:12">
      <c r="B26" s="3225" t="s">
        <v>1934</v>
      </c>
      <c r="D26" s="150"/>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6" hidden="1">
      <c r="C49" s="138">
        <v>23</v>
      </c>
      <c r="D49" s="139" t="s">
        <v>198</v>
      </c>
      <c r="E49" s="138"/>
      <c r="F49" s="138">
        <v>23</v>
      </c>
    </row>
    <row r="50" spans="3:6" hidden="1">
      <c r="C50" s="138">
        <v>24</v>
      </c>
      <c r="D50" s="139" t="s">
        <v>197</v>
      </c>
      <c r="E50" s="138"/>
      <c r="F50" s="138">
        <v>24</v>
      </c>
    </row>
    <row r="51" spans="3:6" hidden="1">
      <c r="C51" s="138">
        <v>25</v>
      </c>
      <c r="D51" s="139" t="s">
        <v>196</v>
      </c>
      <c r="E51" s="138"/>
      <c r="F51" s="138">
        <v>25</v>
      </c>
    </row>
    <row r="52" spans="3:6" hidden="1">
      <c r="C52" s="138">
        <v>26</v>
      </c>
      <c r="D52" s="139" t="s">
        <v>195</v>
      </c>
      <c r="E52" s="138"/>
      <c r="F52" s="138">
        <v>26</v>
      </c>
    </row>
    <row r="53" spans="3:6" hidden="1">
      <c r="C53" s="138">
        <v>27</v>
      </c>
      <c r="D53" s="139" t="s">
        <v>194</v>
      </c>
      <c r="E53" s="138"/>
      <c r="F53" s="138">
        <v>27</v>
      </c>
    </row>
    <row r="54" spans="3:6" hidden="1">
      <c r="C54" s="138">
        <v>28</v>
      </c>
      <c r="D54" s="139" t="s">
        <v>193</v>
      </c>
      <c r="E54" s="138"/>
      <c r="F54" s="138">
        <v>28</v>
      </c>
    </row>
    <row r="55" spans="3:6" hidden="1">
      <c r="C55" s="138">
        <v>29</v>
      </c>
      <c r="D55" s="139" t="s">
        <v>37</v>
      </c>
      <c r="E55" s="138"/>
      <c r="F55" s="138">
        <v>29</v>
      </c>
    </row>
    <row r="56" spans="3:6" hidden="1">
      <c r="C56" s="138">
        <v>30</v>
      </c>
      <c r="D56" s="139" t="s">
        <v>23</v>
      </c>
      <c r="E56" s="138"/>
      <c r="F56" s="138">
        <v>30</v>
      </c>
    </row>
    <row r="57" spans="3:6" hidden="1">
      <c r="C57" s="138">
        <v>31</v>
      </c>
      <c r="D57" s="139" t="s">
        <v>192</v>
      </c>
      <c r="E57" s="138"/>
      <c r="F57" s="138">
        <v>31</v>
      </c>
    </row>
    <row r="58" spans="3:6" hidden="1">
      <c r="C58" s="138">
        <v>32</v>
      </c>
      <c r="D58" s="139" t="s">
        <v>191</v>
      </c>
      <c r="E58" s="138"/>
      <c r="F58" s="138">
        <v>32</v>
      </c>
    </row>
  </sheetData>
  <sheetProtection sheet="1" objects="1" scenarios="1"/>
  <mergeCells count="2">
    <mergeCell ref="B4:C4"/>
    <mergeCell ref="A1:B1"/>
  </mergeCells>
  <conditionalFormatting sqref="J7">
    <cfRule type="expression" dxfId="18" priority="2" stopIfTrue="1">
      <formula>$J$7&lt;&gt;100</formula>
    </cfRule>
  </conditionalFormatting>
  <conditionalFormatting sqref="L7">
    <cfRule type="expression" dxfId="17"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allowBlank="1" showInputMessage="1" showErrorMessage="1" errorTitle="Produktionsverfahren" error="Bitte Produktionsverfahren aus Dropdownliste auswählen." sqref="I6"/>
    <dataValidation type="list" allowBlank="1" showInputMessage="1" showErrorMessage="1" errorTitle="Leistungsniveau" error="Bitte Leistungsniveau aus Dropdownliste auswählen." sqref="B4:C4">
      <formula1>$G$27:$G$30</formula1>
    </dataValidation>
  </dataValidations>
  <printOptions horizontalCentered="1"/>
  <pageMargins left="0.59055118110236227" right="0.59055118110236227" top="0.59055118110236227" bottom="0.59055118110236227" header="0.39370078740157483" footer="0.39370078740157483"/>
  <pageSetup paperSize="9" scale="83" firstPageNumber="87" fitToHeight="0" orientation="portrait" r:id="rId1"/>
  <headerFooter alignWithMargins="0">
    <oddFooter>&amp;L&amp;11LEL Schwäbisch Gmünd&amp;C&amp;P&amp;R&amp;11&amp;F</odd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8">
    <tabColor theme="8"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37.542027807673321</v>
      </c>
      <c r="K1" s="4855">
        <f>M1-J1</f>
        <v>335.88550127998042</v>
      </c>
      <c r="L1" s="4855"/>
      <c r="M1" s="1874">
        <f>(M7+M13+M18+M22+L11+L12)-(M23+M27+M34+M43+M60+M65+M67+M69+M71+M75)</f>
        <v>373.42752908765374</v>
      </c>
      <c r="N1" s="4855">
        <f>P1-M1</f>
        <v>335.88550127998053</v>
      </c>
      <c r="O1" s="4855"/>
      <c r="P1" s="1874">
        <f>(P7+P13+P18+P22+O11+O12)-(P23+P27+P34+P43+P60+P65+P67+P69+P71+P75)</f>
        <v>709.31303036763427</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197</v>
      </c>
      <c r="L2" s="4867"/>
      <c r="M2" s="4867"/>
      <c r="N2" s="4867"/>
      <c r="O2" s="4867"/>
      <c r="P2" s="4867"/>
      <c r="Q2" s="1888">
        <v>0</v>
      </c>
    </row>
    <row r="3" spans="1:41" s="1859" customFormat="1" ht="21.75" customHeight="1">
      <c r="A3" s="1863"/>
      <c r="B3" s="1887"/>
      <c r="H3" s="1870"/>
      <c r="J3" s="4863"/>
      <c r="K3" s="4909"/>
      <c r="L3" s="4909"/>
      <c r="M3" s="1911"/>
      <c r="N3" s="4910"/>
      <c r="O3" s="4911"/>
      <c r="P3" s="1868"/>
      <c r="Q3" s="1863"/>
      <c r="T3" s="1886" t="b">
        <v>0</v>
      </c>
    </row>
    <row r="4" spans="1:41" s="1859" customFormat="1" ht="20.25" customHeight="1">
      <c r="A4" s="1863"/>
      <c r="B4" s="370" t="s">
        <v>1098</v>
      </c>
      <c r="C4" s="35"/>
      <c r="D4" s="35"/>
      <c r="E4" s="4898" t="s">
        <v>1211</v>
      </c>
      <c r="F4" s="4898"/>
      <c r="G4" s="4898"/>
      <c r="H4" s="4898"/>
      <c r="I4" s="4898"/>
      <c r="J4" s="4863"/>
      <c r="K4" s="4909"/>
      <c r="L4" s="4909"/>
      <c r="M4" s="1910"/>
      <c r="N4" s="4911"/>
      <c r="O4" s="4911"/>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10</v>
      </c>
      <c r="K6" s="4874" t="s">
        <v>152</v>
      </c>
      <c r="L6" s="4875"/>
      <c r="M6" s="1855">
        <v>25</v>
      </c>
      <c r="N6" s="4861" t="s">
        <v>178</v>
      </c>
      <c r="O6" s="4862"/>
      <c r="P6" s="1854">
        <v>40</v>
      </c>
      <c r="Q6" s="70"/>
    </row>
    <row r="7" spans="1:41" s="251" customFormat="1" ht="18.75" customHeight="1">
      <c r="A7" s="47"/>
      <c r="B7" s="305" t="s">
        <v>1202</v>
      </c>
      <c r="C7" s="47"/>
      <c r="D7" s="47"/>
      <c r="E7" s="47"/>
      <c r="F7" s="47"/>
      <c r="G7" s="1852"/>
      <c r="H7" s="1849"/>
      <c r="I7" s="1848"/>
      <c r="J7" s="1582">
        <f>SUM(I9:I10)</f>
        <v>266.33333333333337</v>
      </c>
      <c r="K7" s="1851"/>
      <c r="L7" s="1850"/>
      <c r="M7" s="1585">
        <f>SUM(L9:L10)</f>
        <v>665.83333333333337</v>
      </c>
      <c r="N7" s="1849"/>
      <c r="O7" s="1848"/>
      <c r="P7" s="1582">
        <f>SUM(O9:O10)</f>
        <v>1065.3333333333335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'SDK1'!O37</f>
        <v>26.633333333333336</v>
      </c>
      <c r="H9" s="1845">
        <f>J6-H10</f>
        <v>10</v>
      </c>
      <c r="I9" s="1841">
        <f>H9*G9</f>
        <v>266.33333333333337</v>
      </c>
      <c r="J9" s="43"/>
      <c r="K9" s="1844">
        <f>M6-K10</f>
        <v>25</v>
      </c>
      <c r="L9" s="1843">
        <f>K9*G9</f>
        <v>665.83333333333337</v>
      </c>
      <c r="M9" s="1822"/>
      <c r="N9" s="1842">
        <f>P6-N10</f>
        <v>40</v>
      </c>
      <c r="O9" s="1841">
        <f>N9*G9</f>
        <v>1065.3333333333335</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1</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222.2</v>
      </c>
      <c r="K23" s="1587"/>
      <c r="L23" s="1586"/>
      <c r="M23" s="1768">
        <f>SUM(L25:L26)</f>
        <v>222.2</v>
      </c>
      <c r="N23" s="1584"/>
      <c r="O23" s="1583"/>
      <c r="P23" s="1567">
        <f>SUM(O25:O26)</f>
        <v>222.2</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'SDK7'!F69/100</f>
        <v>2.02</v>
      </c>
      <c r="G25" s="1762">
        <f>F25*(100+$D$24)/100</f>
        <v>2.02</v>
      </c>
      <c r="H25" s="1761">
        <v>110</v>
      </c>
      <c r="I25" s="1722">
        <f>H25*$G25</f>
        <v>222.2</v>
      </c>
      <c r="J25" s="45"/>
      <c r="K25" s="1761">
        <v>110</v>
      </c>
      <c r="L25" s="1564">
        <f>K25*$G25</f>
        <v>222.2</v>
      </c>
      <c r="M25" s="1557"/>
      <c r="N25" s="1761">
        <v>110</v>
      </c>
      <c r="O25" s="1722">
        <f>N25*$G25</f>
        <v>222.2</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20.735600000000005</v>
      </c>
      <c r="K27" s="1716"/>
      <c r="L27" s="1715"/>
      <c r="M27" s="1585">
        <f>SUM(L30:L33)</f>
        <v>51.83900000000002</v>
      </c>
      <c r="N27" s="1714"/>
      <c r="O27" s="1713"/>
      <c r="P27" s="1582">
        <f>SUM(O30:O33)</f>
        <v>82.942400000000021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-0.51999999999999957</v>
      </c>
      <c r="F30" s="1742">
        <f>VLOOKUP(K2,'SD8'!B9:L42,7,FALSE)</f>
        <v>1.5</v>
      </c>
      <c r="G30" s="1741"/>
      <c r="H30" s="1739">
        <f>IF(J$6=0,0,(J$6*$E30+$G30+X14))</f>
        <v>-5.1999999999999957</v>
      </c>
      <c r="I30" s="1722">
        <f>H30*$D30</f>
        <v>-7.4463999999999935</v>
      </c>
      <c r="J30" s="45"/>
      <c r="K30" s="1740">
        <f>IF(M$6=0,0,(M$6*$E30+$G30+Y14))</f>
        <v>-12.999999999999989</v>
      </c>
      <c r="L30" s="1564">
        <f>K30*$D30</f>
        <v>-18.615999999999985</v>
      </c>
      <c r="M30" s="1557"/>
      <c r="N30" s="1739">
        <f>IF(P$6=0,0,(P$6*$E30+$G30+Z14))</f>
        <v>-20.799999999999983</v>
      </c>
      <c r="O30" s="1722">
        <f>N30*$D30</f>
        <v>-29.785599999999974</v>
      </c>
      <c r="P30" s="1686"/>
      <c r="Q30" s="38"/>
    </row>
    <row r="31" spans="1:26" s="42" customFormat="1" ht="15" customHeight="1">
      <c r="A31" s="1284"/>
      <c r="B31" s="272"/>
      <c r="C31" s="1284" t="s">
        <v>244</v>
      </c>
      <c r="D31" s="1691">
        <f>'SDK1'!O53</f>
        <v>1.05</v>
      </c>
      <c r="E31" s="1742">
        <f>VLOOKUP(K2,'SD8'!B9:L42,4,FALSE)</f>
        <v>1.02</v>
      </c>
      <c r="F31" s="1742">
        <f>VLOOKUP(K2,'SD8'!B9:L42,8,FALSE)</f>
        <v>0.3</v>
      </c>
      <c r="G31" s="1741"/>
      <c r="H31" s="1739">
        <f>IF(J$6=0,0,(J$6*$E31+$G31+X15))</f>
        <v>10.199999999999999</v>
      </c>
      <c r="I31" s="1722">
        <f>H31*$D31</f>
        <v>10.709999999999999</v>
      </c>
      <c r="J31" s="45"/>
      <c r="K31" s="1740">
        <f>IF(M$6=0,0,(M$6*$E31+$G31+Y15))</f>
        <v>25.5</v>
      </c>
      <c r="L31" s="1564">
        <f>K31*$D31</f>
        <v>26.775000000000002</v>
      </c>
      <c r="M31" s="1557"/>
      <c r="N31" s="1739">
        <f>IF(P$6=0,0,(P$6*$E31+$G31+Z15))</f>
        <v>40.799999999999997</v>
      </c>
      <c r="O31" s="1722">
        <f>N31*$D31</f>
        <v>42.839999999999996</v>
      </c>
      <c r="P31" s="1686"/>
      <c r="Q31" s="38"/>
    </row>
    <row r="32" spans="1:26" s="42" customFormat="1" ht="15" customHeight="1">
      <c r="A32" s="1284"/>
      <c r="B32" s="272"/>
      <c r="C32" s="1284" t="s">
        <v>242</v>
      </c>
      <c r="D32" s="1691">
        <f>'SDK1'!O54</f>
        <v>0.98000000000000009</v>
      </c>
      <c r="E32" s="1742">
        <f>VLOOKUP(K2,'SD8'!B9:L42,5,FALSE)</f>
        <v>1.66</v>
      </c>
      <c r="F32" s="1742">
        <f>VLOOKUP(K2,'SD8'!B9:L42,9,FALSE)</f>
        <v>1.7</v>
      </c>
      <c r="G32" s="1741"/>
      <c r="H32" s="1739">
        <f>IF(J$6=0,0,(J$6*$E32+$G32+X16))</f>
        <v>16.599999999999998</v>
      </c>
      <c r="I32" s="1722">
        <f>H32*$D32</f>
        <v>16.268000000000001</v>
      </c>
      <c r="J32" s="45"/>
      <c r="K32" s="1740">
        <f>IF(M$6=0,0,(M$6*$E32+$G32+Y16))</f>
        <v>41.5</v>
      </c>
      <c r="L32" s="1564">
        <f>K32*$D32</f>
        <v>40.67</v>
      </c>
      <c r="M32" s="1557"/>
      <c r="N32" s="1739">
        <f>IF(P$6=0,0,(P$6*$E32+$G32+Z16))</f>
        <v>66.399999999999991</v>
      </c>
      <c r="O32" s="1722">
        <f>N32*$D32</f>
        <v>65.072000000000003</v>
      </c>
      <c r="P32" s="1686"/>
      <c r="Q32" s="38"/>
    </row>
    <row r="33" spans="1:17" s="42" customFormat="1" ht="15" customHeight="1">
      <c r="A33" s="1284"/>
      <c r="B33" s="239"/>
      <c r="C33" s="1309" t="s">
        <v>240</v>
      </c>
      <c r="D33" s="1674">
        <f>'SDK1'!O55</f>
        <v>0.60200000000000009</v>
      </c>
      <c r="E33" s="1738">
        <f>VLOOKUP(K2,'SD8'!B9:L42,6,FALSE)</f>
        <v>0.2</v>
      </c>
      <c r="F33" s="1738">
        <f>VLOOKUP(K2,'SD8'!B9:L42,10,FALSE)</f>
        <v>0.15</v>
      </c>
      <c r="G33" s="1737"/>
      <c r="H33" s="1735">
        <f>IF(J$6=0,0,(J$6*$E33+$G33+X17))</f>
        <v>2</v>
      </c>
      <c r="I33" s="1718">
        <f>H33*$D33</f>
        <v>1.2040000000000002</v>
      </c>
      <c r="J33" s="45"/>
      <c r="K33" s="1736">
        <f>IF(M$6=0,0,(M$6*$E33+$G33+Y17))</f>
        <v>5</v>
      </c>
      <c r="L33" s="1558">
        <f>K33*$D33</f>
        <v>3.0100000000000007</v>
      </c>
      <c r="M33" s="1557"/>
      <c r="N33" s="1735">
        <f>IF(P$6=0,0,(P$6*$E33+$G33+Z17))</f>
        <v>8</v>
      </c>
      <c r="O33" s="1718">
        <f>N33*$D33</f>
        <v>4.8160000000000007</v>
      </c>
      <c r="P33" s="1717"/>
      <c r="Q33" s="38"/>
    </row>
    <row r="34" spans="1:17" s="686" customFormat="1" ht="18.75" customHeight="1">
      <c r="A34" s="1248"/>
      <c r="B34" s="1254" t="s">
        <v>1178</v>
      </c>
      <c r="C34" s="1248"/>
      <c r="D34" s="37"/>
      <c r="E34" s="37"/>
      <c r="F34" s="4876" t="s">
        <v>1177</v>
      </c>
      <c r="G34" s="4877"/>
      <c r="H34" s="1732"/>
      <c r="I34" s="1731"/>
      <c r="J34" s="1582">
        <f>SUM(I36:I42)</f>
        <v>91.800000000000011</v>
      </c>
      <c r="K34" s="1734"/>
      <c r="L34" s="1733"/>
      <c r="M34" s="1585">
        <f>SUM(L36:L42)</f>
        <v>91.800000000000011</v>
      </c>
      <c r="N34" s="1732"/>
      <c r="O34" s="1731"/>
      <c r="P34" s="1582">
        <f>SUM(O36:O42)</f>
        <v>91.800000000000011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651</v>
      </c>
      <c r="D36" s="4884"/>
      <c r="E36" s="4885"/>
      <c r="F36" s="1724">
        <f>IF(C36="",0,VLOOKUP(C36,'SDK5'!C3:AF83,2,FALSE))</f>
        <v>15.4</v>
      </c>
      <c r="G36" s="1724">
        <f t="shared" ref="G36:G42" si="0">F36*(100+$D$35)/100</f>
        <v>15.4</v>
      </c>
      <c r="H36" s="1723">
        <v>3</v>
      </c>
      <c r="I36" s="1722">
        <f t="shared" ref="I36:I42" si="1">$G36*H36</f>
        <v>46.2</v>
      </c>
      <c r="J36" s="45"/>
      <c r="K36" s="1723">
        <v>3</v>
      </c>
      <c r="L36" s="1564">
        <f t="shared" ref="L36:L42" si="2">$G36*K36</f>
        <v>46.2</v>
      </c>
      <c r="M36" s="1557"/>
      <c r="N36" s="1723">
        <v>3</v>
      </c>
      <c r="O36" s="1722">
        <f t="shared" ref="O36:O42" si="3">$G36*N36</f>
        <v>46.2</v>
      </c>
      <c r="P36" s="1726"/>
      <c r="Q36" s="38"/>
    </row>
    <row r="37" spans="1:17" s="42" customFormat="1" ht="15" customHeight="1">
      <c r="A37" s="1284"/>
      <c r="B37" s="1562"/>
      <c r="C37" s="4870" t="s">
        <v>601</v>
      </c>
      <c r="D37" s="4870"/>
      <c r="E37" s="4871"/>
      <c r="F37" s="1724">
        <f>IF(C37="",0,VLOOKUP(C37,'SDK5'!C4:AF84,2,FALSE))</f>
        <v>22.8</v>
      </c>
      <c r="G37" s="1724">
        <f t="shared" si="0"/>
        <v>22.8</v>
      </c>
      <c r="H37" s="1723">
        <v>2</v>
      </c>
      <c r="I37" s="1722">
        <f t="shared" si="1"/>
        <v>45.6</v>
      </c>
      <c r="J37" s="45"/>
      <c r="K37" s="1723">
        <v>2</v>
      </c>
      <c r="L37" s="1564">
        <f t="shared" si="2"/>
        <v>45.6</v>
      </c>
      <c r="M37" s="1557"/>
      <c r="N37" s="1723">
        <v>2</v>
      </c>
      <c r="O37" s="1722">
        <f t="shared" si="3"/>
        <v>45.6</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129.57989859294116</v>
      </c>
      <c r="K43" s="1716"/>
      <c r="L43" s="1715"/>
      <c r="M43" s="1585">
        <f>SUM(M46:M57)</f>
        <v>131.98325765411764</v>
      </c>
      <c r="N43" s="1714"/>
      <c r="O43" s="1713"/>
      <c r="P43" s="1582">
        <f>SUM(P46:P57)</f>
        <v>134.38661671529411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1</v>
      </c>
      <c r="I48" s="1687">
        <f t="shared" si="4"/>
        <v>0.37</v>
      </c>
      <c r="J48" s="1686">
        <f t="shared" si="5"/>
        <v>4.2780853988235288</v>
      </c>
      <c r="K48" s="1688">
        <v>1</v>
      </c>
      <c r="L48" s="1690">
        <f t="shared" si="6"/>
        <v>0.37</v>
      </c>
      <c r="M48" s="1689">
        <f t="shared" si="7"/>
        <v>4.2780853988235288</v>
      </c>
      <c r="N48" s="1688">
        <v>1</v>
      </c>
      <c r="O48" s="1687">
        <f t="shared" si="8"/>
        <v>0.37</v>
      </c>
      <c r="P48" s="1686">
        <f t="shared" si="9"/>
        <v>4.2780853988235288</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1</v>
      </c>
      <c r="I49" s="1687">
        <f t="shared" si="4"/>
        <v>0.39</v>
      </c>
      <c r="J49" s="1686">
        <f t="shared" si="5"/>
        <v>6.5093573847058819</v>
      </c>
      <c r="K49" s="1688">
        <v>1</v>
      </c>
      <c r="L49" s="1690">
        <f t="shared" si="6"/>
        <v>0.39</v>
      </c>
      <c r="M49" s="1689">
        <f t="shared" si="7"/>
        <v>6.5093573847058819</v>
      </c>
      <c r="N49" s="1688">
        <v>1</v>
      </c>
      <c r="O49" s="1687">
        <f t="shared" si="8"/>
        <v>0.39</v>
      </c>
      <c r="P49" s="1686">
        <f t="shared" si="9"/>
        <v>6.5093573847058819</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$J$6/60</f>
        <v>0.16666666666666666</v>
      </c>
      <c r="I50" s="1687">
        <f t="shared" si="4"/>
        <v>9.3333333333333338E-2</v>
      </c>
      <c r="J50" s="1686">
        <f t="shared" si="5"/>
        <v>1.6022393741176466</v>
      </c>
      <c r="K50" s="1688">
        <f>$M$6/60</f>
        <v>0.41666666666666669</v>
      </c>
      <c r="L50" s="1690">
        <f t="shared" si="6"/>
        <v>0.23333333333333336</v>
      </c>
      <c r="M50" s="1689">
        <f t="shared" si="7"/>
        <v>4.0055984352941172</v>
      </c>
      <c r="N50" s="1688">
        <f>$P$6/60</f>
        <v>0.66666666666666663</v>
      </c>
      <c r="O50" s="1687">
        <f t="shared" si="8"/>
        <v>0.37333333333333335</v>
      </c>
      <c r="P50" s="1686">
        <f t="shared" si="9"/>
        <v>6.4089574964705864</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685"/>
      <c r="C56" s="4914"/>
      <c r="D56" s="4915"/>
      <c r="E56" s="1684">
        <f>IF($C56=0,0,VLOOKUP($C56,'SDK3'!$C$24:$O$86,4,FALSE))</f>
        <v>0</v>
      </c>
      <c r="F56" s="1683">
        <f>IF($C56=0,0,VLOOKUP($C56,'SDK3'!$C$24:$O$86,12,FALSE))</f>
        <v>0</v>
      </c>
      <c r="G56" s="1682">
        <f>IF($C56=0,0,VLOOKUP($C56,'SDK3'!$C$24:$O$86,13,FALSE))</f>
        <v>0</v>
      </c>
      <c r="H56" s="1679"/>
      <c r="I56" s="1678">
        <f t="shared" si="4"/>
        <v>0</v>
      </c>
      <c r="J56" s="1677">
        <f t="shared" si="5"/>
        <v>0</v>
      </c>
      <c r="K56" s="1679"/>
      <c r="L56" s="1681">
        <f t="shared" si="6"/>
        <v>0</v>
      </c>
      <c r="M56" s="1680">
        <f t="shared" si="7"/>
        <v>0</v>
      </c>
      <c r="N56" s="1679"/>
      <c r="O56" s="1678">
        <f t="shared" si="8"/>
        <v>0</v>
      </c>
      <c r="P56" s="1677">
        <f t="shared" si="9"/>
        <v>0</v>
      </c>
      <c r="Q56" s="38"/>
    </row>
    <row r="57" spans="1:17" s="42" customFormat="1" ht="47.25" customHeight="1">
      <c r="A57" s="1284"/>
      <c r="B57" s="1625"/>
      <c r="C57" s="4912" t="s">
        <v>396</v>
      </c>
      <c r="D57" s="4913"/>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4.1333333333333337</v>
      </c>
      <c r="J58" s="1669"/>
      <c r="K58" s="1668"/>
      <c r="L58" s="1667">
        <f>SUM($L$46:$L$57)</f>
        <v>4.2733333333333334</v>
      </c>
      <c r="M58" s="1666"/>
      <c r="N58" s="1665"/>
      <c r="O58" s="1664">
        <f>SUM($O$46:$O$57)</f>
        <v>4.413333333333334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7.4400000000000013</v>
      </c>
      <c r="J59" s="1654"/>
      <c r="K59" s="1659"/>
      <c r="L59" s="1658">
        <f>IF(L58+SUM($L$46:$L$57)*$E$59%&gt;L58+10,L58+10,L58+SUM($L$46:$L$57)*$E$59%)</f>
        <v>7.6920000000000002</v>
      </c>
      <c r="M59" s="1657"/>
      <c r="N59" s="1656"/>
      <c r="O59" s="1655">
        <f>IF(O58+SUM($O$46:$O$57)*$E$59%&gt;O58+10,O58+10,O58+SUM($O$46:$O$57)*$E$59%)</f>
        <v>7.9440000000000008</v>
      </c>
      <c r="P59" s="1654"/>
      <c r="Q59" s="38"/>
    </row>
    <row r="60" spans="1:17" s="42" customFormat="1" ht="18.75" customHeight="1">
      <c r="A60" s="1284"/>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9" t="s">
        <v>307</v>
      </c>
      <c r="D64" s="4899"/>
      <c r="E64" s="4916"/>
      <c r="F64" s="1624">
        <f>IF($T$3=FALSE,0,VLOOKUP($C64,'SDK3'!$C$92:$D$106,2,FALSE))</f>
        <v>0</v>
      </c>
      <c r="G64" s="1623">
        <f>(100+$D$61)/100*F64</f>
        <v>0</v>
      </c>
      <c r="H64" s="1619"/>
      <c r="I64" s="1618">
        <f>H11*$G$64</f>
        <v>0</v>
      </c>
      <c r="J64" s="238"/>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12.264000000000001</v>
      </c>
      <c r="K67" s="1609" t="s">
        <v>1161</v>
      </c>
      <c r="L67" s="1608" t="s">
        <v>1160</v>
      </c>
      <c r="M67" s="1585">
        <f>S68*(K9+K10)*L68%+F68</f>
        <v>30.660000000000004</v>
      </c>
      <c r="N67" s="1607" t="s">
        <v>1161</v>
      </c>
      <c r="O67" s="1606" t="s">
        <v>1160</v>
      </c>
      <c r="P67" s="1582">
        <f>T68*(N9+N10)*O68%+F68</f>
        <v>49.056000000000004</v>
      </c>
      <c r="Q67" s="38"/>
    </row>
    <row r="68" spans="1:20" s="686" customFormat="1" ht="15" customHeight="1">
      <c r="A68" s="1248"/>
      <c r="B68" s="1605"/>
      <c r="C68" s="4888" t="s">
        <v>1159</v>
      </c>
      <c r="D68" s="4888"/>
      <c r="E68" s="4888"/>
      <c r="F68" s="1604"/>
      <c r="G68" s="1595" t="s">
        <v>171</v>
      </c>
      <c r="H68" s="1602">
        <v>17</v>
      </c>
      <c r="I68" s="1601">
        <v>100</v>
      </c>
      <c r="J68" s="1600"/>
      <c r="K68" s="1602">
        <v>17</v>
      </c>
      <c r="L68" s="1601">
        <v>100</v>
      </c>
      <c r="M68" s="1603"/>
      <c r="N68" s="1602">
        <v>17</v>
      </c>
      <c r="O68" s="1601">
        <v>100</v>
      </c>
      <c r="P68" s="1600"/>
      <c r="Q68" s="38"/>
      <c r="R68" s="1912">
        <f>IF($H$68=0,0,VLOOKUP($H$68,'SD6'!N8:O87,'SD6'!$O$1,FALSE))*(1+'SDK1'!O11/100)</f>
        <v>1.2264000000000002</v>
      </c>
      <c r="S68" s="1599">
        <f>IF($K$68=0,0,VLOOKUP($K$68,'SD6'!N8:O87,'SD6'!$O$1,FALSE))*(1+'SDK1'!O11/100)</f>
        <v>1.2264000000000002</v>
      </c>
      <c r="T68" s="1912">
        <f>IF($N$68=0,0,VLOOKUP($N$68,'SD6'!N8:O87,'SD6'!$O$1,FALSE))*(1+'SDK1'!O11/100)</f>
        <v>1.2264000000000002</v>
      </c>
    </row>
    <row r="69" spans="1:20" s="686" customFormat="1" ht="18.75" customHeight="1">
      <c r="A69" s="1248"/>
      <c r="B69" s="1254" t="s">
        <v>1158</v>
      </c>
      <c r="C69" s="1248"/>
      <c r="D69" s="1248"/>
      <c r="E69" s="38"/>
      <c r="F69" s="38"/>
      <c r="G69" s="1588"/>
      <c r="H69" s="44"/>
      <c r="I69" s="73"/>
      <c r="J69" s="1582">
        <f>H70*$F70/1000</f>
        <v>7.4573333333333336</v>
      </c>
      <c r="K69" s="1598"/>
      <c r="L69" s="1597"/>
      <c r="M69" s="1585">
        <f>K70*$F70/1000</f>
        <v>18.643333333333334</v>
      </c>
      <c r="N69" s="44"/>
      <c r="O69" s="73"/>
      <c r="P69" s="1582">
        <f>N70*$F70/1000</f>
        <v>29.829333333333334</v>
      </c>
      <c r="Q69" s="38"/>
    </row>
    <row r="70" spans="1:20" s="686" customFormat="1" ht="15" customHeight="1">
      <c r="A70" s="1248"/>
      <c r="B70" s="1310"/>
      <c r="C70" s="1309" t="s">
        <v>840</v>
      </c>
      <c r="D70" s="346"/>
      <c r="E70" s="278"/>
      <c r="F70" s="1596">
        <f>'SDK7'!G108</f>
        <v>28</v>
      </c>
      <c r="G70" s="1595" t="s">
        <v>171</v>
      </c>
      <c r="H70" s="1591">
        <f>I9+I10</f>
        <v>266.33333333333337</v>
      </c>
      <c r="I70" s="1590"/>
      <c r="J70" s="1589"/>
      <c r="K70" s="1594">
        <f>L9+L10</f>
        <v>665.83333333333337</v>
      </c>
      <c r="L70" s="1593"/>
      <c r="M70" s="1592"/>
      <c r="N70" s="1591">
        <f>O9+O10</f>
        <v>1065.3333333333335</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5.6544735993856206</v>
      </c>
      <c r="K75" s="689"/>
      <c r="L75" s="1034"/>
      <c r="M75" s="1546">
        <f>(M23+M27+M34+M43+M60+M65+M67+M69+M71)*('SDK1'!$O$59%*$G$75/12)</f>
        <v>6.1802132582287577</v>
      </c>
      <c r="N75" s="1548"/>
      <c r="O75" s="1547"/>
      <c r="P75" s="1546">
        <f>(P23+P27+P34+P43+P60+P65+P67+P69+P71)*('SDK1'!$O$59%*$G$75/12)</f>
        <v>6.7059529170718957</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H150" s="1897"/>
      <c r="J150" s="1896"/>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D155" s="15"/>
      <c r="F155" s="15"/>
      <c r="G155" s="15"/>
      <c r="H155" s="15"/>
      <c r="I155" s="15"/>
      <c r="J155" s="15"/>
      <c r="K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5,1 und 23,0 % Wassergehalt." sqref="H68 K68 N68">
      <formula1>15.1</formula1>
      <formula2>23</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58" orientation="portrait" r:id="rId1"/>
  <headerFooter alignWithMargins="0">
    <oddFooter>&amp;L&amp;11LEL Schwäbisch Gmünd&amp;C71&amp;R&amp;11&amp;F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'SDK5'!$Z$214:$Z$313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tabColor rgb="FF7030A0"/>
    <pageSetUpPr fitToPage="1"/>
  </sheetPr>
  <dimension ref="A1:AO218"/>
  <sheetViews>
    <sheetView showZeros="0" zoomScaleNormal="10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384.51608928201949</v>
      </c>
      <c r="K1" s="4855">
        <f>M1-J1</f>
        <v>320.24477944444379</v>
      </c>
      <c r="L1" s="4855"/>
      <c r="M1" s="1874">
        <f>(M7+M13+M18+M22+L11+L12)-(M23+M27+M34+M43+M60+M65+M67+M69+M71+M75)</f>
        <v>704.76086872646329</v>
      </c>
      <c r="N1" s="4855">
        <f>P1-M1</f>
        <v>271.48622408153301</v>
      </c>
      <c r="O1" s="4855"/>
      <c r="P1" s="1874">
        <f>(P7+P13+P18+P22+O11+O12)-(P23+P27+P34+P43+P60+P65+P67+P69+P71+P75)</f>
        <v>976.2470928079963</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196</v>
      </c>
      <c r="L2" s="4867"/>
      <c r="M2" s="4867"/>
      <c r="N2" s="4867"/>
      <c r="O2" s="4867"/>
      <c r="P2" s="4867"/>
      <c r="Q2" s="1888">
        <v>0</v>
      </c>
    </row>
    <row r="3" spans="1:41" s="1859" customFormat="1" ht="21.75" customHeight="1">
      <c r="A3" s="1863"/>
      <c r="B3" s="1887"/>
      <c r="H3" s="1870"/>
      <c r="J3" s="4863"/>
      <c r="K3" s="4864"/>
      <c r="L3" s="4864"/>
      <c r="M3" s="1928"/>
      <c r="N3" s="4868" t="str">
        <f>IF(AND(T3=TRUE,T4=TRUE),"nur 1 Strohnutzung möglich","")</f>
        <v/>
      </c>
      <c r="O3" s="4869"/>
      <c r="P3" s="1868"/>
      <c r="Q3" s="1863"/>
      <c r="T3" s="1886" t="b">
        <v>0</v>
      </c>
    </row>
    <row r="4" spans="1:41" s="1859" customFormat="1" ht="20.25" customHeight="1">
      <c r="A4" s="1863"/>
      <c r="B4" s="370" t="s">
        <v>1098</v>
      </c>
      <c r="C4" s="35"/>
      <c r="D4" s="35"/>
      <c r="E4" s="4898" t="s">
        <v>2229</v>
      </c>
      <c r="F4" s="4898"/>
      <c r="G4" s="4898"/>
      <c r="H4" s="4898"/>
      <c r="I4" s="4898"/>
      <c r="J4" s="4863"/>
      <c r="K4" s="4864"/>
      <c r="L4" s="4864"/>
      <c r="M4" s="1928"/>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650</v>
      </c>
      <c r="K6" s="4874" t="s">
        <v>152</v>
      </c>
      <c r="L6" s="4875"/>
      <c r="M6" s="1855">
        <v>750</v>
      </c>
      <c r="N6" s="4861" t="s">
        <v>178</v>
      </c>
      <c r="O6" s="4862"/>
      <c r="P6" s="1854">
        <v>850</v>
      </c>
      <c r="Q6" s="70"/>
    </row>
    <row r="7" spans="1:41" s="251" customFormat="1" ht="18.75" customHeight="1">
      <c r="A7" s="47"/>
      <c r="B7" s="305" t="s">
        <v>1202</v>
      </c>
      <c r="C7" s="47"/>
      <c r="D7" s="47"/>
      <c r="E7" s="47"/>
      <c r="F7" s="47"/>
      <c r="G7" s="1852"/>
      <c r="H7" s="1849"/>
      <c r="I7" s="1848"/>
      <c r="J7" s="1582">
        <f>SUM(I9:I10)</f>
        <v>1685.166666666667</v>
      </c>
      <c r="K7" s="1851"/>
      <c r="L7" s="1850"/>
      <c r="M7" s="1585">
        <f>SUM(L9:L10)</f>
        <v>2192.2999999999997</v>
      </c>
      <c r="N7" s="1849"/>
      <c r="O7" s="1848"/>
      <c r="P7" s="1582">
        <f>SUM(O9:O10)</f>
        <v>2501.8333333333335</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'SDK1'!O38</f>
        <v>2.9433333333333334</v>
      </c>
      <c r="H9" s="1845">
        <f>J6-H10</f>
        <v>350</v>
      </c>
      <c r="I9" s="1841">
        <f>H9*G9</f>
        <v>1030.1666666666667</v>
      </c>
      <c r="J9" s="43"/>
      <c r="K9" s="1844">
        <f>M6-K10</f>
        <v>730</v>
      </c>
      <c r="L9" s="1843">
        <f>K9*G9</f>
        <v>2148.6333333333332</v>
      </c>
      <c r="M9" s="1822"/>
      <c r="N9" s="1842">
        <f>P6-N10</f>
        <v>850</v>
      </c>
      <c r="O9" s="1841">
        <f>N9*G9</f>
        <v>2501.8333333333335</v>
      </c>
      <c r="P9" s="43"/>
      <c r="Q9" s="1927" t="s">
        <v>1222</v>
      </c>
      <c r="R9" s="913"/>
      <c r="S9" s="263" t="s">
        <v>1208</v>
      </c>
      <c r="T9" s="1840"/>
    </row>
    <row r="10" spans="1:41" s="1810" customFormat="1" ht="15" customHeight="1">
      <c r="A10" s="370"/>
      <c r="B10" s="239"/>
      <c r="C10" s="279" t="str">
        <f>IF('SDK1'!O9&gt;0,"Nebenprodukt (incl. MwSt.)","Nebenprodukt (ohne MwSt)")</f>
        <v>Nebenprodukt (ohne MwSt)</v>
      </c>
      <c r="D10" s="1819"/>
      <c r="E10" s="1926"/>
      <c r="F10" s="1925" t="s">
        <v>1221</v>
      </c>
      <c r="G10" s="1924">
        <f>'SDK1'!O39</f>
        <v>2.1833333333333336</v>
      </c>
      <c r="H10" s="1923">
        <v>300</v>
      </c>
      <c r="I10" s="1833">
        <f>H10*G10</f>
        <v>655.00000000000011</v>
      </c>
      <c r="J10" s="1838"/>
      <c r="K10" s="1923">
        <v>20</v>
      </c>
      <c r="L10" s="1836">
        <f>K10*G10</f>
        <v>43.666666666666671</v>
      </c>
      <c r="M10" s="1835"/>
      <c r="N10" s="1923"/>
      <c r="O10" s="1833">
        <f>N10*G10</f>
        <v>0</v>
      </c>
      <c r="P10" s="1832"/>
      <c r="Q10" s="1922"/>
      <c r="R10" s="1831">
        <f>I10+I11+I12</f>
        <v>655.00000000000011</v>
      </c>
      <c r="S10" s="1830">
        <f>L10+L11+L12</f>
        <v>43.666666666666671</v>
      </c>
      <c r="T10" s="1829">
        <f>O10+O11+O12</f>
        <v>0</v>
      </c>
      <c r="W10" s="251" t="s">
        <v>1198</v>
      </c>
    </row>
    <row r="11" spans="1:41" s="1810" customFormat="1" ht="15" hidden="1" customHeight="1">
      <c r="A11" s="370"/>
      <c r="B11" s="272"/>
      <c r="C11" s="45" t="s">
        <v>1197</v>
      </c>
      <c r="D11" s="370"/>
      <c r="E11" s="1828">
        <v>7</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1922"/>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1922"/>
    </row>
    <row r="13" spans="1:41" s="251" customFormat="1" ht="18.75" customHeight="1">
      <c r="A13" s="47"/>
      <c r="B13" s="264" t="s">
        <v>1192</v>
      </c>
      <c r="C13" s="47"/>
      <c r="D13" s="47"/>
      <c r="E13" s="47"/>
      <c r="F13" s="47"/>
      <c r="G13" s="1809"/>
      <c r="H13" s="1894"/>
      <c r="I13" s="1791"/>
      <c r="J13" s="1582">
        <f>SUM(I14:I17)</f>
        <v>100</v>
      </c>
      <c r="K13" s="1895"/>
      <c r="L13" s="1793"/>
      <c r="M13" s="1585"/>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355.4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275</v>
      </c>
      <c r="K23" s="1587"/>
      <c r="L23" s="1586"/>
      <c r="M23" s="1768">
        <f>SUM(L25:L26)</f>
        <v>275</v>
      </c>
      <c r="N23" s="1584"/>
      <c r="O23" s="1583"/>
      <c r="P23" s="1567">
        <f>SUM(O25:O26)</f>
        <v>275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'SDK7'!F70</f>
        <v>250</v>
      </c>
      <c r="G25" s="1762">
        <f>F25*(100+$D$24)/100</f>
        <v>250</v>
      </c>
      <c r="H25" s="1761">
        <v>1.1000000000000001</v>
      </c>
      <c r="I25" s="1722">
        <f>H25*$G25</f>
        <v>275</v>
      </c>
      <c r="J25" s="45"/>
      <c r="K25" s="1761">
        <f>H25</f>
        <v>1.1000000000000001</v>
      </c>
      <c r="L25" s="1564">
        <f>K25*$G25</f>
        <v>275</v>
      </c>
      <c r="M25" s="1557"/>
      <c r="N25" s="1761">
        <f>H25</f>
        <v>1.1000000000000001</v>
      </c>
      <c r="O25" s="1722">
        <f>N25*$G25</f>
        <v>275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426.34800000000001</v>
      </c>
      <c r="K27" s="1716"/>
      <c r="L27" s="1715"/>
      <c r="M27" s="1585">
        <f>SUM(L30:L33)</f>
        <v>491.94000000000005</v>
      </c>
      <c r="N27" s="1714"/>
      <c r="O27" s="1713"/>
      <c r="P27" s="1582">
        <f>SUM(O30:O33)</f>
        <v>557.53200000000004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0.18</v>
      </c>
      <c r="F30" s="1742">
        <f>VLOOKUP(K2,'SD8'!B9:L42,7,FALSE)</f>
        <v>0.26</v>
      </c>
      <c r="G30" s="1741"/>
      <c r="H30" s="1739">
        <f>IF(J$6=0,0,(J$6*$E30+$G30+X14))</f>
        <v>117</v>
      </c>
      <c r="I30" s="1722">
        <f>H30*$D30</f>
        <v>167.54399999999998</v>
      </c>
      <c r="J30" s="45"/>
      <c r="K30" s="1740">
        <f>IF(M$6=0,0,(M$6*$E30+$G30+Y14))</f>
        <v>135</v>
      </c>
      <c r="L30" s="1564">
        <f>K30*$D30</f>
        <v>193.32</v>
      </c>
      <c r="M30" s="1557"/>
      <c r="N30" s="1739">
        <f>IF(P$6=0,0,(P$6*$E30+$G30+Z14))</f>
        <v>153</v>
      </c>
      <c r="O30" s="1722">
        <f>N30*$D30</f>
        <v>219.096</v>
      </c>
      <c r="P30" s="1686"/>
      <c r="Q30" s="38"/>
    </row>
    <row r="31" spans="1:26" s="42" customFormat="1" ht="15" customHeight="1">
      <c r="A31" s="1284"/>
      <c r="B31" s="272"/>
      <c r="C31" s="1284" t="s">
        <v>244</v>
      </c>
      <c r="D31" s="1691">
        <f>'SDK1'!O53</f>
        <v>1.05</v>
      </c>
      <c r="E31" s="1742">
        <f>VLOOKUP(K2,'SD8'!B9:L42,4,FALSE)</f>
        <v>0.1</v>
      </c>
      <c r="F31" s="1742">
        <f>VLOOKUP(K2,'SD8'!B9:L42,8,FALSE)</f>
        <v>7.9999999999999988E-2</v>
      </c>
      <c r="G31" s="1741"/>
      <c r="H31" s="1739">
        <f>IF(J$6=0,0,(J$6*$E31+$G31+X15))</f>
        <v>65</v>
      </c>
      <c r="I31" s="1722">
        <f>H31*$D31</f>
        <v>68.25</v>
      </c>
      <c r="J31" s="45"/>
      <c r="K31" s="1740">
        <f>IF(M$6=0,0,(M$6*$E31+$G31+Y15))</f>
        <v>75</v>
      </c>
      <c r="L31" s="1564">
        <f>K31*$D31</f>
        <v>78.75</v>
      </c>
      <c r="M31" s="1557"/>
      <c r="N31" s="1739">
        <f>IF(P$6=0,0,(P$6*$E31+$G31+Z15))</f>
        <v>85</v>
      </c>
      <c r="O31" s="1722">
        <f>N31*$D31</f>
        <v>89.25</v>
      </c>
      <c r="P31" s="1686"/>
      <c r="Q31" s="38"/>
    </row>
    <row r="32" spans="1:26" s="42" customFormat="1" ht="15" customHeight="1">
      <c r="A32" s="1284"/>
      <c r="B32" s="272"/>
      <c r="C32" s="1284" t="s">
        <v>242</v>
      </c>
      <c r="D32" s="1691">
        <f>'SDK1'!O54</f>
        <v>0.98000000000000009</v>
      </c>
      <c r="E32" s="1742">
        <f>VLOOKUP(K2,'SD8'!B9:L42,5,FALSE)</f>
        <v>0.25</v>
      </c>
      <c r="F32" s="1742">
        <f>VLOOKUP(K2,'SD8'!B9:L42,9,FALSE)</f>
        <v>0.42000000000000004</v>
      </c>
      <c r="G32" s="1741"/>
      <c r="H32" s="1739">
        <f>IF(J$6=0,0,(J$6*$E32+$G32+X16))</f>
        <v>162.5</v>
      </c>
      <c r="I32" s="1722">
        <f>H32*$D32</f>
        <v>159.25000000000003</v>
      </c>
      <c r="J32" s="45"/>
      <c r="K32" s="1740">
        <f>IF(M$6=0,0,(M$6*$E32+$G32+Y16))</f>
        <v>187.5</v>
      </c>
      <c r="L32" s="1564">
        <f>K32*$D32</f>
        <v>183.75000000000003</v>
      </c>
      <c r="M32" s="1557"/>
      <c r="N32" s="1739">
        <f>IF(P$6=0,0,(P$6*$E32+$G32+Z16))</f>
        <v>212.5</v>
      </c>
      <c r="O32" s="1722">
        <f>N32*$D32</f>
        <v>208.25000000000003</v>
      </c>
      <c r="P32" s="1686"/>
      <c r="Q32" s="38"/>
    </row>
    <row r="33" spans="1:17" s="42" customFormat="1" ht="15" customHeight="1">
      <c r="A33" s="1284"/>
      <c r="B33" s="239"/>
      <c r="C33" s="1309" t="s">
        <v>240</v>
      </c>
      <c r="D33" s="1674">
        <f>'SDK1'!O55</f>
        <v>0.60200000000000009</v>
      </c>
      <c r="E33" s="1738">
        <f>VLOOKUP(K2,'SD8'!B9:L42,6,FALSE)</f>
        <v>0.08</v>
      </c>
      <c r="F33" s="1738">
        <f>VLOOKUP(K2,'SD8'!B9:L42,10,FALSE)</f>
        <v>6.9999999999999993E-2</v>
      </c>
      <c r="G33" s="1737"/>
      <c r="H33" s="1735">
        <f>IF(J$6=0,0,(J$6*$E33+$G33+X17))</f>
        <v>52</v>
      </c>
      <c r="I33" s="1718">
        <f>H33*$D33</f>
        <v>31.304000000000006</v>
      </c>
      <c r="J33" s="45"/>
      <c r="K33" s="1736">
        <f>IF(M$6=0,0,(M$6*$E33+$G33+Y17))</f>
        <v>60</v>
      </c>
      <c r="L33" s="1558">
        <f>K33*$D33</f>
        <v>36.120000000000005</v>
      </c>
      <c r="M33" s="1557"/>
      <c r="N33" s="1735">
        <f>IF(P$6=0,0,(P$6*$E33+$G33+Z17))</f>
        <v>68</v>
      </c>
      <c r="O33" s="1718">
        <f>N33*$D33</f>
        <v>40.936000000000007</v>
      </c>
      <c r="P33" s="1717"/>
      <c r="Q33" s="38"/>
    </row>
    <row r="34" spans="1:17" s="686" customFormat="1" ht="18.75" customHeight="1">
      <c r="A34" s="1248"/>
      <c r="B34" s="1254" t="s">
        <v>1178</v>
      </c>
      <c r="C34" s="1248"/>
      <c r="D34" s="37"/>
      <c r="E34" s="37"/>
      <c r="F34" s="4876" t="s">
        <v>1177</v>
      </c>
      <c r="G34" s="4877"/>
      <c r="H34" s="1732"/>
      <c r="I34" s="1731"/>
      <c r="J34" s="1582">
        <f>SUM(I36:I42)</f>
        <v>374.4</v>
      </c>
      <c r="K34" s="1734"/>
      <c r="L34" s="1733"/>
      <c r="M34" s="1585">
        <f>SUM(L36:L42)</f>
        <v>374.4</v>
      </c>
      <c r="N34" s="1732"/>
      <c r="O34" s="1731"/>
      <c r="P34" s="1582">
        <f>SUM(O36:O42)</f>
        <v>420.8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634</v>
      </c>
      <c r="D36" s="4884"/>
      <c r="E36" s="4885"/>
      <c r="F36" s="1724">
        <f>IF(C36="",0,VLOOKUP(C36,'SDK5'!C3:AF83,2,FALSE))</f>
        <v>36</v>
      </c>
      <c r="G36" s="1724">
        <f t="shared" ref="G36:G42" si="0">F36*(100+$D$35)/100</f>
        <v>36</v>
      </c>
      <c r="H36" s="1723">
        <v>5</v>
      </c>
      <c r="I36" s="1722">
        <f t="shared" ref="I36:I42" si="1">$G36*H36</f>
        <v>180</v>
      </c>
      <c r="J36" s="45"/>
      <c r="K36" s="1723">
        <v>5</v>
      </c>
      <c r="L36" s="1564">
        <f t="shared" ref="L36:L42" si="2">$G36*K36</f>
        <v>180</v>
      </c>
      <c r="M36" s="1557"/>
      <c r="N36" s="1723">
        <v>5</v>
      </c>
      <c r="O36" s="1722">
        <f t="shared" ref="O36:O42" si="3">$G36*N36</f>
        <v>180</v>
      </c>
      <c r="P36" s="1726"/>
      <c r="Q36" s="38"/>
    </row>
    <row r="37" spans="1:17" s="42" customFormat="1" ht="15" customHeight="1">
      <c r="A37" s="1284"/>
      <c r="B37" s="1562"/>
      <c r="C37" s="4870" t="s">
        <v>2023</v>
      </c>
      <c r="D37" s="4870"/>
      <c r="E37" s="4871"/>
      <c r="F37" s="1724">
        <f>IF(C37="",0,VLOOKUP(C37,'SDK5'!C4:AF84,2,FALSE))</f>
        <v>37</v>
      </c>
      <c r="G37" s="1724">
        <f t="shared" si="0"/>
        <v>37</v>
      </c>
      <c r="H37" s="1723">
        <v>4</v>
      </c>
      <c r="I37" s="1722">
        <f t="shared" si="1"/>
        <v>148</v>
      </c>
      <c r="J37" s="45"/>
      <c r="K37" s="1723">
        <v>4</v>
      </c>
      <c r="L37" s="1564">
        <f t="shared" si="2"/>
        <v>148</v>
      </c>
      <c r="M37" s="1557"/>
      <c r="N37" s="1723">
        <v>4</v>
      </c>
      <c r="O37" s="1722">
        <f t="shared" si="3"/>
        <v>148</v>
      </c>
      <c r="P37" s="1686"/>
      <c r="Q37" s="38"/>
    </row>
    <row r="38" spans="1:17" s="42" customFormat="1" ht="15" customHeight="1">
      <c r="A38" s="1284"/>
      <c r="B38" s="1725"/>
      <c r="C38" s="4870" t="s">
        <v>2029</v>
      </c>
      <c r="D38" s="4870"/>
      <c r="E38" s="4871"/>
      <c r="F38" s="1724">
        <f>IF(C38="",0,VLOOKUP(C38,'SDK5'!C5:AF85,2,FALSE))</f>
        <v>46.4</v>
      </c>
      <c r="G38" s="1724">
        <f t="shared" si="0"/>
        <v>46.4</v>
      </c>
      <c r="H38" s="1723">
        <v>1</v>
      </c>
      <c r="I38" s="1722">
        <f t="shared" si="1"/>
        <v>46.4</v>
      </c>
      <c r="J38" s="45"/>
      <c r="K38" s="1723">
        <v>1</v>
      </c>
      <c r="L38" s="1564">
        <f t="shared" si="2"/>
        <v>46.4</v>
      </c>
      <c r="M38" s="1557"/>
      <c r="N38" s="1723">
        <v>2</v>
      </c>
      <c r="O38" s="1722">
        <f t="shared" si="3"/>
        <v>92.8</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152.25292936218486</v>
      </c>
      <c r="K43" s="1716"/>
      <c r="L43" s="1715"/>
      <c r="M43" s="1585">
        <f>SUM(M46:M57)</f>
        <v>152.25292936218486</v>
      </c>
      <c r="N43" s="1714"/>
      <c r="O43" s="1713"/>
      <c r="P43" s="1582">
        <f>SUM(P46:P57)</f>
        <v>158.76228674689077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453</v>
      </c>
      <c r="D47" s="4883"/>
      <c r="E47" s="1693">
        <f>IF($C47=0,0,VLOOKUP($C47,'SDK3'!$C$24:$O$86,4,FALSE))</f>
        <v>83</v>
      </c>
      <c r="F47" s="1692">
        <f>IF($C47=0,0,VLOOKUP($C47,'SDK3'!$C$24:$O$86,12,FALSE))</f>
        <v>0.57999999999999996</v>
      </c>
      <c r="G47" s="1691">
        <f>IF($C47=0,0,VLOOKUP($C47,'SDK3'!$C$24:$O$86,13,FALSE))</f>
        <v>14.584165872268905</v>
      </c>
      <c r="H47" s="1688">
        <v>2</v>
      </c>
      <c r="I47" s="1687">
        <f t="shared" si="4"/>
        <v>1.1599999999999999</v>
      </c>
      <c r="J47" s="1686">
        <f t="shared" si="5"/>
        <v>29.168331744537809</v>
      </c>
      <c r="K47" s="1688">
        <v>2</v>
      </c>
      <c r="L47" s="1690">
        <f t="shared" si="6"/>
        <v>1.1599999999999999</v>
      </c>
      <c r="M47" s="1689">
        <f t="shared" si="7"/>
        <v>29.168331744537809</v>
      </c>
      <c r="N47" s="1688">
        <v>2</v>
      </c>
      <c r="O47" s="1687">
        <f t="shared" si="8"/>
        <v>1.1599999999999999</v>
      </c>
      <c r="P47" s="1686">
        <f t="shared" si="9"/>
        <v>29.168331744537809</v>
      </c>
      <c r="Q47" s="38"/>
    </row>
    <row r="48" spans="1:17" s="42" customFormat="1" ht="15" customHeight="1">
      <c r="A48" s="1284"/>
      <c r="B48" s="1694"/>
      <c r="C48" s="4882" t="s">
        <v>434</v>
      </c>
      <c r="D48" s="4883"/>
      <c r="E48" s="1693">
        <f>IF($C48=0,0,VLOOKUP($C48,'SDK3'!$C$24:$O$86,4,FALSE))</f>
        <v>83</v>
      </c>
      <c r="F48" s="1692">
        <f>IF($C48=0,0,VLOOKUP($C48,'SDK3'!$C$24:$O$86,12,FALSE))</f>
        <v>1</v>
      </c>
      <c r="G48" s="1691">
        <f>IF($C48=0,0,VLOOKUP($C48,'SDK3'!$C$24:$O$86,13,FALSE))</f>
        <v>25.023993294117645</v>
      </c>
      <c r="H48" s="1688">
        <v>1</v>
      </c>
      <c r="I48" s="1687">
        <f t="shared" si="4"/>
        <v>1</v>
      </c>
      <c r="J48" s="1686">
        <f t="shared" si="5"/>
        <v>25.023993294117645</v>
      </c>
      <c r="K48" s="1688">
        <v>1</v>
      </c>
      <c r="L48" s="1690">
        <f t="shared" si="6"/>
        <v>1</v>
      </c>
      <c r="M48" s="1689">
        <f t="shared" si="7"/>
        <v>25.023993294117645</v>
      </c>
      <c r="N48" s="1688">
        <v>1</v>
      </c>
      <c r="O48" s="1687">
        <f t="shared" si="8"/>
        <v>1</v>
      </c>
      <c r="P48" s="1686">
        <f t="shared" si="9"/>
        <v>25.023993294117645</v>
      </c>
      <c r="Q48" s="38"/>
    </row>
    <row r="49" spans="1:17" s="42" customFormat="1" ht="15" customHeight="1">
      <c r="A49" s="1284"/>
      <c r="B49" s="1694"/>
      <c r="C49" s="4882" t="s">
        <v>426</v>
      </c>
      <c r="D49" s="4883"/>
      <c r="E49" s="1693">
        <f>IF($C49=0,0,VLOOKUP($C49,'SDK3'!$C$24:$O$86,4,FALSE))</f>
        <v>54</v>
      </c>
      <c r="F49" s="1692">
        <f>IF($C49=0,0,VLOOKUP($C49,'SDK3'!$C$24:$O$86,12,FALSE))</f>
        <v>0.37</v>
      </c>
      <c r="G49" s="1691">
        <f>IF($C49=0,0,VLOOKUP($C49,'SDK3'!$C$24:$O$86,13,FALSE))</f>
        <v>4.2780853988235288</v>
      </c>
      <c r="H49" s="1688">
        <v>3</v>
      </c>
      <c r="I49" s="1687">
        <f t="shared" si="4"/>
        <v>1.1099999999999999</v>
      </c>
      <c r="J49" s="1686">
        <f t="shared" si="5"/>
        <v>12.834256196470587</v>
      </c>
      <c r="K49" s="1688">
        <v>3</v>
      </c>
      <c r="L49" s="1690">
        <f t="shared" si="6"/>
        <v>1.1099999999999999</v>
      </c>
      <c r="M49" s="1689">
        <f t="shared" si="7"/>
        <v>12.834256196470587</v>
      </c>
      <c r="N49" s="1688">
        <v>3</v>
      </c>
      <c r="O49" s="1687">
        <f t="shared" si="8"/>
        <v>1.1099999999999999</v>
      </c>
      <c r="P49" s="1686">
        <f t="shared" si="9"/>
        <v>12.834256196470587</v>
      </c>
      <c r="Q49" s="38"/>
    </row>
    <row r="50" spans="1:17" s="42" customFormat="1" ht="15" customHeight="1">
      <c r="A50" s="1284"/>
      <c r="B50" s="1694"/>
      <c r="C50" s="4882" t="s">
        <v>419</v>
      </c>
      <c r="D50" s="4883"/>
      <c r="E50" s="1693">
        <f>IF($C50=0,0,VLOOKUP($C50,'SDK3'!$C$24:$O$86,4,FALSE))</f>
        <v>83</v>
      </c>
      <c r="F50" s="1692">
        <f>IF($C50=0,0,VLOOKUP($C50,'SDK3'!$C$24:$O$86,12,FALSE))</f>
        <v>0.39</v>
      </c>
      <c r="G50" s="1691">
        <f>IF($C50=0,0,VLOOKUP($C50,'SDK3'!$C$24:$O$86,13,FALSE))</f>
        <v>6.5093573847058819</v>
      </c>
      <c r="H50" s="1688">
        <v>4</v>
      </c>
      <c r="I50" s="1687">
        <f t="shared" si="4"/>
        <v>1.56</v>
      </c>
      <c r="J50" s="1686">
        <f t="shared" si="5"/>
        <v>26.037429538823528</v>
      </c>
      <c r="K50" s="1688">
        <v>4</v>
      </c>
      <c r="L50" s="1690">
        <f t="shared" si="6"/>
        <v>1.56</v>
      </c>
      <c r="M50" s="1689">
        <f t="shared" si="7"/>
        <v>26.037429538823528</v>
      </c>
      <c r="N50" s="1688">
        <v>5</v>
      </c>
      <c r="O50" s="1687">
        <f t="shared" si="8"/>
        <v>1.9500000000000002</v>
      </c>
      <c r="P50" s="1686">
        <f t="shared" si="9"/>
        <v>32.54678692352941</v>
      </c>
      <c r="Q50" s="38"/>
    </row>
    <row r="51" spans="1:17" s="42" customFormat="1" ht="15" customHeight="1">
      <c r="A51" s="1284"/>
      <c r="B51" s="1694"/>
      <c r="C51" s="4882"/>
      <c r="D51" s="4883"/>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6.27</v>
      </c>
      <c r="J58" s="1669"/>
      <c r="K58" s="1668"/>
      <c r="L58" s="1667">
        <f>SUM($L$46:$L$57)</f>
        <v>6.27</v>
      </c>
      <c r="M58" s="1666"/>
      <c r="N58" s="1665"/>
      <c r="O58" s="1664">
        <f>SUM($O$46:$O$57)</f>
        <v>6.6599999999999993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11.286</v>
      </c>
      <c r="J59" s="1654"/>
      <c r="K59" s="1659"/>
      <c r="L59" s="1658">
        <f>IF(L58+SUM($L$46:$L$57)*$E$59%&gt;L58+10,L58+10,L58+SUM($L$46:$L$57)*$E$59%)</f>
        <v>11.286</v>
      </c>
      <c r="M59" s="1657"/>
      <c r="N59" s="1656"/>
      <c r="O59" s="1655">
        <f>IF(O58+SUM($O$46:$O$57)*$E$59%&gt;O58+10,O58+10,O58+SUM($O$46:$O$57)*$E$59%)</f>
        <v>11.988</v>
      </c>
      <c r="P59" s="1654"/>
      <c r="Q59" s="38"/>
    </row>
    <row r="60" spans="1:17" s="42" customFormat="1" ht="18.75" customHeight="1">
      <c r="A60" s="1284"/>
      <c r="B60" s="1254" t="s">
        <v>1164</v>
      </c>
      <c r="C60" s="1351"/>
      <c r="D60" s="1351"/>
      <c r="E60" s="45"/>
      <c r="F60" s="45"/>
      <c r="G60" s="1653"/>
      <c r="H60" s="1645"/>
      <c r="I60" s="1644"/>
      <c r="J60" s="1652">
        <f>IF(J6=0,0,SUM(I62:I64))</f>
        <v>397.5</v>
      </c>
      <c r="K60" s="1648"/>
      <c r="L60" s="1647"/>
      <c r="M60" s="1585">
        <f>IF(M6=0,0,SUM(L62:L64))</f>
        <v>397.5</v>
      </c>
      <c r="N60" s="1645"/>
      <c r="O60" s="1644"/>
      <c r="P60" s="1652">
        <f>IF(P6=0,0,SUM(O62:O64))</f>
        <v>397.5</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917" t="s">
        <v>322</v>
      </c>
      <c r="D62" s="4917"/>
      <c r="E62" s="4918"/>
      <c r="F62" s="1642">
        <f>IF($C62=0,0,VLOOKUP($C62,'SDK3'!$C$92:$D$106,2,FALSE))</f>
        <v>397.5</v>
      </c>
      <c r="G62" s="1641">
        <f>(100+$D$61)/100*F62</f>
        <v>397.5</v>
      </c>
      <c r="H62" s="227"/>
      <c r="I62" s="1637">
        <f>$G$62</f>
        <v>397.5</v>
      </c>
      <c r="J62" s="227"/>
      <c r="K62" s="1640"/>
      <c r="L62" s="1639">
        <f>$G$62</f>
        <v>397.5</v>
      </c>
      <c r="M62" s="1557"/>
      <c r="N62" s="1638"/>
      <c r="O62" s="1637">
        <f>$G$62</f>
        <v>397.5</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919"/>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18.536833333333337</v>
      </c>
      <c r="K69" s="1598"/>
      <c r="L69" s="1597"/>
      <c r="M69" s="1585">
        <f>K70*$F70/1000</f>
        <v>24.115299999999994</v>
      </c>
      <c r="N69" s="44"/>
      <c r="O69" s="73"/>
      <c r="P69" s="1582">
        <f>N70*$F70/1000</f>
        <v>27.520166666666668</v>
      </c>
      <c r="Q69" s="38"/>
    </row>
    <row r="70" spans="1:20" s="686" customFormat="1" ht="15" customHeight="1">
      <c r="A70" s="1248"/>
      <c r="B70" s="1310"/>
      <c r="C70" s="1309" t="s">
        <v>840</v>
      </c>
      <c r="D70" s="346"/>
      <c r="E70" s="278"/>
      <c r="F70" s="1596">
        <f>'SDK7'!G113</f>
        <v>11</v>
      </c>
      <c r="G70" s="1595" t="s">
        <v>171</v>
      </c>
      <c r="H70" s="1591">
        <f>I9+I10</f>
        <v>1685.166666666667</v>
      </c>
      <c r="I70" s="1590"/>
      <c r="J70" s="1589"/>
      <c r="K70" s="1594">
        <f>L9+L10</f>
        <v>2192.2999999999997</v>
      </c>
      <c r="L70" s="1593"/>
      <c r="M70" s="1592"/>
      <c r="N70" s="1591">
        <f>O9+O10</f>
        <v>2501.8333333333335</v>
      </c>
      <c r="O70" s="1590"/>
      <c r="P70" s="1589"/>
      <c r="Q70" s="38"/>
    </row>
    <row r="71" spans="1:20" ht="18.75" customHeight="1">
      <c r="A71" s="370"/>
      <c r="B71" s="305" t="s">
        <v>1157</v>
      </c>
      <c r="C71" s="370"/>
      <c r="D71" s="370"/>
      <c r="E71" s="229"/>
      <c r="G71" s="1588"/>
      <c r="H71" s="1584"/>
      <c r="I71" s="1583"/>
      <c r="J71" s="1582">
        <f>SUM(I73:I74)</f>
        <v>97.5</v>
      </c>
      <c r="K71" s="1587"/>
      <c r="L71" s="1586"/>
      <c r="M71" s="1585">
        <f>SUM(L73:L74)</f>
        <v>112.5</v>
      </c>
      <c r="N71" s="1584"/>
      <c r="O71" s="1583"/>
      <c r="P71" s="1582">
        <f>SUM(O73:O74)</f>
        <v>127.5</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4" t="s">
        <v>1220</v>
      </c>
      <c r="D73" s="4894"/>
      <c r="E73" s="4894"/>
      <c r="F73" s="1566"/>
      <c r="G73" s="1565"/>
      <c r="H73" s="1559">
        <f>1.5*J6*0.1</f>
        <v>97.5</v>
      </c>
      <c r="I73" s="1563">
        <f>(100+$D$72)/100*H73</f>
        <v>97.5</v>
      </c>
      <c r="J73" s="45"/>
      <c r="K73" s="1559">
        <f>1.5*(0.1*M6)</f>
        <v>112.5</v>
      </c>
      <c r="L73" s="1564">
        <f>(100+$D$72)/100*K73</f>
        <v>112.5</v>
      </c>
      <c r="M73" s="1557"/>
      <c r="N73" s="1559">
        <f>1.5*(0.1*P6)</f>
        <v>127.5</v>
      </c>
      <c r="O73" s="1563">
        <f>(100+$D$72)/100*N73</f>
        <v>127.5</v>
      </c>
      <c r="P73" s="1554"/>
      <c r="Q73" s="376" t="s">
        <v>1219</v>
      </c>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14.512814689129319</v>
      </c>
      <c r="K75" s="689"/>
      <c r="L75" s="1034"/>
      <c r="M75" s="1546">
        <f>(M23+M27+M34+M43+M60+M65+M67+M69+M71)*('SDK1'!$O$59%*$G$75/12)</f>
        <v>15.230901911351541</v>
      </c>
      <c r="N75" s="1548"/>
      <c r="O75" s="1547"/>
      <c r="P75" s="1546">
        <f>(P23+P27+P34+P43+P60+P65+P67+P69+P71)*('SDK1'!$O$59%*$G$75/12)</f>
        <v>16.371787111779646</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D162" s="15"/>
      <c r="F162" s="15"/>
      <c r="G162" s="15"/>
      <c r="H162" s="15"/>
      <c r="I162" s="15"/>
      <c r="J162" s="15"/>
      <c r="K162" s="35"/>
      <c r="L162" s="35"/>
      <c r="M162" s="35"/>
      <c r="N162" s="35"/>
      <c r="O162" s="35"/>
      <c r="P162" s="35"/>
      <c r="Q162" s="35"/>
    </row>
    <row r="163" spans="1:17">
      <c r="A163" s="35"/>
      <c r="B163" s="601"/>
      <c r="C163" s="15"/>
      <c r="D163" s="15"/>
      <c r="F163" s="15"/>
      <c r="G163" s="15"/>
      <c r="H163" s="15"/>
      <c r="I163" s="15"/>
      <c r="J163" s="15"/>
      <c r="K163" s="35"/>
      <c r="L163" s="35"/>
      <c r="M163" s="35"/>
      <c r="N163" s="35"/>
      <c r="O163" s="35"/>
      <c r="P163" s="35"/>
      <c r="Q163" s="35"/>
    </row>
    <row r="164" spans="1:17">
      <c r="A164" s="35"/>
      <c r="B164" s="601"/>
      <c r="C164" s="15"/>
      <c r="D164" s="15"/>
      <c r="F164" s="15"/>
      <c r="G164" s="15"/>
      <c r="H164" s="15"/>
      <c r="I164" s="15"/>
      <c r="J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8">
    <mergeCell ref="C20:F20"/>
    <mergeCell ref="C21:F21"/>
    <mergeCell ref="E22:G22"/>
    <mergeCell ref="C37:E37"/>
    <mergeCell ref="B75:C75"/>
    <mergeCell ref="C40:E40"/>
    <mergeCell ref="C38:E38"/>
    <mergeCell ref="C74:E74"/>
    <mergeCell ref="C73:E73"/>
    <mergeCell ref="C55:D55"/>
    <mergeCell ref="C68:E68"/>
    <mergeCell ref="C62:E62"/>
    <mergeCell ref="C64:E64"/>
    <mergeCell ref="C63:E63"/>
    <mergeCell ref="C57:D57"/>
    <mergeCell ref="C56:D56"/>
    <mergeCell ref="K1:L1"/>
    <mergeCell ref="C49:D49"/>
    <mergeCell ref="C52:D52"/>
    <mergeCell ref="C53:D53"/>
    <mergeCell ref="C54:D54"/>
    <mergeCell ref="C50:D50"/>
    <mergeCell ref="C51:D51"/>
    <mergeCell ref="J4:L4"/>
    <mergeCell ref="C16:F16"/>
    <mergeCell ref="C48:D48"/>
    <mergeCell ref="F23:G23"/>
    <mergeCell ref="F34:G34"/>
    <mergeCell ref="C47:D47"/>
    <mergeCell ref="C46:D46"/>
    <mergeCell ref="C41:E41"/>
    <mergeCell ref="C36:E36"/>
    <mergeCell ref="N1:O1"/>
    <mergeCell ref="C42:E42"/>
    <mergeCell ref="H6:I6"/>
    <mergeCell ref="C19:F19"/>
    <mergeCell ref="C39:E39"/>
    <mergeCell ref="E4:I4"/>
    <mergeCell ref="N3:O4"/>
    <mergeCell ref="J3:L3"/>
    <mergeCell ref="K2:P2"/>
    <mergeCell ref="D25:E25"/>
    <mergeCell ref="D26:E26"/>
    <mergeCell ref="C14:F14"/>
    <mergeCell ref="C15:F15"/>
    <mergeCell ref="N6:O6"/>
    <mergeCell ref="K6:L6"/>
    <mergeCell ref="C17:F17"/>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0" orientation="portrait" r:id="rId1"/>
  <headerFooter alignWithMargins="0">
    <oddFooter>&amp;L&amp;11LEL Schwäbisch Gmünd&amp;C73&amp;R&amp;11&amp;F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'SDK5'!$AA$214:$AA$313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0">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2" width="7.25" style="38" customWidth="1"/>
    <col min="13" max="13" width="8.25" style="38" customWidth="1"/>
    <col min="14" max="14" width="8" style="38" customWidth="1"/>
    <col min="15" max="15" width="7.25" style="38" customWidth="1"/>
    <col min="16" max="16" width="8.7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7546.430438397103</v>
      </c>
      <c r="K1" s="4855">
        <f>M1-J1</f>
        <v>2721.8510455219075</v>
      </c>
      <c r="L1" s="4855"/>
      <c r="M1" s="1874">
        <f>(M7+M13+M18+M22+L11+L12)-(M23+M27+M34+M43+M60+M65+M67+M69+M71+M75)</f>
        <v>10268.28148391901</v>
      </c>
      <c r="N1" s="4855">
        <f>P1-M1</f>
        <v>2721.8510455219039</v>
      </c>
      <c r="O1" s="4855"/>
      <c r="P1" s="1874">
        <f>(P7+P13+P18+P22+O11+O12)-(P23+P27+P34+P43+P60+P65+P67+P69+P71+P75)</f>
        <v>12990.132529440914</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195</v>
      </c>
      <c r="L2" s="4867"/>
      <c r="M2" s="4867"/>
      <c r="N2" s="4867"/>
      <c r="O2" s="4867"/>
      <c r="P2" s="4867"/>
      <c r="Q2" s="1888">
        <v>0</v>
      </c>
    </row>
    <row r="3" spans="1:41" s="1859" customFormat="1" ht="21.75" customHeight="1">
      <c r="A3" s="1863"/>
      <c r="B3" s="1887"/>
      <c r="H3" s="1870"/>
      <c r="J3" s="4863"/>
      <c r="K3" s="4864"/>
      <c r="L3" s="4864"/>
      <c r="M3" s="1928"/>
      <c r="N3" s="4868" t="str">
        <f>IF(AND(T3=TRUE,T4=TRUE),"nur 1 Strohnutzung möglich","")</f>
        <v/>
      </c>
      <c r="O3" s="4869"/>
      <c r="P3" s="1868"/>
      <c r="Q3" s="1863"/>
      <c r="T3" s="1886" t="b">
        <v>0</v>
      </c>
    </row>
    <row r="4" spans="1:41" s="1859" customFormat="1" ht="20.25" customHeight="1">
      <c r="A4" s="1863"/>
      <c r="B4" s="370" t="s">
        <v>1098</v>
      </c>
      <c r="C4" s="35"/>
      <c r="D4" s="35"/>
      <c r="E4" s="4920" t="s">
        <v>1230</v>
      </c>
      <c r="F4" s="4920"/>
      <c r="G4" s="4920"/>
      <c r="H4" s="4920"/>
      <c r="I4" s="4920"/>
      <c r="J4" s="4863"/>
      <c r="K4" s="4864"/>
      <c r="L4" s="4864"/>
      <c r="M4" s="1928"/>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250</v>
      </c>
      <c r="K6" s="4874" t="s">
        <v>152</v>
      </c>
      <c r="L6" s="4875"/>
      <c r="M6" s="1855">
        <v>300</v>
      </c>
      <c r="N6" s="4861" t="s">
        <v>178</v>
      </c>
      <c r="O6" s="4862"/>
      <c r="P6" s="1854">
        <v>350</v>
      </c>
      <c r="Q6" s="70"/>
      <c r="R6" s="1929"/>
    </row>
    <row r="7" spans="1:41" s="251" customFormat="1" ht="18.75" customHeight="1">
      <c r="A7" s="47"/>
      <c r="B7" s="305" t="s">
        <v>1202</v>
      </c>
      <c r="C7" s="47"/>
      <c r="D7" s="47"/>
      <c r="E7" s="47"/>
      <c r="F7" s="47"/>
      <c r="G7" s="1852"/>
      <c r="H7" s="1849"/>
      <c r="I7" s="1848"/>
      <c r="J7" s="1582">
        <f>SUM(I9:I10)</f>
        <v>14233.333333333334</v>
      </c>
      <c r="K7" s="1851"/>
      <c r="L7" s="1850"/>
      <c r="M7" s="1585">
        <f>SUM(L9:L10)</f>
        <v>17080</v>
      </c>
      <c r="N7" s="1849"/>
      <c r="O7" s="1848"/>
      <c r="P7" s="1582">
        <f>SUM(O9:O10)</f>
        <v>19926.666666666668</v>
      </c>
      <c r="Q7" s="376"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76" t="s">
        <v>1228</v>
      </c>
    </row>
    <row r="9" spans="1:41" s="251" customFormat="1" ht="16.5" customHeight="1">
      <c r="A9" s="47"/>
      <c r="B9" s="305"/>
      <c r="C9" s="45" t="str">
        <f>IF('SDK1'!O9&gt;0,"Hauptprodukt (incl. MwSt.)","Hauptprodukt (ohne MwSt)")</f>
        <v>Hauptprodukt (ohne MwSt)</v>
      </c>
      <c r="D9" s="47"/>
      <c r="E9" s="47"/>
      <c r="F9" s="1846" t="s">
        <v>1201</v>
      </c>
      <c r="G9" s="1762">
        <f>'SDK1'!O40</f>
        <v>56.933333333333337</v>
      </c>
      <c r="H9" s="1845">
        <f>J6-H10</f>
        <v>250</v>
      </c>
      <c r="I9" s="1841">
        <f>H9*G9</f>
        <v>14233.333333333334</v>
      </c>
      <c r="J9" s="43"/>
      <c r="K9" s="1844">
        <f>M6-K10</f>
        <v>300</v>
      </c>
      <c r="L9" s="1843">
        <f>K9*G9</f>
        <v>17080</v>
      </c>
      <c r="M9" s="1822"/>
      <c r="N9" s="1842">
        <f>P6-N10</f>
        <v>350</v>
      </c>
      <c r="O9" s="1841">
        <f>N9*G9</f>
        <v>19926.666666666668</v>
      </c>
      <c r="P9" s="43"/>
      <c r="Q9" s="376" t="s">
        <v>1227</v>
      </c>
      <c r="R9" s="913"/>
      <c r="S9" s="263" t="s">
        <v>1208</v>
      </c>
      <c r="T9" s="1840"/>
      <c r="W9" s="251" t="s">
        <v>1226</v>
      </c>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76" t="s">
        <v>1225</v>
      </c>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4995</v>
      </c>
      <c r="K23" s="1587"/>
      <c r="L23" s="1586"/>
      <c r="M23" s="1768">
        <f>SUM(L25:L26)</f>
        <v>4995</v>
      </c>
      <c r="N23" s="1584"/>
      <c r="O23" s="1583"/>
      <c r="P23" s="1567">
        <f>SUM(O25:O26)</f>
        <v>4995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'SDK7'!F72</f>
        <v>185</v>
      </c>
      <c r="G25" s="1762">
        <f>F25*(100+$D$24)/100</f>
        <v>185</v>
      </c>
      <c r="H25" s="1761">
        <v>27</v>
      </c>
      <c r="I25" s="1722">
        <f>H25*$G25</f>
        <v>4995</v>
      </c>
      <c r="J25" s="45"/>
      <c r="K25" s="1761">
        <f>H25</f>
        <v>27</v>
      </c>
      <c r="L25" s="1564">
        <f>K25*$G25</f>
        <v>4995</v>
      </c>
      <c r="M25" s="1557"/>
      <c r="N25" s="1761">
        <f>H25</f>
        <v>27</v>
      </c>
      <c r="O25" s="1722">
        <f>N25*$G25</f>
        <v>4995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486.07000000000005</v>
      </c>
      <c r="K27" s="1716"/>
      <c r="L27" s="1715"/>
      <c r="M27" s="1585">
        <f>SUM(L30:L33)</f>
        <v>549.08400000000006</v>
      </c>
      <c r="N27" s="1714"/>
      <c r="O27" s="1713"/>
      <c r="P27" s="1582">
        <f>SUM(O30:O33)</f>
        <v>612.09800000000007</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50</v>
      </c>
      <c r="H30" s="1739">
        <f>IF(J$6=0,0,(J$6*$E30+$G30+X14))</f>
        <v>137.5</v>
      </c>
      <c r="I30" s="1722">
        <f>H30*$D30</f>
        <v>196.9</v>
      </c>
      <c r="J30" s="45"/>
      <c r="K30" s="1740">
        <f>IF(M$6=0,0,(M$6*$E30+$G30+Y14))</f>
        <v>155</v>
      </c>
      <c r="L30" s="1564">
        <f>K30*$D30</f>
        <v>221.95999999999998</v>
      </c>
      <c r="M30" s="1557"/>
      <c r="N30" s="1739">
        <f>IF(P$6=0,0,(P$6*$E30+$G30+Z14))</f>
        <v>172.5</v>
      </c>
      <c r="O30" s="1722">
        <f>N30*$D30</f>
        <v>247.01999999999998</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v>20</v>
      </c>
      <c r="H31" s="1739">
        <f>IF(J$6=0,0,(J$6*$E31+$G31+X15))</f>
        <v>55</v>
      </c>
      <c r="I31" s="1722">
        <f>H31*$D31</f>
        <v>57.75</v>
      </c>
      <c r="J31" s="45"/>
      <c r="K31" s="1740">
        <f>IF(M$6=0,0,(M$6*$E31+$G31+Y15))</f>
        <v>62.000000000000007</v>
      </c>
      <c r="L31" s="1564">
        <f>K31*$D31</f>
        <v>65.100000000000009</v>
      </c>
      <c r="M31" s="1557"/>
      <c r="N31" s="1739">
        <f>IF(P$6=0,0,(P$6*$E31+$G31+Z15))</f>
        <v>69</v>
      </c>
      <c r="O31" s="1722">
        <f>N31*$D31</f>
        <v>72.45</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v>80</v>
      </c>
      <c r="H32" s="1739">
        <f>IF(J$6=0,0,(J$6*$E32+$G32+X16))</f>
        <v>230</v>
      </c>
      <c r="I32" s="1722">
        <f>H32*$D32</f>
        <v>225.40000000000003</v>
      </c>
      <c r="J32" s="45"/>
      <c r="K32" s="1740">
        <f>IF(M$6=0,0,(M$6*$E32+$G32+Y16))</f>
        <v>260</v>
      </c>
      <c r="L32" s="1564">
        <f>K32*$D32</f>
        <v>254.8</v>
      </c>
      <c r="M32" s="1557"/>
      <c r="N32" s="1739">
        <f>IF(P$6=0,0,(P$6*$E32+$G32+Z16))</f>
        <v>290</v>
      </c>
      <c r="O32" s="1722">
        <f>N32*$D32</f>
        <v>284.20000000000005</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10</v>
      </c>
      <c r="I33" s="1718">
        <f>H33*$D33</f>
        <v>6.0200000000000014</v>
      </c>
      <c r="J33" s="45"/>
      <c r="K33" s="1736">
        <f>IF(M$6=0,0,(M$6*$E33+$G33+Y17))</f>
        <v>12</v>
      </c>
      <c r="L33" s="1558">
        <f>K33*$D33</f>
        <v>7.2240000000000011</v>
      </c>
      <c r="M33" s="1557"/>
      <c r="N33" s="1735">
        <f>IF(P$6=0,0,(P$6*$E33+$G33+Z17))</f>
        <v>14</v>
      </c>
      <c r="O33" s="1718">
        <f>N33*$D33</f>
        <v>8.4280000000000008</v>
      </c>
      <c r="P33" s="1717"/>
      <c r="Q33" s="38"/>
    </row>
    <row r="34" spans="1:17" s="686" customFormat="1" ht="18.75" customHeight="1">
      <c r="A34" s="1248"/>
      <c r="B34" s="1254" t="s">
        <v>1178</v>
      </c>
      <c r="C34" s="1248"/>
      <c r="D34" s="37"/>
      <c r="E34" s="37"/>
      <c r="F34" s="4876" t="s">
        <v>1177</v>
      </c>
      <c r="G34" s="4877"/>
      <c r="H34" s="1732"/>
      <c r="I34" s="1731"/>
      <c r="J34" s="1582">
        <f>SUM(I36:I42)</f>
        <v>279.01600000000002</v>
      </c>
      <c r="K34" s="1734"/>
      <c r="L34" s="1733"/>
      <c r="M34" s="1585">
        <f>SUM(L36:L42)</f>
        <v>279.01600000000002</v>
      </c>
      <c r="N34" s="1732"/>
      <c r="O34" s="1731"/>
      <c r="P34" s="1582">
        <f>SUM(O36:O42)</f>
        <v>279.01600000000002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655</v>
      </c>
      <c r="D36" s="4884"/>
      <c r="E36" s="4885"/>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70" t="s">
        <v>605</v>
      </c>
      <c r="D37" s="4870"/>
      <c r="E37" s="487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70" t="s">
        <v>351</v>
      </c>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t="s">
        <v>617</v>
      </c>
      <c r="D39" s="4870"/>
      <c r="E39" s="487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70" t="s">
        <v>604</v>
      </c>
      <c r="D40" s="4870"/>
      <c r="E40" s="4871"/>
      <c r="F40" s="1724">
        <f>IF(C40="",0,VLOOKUP(C40,'SDK5'!C7:AF87,2,FALSE))</f>
        <v>44.1</v>
      </c>
      <c r="G40" s="1724">
        <f t="shared" si="0"/>
        <v>44.1</v>
      </c>
      <c r="H40" s="1723">
        <v>0.6</v>
      </c>
      <c r="I40" s="1722">
        <f t="shared" si="1"/>
        <v>26.46</v>
      </c>
      <c r="J40" s="45"/>
      <c r="K40" s="1723">
        <v>0.6</v>
      </c>
      <c r="L40" s="1564">
        <f t="shared" si="2"/>
        <v>26.46</v>
      </c>
      <c r="M40" s="1557"/>
      <c r="N40" s="1723">
        <v>0.6</v>
      </c>
      <c r="O40" s="1722">
        <f t="shared" si="3"/>
        <v>26.46</v>
      </c>
      <c r="P40" s="1686"/>
      <c r="Q40" s="38"/>
    </row>
    <row r="41" spans="1:17" s="42" customFormat="1" ht="15" customHeight="1">
      <c r="A41" s="1284"/>
      <c r="B41" s="1562"/>
      <c r="C41" s="4870" t="s">
        <v>640</v>
      </c>
      <c r="D41" s="4870"/>
      <c r="E41" s="487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56" t="s">
        <v>655</v>
      </c>
      <c r="D42" s="4856"/>
      <c r="E42" s="4857"/>
      <c r="F42" s="1724">
        <f>IF(C42="",0,VLOOKUP(C42,'SDK5'!C9:AF89,2,FALSE))</f>
        <v>32.799999999999997</v>
      </c>
      <c r="G42" s="1720">
        <f t="shared" si="0"/>
        <v>32.799999999999997</v>
      </c>
      <c r="H42" s="1719">
        <v>1</v>
      </c>
      <c r="I42" s="1718">
        <f t="shared" si="1"/>
        <v>32.799999999999997</v>
      </c>
      <c r="J42" s="45"/>
      <c r="K42" s="1719">
        <v>1</v>
      </c>
      <c r="L42" s="1558">
        <f t="shared" si="2"/>
        <v>32.799999999999997</v>
      </c>
      <c r="M42" s="1557"/>
      <c r="N42" s="1719">
        <v>1</v>
      </c>
      <c r="O42" s="1718">
        <f t="shared" si="3"/>
        <v>32.799999999999997</v>
      </c>
      <c r="P42" s="1717"/>
      <c r="Q42" s="38"/>
    </row>
    <row r="43" spans="1:17" s="686" customFormat="1" ht="18.75" customHeight="1">
      <c r="A43" s="1248"/>
      <c r="B43" s="1254" t="s">
        <v>1175</v>
      </c>
      <c r="C43" s="1248"/>
      <c r="D43" s="1248"/>
      <c r="E43" s="1248"/>
      <c r="F43" s="1248"/>
      <c r="G43" s="1588"/>
      <c r="H43" s="1714"/>
      <c r="I43" s="1713"/>
      <c r="J43" s="1582">
        <f>SUM(J46:J57)</f>
        <v>297.18959828386556</v>
      </c>
      <c r="K43" s="1716"/>
      <c r="L43" s="1715"/>
      <c r="M43" s="1585">
        <f>SUM(M46:M57)</f>
        <v>315.25968536957987</v>
      </c>
      <c r="N43" s="1714"/>
      <c r="O43" s="1713"/>
      <c r="P43" s="1582">
        <f>SUM(P46:P57)</f>
        <v>333.32977245529412</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378</v>
      </c>
      <c r="D48" s="4883"/>
      <c r="E48" s="1693">
        <f>IF($C48=0,0,VLOOKUP($C48,'SDK3'!$C$24:$O$86,4,FALSE))</f>
        <v>83</v>
      </c>
      <c r="F48" s="1692">
        <f>IF($C48=0,0,VLOOKUP($C48,'SDK3'!$C$24:$O$86,12,FALSE))</f>
        <v>2</v>
      </c>
      <c r="G48" s="1691">
        <f>IF($C48=0,0,VLOOKUP($C48,'SDK3'!$C$24:$O$86,13,FALSE))</f>
        <v>45.04798658823529</v>
      </c>
      <c r="H48" s="1688">
        <v>1</v>
      </c>
      <c r="I48" s="1687">
        <f t="shared" si="4"/>
        <v>2</v>
      </c>
      <c r="J48" s="1686">
        <f t="shared" si="5"/>
        <v>45.04798658823529</v>
      </c>
      <c r="K48" s="1688">
        <v>1</v>
      </c>
      <c r="L48" s="1690">
        <f t="shared" si="6"/>
        <v>2</v>
      </c>
      <c r="M48" s="1689">
        <f t="shared" si="7"/>
        <v>45.04798658823529</v>
      </c>
      <c r="N48" s="1688">
        <v>1</v>
      </c>
      <c r="O48" s="1687">
        <f t="shared" si="8"/>
        <v>2</v>
      </c>
      <c r="P48" s="1686">
        <f t="shared" si="9"/>
        <v>45.04798658823529</v>
      </c>
      <c r="Q48" s="38"/>
    </row>
    <row r="49" spans="1:17" s="42" customFormat="1" ht="15" customHeight="1">
      <c r="A49" s="1284"/>
      <c r="B49" s="1694"/>
      <c r="C49" s="4882" t="s">
        <v>370</v>
      </c>
      <c r="D49" s="4883"/>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row>
    <row r="50" spans="1:17" s="42" customFormat="1" ht="15" customHeight="1">
      <c r="A50" s="1284"/>
      <c r="B50" s="1694"/>
      <c r="C50" s="4882" t="s">
        <v>426</v>
      </c>
      <c r="D50" s="4883"/>
      <c r="E50" s="1693">
        <f>IF($C50=0,0,VLOOKUP($C50,'SDK3'!$C$24:$O$86,4,FALSE))</f>
        <v>54</v>
      </c>
      <c r="F50" s="1692">
        <f>IF($C50=0,0,VLOOKUP($C50,'SDK3'!$C$24:$O$86,12,FALSE))</f>
        <v>0.37</v>
      </c>
      <c r="G50" s="1691">
        <f>IF($C50=0,0,VLOOKUP($C50,'SDK3'!$C$24:$O$86,13,FALSE))</f>
        <v>4.2780853988235288</v>
      </c>
      <c r="H50" s="1688">
        <v>2</v>
      </c>
      <c r="I50" s="1687">
        <f t="shared" si="4"/>
        <v>0.74</v>
      </c>
      <c r="J50" s="1686">
        <f t="shared" si="5"/>
        <v>8.5561707976470576</v>
      </c>
      <c r="K50" s="1688">
        <v>2</v>
      </c>
      <c r="L50" s="1690">
        <f t="shared" si="6"/>
        <v>0.74</v>
      </c>
      <c r="M50" s="1689">
        <f t="shared" si="7"/>
        <v>8.5561707976470576</v>
      </c>
      <c r="N50" s="1688">
        <v>2</v>
      </c>
      <c r="O50" s="1687">
        <f t="shared" si="8"/>
        <v>0.74</v>
      </c>
      <c r="P50" s="1686">
        <f t="shared" si="9"/>
        <v>8.5561707976470576</v>
      </c>
      <c r="Q50" s="38"/>
    </row>
    <row r="51" spans="1:17" s="42" customFormat="1" ht="15" customHeight="1">
      <c r="A51" s="1284"/>
      <c r="B51" s="1694"/>
      <c r="C51" s="4882" t="s">
        <v>419</v>
      </c>
      <c r="D51" s="4883"/>
      <c r="E51" s="1693">
        <f>IF($C51=0,0,VLOOKUP($C51,'SDK3'!$C$24:$O$86,4,FALSE))</f>
        <v>83</v>
      </c>
      <c r="F51" s="1692">
        <f>IF($C51=0,0,VLOOKUP($C51,'SDK3'!$C$24:$O$86,12,FALSE))</f>
        <v>0.39</v>
      </c>
      <c r="G51" s="1691">
        <f>IF($C51=0,0,VLOOKUP($C51,'SDK3'!$C$24:$O$86,13,FALSE))</f>
        <v>6.5093573847058819</v>
      </c>
      <c r="H51" s="1688">
        <v>7</v>
      </c>
      <c r="I51" s="1687">
        <f t="shared" si="4"/>
        <v>2.73</v>
      </c>
      <c r="J51" s="1686">
        <f t="shared" si="5"/>
        <v>45.565501692941176</v>
      </c>
      <c r="K51" s="1688">
        <v>7</v>
      </c>
      <c r="L51" s="1690">
        <f t="shared" si="6"/>
        <v>2.73</v>
      </c>
      <c r="M51" s="1689">
        <f t="shared" si="7"/>
        <v>45.565501692941176</v>
      </c>
      <c r="N51" s="1688">
        <v>7</v>
      </c>
      <c r="O51" s="1687">
        <f t="shared" si="8"/>
        <v>2.73</v>
      </c>
      <c r="P51" s="1686">
        <f t="shared" si="9"/>
        <v>45.565501692941176</v>
      </c>
      <c r="Q51" s="38"/>
    </row>
    <row r="52" spans="1:17" s="42" customFormat="1" ht="15" customHeight="1">
      <c r="A52" s="1284"/>
      <c r="B52" s="1694"/>
      <c r="C52" s="4882" t="s">
        <v>350</v>
      </c>
      <c r="D52" s="4883"/>
      <c r="E52" s="1693">
        <f>IF($C52=0,0,VLOOKUP($C52,'SDK3'!$C$24:$O$86,4,FALSE))</f>
        <v>102</v>
      </c>
      <c r="F52" s="1692">
        <f>IF($C52=0,0,VLOOKUP($C52,'SDK3'!$C$24:$O$86,12,FALSE))</f>
        <v>1.68</v>
      </c>
      <c r="G52" s="1691">
        <f>IF($C52=0,0,VLOOKUP($C52,'SDK3'!$C$24:$O$86,13,FALSE))</f>
        <v>37.94718288</v>
      </c>
      <c r="H52" s="1688">
        <f>H9/10/10.5</f>
        <v>2.3809523809523809</v>
      </c>
      <c r="I52" s="1687">
        <f t="shared" si="4"/>
        <v>4</v>
      </c>
      <c r="J52" s="1686">
        <f t="shared" si="5"/>
        <v>90.35043542857143</v>
      </c>
      <c r="K52" s="1688">
        <f>K9/10/10.5</f>
        <v>2.8571428571428572</v>
      </c>
      <c r="L52" s="1690">
        <f t="shared" si="6"/>
        <v>4.8</v>
      </c>
      <c r="M52" s="1689">
        <f t="shared" si="7"/>
        <v>108.42052251428572</v>
      </c>
      <c r="N52" s="1688">
        <f>N9/10/10.5</f>
        <v>3.3333333333333335</v>
      </c>
      <c r="O52" s="1687">
        <f t="shared" si="8"/>
        <v>5.6</v>
      </c>
      <c r="P52" s="1686">
        <f t="shared" si="9"/>
        <v>126.4906096</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12.67</v>
      </c>
      <c r="J58" s="1669"/>
      <c r="K58" s="1668"/>
      <c r="L58" s="1667">
        <f>SUM($L$46:$L$57)</f>
        <v>13.469999999999999</v>
      </c>
      <c r="M58" s="1666"/>
      <c r="N58" s="1665"/>
      <c r="O58" s="1664">
        <f>SUM($O$46:$O$57)</f>
        <v>14.27</v>
      </c>
      <c r="P58" s="1663"/>
      <c r="Q58" s="38"/>
    </row>
    <row r="59" spans="1:17" s="65" customFormat="1" ht="15" customHeight="1">
      <c r="A59" s="1351"/>
      <c r="B59" s="1662"/>
      <c r="C59" s="346"/>
      <c r="D59" s="278" t="s">
        <v>1166</v>
      </c>
      <c r="E59" s="1661">
        <v>80</v>
      </c>
      <c r="F59" s="346" t="s">
        <v>1165</v>
      </c>
      <c r="G59" s="1660"/>
      <c r="H59" s="1656"/>
      <c r="I59" s="1655">
        <f>IF(I58+SUM($I$46:$I$57)*$E$59%&gt;I58+10,I58+10,I58+SUM($I$46:$I$57)*$E$59%)</f>
        <v>22.67</v>
      </c>
      <c r="J59" s="1654"/>
      <c r="K59" s="1659"/>
      <c r="L59" s="1658">
        <f>IF(L58+SUM($L$46:$L$57)*$E$59%&gt;L58+10,L58+10,L58+SUM($L$46:$L$57)*$E$59%)</f>
        <v>23.47</v>
      </c>
      <c r="M59" s="1657"/>
      <c r="N59" s="1656"/>
      <c r="O59" s="1655">
        <f>IF(O58+SUM($O$46:$O$57)*$E$59%&gt;O58+10,O58+10,O58+SUM($O$46:$O$57)*$E$59%)</f>
        <v>24.27</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320</v>
      </c>
      <c r="D62" s="4860"/>
      <c r="E62" s="4860"/>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212.5</v>
      </c>
      <c r="K65" s="1597"/>
      <c r="L65" s="1597"/>
      <c r="M65" s="1585">
        <f>K66*$E66</f>
        <v>212.5</v>
      </c>
      <c r="N65" s="73"/>
      <c r="O65" s="73"/>
      <c r="P65" s="1582">
        <f>N66*$E66</f>
        <v>212.5</v>
      </c>
      <c r="Q65" s="38"/>
    </row>
    <row r="66" spans="1:20" s="686" customFormat="1" ht="15" customHeight="1">
      <c r="A66" s="1248"/>
      <c r="B66" s="1616"/>
      <c r="C66" s="1355"/>
      <c r="D66" s="278" t="s">
        <v>1004</v>
      </c>
      <c r="E66" s="1615">
        <v>8.5</v>
      </c>
      <c r="F66" s="1590"/>
      <c r="G66" s="1614" t="s">
        <v>463</v>
      </c>
      <c r="H66" s="1612">
        <v>25</v>
      </c>
      <c r="I66" s="1611"/>
      <c r="J66" s="1600"/>
      <c r="K66" s="1612">
        <v>25</v>
      </c>
      <c r="L66" s="1613"/>
      <c r="M66" s="1603"/>
      <c r="N66" s="1612">
        <v>25</v>
      </c>
      <c r="O66" s="1611"/>
      <c r="P66" s="1600"/>
      <c r="Q66" s="38" t="s">
        <v>1223</v>
      </c>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213.5</v>
      </c>
      <c r="K69" s="1598"/>
      <c r="L69" s="1597"/>
      <c r="M69" s="1585">
        <f>K70*$F70/1000</f>
        <v>256.2</v>
      </c>
      <c r="N69" s="44"/>
      <c r="O69" s="73"/>
      <c r="P69" s="1582">
        <f>N70*$F70/1000</f>
        <v>298.89999999999998</v>
      </c>
      <c r="Q69" s="38"/>
    </row>
    <row r="70" spans="1:20" s="686" customFormat="1" ht="15" customHeight="1">
      <c r="A70" s="1248"/>
      <c r="B70" s="1310"/>
      <c r="C70" s="1309" t="s">
        <v>840</v>
      </c>
      <c r="D70" s="346"/>
      <c r="E70" s="278"/>
      <c r="F70" s="1596">
        <f>'SDK7'!G112</f>
        <v>15</v>
      </c>
      <c r="G70" s="1595" t="s">
        <v>171</v>
      </c>
      <c r="H70" s="1591">
        <f>I9+I10</f>
        <v>14233.333333333334</v>
      </c>
      <c r="I70" s="1590"/>
      <c r="J70" s="1589"/>
      <c r="K70" s="1594">
        <f>L9+L10</f>
        <v>17080</v>
      </c>
      <c r="L70" s="1593"/>
      <c r="M70" s="1592"/>
      <c r="N70" s="1591">
        <f>O9+O10</f>
        <v>19926.666666666668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59.027296652365543</v>
      </c>
      <c r="K75" s="689"/>
      <c r="L75" s="1034"/>
      <c r="M75" s="1546">
        <f>(M23+M27+M34+M43+M60+M65+M67+M69+M71)*('SDK1'!$O$59%*$G$75/12)</f>
        <v>60.058830711413158</v>
      </c>
      <c r="N75" s="1548"/>
      <c r="O75" s="1547"/>
      <c r="P75" s="1546">
        <f>(P23+P27+P34+P43+P60+P65+P67+P69+P71)*('SDK1'!$O$59%*$G$75/12)</f>
        <v>61.090364770460774</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N145" s="546"/>
      <c r="O145" s="35"/>
      <c r="P145" s="35"/>
      <c r="Q145" s="35"/>
    </row>
    <row r="146" spans="1:17">
      <c r="A146" s="35"/>
      <c r="B146" s="601"/>
      <c r="C146" s="15"/>
      <c r="L146" s="15"/>
      <c r="N146" s="546"/>
      <c r="O146" s="35"/>
      <c r="P146" s="35"/>
      <c r="Q146" s="35"/>
    </row>
    <row r="147" spans="1:17">
      <c r="A147" s="35"/>
      <c r="B147" s="601"/>
      <c r="C147" s="15"/>
      <c r="L147" s="15"/>
      <c r="N147" s="546"/>
      <c r="O147" s="35"/>
      <c r="P147" s="35"/>
      <c r="Q147" s="35"/>
    </row>
    <row r="148" spans="1:17">
      <c r="A148" s="35"/>
      <c r="B148" s="601"/>
      <c r="C148" s="15"/>
      <c r="L148" s="15"/>
      <c r="N148" s="546"/>
      <c r="O148" s="35"/>
      <c r="P148" s="35"/>
      <c r="Q148" s="35"/>
    </row>
    <row r="149" spans="1:17">
      <c r="A149" s="35"/>
      <c r="B149" s="601"/>
      <c r="C149" s="15"/>
      <c r="N149" s="546"/>
      <c r="O149" s="35"/>
      <c r="P149" s="35"/>
      <c r="Q149" s="35"/>
    </row>
    <row r="150" spans="1:17">
      <c r="A150" s="35"/>
      <c r="B150" s="601"/>
      <c r="C150" s="15"/>
      <c r="N150" s="546"/>
      <c r="O150" s="35"/>
      <c r="P150" s="35"/>
      <c r="Q150" s="35"/>
    </row>
    <row r="151" spans="1:17">
      <c r="A151" s="35"/>
      <c r="B151" s="601"/>
      <c r="C151" s="15"/>
      <c r="N151" s="546"/>
      <c r="O151" s="35"/>
      <c r="P151" s="35"/>
      <c r="Q151" s="35"/>
    </row>
    <row r="152" spans="1:17">
      <c r="A152" s="35"/>
      <c r="B152" s="601"/>
      <c r="C152" s="15"/>
      <c r="N152" s="546"/>
      <c r="O152" s="35"/>
      <c r="P152" s="35"/>
      <c r="Q152" s="35"/>
    </row>
    <row r="153" spans="1:17">
      <c r="A153" s="35"/>
      <c r="B153" s="601"/>
      <c r="C153" s="15"/>
      <c r="H153" s="1897"/>
      <c r="J153" s="1896"/>
      <c r="N153" s="546"/>
      <c r="O153" s="35"/>
      <c r="P153" s="35"/>
      <c r="Q153" s="35"/>
    </row>
    <row r="154" spans="1:17">
      <c r="A154" s="35"/>
      <c r="B154" s="601"/>
      <c r="C154" s="15"/>
      <c r="H154" s="1897"/>
      <c r="J154" s="1896"/>
      <c r="N154" s="546"/>
      <c r="O154" s="35"/>
      <c r="P154" s="35"/>
      <c r="Q154" s="35"/>
    </row>
    <row r="155" spans="1:17">
      <c r="A155" s="35"/>
      <c r="B155" s="601"/>
      <c r="C155" s="15"/>
      <c r="H155" s="1897"/>
      <c r="J155" s="1896"/>
      <c r="O155" s="35"/>
      <c r="P155" s="35"/>
      <c r="Q155" s="35"/>
    </row>
    <row r="156" spans="1:17">
      <c r="A156" s="35"/>
      <c r="B156" s="601"/>
      <c r="C156" s="15"/>
      <c r="D156" s="15"/>
      <c r="F156" s="15"/>
      <c r="G156" s="15"/>
      <c r="H156" s="15"/>
      <c r="I156" s="15"/>
      <c r="J156" s="15"/>
      <c r="K156" s="15"/>
      <c r="O156" s="35"/>
      <c r="P156" s="35"/>
      <c r="Q156" s="35"/>
    </row>
    <row r="157" spans="1:17">
      <c r="A157" s="35"/>
      <c r="B157" s="601"/>
      <c r="C157" s="15"/>
      <c r="D157" s="15"/>
      <c r="F157" s="15"/>
      <c r="G157" s="15"/>
      <c r="H157" s="15"/>
      <c r="I157" s="15"/>
      <c r="J157" s="15"/>
      <c r="K157" s="15"/>
      <c r="O157" s="35"/>
      <c r="P157" s="35"/>
      <c r="Q157" s="35"/>
    </row>
    <row r="158" spans="1:17">
      <c r="A158" s="35"/>
      <c r="B158" s="601"/>
      <c r="C158" s="15"/>
      <c r="D158" s="15"/>
      <c r="F158" s="15"/>
      <c r="G158" s="15"/>
      <c r="H158" s="15"/>
      <c r="I158" s="15"/>
      <c r="J158" s="15"/>
      <c r="K158" s="15"/>
      <c r="O158" s="35"/>
      <c r="P158" s="35"/>
      <c r="Q158" s="35"/>
    </row>
    <row r="159" spans="1:17">
      <c r="A159" s="35"/>
      <c r="B159" s="601"/>
      <c r="C159" s="15"/>
      <c r="D159" s="15"/>
      <c r="F159" s="15"/>
      <c r="G159" s="15"/>
      <c r="H159" s="15"/>
      <c r="I159" s="15"/>
      <c r="J159" s="15"/>
      <c r="O159" s="35"/>
      <c r="P159" s="35"/>
      <c r="Q159" s="35"/>
    </row>
    <row r="160" spans="1:17">
      <c r="A160" s="35"/>
      <c r="B160" s="601"/>
      <c r="C160" s="15"/>
      <c r="D160" s="15"/>
      <c r="F160" s="15"/>
      <c r="G160" s="15"/>
      <c r="H160" s="15"/>
      <c r="I160" s="15"/>
      <c r="J160" s="15"/>
      <c r="O160" s="35"/>
      <c r="P160" s="35"/>
      <c r="Q160" s="35"/>
    </row>
    <row r="161" spans="1:17">
      <c r="A161" s="35"/>
      <c r="B161" s="601"/>
      <c r="C161" s="15"/>
      <c r="D161" s="15"/>
      <c r="F161" s="15"/>
      <c r="G161" s="15"/>
      <c r="H161" s="15"/>
      <c r="I161" s="15"/>
      <c r="J161" s="15"/>
      <c r="K161" s="35"/>
      <c r="L161" s="35"/>
      <c r="M161" s="35"/>
      <c r="N161" s="35"/>
      <c r="O161" s="35"/>
      <c r="P161" s="35"/>
      <c r="Q161" s="35"/>
    </row>
    <row r="162" spans="1:17">
      <c r="A162" s="35"/>
      <c r="B162" s="601"/>
      <c r="C162" s="15"/>
      <c r="K162" s="35"/>
      <c r="L162" s="35"/>
      <c r="M162" s="35"/>
      <c r="N162" s="35"/>
      <c r="O162" s="35"/>
      <c r="P162" s="35"/>
      <c r="Q162" s="35"/>
    </row>
    <row r="163" spans="1:17">
      <c r="A163" s="35"/>
      <c r="B163" s="601"/>
      <c r="C163" s="15"/>
      <c r="K163" s="35"/>
      <c r="L163" s="35"/>
      <c r="M163" s="35"/>
      <c r="N163" s="35"/>
      <c r="O163" s="35"/>
      <c r="P163" s="35"/>
      <c r="Q163" s="35"/>
    </row>
    <row r="164" spans="1:17">
      <c r="A164" s="35"/>
      <c r="B164" s="601"/>
      <c r="C164" s="15"/>
      <c r="K164" s="35"/>
      <c r="L164" s="35"/>
      <c r="M164" s="35"/>
      <c r="N164" s="35"/>
      <c r="O164" s="35"/>
      <c r="P164" s="35"/>
      <c r="Q164" s="35"/>
    </row>
    <row r="165" spans="1:17">
      <c r="A165" s="35"/>
      <c r="B165" s="601"/>
      <c r="C165" s="15"/>
      <c r="K165" s="35"/>
      <c r="L165" s="35"/>
      <c r="M165" s="35"/>
      <c r="N165" s="35"/>
      <c r="O165" s="35"/>
      <c r="P165" s="35"/>
      <c r="Q165" s="35"/>
    </row>
    <row r="166" spans="1:17">
      <c r="A166" s="35"/>
      <c r="B166" s="601"/>
      <c r="C166" s="15"/>
      <c r="K166" s="35"/>
      <c r="L166" s="35"/>
      <c r="M166" s="35"/>
      <c r="N166" s="35"/>
      <c r="O166" s="35"/>
      <c r="P166" s="35"/>
      <c r="Q166" s="35"/>
    </row>
    <row r="167" spans="1:17">
      <c r="A167" s="35"/>
      <c r="B167" s="601"/>
      <c r="C167" s="15"/>
      <c r="K167" s="35"/>
      <c r="L167" s="35"/>
      <c r="M167" s="35"/>
      <c r="N167" s="35"/>
      <c r="O167" s="35"/>
      <c r="P167" s="35"/>
      <c r="Q167" s="35"/>
    </row>
    <row r="168" spans="1:17">
      <c r="A168" s="35"/>
      <c r="B168" s="601"/>
      <c r="C168" s="15"/>
      <c r="K168" s="35"/>
      <c r="L168" s="35"/>
      <c r="M168" s="35"/>
      <c r="N168" s="35"/>
      <c r="O168" s="35"/>
      <c r="P168" s="35"/>
      <c r="Q168" s="35"/>
    </row>
    <row r="169" spans="1:17">
      <c r="A169" s="35"/>
      <c r="B169" s="601"/>
      <c r="C169" s="15"/>
      <c r="K169" s="35"/>
      <c r="L169" s="35"/>
      <c r="M169" s="35"/>
      <c r="N169" s="35"/>
      <c r="O169" s="35"/>
      <c r="P169" s="35"/>
      <c r="Q169" s="35"/>
    </row>
    <row r="170" spans="1:17">
      <c r="A170" s="35"/>
      <c r="B170" s="601"/>
      <c r="C170" s="15"/>
      <c r="K170" s="35"/>
      <c r="L170" s="35"/>
      <c r="M170" s="35"/>
      <c r="N170" s="35"/>
      <c r="O170" s="35"/>
      <c r="P170" s="35"/>
      <c r="Q170" s="35"/>
    </row>
    <row r="171" spans="1:17">
      <c r="A171" s="35"/>
      <c r="B171" s="601"/>
      <c r="C171" s="15"/>
      <c r="K171" s="35"/>
      <c r="L171" s="35"/>
      <c r="M171" s="35"/>
      <c r="N171" s="35"/>
      <c r="O171" s="35"/>
      <c r="P171" s="35"/>
      <c r="Q171" s="35"/>
    </row>
    <row r="172" spans="1:17">
      <c r="A172" s="35"/>
      <c r="B172" s="601"/>
      <c r="C172" s="15"/>
      <c r="K172" s="35"/>
      <c r="L172" s="35"/>
      <c r="M172" s="35"/>
      <c r="N172" s="35"/>
      <c r="O172" s="35"/>
      <c r="P172" s="35"/>
      <c r="Q172" s="35"/>
    </row>
    <row r="173" spans="1:17">
      <c r="A173" s="35"/>
      <c r="B173" s="601"/>
      <c r="C173" s="15"/>
      <c r="K173" s="35"/>
      <c r="L173" s="35"/>
      <c r="M173" s="35"/>
      <c r="N173" s="35"/>
      <c r="O173" s="35"/>
      <c r="P173" s="35"/>
      <c r="Q173" s="35"/>
    </row>
    <row r="174" spans="1:17">
      <c r="A174" s="35"/>
      <c r="B174" s="601"/>
      <c r="C174" s="15"/>
      <c r="K174" s="35"/>
      <c r="L174" s="35"/>
      <c r="M174" s="35"/>
      <c r="N174" s="35"/>
      <c r="O174" s="35"/>
      <c r="P174" s="35"/>
      <c r="Q174" s="35"/>
    </row>
    <row r="175" spans="1:17">
      <c r="A175" s="35"/>
      <c r="B175" s="601"/>
      <c r="C175" s="15"/>
      <c r="K175" s="35"/>
      <c r="L175" s="35"/>
      <c r="M175" s="35"/>
      <c r="N175" s="35"/>
      <c r="O175" s="35"/>
      <c r="P175" s="35"/>
      <c r="Q175" s="35"/>
    </row>
    <row r="176" spans="1:17">
      <c r="A176" s="35"/>
      <c r="B176" s="601"/>
      <c r="C176" s="1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2" orientation="portrait" r:id="rId1"/>
  <headerFooter alignWithMargins="0">
    <oddFooter>&amp;L&amp;11LEL Schwäbisch Gmünd&amp;C75&amp;R&amp;11&amp;F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1">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9" width="7.125" style="38" bestFit="1" customWidth="1"/>
    <col min="10" max="10" width="8" style="38" bestFit="1" customWidth="1"/>
    <col min="11" max="11" width="8" style="38" customWidth="1"/>
    <col min="12" max="12" width="7.25" style="38" customWidth="1"/>
    <col min="13" max="13" width="8" style="38" bestFit="1" customWidth="1"/>
    <col min="14" max="14" width="8" style="38" customWidth="1"/>
    <col min="15" max="15" width="7.25" style="38" customWidth="1"/>
    <col min="16" max="16" width="8" style="38" bestFit="1" customWidth="1"/>
    <col min="17" max="17" width="19.75" style="38" hidden="1" customWidth="1"/>
    <col min="18" max="18" width="12" style="35" hidden="1" customWidth="1"/>
    <col min="19" max="20" width="10.75" style="35" hidden="1" customWidth="1"/>
    <col min="21" max="21" width="0" style="35" hidden="1" customWidth="1"/>
    <col min="22" max="22" width="12.875" style="35" hidden="1" customWidth="1"/>
    <col min="23" max="32" width="0" style="35" hidden="1" customWidth="1"/>
    <col min="33" max="16384" width="10.5" style="35"/>
  </cols>
  <sheetData>
    <row r="1" spans="1:41" s="1859" customFormat="1" ht="30.4" customHeight="1">
      <c r="A1" s="1863"/>
      <c r="B1" s="319"/>
      <c r="C1" s="1876"/>
      <c r="D1" s="1795"/>
      <c r="E1" s="316"/>
      <c r="F1" s="316"/>
      <c r="G1" s="585"/>
      <c r="H1" s="1870"/>
      <c r="I1" s="1875" t="s">
        <v>1207</v>
      </c>
      <c r="J1" s="1874">
        <f>(J7+J13+J18+J22+I11+I12)-(J23+J27+J34+J43+J60+J65+J67+J69+J71+J75)</f>
        <v>8541.5891164046934</v>
      </c>
      <c r="K1" s="4855">
        <f>M1-J1</f>
        <v>2728.4146475514844</v>
      </c>
      <c r="L1" s="4855"/>
      <c r="M1" s="1874">
        <f>(M7+M13+M18+M22+L11+L12)-(M23+M27+M34+M43+M60+M65+M67+M69+M71+M75)</f>
        <v>11270.003763956178</v>
      </c>
      <c r="N1" s="4855">
        <f>P1-M1</f>
        <v>2715.2874434923269</v>
      </c>
      <c r="O1" s="4855"/>
      <c r="P1" s="1874">
        <f>(P7+P13+P18+P22+O11+O12)-(P23+P27+P34+P43+P60+P65+P67+P69+P71+P75)</f>
        <v>13985.291207448505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194</v>
      </c>
      <c r="L2" s="4867"/>
      <c r="M2" s="4867"/>
      <c r="N2" s="4867"/>
      <c r="O2" s="4867"/>
      <c r="P2" s="4867"/>
      <c r="Q2" s="1888">
        <v>0</v>
      </c>
    </row>
    <row r="3" spans="1:41" s="1859" customFormat="1" ht="21.75" customHeight="1">
      <c r="A3" s="1863"/>
      <c r="B3" s="1887"/>
      <c r="H3" s="1870"/>
      <c r="J3" s="4863"/>
      <c r="K3" s="4864"/>
      <c r="L3" s="4864"/>
      <c r="N3" s="4868" t="str">
        <f>IF(AND(T3=TRUE,T4=TRUE),"nur 1 Strohnutzung möglich","")</f>
        <v/>
      </c>
      <c r="O3" s="4869"/>
      <c r="P3" s="1868"/>
      <c r="Q3" s="1863"/>
      <c r="T3" s="1886" t="b">
        <v>0</v>
      </c>
    </row>
    <row r="4" spans="1:41" s="1859" customFormat="1" ht="20.25" customHeight="1">
      <c r="A4" s="1863"/>
      <c r="B4" s="370" t="s">
        <v>1098</v>
      </c>
      <c r="C4" s="35"/>
      <c r="D4" s="35"/>
      <c r="E4" s="4898" t="s">
        <v>1235</v>
      </c>
      <c r="F4" s="4898"/>
      <c r="G4" s="4898"/>
      <c r="H4" s="4898"/>
      <c r="I4" s="4898"/>
      <c r="J4" s="4863"/>
      <c r="K4" s="4864"/>
      <c r="L4" s="4864"/>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300</v>
      </c>
      <c r="K6" s="4874" t="s">
        <v>152</v>
      </c>
      <c r="L6" s="4875"/>
      <c r="M6" s="1855">
        <v>350</v>
      </c>
      <c r="N6" s="4861" t="s">
        <v>178</v>
      </c>
      <c r="O6" s="4862"/>
      <c r="P6" s="1854">
        <v>400</v>
      </c>
      <c r="Q6" s="70"/>
    </row>
    <row r="7" spans="1:41" s="251" customFormat="1" ht="18.75" customHeight="1">
      <c r="A7" s="47"/>
      <c r="B7" s="305" t="s">
        <v>1202</v>
      </c>
      <c r="C7" s="47"/>
      <c r="D7" s="47"/>
      <c r="E7" s="47"/>
      <c r="F7" s="47"/>
      <c r="G7" s="1852"/>
      <c r="H7" s="1849"/>
      <c r="I7" s="1848"/>
      <c r="J7" s="1582">
        <f>SUM(I9:I10)</f>
        <v>17080</v>
      </c>
      <c r="K7" s="1851"/>
      <c r="L7" s="1850"/>
      <c r="M7" s="1585">
        <f>SUM(L9:L10)</f>
        <v>19926.666666666668</v>
      </c>
      <c r="N7" s="1849"/>
      <c r="O7" s="1848"/>
      <c r="P7" s="1582">
        <f>SUM(O9:O10)</f>
        <v>22773.333333333336</v>
      </c>
      <c r="Q7" s="38"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t="s">
        <v>1228</v>
      </c>
    </row>
    <row r="9" spans="1:41" s="251" customFormat="1" ht="16.5" customHeight="1">
      <c r="A9" s="47"/>
      <c r="B9" s="305"/>
      <c r="C9" s="45" t="str">
        <f>IF('SDK1'!O9&gt;0,"Hauptprodukt (incl. MwSt.)","Hauptprodukt (ohne MwSt)")</f>
        <v>Hauptprodukt (ohne MwSt)</v>
      </c>
      <c r="D9" s="47"/>
      <c r="E9" s="47"/>
      <c r="F9" s="1846" t="s">
        <v>1201</v>
      </c>
      <c r="G9" s="1762">
        <f>'SDK1'!O41</f>
        <v>56.933333333333337</v>
      </c>
      <c r="H9" s="1845">
        <f>J6-H10</f>
        <v>300</v>
      </c>
      <c r="I9" s="1841">
        <f>H9*G9</f>
        <v>17080</v>
      </c>
      <c r="J9" s="43"/>
      <c r="K9" s="1844">
        <f>M6-K10</f>
        <v>350</v>
      </c>
      <c r="L9" s="1843">
        <f>K9*G9</f>
        <v>19926.666666666668</v>
      </c>
      <c r="M9" s="1822"/>
      <c r="N9" s="1842">
        <f>P6-N10</f>
        <v>400</v>
      </c>
      <c r="O9" s="1841">
        <f>N9*G9</f>
        <v>22773.333333333336</v>
      </c>
      <c r="P9" s="43"/>
      <c r="Q9" s="38" t="s">
        <v>1227</v>
      </c>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t="s">
        <v>1225</v>
      </c>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4995</v>
      </c>
      <c r="K23" s="1587"/>
      <c r="L23" s="1586"/>
      <c r="M23" s="1768">
        <f>SUM(L25:L26)</f>
        <v>4995</v>
      </c>
      <c r="N23" s="1584"/>
      <c r="O23" s="1583"/>
      <c r="P23" s="1567">
        <f>SUM(O25:O26)</f>
        <v>4995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'SDK7'!F72</f>
        <v>185</v>
      </c>
      <c r="G25" s="1762">
        <f>F25*(100+$D$24)/100</f>
        <v>185</v>
      </c>
      <c r="H25" s="1761">
        <v>27</v>
      </c>
      <c r="I25" s="1722">
        <f>H25*$G25</f>
        <v>4995</v>
      </c>
      <c r="J25" s="45"/>
      <c r="K25" s="1761">
        <f>H25</f>
        <v>27</v>
      </c>
      <c r="L25" s="1564">
        <f>K25*$G25</f>
        <v>4995</v>
      </c>
      <c r="M25" s="1557"/>
      <c r="N25" s="1761">
        <f>H25</f>
        <v>27</v>
      </c>
      <c r="O25" s="1722">
        <f>N25*$G25</f>
        <v>4995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577.72400000000005</v>
      </c>
      <c r="K27" s="1716"/>
      <c r="L27" s="1715"/>
      <c r="M27" s="1585">
        <f>SUM(L30:L33)</f>
        <v>640.73799999999994</v>
      </c>
      <c r="N27" s="1714"/>
      <c r="O27" s="1713"/>
      <c r="P27" s="1582">
        <f>SUM(O30:O33)</f>
        <v>703.75199999999995</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70</v>
      </c>
      <c r="H30" s="1739">
        <f>IF(J$6=0,0,(J$6*$E30+$G30+X14))</f>
        <v>175</v>
      </c>
      <c r="I30" s="1722">
        <f>H30*$D30</f>
        <v>250.6</v>
      </c>
      <c r="J30" s="45"/>
      <c r="K30" s="1740">
        <f>IF(M$6=0,0,(M$6*$E30+$G30+Y14))</f>
        <v>192.5</v>
      </c>
      <c r="L30" s="1564">
        <f>K30*$D30</f>
        <v>275.65999999999997</v>
      </c>
      <c r="M30" s="1557"/>
      <c r="N30" s="1739">
        <f>IF(P$6=0,0,(P$6*$E30+$G30+Z14))</f>
        <v>210</v>
      </c>
      <c r="O30" s="1722">
        <f>N30*$D30</f>
        <v>300.71999999999997</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v>20</v>
      </c>
      <c r="H31" s="1739">
        <f>IF(J$6=0,0,(J$6*$E31+$G31+X15))</f>
        <v>62.000000000000007</v>
      </c>
      <c r="I31" s="1722">
        <f>H31*$D31</f>
        <v>65.100000000000009</v>
      </c>
      <c r="J31" s="45"/>
      <c r="K31" s="1740">
        <f>IF(M$6=0,0,(M$6*$E31+$G31+Y15))</f>
        <v>69</v>
      </c>
      <c r="L31" s="1564">
        <f>K31*$D31</f>
        <v>72.45</v>
      </c>
      <c r="M31" s="1557"/>
      <c r="N31" s="1739">
        <f>IF(P$6=0,0,(P$6*$E31+$G31+Z15))</f>
        <v>76</v>
      </c>
      <c r="O31" s="1722">
        <f>N31*$D31</f>
        <v>79.8</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v>80</v>
      </c>
      <c r="H32" s="1739">
        <f>IF(J$6=0,0,(J$6*$E32+$G32+X16))</f>
        <v>260</v>
      </c>
      <c r="I32" s="1722">
        <f>H32*$D32</f>
        <v>254.8</v>
      </c>
      <c r="J32" s="45"/>
      <c r="K32" s="1740">
        <f>IF(M$6=0,0,(M$6*$E32+$G32+Y16))</f>
        <v>290</v>
      </c>
      <c r="L32" s="1564">
        <f>K32*$D32</f>
        <v>284.20000000000005</v>
      </c>
      <c r="M32" s="1557"/>
      <c r="N32" s="1739">
        <f>IF(P$6=0,0,(P$6*$E32+$G32+Z16))</f>
        <v>320</v>
      </c>
      <c r="O32" s="1722">
        <f>N32*$D32</f>
        <v>313.60000000000002</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12</v>
      </c>
      <c r="I33" s="1718">
        <f>H33*$D33</f>
        <v>7.2240000000000011</v>
      </c>
      <c r="J33" s="45"/>
      <c r="K33" s="1736">
        <f>IF(M$6=0,0,(M$6*$E33+$G33+Y17))</f>
        <v>14</v>
      </c>
      <c r="L33" s="1558">
        <f>K33*$D33</f>
        <v>8.4280000000000008</v>
      </c>
      <c r="M33" s="1557"/>
      <c r="N33" s="1735">
        <f>IF(P$6=0,0,(P$6*$E33+$G33+Z17))</f>
        <v>16</v>
      </c>
      <c r="O33" s="1718">
        <f>N33*$D33</f>
        <v>9.6320000000000014</v>
      </c>
      <c r="P33" s="1717"/>
      <c r="Q33" s="38"/>
    </row>
    <row r="34" spans="1:17" s="686" customFormat="1" ht="18.75" customHeight="1">
      <c r="A34" s="1248"/>
      <c r="B34" s="1254" t="s">
        <v>1178</v>
      </c>
      <c r="C34" s="1248"/>
      <c r="D34" s="37"/>
      <c r="E34" s="37"/>
      <c r="F34" s="4876" t="s">
        <v>1177</v>
      </c>
      <c r="G34" s="4877"/>
      <c r="H34" s="1732"/>
      <c r="I34" s="1731"/>
      <c r="J34" s="1582">
        <f>SUM(I36:I42)</f>
        <v>416.71600000000001</v>
      </c>
      <c r="K34" s="1734"/>
      <c r="L34" s="1733"/>
      <c r="M34" s="1585">
        <f>SUM(L36:L42)</f>
        <v>416.71600000000001</v>
      </c>
      <c r="N34" s="1732"/>
      <c r="O34" s="1731"/>
      <c r="P34" s="1582">
        <f>SUM(O36:O42)</f>
        <v>416.71600000000001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655</v>
      </c>
      <c r="D36" s="4884"/>
      <c r="E36" s="4885"/>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70" t="s">
        <v>605</v>
      </c>
      <c r="D37" s="4870"/>
      <c r="E37" s="487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70" t="s">
        <v>351</v>
      </c>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t="s">
        <v>617</v>
      </c>
      <c r="D39" s="4870"/>
      <c r="E39" s="487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70" t="s">
        <v>604</v>
      </c>
      <c r="D40" s="4870"/>
      <c r="E40" s="4871"/>
      <c r="F40" s="1724">
        <f>IF(C40="",0,VLOOKUP(C40,'SDK5'!C7:AF87,2,FALSE))</f>
        <v>44.1</v>
      </c>
      <c r="G40" s="1724">
        <f t="shared" si="0"/>
        <v>44.1</v>
      </c>
      <c r="H40" s="1723">
        <v>0.6</v>
      </c>
      <c r="I40" s="1722">
        <f t="shared" si="1"/>
        <v>26.46</v>
      </c>
      <c r="J40" s="45"/>
      <c r="K40" s="1723">
        <v>0.6</v>
      </c>
      <c r="L40" s="1564">
        <f t="shared" si="2"/>
        <v>26.46</v>
      </c>
      <c r="M40" s="1557"/>
      <c r="N40" s="1723">
        <v>0.6</v>
      </c>
      <c r="O40" s="1722">
        <f t="shared" si="3"/>
        <v>26.46</v>
      </c>
      <c r="P40" s="1686"/>
      <c r="Q40" s="38"/>
    </row>
    <row r="41" spans="1:17" s="42" customFormat="1" ht="15" customHeight="1">
      <c r="A41" s="1284"/>
      <c r="B41" s="1562"/>
      <c r="C41" s="4870" t="s">
        <v>640</v>
      </c>
      <c r="D41" s="4870"/>
      <c r="E41" s="487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56" t="s">
        <v>643</v>
      </c>
      <c r="D42" s="4856"/>
      <c r="E42" s="4857"/>
      <c r="F42" s="1724">
        <f>IF(C42="",0,VLOOKUP(C42,'SDK5'!C9:AF89,2,FALSE))</f>
        <v>170.5</v>
      </c>
      <c r="G42" s="1720">
        <f t="shared" si="0"/>
        <v>170.5</v>
      </c>
      <c r="H42" s="1719">
        <v>1</v>
      </c>
      <c r="I42" s="1718">
        <f t="shared" si="1"/>
        <v>170.5</v>
      </c>
      <c r="J42" s="45"/>
      <c r="K42" s="1719">
        <v>1</v>
      </c>
      <c r="L42" s="1558">
        <f t="shared" si="2"/>
        <v>170.5</v>
      </c>
      <c r="M42" s="1557"/>
      <c r="N42" s="1719">
        <v>1</v>
      </c>
      <c r="O42" s="1718">
        <f t="shared" si="3"/>
        <v>170.5</v>
      </c>
      <c r="P42" s="1717"/>
      <c r="Q42" s="38"/>
    </row>
    <row r="43" spans="1:17" s="686" customFormat="1" ht="18.75" customHeight="1">
      <c r="A43" s="1248"/>
      <c r="B43" s="1254" t="s">
        <v>1175</v>
      </c>
      <c r="C43" s="1248"/>
      <c r="D43" s="1248"/>
      <c r="E43" s="1248"/>
      <c r="F43" s="1248"/>
      <c r="G43" s="1588"/>
      <c r="H43" s="1714"/>
      <c r="I43" s="1713"/>
      <c r="J43" s="1582">
        <f>SUM(J46:J57)</f>
        <v>537.84186802840327</v>
      </c>
      <c r="K43" s="1716"/>
      <c r="L43" s="1715"/>
      <c r="M43" s="1585">
        <f>SUM(M46:M57)</f>
        <v>549.40259772941158</v>
      </c>
      <c r="N43" s="1714"/>
      <c r="O43" s="1713"/>
      <c r="P43" s="1582">
        <f>SUM(P46:P57)</f>
        <v>573.98204219983177</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378</v>
      </c>
      <c r="D48" s="4883"/>
      <c r="E48" s="1693">
        <f>IF($C48=0,0,VLOOKUP($C48,'SDK3'!$C$24:$O$86,4,FALSE))</f>
        <v>83</v>
      </c>
      <c r="F48" s="1692">
        <f>IF($C48=0,0,VLOOKUP($C48,'SDK3'!$C$24:$O$86,12,FALSE))</f>
        <v>2</v>
      </c>
      <c r="G48" s="1691">
        <f>IF($C48=0,0,VLOOKUP($C48,'SDK3'!$C$24:$O$86,13,FALSE))</f>
        <v>45.04798658823529</v>
      </c>
      <c r="H48" s="1688">
        <v>1</v>
      </c>
      <c r="I48" s="1687">
        <f t="shared" si="4"/>
        <v>2</v>
      </c>
      <c r="J48" s="1686">
        <f t="shared" si="5"/>
        <v>45.04798658823529</v>
      </c>
      <c r="K48" s="1688">
        <v>1</v>
      </c>
      <c r="L48" s="1690">
        <f t="shared" si="6"/>
        <v>2</v>
      </c>
      <c r="M48" s="1689">
        <f t="shared" si="7"/>
        <v>45.04798658823529</v>
      </c>
      <c r="N48" s="1688">
        <v>1</v>
      </c>
      <c r="O48" s="1687">
        <f t="shared" si="8"/>
        <v>2</v>
      </c>
      <c r="P48" s="1686">
        <f t="shared" si="9"/>
        <v>45.04798658823529</v>
      </c>
      <c r="Q48" s="38"/>
    </row>
    <row r="49" spans="1:17" s="42" customFormat="1" ht="15" customHeight="1">
      <c r="A49" s="1284"/>
      <c r="B49" s="1694"/>
      <c r="C49" s="4882" t="s">
        <v>370</v>
      </c>
      <c r="D49" s="4883"/>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row>
    <row r="50" spans="1:17" s="42" customFormat="1" ht="15" customHeight="1">
      <c r="A50" s="1284"/>
      <c r="B50" s="1694"/>
      <c r="C50" s="4882" t="s">
        <v>342</v>
      </c>
      <c r="D50" s="4883"/>
      <c r="E50" s="1693">
        <f>IF($C50=0,0,VLOOKUP($C50,'SDK3'!$C$24:$O$86,4,FALSE))</f>
        <v>54</v>
      </c>
      <c r="F50" s="1692">
        <f>IF($C50=0,0,VLOOKUP($C50,'SDK3'!$C$24:$O$86,12,FALSE))</f>
        <v>10.19</v>
      </c>
      <c r="G50" s="1691">
        <f>IF($C50=0,0,VLOOKUP($C50,'SDK3'!$C$24:$O$86,13,FALSE))</f>
        <v>149.83664175294115</v>
      </c>
      <c r="H50" s="1688">
        <v>1</v>
      </c>
      <c r="I50" s="1687">
        <f t="shared" si="4"/>
        <v>10.19</v>
      </c>
      <c r="J50" s="1686">
        <f t="shared" si="5"/>
        <v>149.83664175294115</v>
      </c>
      <c r="K50" s="1688">
        <v>1</v>
      </c>
      <c r="L50" s="1690">
        <f t="shared" si="6"/>
        <v>10.19</v>
      </c>
      <c r="M50" s="1689">
        <f t="shared" si="7"/>
        <v>149.83664175294115</v>
      </c>
      <c r="N50" s="1688">
        <v>1</v>
      </c>
      <c r="O50" s="1687">
        <f t="shared" si="8"/>
        <v>10.19</v>
      </c>
      <c r="P50" s="1686">
        <f t="shared" si="9"/>
        <v>149.83664175294115</v>
      </c>
      <c r="Q50" s="38"/>
    </row>
    <row r="51" spans="1:17" s="42" customFormat="1" ht="15" customHeight="1">
      <c r="A51" s="1284"/>
      <c r="B51" s="1694"/>
      <c r="C51" s="4882" t="s">
        <v>345</v>
      </c>
      <c r="D51" s="4883"/>
      <c r="E51" s="1693">
        <f>IF($C51=0,0,VLOOKUP($C51,'SDK3'!$C$24:$O$86,4,FALSE))</f>
        <v>54</v>
      </c>
      <c r="F51" s="1692">
        <f>IF($C51=0,0,VLOOKUP($C51,'SDK3'!$C$24:$O$86,12,FALSE))</f>
        <v>4.0999999999999996</v>
      </c>
      <c r="G51" s="1691">
        <f>IF($C51=0,0,VLOOKUP($C51,'SDK3'!$C$24:$O$86,13,FALSE))</f>
        <v>72.745540905882336</v>
      </c>
      <c r="H51" s="1688">
        <v>1</v>
      </c>
      <c r="I51" s="1687">
        <f t="shared" si="4"/>
        <v>4.0999999999999996</v>
      </c>
      <c r="J51" s="1686">
        <f t="shared" si="5"/>
        <v>72.745540905882336</v>
      </c>
      <c r="K51" s="1688">
        <v>1</v>
      </c>
      <c r="L51" s="1690">
        <f t="shared" si="6"/>
        <v>4.0999999999999996</v>
      </c>
      <c r="M51" s="1689">
        <f t="shared" si="7"/>
        <v>72.745540905882336</v>
      </c>
      <c r="N51" s="1688">
        <v>1</v>
      </c>
      <c r="O51" s="1687">
        <f t="shared" si="8"/>
        <v>4.0999999999999996</v>
      </c>
      <c r="P51" s="1686">
        <f t="shared" si="9"/>
        <v>72.745540905882336</v>
      </c>
      <c r="Q51" s="38"/>
    </row>
    <row r="52" spans="1:17" s="42" customFormat="1" ht="15" customHeight="1">
      <c r="A52" s="1284"/>
      <c r="B52" s="1694"/>
      <c r="C52" s="4882" t="s">
        <v>426</v>
      </c>
      <c r="D52" s="4883"/>
      <c r="E52" s="1693">
        <f>IF($C52=0,0,VLOOKUP($C52,'SDK3'!$C$24:$O$86,4,FALSE))</f>
        <v>54</v>
      </c>
      <c r="F52" s="1692">
        <f>IF($C52=0,0,VLOOKUP($C52,'SDK3'!$C$24:$O$86,12,FALSE))</f>
        <v>0.37</v>
      </c>
      <c r="G52" s="1691">
        <f>IF($C52=0,0,VLOOKUP($C52,'SDK3'!$C$24:$O$86,13,FALSE))</f>
        <v>4.2780853988235288</v>
      </c>
      <c r="H52" s="1688">
        <v>2</v>
      </c>
      <c r="I52" s="1687">
        <f t="shared" si="4"/>
        <v>0.74</v>
      </c>
      <c r="J52" s="1686">
        <f t="shared" si="5"/>
        <v>8.5561707976470576</v>
      </c>
      <c r="K52" s="1688">
        <v>2</v>
      </c>
      <c r="L52" s="1690">
        <f t="shared" si="6"/>
        <v>0.74</v>
      </c>
      <c r="M52" s="1689">
        <f t="shared" si="7"/>
        <v>8.5561707976470576</v>
      </c>
      <c r="N52" s="1688">
        <v>2</v>
      </c>
      <c r="O52" s="1687">
        <f t="shared" si="8"/>
        <v>0.74</v>
      </c>
      <c r="P52" s="1686">
        <f t="shared" si="9"/>
        <v>8.5561707976470576</v>
      </c>
      <c r="Q52" s="38"/>
    </row>
    <row r="53" spans="1:17" s="42" customFormat="1" ht="15" customHeight="1">
      <c r="A53" s="1284"/>
      <c r="B53" s="1694"/>
      <c r="C53" s="4882" t="s">
        <v>419</v>
      </c>
      <c r="D53" s="4883"/>
      <c r="E53" s="1693">
        <f>IF($C53=0,0,VLOOKUP($C53,'SDK3'!$C$24:$O$86,4,FALSE))</f>
        <v>83</v>
      </c>
      <c r="F53" s="1692">
        <f>IF($C53=0,0,VLOOKUP($C53,'SDK3'!$C$24:$O$86,12,FALSE))</f>
        <v>0.39</v>
      </c>
      <c r="G53" s="1691">
        <f>IF($C53=0,0,VLOOKUP($C53,'SDK3'!$C$24:$O$86,13,FALSE))</f>
        <v>6.5093573847058819</v>
      </c>
      <c r="H53" s="1688">
        <v>7</v>
      </c>
      <c r="I53" s="1687">
        <f t="shared" si="4"/>
        <v>2.73</v>
      </c>
      <c r="J53" s="1686">
        <f t="shared" si="5"/>
        <v>45.565501692941176</v>
      </c>
      <c r="K53" s="1688">
        <v>6</v>
      </c>
      <c r="L53" s="1690">
        <f t="shared" si="6"/>
        <v>2.34</v>
      </c>
      <c r="M53" s="1689">
        <f t="shared" si="7"/>
        <v>39.056144308235289</v>
      </c>
      <c r="N53" s="1688">
        <v>7</v>
      </c>
      <c r="O53" s="1687">
        <f t="shared" si="8"/>
        <v>2.73</v>
      </c>
      <c r="P53" s="1686">
        <f t="shared" si="9"/>
        <v>45.565501692941176</v>
      </c>
      <c r="Q53" s="38"/>
    </row>
    <row r="54" spans="1:17" s="42" customFormat="1" ht="15" customHeight="1">
      <c r="A54" s="1284"/>
      <c r="B54" s="1694"/>
      <c r="C54" s="4882" t="s">
        <v>350</v>
      </c>
      <c r="D54" s="4883"/>
      <c r="E54" s="1693">
        <f>IF($C54=0,0,VLOOKUP($C54,'SDK3'!$C$24:$O$86,4,FALSE))</f>
        <v>102</v>
      </c>
      <c r="F54" s="1692">
        <f>IF($C54=0,0,VLOOKUP($C54,'SDK3'!$C$24:$O$86,12,FALSE))</f>
        <v>1.68</v>
      </c>
      <c r="G54" s="1691">
        <f>IF($C54=0,0,VLOOKUP($C54,'SDK3'!$C$24:$O$86,13,FALSE))</f>
        <v>37.94718288</v>
      </c>
      <c r="H54" s="1688">
        <f>H9/10/10.5</f>
        <v>2.8571428571428572</v>
      </c>
      <c r="I54" s="1687">
        <f t="shared" si="4"/>
        <v>4.8</v>
      </c>
      <c r="J54" s="1686">
        <f t="shared" si="5"/>
        <v>108.42052251428572</v>
      </c>
      <c r="K54" s="1688">
        <f>K9/10/10.5</f>
        <v>3.3333333333333335</v>
      </c>
      <c r="L54" s="1690">
        <f t="shared" si="6"/>
        <v>5.6</v>
      </c>
      <c r="M54" s="1689">
        <f t="shared" si="7"/>
        <v>126.4906096</v>
      </c>
      <c r="N54" s="1688">
        <f>N9/10/10.5</f>
        <v>3.8095238095238093</v>
      </c>
      <c r="O54" s="1687">
        <f t="shared" si="8"/>
        <v>6.3999999999999995</v>
      </c>
      <c r="P54" s="1686">
        <f t="shared" si="9"/>
        <v>144.56069668571428</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27.76</v>
      </c>
      <c r="J58" s="1669"/>
      <c r="K58" s="1668"/>
      <c r="L58" s="1667">
        <f>SUM($L$46:$L$57)</f>
        <v>28.17</v>
      </c>
      <c r="M58" s="1666"/>
      <c r="N58" s="1665"/>
      <c r="O58" s="1664">
        <f>SUM($O$46:$O$57)</f>
        <v>29.36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37.760000000000005</v>
      </c>
      <c r="J59" s="1654"/>
      <c r="K59" s="1659"/>
      <c r="L59" s="1658">
        <f>IF(L58+SUM($L$46:$L$57)*$E$59%&gt;L58+10,L58+10,L58+SUM($L$46:$L$57)*$E$59%)</f>
        <v>38.17</v>
      </c>
      <c r="M59" s="1657"/>
      <c r="N59" s="1656"/>
      <c r="O59" s="1655">
        <f>IF(O58+SUM($O$46:$O$57)*$E$59%&gt;O58+10,O58+10,O58+SUM($O$46:$O$57)*$E$59%)</f>
        <v>39.36</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320</v>
      </c>
      <c r="D62" s="4860"/>
      <c r="E62" s="4860"/>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1190</v>
      </c>
      <c r="K65" s="1597"/>
      <c r="L65" s="1597"/>
      <c r="M65" s="1585">
        <f>K66*$E66</f>
        <v>1190</v>
      </c>
      <c r="N65" s="73"/>
      <c r="O65" s="73"/>
      <c r="P65" s="1582">
        <f>N66*$E66</f>
        <v>1190</v>
      </c>
      <c r="Q65" s="38"/>
    </row>
    <row r="66" spans="1:20" s="686" customFormat="1" ht="15" customHeight="1">
      <c r="A66" s="1248"/>
      <c r="B66" s="1616"/>
      <c r="C66" s="1355"/>
      <c r="D66" s="278" t="s">
        <v>1004</v>
      </c>
      <c r="E66" s="1615">
        <v>8.5</v>
      </c>
      <c r="F66" s="1590"/>
      <c r="G66" s="1614" t="s">
        <v>463</v>
      </c>
      <c r="H66" s="1612">
        <v>140</v>
      </c>
      <c r="I66" s="1611"/>
      <c r="J66" s="1600"/>
      <c r="K66" s="1612">
        <v>140</v>
      </c>
      <c r="L66" s="1613"/>
      <c r="M66" s="1603"/>
      <c r="N66" s="1612">
        <v>140</v>
      </c>
      <c r="O66" s="1611"/>
      <c r="P66" s="1600"/>
      <c r="Q66" s="376" t="s">
        <v>1234</v>
      </c>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76"/>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76"/>
      <c r="R68" s="1912">
        <f>IF($H$68=0,0,VLOOKUP($H$68,'SD6'!B8:C101,FALSE))*(1+'SDK1'!O11/100)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256.2</v>
      </c>
      <c r="K69" s="1598"/>
      <c r="L69" s="1597"/>
      <c r="M69" s="1585">
        <f>K70*$F70/1000</f>
        <v>298.89999999999998</v>
      </c>
      <c r="N69" s="44"/>
      <c r="O69" s="73"/>
      <c r="P69" s="1582">
        <f>N70*$F70/1000</f>
        <v>341.60000000000008</v>
      </c>
      <c r="Q69" s="376"/>
    </row>
    <row r="70" spans="1:20" s="686" customFormat="1" ht="15" customHeight="1">
      <c r="A70" s="1248"/>
      <c r="B70" s="1310"/>
      <c r="C70" s="1309" t="s">
        <v>840</v>
      </c>
      <c r="D70" s="346"/>
      <c r="E70" s="278"/>
      <c r="F70" s="1596">
        <f>'SDK7'!G112</f>
        <v>15</v>
      </c>
      <c r="G70" s="1595" t="s">
        <v>171</v>
      </c>
      <c r="H70" s="1591">
        <f>I9+I10</f>
        <v>17080</v>
      </c>
      <c r="I70" s="1590"/>
      <c r="J70" s="1589"/>
      <c r="K70" s="1594">
        <f>L9+L10</f>
        <v>19926.666666666668</v>
      </c>
      <c r="L70" s="1593"/>
      <c r="M70" s="1592"/>
      <c r="N70" s="1591">
        <f>O9+O10</f>
        <v>22773.333333333336</v>
      </c>
      <c r="O70" s="1590"/>
      <c r="P70" s="1589"/>
      <c r="Q70" s="376"/>
    </row>
    <row r="71" spans="1:20" ht="18.75" customHeight="1">
      <c r="A71" s="370"/>
      <c r="B71" s="305" t="s">
        <v>1157</v>
      </c>
      <c r="C71" s="370"/>
      <c r="D71" s="370"/>
      <c r="E71" s="229"/>
      <c r="G71" s="1588"/>
      <c r="H71" s="1584"/>
      <c r="I71" s="1583"/>
      <c r="J71" s="1582">
        <f>SUM(I73:I74)</f>
        <v>346</v>
      </c>
      <c r="K71" s="1587"/>
      <c r="L71" s="1586"/>
      <c r="M71" s="1585">
        <f>SUM(L73:L74)</f>
        <v>346</v>
      </c>
      <c r="N71" s="1584"/>
      <c r="O71" s="1583"/>
      <c r="P71" s="1582">
        <f>SUM(O73:O74)</f>
        <v>346</v>
      </c>
      <c r="Q71" s="376"/>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c r="Q72" s="376"/>
    </row>
    <row r="73" spans="1:20" s="42" customFormat="1" ht="15" customHeight="1">
      <c r="A73" s="1284"/>
      <c r="B73" s="1562"/>
      <c r="C73" s="4895" t="s">
        <v>1233</v>
      </c>
      <c r="D73" s="4895"/>
      <c r="E73" s="4895"/>
      <c r="F73" s="1566"/>
      <c r="G73" s="1565"/>
      <c r="H73" s="1559">
        <v>300</v>
      </c>
      <c r="I73" s="1563">
        <f>(100+$D$72)/100*H73</f>
        <v>300</v>
      </c>
      <c r="J73" s="45"/>
      <c r="K73" s="1559">
        <v>300</v>
      </c>
      <c r="L73" s="1564">
        <f>(100+$D$72)/100*K73</f>
        <v>300</v>
      </c>
      <c r="M73" s="1557"/>
      <c r="N73" s="1559">
        <v>300</v>
      </c>
      <c r="O73" s="1563">
        <f>(100+$D$72)/100*N73</f>
        <v>300</v>
      </c>
      <c r="P73" s="1554"/>
      <c r="Q73" s="376" t="s">
        <v>1231</v>
      </c>
    </row>
    <row r="74" spans="1:20" s="42" customFormat="1" ht="15" customHeight="1">
      <c r="A74" s="1284"/>
      <c r="B74" s="1562"/>
      <c r="C74" s="4894" t="s">
        <v>1232</v>
      </c>
      <c r="D74" s="4894"/>
      <c r="E74" s="4894"/>
      <c r="F74" s="1561"/>
      <c r="G74" s="1560"/>
      <c r="H74" s="1556">
        <v>46</v>
      </c>
      <c r="I74" s="1555">
        <f>(100+$D$72)/100*H74</f>
        <v>46</v>
      </c>
      <c r="J74" s="45"/>
      <c r="K74" s="1559">
        <v>46</v>
      </c>
      <c r="L74" s="1558">
        <f>(100+$D$72)/100*K74</f>
        <v>46</v>
      </c>
      <c r="M74" s="1557"/>
      <c r="N74" s="1556">
        <v>46</v>
      </c>
      <c r="O74" s="1555">
        <f>(100+$D$72)/100*N74</f>
        <v>46</v>
      </c>
      <c r="P74" s="1554"/>
      <c r="Q74" s="376" t="s">
        <v>1231</v>
      </c>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74.329015566903365</v>
      </c>
      <c r="K75" s="689"/>
      <c r="L75" s="1034"/>
      <c r="M75" s="1546">
        <f>(M23+M27+M34+M43+M60+M65+M67+M69+M71)*('SDK1'!$O$59%*$G$75/12)</f>
        <v>75.306304981078441</v>
      </c>
      <c r="N75" s="1548"/>
      <c r="O75" s="1547"/>
      <c r="P75" s="1546">
        <f>(P23+P27+P34+P43+P60+P65+P67+P69+P71)*('SDK1'!$O$59%*$G$75/12)</f>
        <v>76.39208368499861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D159" s="15"/>
      <c r="F159" s="15"/>
      <c r="G159" s="15"/>
      <c r="H159" s="15"/>
      <c r="I159" s="15"/>
      <c r="J159" s="15"/>
      <c r="M159" s="35"/>
      <c r="N159" s="35"/>
      <c r="O159" s="35"/>
      <c r="P159" s="35"/>
      <c r="Q159" s="35"/>
    </row>
    <row r="160" spans="1:17">
      <c r="A160" s="35"/>
      <c r="B160" s="601"/>
      <c r="C160" s="15"/>
      <c r="D160" s="15"/>
      <c r="F160" s="15"/>
      <c r="G160" s="15"/>
      <c r="H160" s="15"/>
      <c r="I160" s="15"/>
      <c r="J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7" firstPageNumber="64" orientation="portrait" r:id="rId1"/>
  <headerFooter alignWithMargins="0">
    <oddFooter>&amp;L&amp;11LEL Schwäbisch Gmünd&amp;C77&amp;R&amp;11&amp;F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2">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3836.534512558962</v>
      </c>
      <c r="K1" s="4855">
        <f>M1-J1</f>
        <v>-5.8915836447613401</v>
      </c>
      <c r="L1" s="4855"/>
      <c r="M1" s="1874">
        <f>(M7+M13+M18+M22+L11+L12)-(M23+M27+M34+M43+M60+M65+M67+M69+M71+M75)</f>
        <v>3830.6429289142006</v>
      </c>
      <c r="N1" s="4855">
        <f>P1-M1</f>
        <v>872.71540385523713</v>
      </c>
      <c r="O1" s="4855"/>
      <c r="P1" s="1874">
        <f>(P7+P13+P18+P22+O11+O12)-(P23+P27+P34+P43+P60+P65+P67+P69+P71+P75)</f>
        <v>4703.3583327694378</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193</v>
      </c>
      <c r="L2" s="4867"/>
      <c r="M2" s="4867"/>
      <c r="N2" s="4867"/>
      <c r="O2" s="4867"/>
      <c r="P2" s="4867"/>
      <c r="Q2" s="1888">
        <v>10</v>
      </c>
    </row>
    <row r="3" spans="1:41" s="1859" customFormat="1" ht="21.75" customHeight="1">
      <c r="A3" s="1863"/>
      <c r="B3" s="1887"/>
      <c r="H3" s="1870"/>
      <c r="J3" s="4863"/>
      <c r="K3" s="4864"/>
      <c r="L3" s="4864"/>
      <c r="M3" s="1928"/>
      <c r="N3" s="4868" t="str">
        <f>IF(AND(T3=TRUE,T4=TRUE),"nur 1 Strohnutzung möglich","")</f>
        <v/>
      </c>
      <c r="O3" s="4869"/>
      <c r="P3" s="1868"/>
      <c r="Q3" s="1863"/>
      <c r="T3" s="1886" t="b">
        <v>0</v>
      </c>
    </row>
    <row r="4" spans="1:41" s="1859" customFormat="1" ht="20.25" customHeight="1">
      <c r="A4" s="1863"/>
      <c r="B4" s="370" t="s">
        <v>1098</v>
      </c>
      <c r="C4" s="35"/>
      <c r="D4" s="35"/>
      <c r="E4" s="4898" t="s">
        <v>1237</v>
      </c>
      <c r="F4" s="4898"/>
      <c r="G4" s="4898"/>
      <c r="H4" s="4898"/>
      <c r="I4" s="4898"/>
      <c r="J4" s="4863"/>
      <c r="K4" s="4864"/>
      <c r="L4" s="4864"/>
      <c r="M4" s="1928"/>
      <c r="N4" s="4869"/>
      <c r="O4" s="4869"/>
      <c r="P4" s="1864">
        <f>'SDK1'!O3</f>
        <v>0</v>
      </c>
      <c r="Q4" s="1863"/>
      <c r="T4" s="1886"/>
    </row>
    <row r="5" spans="1:41" ht="6" customHeight="1"/>
    <row r="6" spans="1:41" s="1853" customFormat="1" ht="24" customHeight="1">
      <c r="A6" s="48"/>
      <c r="B6" s="1858" t="s">
        <v>1151</v>
      </c>
      <c r="C6" s="1857"/>
      <c r="D6" s="1857"/>
      <c r="E6" s="1857"/>
      <c r="F6" s="1857"/>
      <c r="G6" s="1856"/>
      <c r="H6" s="4861" t="s">
        <v>179</v>
      </c>
      <c r="I6" s="4862"/>
      <c r="J6" s="1855">
        <v>400</v>
      </c>
      <c r="K6" s="4874" t="s">
        <v>152</v>
      </c>
      <c r="L6" s="4875"/>
      <c r="M6" s="1855">
        <v>450</v>
      </c>
      <c r="N6" s="4861" t="s">
        <v>178</v>
      </c>
      <c r="O6" s="4862"/>
      <c r="P6" s="1854">
        <v>500</v>
      </c>
      <c r="Q6" s="70"/>
    </row>
    <row r="7" spans="1:41" s="251" customFormat="1" ht="18.75" customHeight="1">
      <c r="A7" s="47"/>
      <c r="B7" s="305" t="s">
        <v>1202</v>
      </c>
      <c r="C7" s="47"/>
      <c r="D7" s="47"/>
      <c r="E7" s="47"/>
      <c r="F7" s="47"/>
      <c r="G7" s="1852"/>
      <c r="H7" s="1849"/>
      <c r="I7" s="1848"/>
      <c r="J7" s="1582">
        <f>SUM(I9:I10)</f>
        <v>10267.166666666666</v>
      </c>
      <c r="K7" s="1851"/>
      <c r="L7" s="1850"/>
      <c r="M7" s="1585">
        <f>SUM(L9:L10)</f>
        <v>10344.199999999999</v>
      </c>
      <c r="N7" s="1849"/>
      <c r="O7" s="1848"/>
      <c r="P7" s="1582">
        <f>SUM(O9:O10)</f>
        <v>11313.333333333332</v>
      </c>
      <c r="Q7" s="376"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76" t="s">
        <v>1228</v>
      </c>
    </row>
    <row r="9" spans="1:41" s="251" customFormat="1" ht="16.5" customHeight="1">
      <c r="A9" s="47"/>
      <c r="B9" s="305"/>
      <c r="C9" s="45" t="str">
        <f>IF('SDK1'!O9&gt;0,"Hauptprodukt (incl. MwSt.)","Hauptprodukt (ohne MwSt)")</f>
        <v>Hauptprodukt (ohne MwSt)</v>
      </c>
      <c r="D9" s="47"/>
      <c r="E9" s="47"/>
      <c r="F9" s="1846" t="s">
        <v>1201</v>
      </c>
      <c r="G9" s="1762">
        <f>'SDK1'!O42</f>
        <v>28.033333333333331</v>
      </c>
      <c r="H9" s="1845">
        <f>J6-H10</f>
        <v>365</v>
      </c>
      <c r="I9" s="1841">
        <f>H9*G9</f>
        <v>10232.166666666666</v>
      </c>
      <c r="J9" s="43"/>
      <c r="K9" s="1844">
        <f>M6-K10</f>
        <v>366</v>
      </c>
      <c r="L9" s="1843">
        <f>K9*G9</f>
        <v>10260.199999999999</v>
      </c>
      <c r="M9" s="1822"/>
      <c r="N9" s="1842">
        <f>P6-N10</f>
        <v>400</v>
      </c>
      <c r="O9" s="1841">
        <f>N9*G9</f>
        <v>11213.333333333332</v>
      </c>
      <c r="P9" s="43"/>
      <c r="Q9" s="376" t="s">
        <v>1227</v>
      </c>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v>1</v>
      </c>
      <c r="H10" s="1834">
        <v>35</v>
      </c>
      <c r="I10" s="1833">
        <f>H10*G10</f>
        <v>35</v>
      </c>
      <c r="J10" s="1838"/>
      <c r="K10" s="1837">
        <v>84</v>
      </c>
      <c r="L10" s="1836">
        <f>K10*G10</f>
        <v>84</v>
      </c>
      <c r="M10" s="1835"/>
      <c r="N10" s="1834">
        <v>100</v>
      </c>
      <c r="O10" s="1833">
        <f>N10*G10</f>
        <v>100</v>
      </c>
      <c r="P10" s="1832"/>
      <c r="Q10" s="376" t="s">
        <v>1225</v>
      </c>
      <c r="R10" s="1831">
        <f>I10+I11+I12</f>
        <v>35</v>
      </c>
      <c r="S10" s="1830">
        <f>L10+L11+L12</f>
        <v>84</v>
      </c>
      <c r="T10" s="1829">
        <f>O10+O11+O12</f>
        <v>100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4425</v>
      </c>
      <c r="K23" s="1587"/>
      <c r="L23" s="1586"/>
      <c r="M23" s="1768">
        <f>SUM(L25:L26)</f>
        <v>4425</v>
      </c>
      <c r="N23" s="1584"/>
      <c r="O23" s="1583"/>
      <c r="P23" s="1567">
        <f>SUM(O25:O26)</f>
        <v>4425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'SDK7'!F71</f>
        <v>177</v>
      </c>
      <c r="G25" s="1762">
        <f>F25*(100+$D$24)/100</f>
        <v>177</v>
      </c>
      <c r="H25" s="1761">
        <v>25</v>
      </c>
      <c r="I25" s="1722">
        <f>H25*$G25</f>
        <v>4425</v>
      </c>
      <c r="J25" s="45"/>
      <c r="K25" s="1761">
        <f>H25</f>
        <v>25</v>
      </c>
      <c r="L25" s="1564">
        <f>K25*$G25</f>
        <v>4425</v>
      </c>
      <c r="M25" s="1557"/>
      <c r="N25" s="1761">
        <f>H25</f>
        <v>25</v>
      </c>
      <c r="O25" s="1722">
        <f>N25*$G25</f>
        <v>4425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532.75199999999995</v>
      </c>
      <c r="K27" s="1716"/>
      <c r="L27" s="1715"/>
      <c r="M27" s="1585">
        <f>SUM(L30:L33)</f>
        <v>595.76600000000008</v>
      </c>
      <c r="N27" s="1714"/>
      <c r="O27" s="1713"/>
      <c r="P27" s="1582">
        <f>SUM(O30:O33)</f>
        <v>658.78</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20</v>
      </c>
      <c r="H30" s="1739">
        <f>IF(J$6=0,0,(J$6*$E30+$G30+X14))</f>
        <v>160</v>
      </c>
      <c r="I30" s="1722">
        <f>H30*$D30</f>
        <v>229.12</v>
      </c>
      <c r="J30" s="45"/>
      <c r="K30" s="1740">
        <f>IF(M$6=0,0,(M$6*$E30+$G30+Y14))</f>
        <v>177.5</v>
      </c>
      <c r="L30" s="1564">
        <f>K30*$D30</f>
        <v>254.17999999999998</v>
      </c>
      <c r="M30" s="1557"/>
      <c r="N30" s="1739">
        <f>IF(P$6=0,0,(P$6*$E30+$G30+Z14))</f>
        <v>195</v>
      </c>
      <c r="O30" s="1722">
        <f>N30*$D30</f>
        <v>279.24</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c r="H31" s="1739">
        <f>IF(J$6=0,0,(J$6*$E31+$G31+X15))</f>
        <v>56.000000000000007</v>
      </c>
      <c r="I31" s="1722">
        <f>H31*$D31</f>
        <v>58.800000000000011</v>
      </c>
      <c r="J31" s="45"/>
      <c r="K31" s="1740">
        <f>IF(M$6=0,0,(M$6*$E31+$G31+Y15))</f>
        <v>63.000000000000007</v>
      </c>
      <c r="L31" s="1564">
        <f>K31*$D31</f>
        <v>66.150000000000006</v>
      </c>
      <c r="M31" s="1557"/>
      <c r="N31" s="1739">
        <f>IF(P$6=0,0,(P$6*$E31+$G31+Z15))</f>
        <v>70</v>
      </c>
      <c r="O31" s="1722">
        <f>N31*$D31</f>
        <v>73.5</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c r="H32" s="1739">
        <f>IF(J$6=0,0,(J$6*$E32+$G32+X16))</f>
        <v>240</v>
      </c>
      <c r="I32" s="1722">
        <f>H32*$D32</f>
        <v>235.20000000000002</v>
      </c>
      <c r="J32" s="45"/>
      <c r="K32" s="1740">
        <f>IF(M$6=0,0,(M$6*$E32+$G32+Y16))</f>
        <v>270</v>
      </c>
      <c r="L32" s="1564">
        <f>K32*$D32</f>
        <v>264.60000000000002</v>
      </c>
      <c r="M32" s="1557"/>
      <c r="N32" s="1739">
        <f>IF(P$6=0,0,(P$6*$E32+$G32+Z16))</f>
        <v>300</v>
      </c>
      <c r="O32" s="1722">
        <f>N32*$D32</f>
        <v>294</v>
      </c>
      <c r="P32" s="1686"/>
      <c r="Q32" s="38"/>
    </row>
    <row r="33" spans="1:17" s="42" customFormat="1" ht="15" customHeight="1">
      <c r="A33" s="1284"/>
      <c r="B33" s="239"/>
      <c r="C33" s="1309" t="s">
        <v>240</v>
      </c>
      <c r="D33" s="1674">
        <f>'SDK1'!O55</f>
        <v>0.60200000000000009</v>
      </c>
      <c r="E33" s="1738">
        <f>VLOOKUP(K2,'SD8'!B9:L42,6,FALSE)</f>
        <v>0.04</v>
      </c>
      <c r="F33" s="1738">
        <f>VLOOKUP(K2,'SD8'!B9:L42,10,FALSE)</f>
        <v>0</v>
      </c>
      <c r="G33" s="1737"/>
      <c r="H33" s="1735">
        <f>IF(J$6=0,0,(J$6*$E33+$G33+X17))</f>
        <v>16</v>
      </c>
      <c r="I33" s="1718">
        <f>H33*$D33</f>
        <v>9.6320000000000014</v>
      </c>
      <c r="J33" s="45"/>
      <c r="K33" s="1736">
        <f>IF(M$6=0,0,(M$6*$E33+$G33+Y17))</f>
        <v>18</v>
      </c>
      <c r="L33" s="1558">
        <f>K33*$D33</f>
        <v>10.836000000000002</v>
      </c>
      <c r="M33" s="1557"/>
      <c r="N33" s="1735">
        <f>IF(P$6=0,0,(P$6*$E33+$G33+Z17))</f>
        <v>20</v>
      </c>
      <c r="O33" s="1718">
        <f>N33*$D33</f>
        <v>12.040000000000003</v>
      </c>
      <c r="P33" s="1717"/>
      <c r="Q33" s="38"/>
    </row>
    <row r="34" spans="1:17" s="686" customFormat="1" ht="18.75" customHeight="1">
      <c r="A34" s="1248"/>
      <c r="B34" s="1254" t="s">
        <v>1178</v>
      </c>
      <c r="C34" s="1248"/>
      <c r="D34" s="37"/>
      <c r="E34" s="37"/>
      <c r="F34" s="4876" t="s">
        <v>1177</v>
      </c>
      <c r="G34" s="4877"/>
      <c r="H34" s="1732"/>
      <c r="I34" s="1731"/>
      <c r="J34" s="1582">
        <f>SUM(I36:I42)</f>
        <v>335.21600000000001</v>
      </c>
      <c r="K34" s="1734"/>
      <c r="L34" s="1733"/>
      <c r="M34" s="1585">
        <f>SUM(L36:L42)</f>
        <v>335.21600000000001</v>
      </c>
      <c r="N34" s="1732"/>
      <c r="O34" s="1731"/>
      <c r="P34" s="1582">
        <f>SUM(O36:O42)</f>
        <v>335.21600000000001</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655</v>
      </c>
      <c r="D36" s="4884"/>
      <c r="E36" s="4885"/>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70" t="s">
        <v>605</v>
      </c>
      <c r="D37" s="4870"/>
      <c r="E37" s="487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70" t="s">
        <v>351</v>
      </c>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t="s">
        <v>617</v>
      </c>
      <c r="D39" s="4870"/>
      <c r="E39" s="487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70" t="s">
        <v>604</v>
      </c>
      <c r="D40" s="4870"/>
      <c r="E40" s="4871"/>
      <c r="F40" s="1724">
        <f>IF(C40="",0,VLOOKUP(C40,'SDK5'!C7:AF87,2,FALSE))</f>
        <v>44.1</v>
      </c>
      <c r="G40" s="1724">
        <f t="shared" si="0"/>
        <v>44.1</v>
      </c>
      <c r="H40" s="1723">
        <v>1.6</v>
      </c>
      <c r="I40" s="1722">
        <f t="shared" si="1"/>
        <v>70.56</v>
      </c>
      <c r="J40" s="45"/>
      <c r="K40" s="1723">
        <v>1.6</v>
      </c>
      <c r="L40" s="1564">
        <f t="shared" si="2"/>
        <v>70.56</v>
      </c>
      <c r="M40" s="1557"/>
      <c r="N40" s="1723">
        <v>1.6</v>
      </c>
      <c r="O40" s="1722">
        <f t="shared" si="3"/>
        <v>70.56</v>
      </c>
      <c r="P40" s="1686"/>
      <c r="Q40" s="38"/>
    </row>
    <row r="41" spans="1:17" s="42" customFormat="1" ht="15" customHeight="1">
      <c r="A41" s="1284"/>
      <c r="B41" s="1562"/>
      <c r="C41" s="4870" t="s">
        <v>640</v>
      </c>
      <c r="D41" s="4870"/>
      <c r="E41" s="487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56" t="s">
        <v>666</v>
      </c>
      <c r="D42" s="4856"/>
      <c r="E42" s="4857"/>
      <c r="F42" s="1724">
        <f>IF(C42="",0,VLOOKUP(C42,'SDK5'!C9:AF89,2,FALSE))</f>
        <v>44.9</v>
      </c>
      <c r="G42" s="1720">
        <f t="shared" si="0"/>
        <v>44.9</v>
      </c>
      <c r="H42" s="1719">
        <v>1</v>
      </c>
      <c r="I42" s="1718">
        <f t="shared" si="1"/>
        <v>44.9</v>
      </c>
      <c r="J42" s="45"/>
      <c r="K42" s="1719">
        <v>1</v>
      </c>
      <c r="L42" s="1558">
        <f t="shared" si="2"/>
        <v>44.9</v>
      </c>
      <c r="M42" s="1557"/>
      <c r="N42" s="1719">
        <v>1</v>
      </c>
      <c r="O42" s="1718">
        <f t="shared" si="3"/>
        <v>44.9</v>
      </c>
      <c r="P42" s="1717"/>
      <c r="Q42" s="38"/>
    </row>
    <row r="43" spans="1:17" s="686" customFormat="1" ht="18.75" customHeight="1">
      <c r="A43" s="1248"/>
      <c r="B43" s="1254" t="s">
        <v>1175</v>
      </c>
      <c r="C43" s="1248"/>
      <c r="D43" s="1248"/>
      <c r="E43" s="1248"/>
      <c r="F43" s="1248"/>
      <c r="G43" s="1588"/>
      <c r="H43" s="1714"/>
      <c r="I43" s="1713"/>
      <c r="J43" s="1582">
        <f>SUM(J46:J57)</f>
        <v>357.14729746218484</v>
      </c>
      <c r="K43" s="1716"/>
      <c r="L43" s="1715"/>
      <c r="M43" s="1585">
        <f>SUM(M46:M57)</f>
        <v>375.21738454789914</v>
      </c>
      <c r="N43" s="1714"/>
      <c r="O43" s="1713"/>
      <c r="P43" s="1582">
        <f>SUM(P46:P57)</f>
        <v>393.28747163361345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10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10</v>
      </c>
    </row>
    <row r="48" spans="1:17" s="42" customFormat="1" ht="15" customHeight="1">
      <c r="A48" s="1284"/>
      <c r="B48" s="1694"/>
      <c r="C48" s="4882" t="s">
        <v>374</v>
      </c>
      <c r="D48" s="4883"/>
      <c r="E48" s="1693">
        <f>IF($C48=0,0,VLOOKUP($C48,'SDK3'!$C$24:$O$86,4,FALSE))</f>
        <v>83</v>
      </c>
      <c r="F48" s="1692">
        <f>IF($C48=0,0,VLOOKUP($C48,'SDK3'!$C$24:$O$86,12,FALSE))</f>
        <v>1.1399999999999999</v>
      </c>
      <c r="G48" s="1691">
        <f>IF($C48=0,0,VLOOKUP($C48,'SDK3'!$C$24:$O$86,13,FALSE))</f>
        <v>31.267352355294115</v>
      </c>
      <c r="H48" s="1688">
        <v>1</v>
      </c>
      <c r="I48" s="1687">
        <f t="shared" si="4"/>
        <v>1.1399999999999999</v>
      </c>
      <c r="J48" s="1686">
        <f t="shared" si="5"/>
        <v>31.267352355294115</v>
      </c>
      <c r="K48" s="1688">
        <v>1</v>
      </c>
      <c r="L48" s="1690">
        <f t="shared" si="6"/>
        <v>1.1399999999999999</v>
      </c>
      <c r="M48" s="1689">
        <f t="shared" si="7"/>
        <v>31.267352355294115</v>
      </c>
      <c r="N48" s="1688">
        <v>1</v>
      </c>
      <c r="O48" s="1687">
        <f t="shared" si="8"/>
        <v>1.1399999999999999</v>
      </c>
      <c r="P48" s="1686">
        <f t="shared" si="9"/>
        <v>31.267352355294115</v>
      </c>
      <c r="Q48" s="38">
        <f t="shared" si="10"/>
        <v>10</v>
      </c>
    </row>
    <row r="49" spans="1:17" s="42" customFormat="1" ht="15" customHeight="1">
      <c r="A49" s="1284"/>
      <c r="B49" s="1694"/>
      <c r="C49" s="4882" t="s">
        <v>370</v>
      </c>
      <c r="D49" s="4883"/>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f t="shared" si="10"/>
        <v>10</v>
      </c>
    </row>
    <row r="50" spans="1:17" s="42" customFormat="1" ht="15" customHeight="1">
      <c r="A50" s="1284"/>
      <c r="B50" s="1694"/>
      <c r="C50" s="4882" t="s">
        <v>426</v>
      </c>
      <c r="D50" s="4883"/>
      <c r="E50" s="1693">
        <f>IF($C50=0,0,VLOOKUP($C50,'SDK3'!$C$24:$O$86,4,FALSE))</f>
        <v>54</v>
      </c>
      <c r="F50" s="1692">
        <f>IF($C50=0,0,VLOOKUP($C50,'SDK3'!$C$24:$O$86,12,FALSE))</f>
        <v>0.37</v>
      </c>
      <c r="G50" s="1691">
        <f>IF($C50=0,0,VLOOKUP($C50,'SDK3'!$C$24:$O$86,13,FALSE))</f>
        <v>4.2780853988235288</v>
      </c>
      <c r="H50" s="1688">
        <v>2</v>
      </c>
      <c r="I50" s="1687">
        <f t="shared" si="4"/>
        <v>0.74</v>
      </c>
      <c r="J50" s="1686">
        <f t="shared" si="5"/>
        <v>8.5561707976470576</v>
      </c>
      <c r="K50" s="1688">
        <v>2</v>
      </c>
      <c r="L50" s="1690">
        <f t="shared" si="6"/>
        <v>0.74</v>
      </c>
      <c r="M50" s="1689">
        <f t="shared" si="7"/>
        <v>8.5561707976470576</v>
      </c>
      <c r="N50" s="1688">
        <v>2</v>
      </c>
      <c r="O50" s="1687">
        <f t="shared" si="8"/>
        <v>0.74</v>
      </c>
      <c r="P50" s="1686">
        <f t="shared" si="9"/>
        <v>8.5561707976470576</v>
      </c>
      <c r="Q50" s="38">
        <f t="shared" si="10"/>
        <v>20</v>
      </c>
    </row>
    <row r="51" spans="1:17" s="42" customFormat="1" ht="15" customHeight="1">
      <c r="A51" s="1284"/>
      <c r="B51" s="1694"/>
      <c r="C51" s="4882" t="s">
        <v>419</v>
      </c>
      <c r="D51" s="4883"/>
      <c r="E51" s="1693">
        <f>IF($C51=0,0,VLOOKUP($C51,'SDK3'!$C$24:$O$86,4,FALSE))</f>
        <v>83</v>
      </c>
      <c r="F51" s="1692">
        <f>IF($C51=0,0,VLOOKUP($C51,'SDK3'!$C$24:$O$86,12,FALSE))</f>
        <v>0.39</v>
      </c>
      <c r="G51" s="1691">
        <f>IF($C51=0,0,VLOOKUP($C51,'SDK3'!$C$24:$O$86,13,FALSE))</f>
        <v>6.5093573847058819</v>
      </c>
      <c r="H51" s="1688">
        <v>10</v>
      </c>
      <c r="I51" s="1687">
        <f t="shared" si="4"/>
        <v>3.9000000000000004</v>
      </c>
      <c r="J51" s="1686">
        <f t="shared" si="5"/>
        <v>65.093573847058821</v>
      </c>
      <c r="K51" s="1688">
        <v>10</v>
      </c>
      <c r="L51" s="1690">
        <f t="shared" si="6"/>
        <v>3.9000000000000004</v>
      </c>
      <c r="M51" s="1689">
        <f t="shared" si="7"/>
        <v>65.093573847058821</v>
      </c>
      <c r="N51" s="1688">
        <v>10</v>
      </c>
      <c r="O51" s="1687">
        <f t="shared" si="8"/>
        <v>3.9000000000000004</v>
      </c>
      <c r="P51" s="1686">
        <f t="shared" si="9"/>
        <v>65.093573847058821</v>
      </c>
      <c r="Q51" s="38">
        <f t="shared" si="10"/>
        <v>100</v>
      </c>
    </row>
    <row r="52" spans="1:17" s="42" customFormat="1" ht="15" customHeight="1">
      <c r="A52" s="1284"/>
      <c r="B52" s="1694"/>
      <c r="C52" s="4882" t="s">
        <v>350</v>
      </c>
      <c r="D52" s="4883"/>
      <c r="E52" s="1693">
        <f>IF($C52=0,0,VLOOKUP($C52,'SDK3'!$C$24:$O$86,4,FALSE))</f>
        <v>102</v>
      </c>
      <c r="F52" s="1692">
        <f>IF($C52=0,0,VLOOKUP($C52,'SDK3'!$C$24:$O$86,12,FALSE))</f>
        <v>1.68</v>
      </c>
      <c r="G52" s="1691">
        <f>IF($C52=0,0,VLOOKUP($C52,'SDK3'!$C$24:$O$86,13,FALSE))</f>
        <v>37.94718288</v>
      </c>
      <c r="H52" s="1688">
        <f>$J$6/10/10.5</f>
        <v>3.8095238095238093</v>
      </c>
      <c r="I52" s="1687">
        <f t="shared" si="4"/>
        <v>6.3999999999999995</v>
      </c>
      <c r="J52" s="1686">
        <f t="shared" si="5"/>
        <v>144.56069668571428</v>
      </c>
      <c r="K52" s="1688">
        <f>$M$6/10/10.5</f>
        <v>4.2857142857142856</v>
      </c>
      <c r="L52" s="1690">
        <f t="shared" si="6"/>
        <v>7.1999999999999993</v>
      </c>
      <c r="M52" s="1689">
        <f t="shared" si="7"/>
        <v>162.63078377142855</v>
      </c>
      <c r="N52" s="1688">
        <f>$P$6/10/10.5</f>
        <v>4.7619047619047619</v>
      </c>
      <c r="O52" s="1687">
        <f t="shared" si="8"/>
        <v>8</v>
      </c>
      <c r="P52" s="1686">
        <f t="shared" si="9"/>
        <v>180.70087085714286</v>
      </c>
      <c r="Q52" s="38">
        <f t="shared" si="10"/>
        <v>38.095238095238095</v>
      </c>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f t="shared" si="10"/>
        <v>0</v>
      </c>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15.379999999999999</v>
      </c>
      <c r="J58" s="1669"/>
      <c r="K58" s="1668"/>
      <c r="L58" s="1667">
        <f>SUM($L$46:$L$57)</f>
        <v>16.18</v>
      </c>
      <c r="M58" s="1666"/>
      <c r="N58" s="1665"/>
      <c r="O58" s="1664">
        <f>SUM($O$46:$O$57)</f>
        <v>16.98</v>
      </c>
      <c r="P58" s="1663"/>
      <c r="Q58" s="38"/>
    </row>
    <row r="59" spans="1:17" s="65" customFormat="1" ht="15" customHeight="1">
      <c r="A59" s="1351"/>
      <c r="B59" s="1662"/>
      <c r="C59" s="346"/>
      <c r="D59" s="278" t="s">
        <v>1166</v>
      </c>
      <c r="E59" s="1661">
        <v>80</v>
      </c>
      <c r="F59" s="346" t="s">
        <v>1165</v>
      </c>
      <c r="G59" s="1660"/>
      <c r="H59" s="1656"/>
      <c r="I59" s="1655">
        <f>IF(I58+SUM($I$46:$I$57)*$E$59%&gt;I58+10,I58+10,I58+SUM($I$46:$I$57)*$E$59%)</f>
        <v>25.38</v>
      </c>
      <c r="J59" s="1654"/>
      <c r="K59" s="1659"/>
      <c r="L59" s="1658">
        <f>IF(L58+SUM($L$46:$L$57)*$E$59%&gt;L58+10,L58+10,L58+SUM($L$46:$L$57)*$E$59%)</f>
        <v>26.18</v>
      </c>
      <c r="M59" s="1657"/>
      <c r="N59" s="1656"/>
      <c r="O59" s="1655">
        <f>IF(O58+SUM($O$46:$O$57)*$E$59%&gt;O58+10,O58+10,O58+SUM($O$46:$O$57)*$E$59%)</f>
        <v>26.98</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320</v>
      </c>
      <c r="D62" s="4860"/>
      <c r="E62" s="4860"/>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425</v>
      </c>
      <c r="K65" s="1597"/>
      <c r="L65" s="1597"/>
      <c r="M65" s="1585">
        <f>K66*$E66</f>
        <v>425</v>
      </c>
      <c r="N65" s="73"/>
      <c r="O65" s="73"/>
      <c r="P65" s="1582">
        <f>N66*$E66</f>
        <v>425</v>
      </c>
      <c r="Q65" s="38" t="s">
        <v>1236</v>
      </c>
    </row>
    <row r="66" spans="1:20" s="686" customFormat="1" ht="15" customHeight="1">
      <c r="A66" s="1248"/>
      <c r="B66" s="1616"/>
      <c r="C66" s="1355"/>
      <c r="D66" s="278" t="s">
        <v>1004</v>
      </c>
      <c r="E66" s="1615">
        <v>8.5</v>
      </c>
      <c r="F66" s="1590"/>
      <c r="G66" s="1614" t="s">
        <v>463</v>
      </c>
      <c r="H66" s="1612">
        <v>50</v>
      </c>
      <c r="I66" s="1611"/>
      <c r="J66" s="1600"/>
      <c r="K66" s="1612">
        <v>50</v>
      </c>
      <c r="L66" s="1613"/>
      <c r="M66" s="1603"/>
      <c r="N66" s="1612">
        <v>50</v>
      </c>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154.00749999999999</v>
      </c>
      <c r="K69" s="1598"/>
      <c r="L69" s="1597"/>
      <c r="M69" s="1585">
        <f>K70*$F70/1000</f>
        <v>155.16299999999998</v>
      </c>
      <c r="N69" s="44"/>
      <c r="O69" s="73"/>
      <c r="P69" s="1582">
        <f>N70*$F70/1000</f>
        <v>169.69999999999996</v>
      </c>
      <c r="Q69" s="38"/>
    </row>
    <row r="70" spans="1:20" s="686" customFormat="1" ht="15" customHeight="1">
      <c r="A70" s="1248"/>
      <c r="B70" s="1310"/>
      <c r="C70" s="1309" t="s">
        <v>840</v>
      </c>
      <c r="D70" s="346"/>
      <c r="E70" s="278"/>
      <c r="F70" s="1596">
        <f>'SDK7'!G112</f>
        <v>15</v>
      </c>
      <c r="G70" s="1595" t="s">
        <v>171</v>
      </c>
      <c r="H70" s="1591">
        <f>I9+I10</f>
        <v>10267.166666666666</v>
      </c>
      <c r="I70" s="1590"/>
      <c r="J70" s="1589"/>
      <c r="K70" s="1594">
        <f>L9+L10</f>
        <v>10344.199999999999</v>
      </c>
      <c r="L70" s="1593"/>
      <c r="M70" s="1592"/>
      <c r="N70" s="1591">
        <f>O9+O10</f>
        <v>11313.333333333332</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56.909356645518208</v>
      </c>
      <c r="K75" s="689"/>
      <c r="L75" s="1034"/>
      <c r="M75" s="1546">
        <f>(M23+M27+M34+M43+M60+M65+M67+M69+M71)*('SDK1'!$O$59%*$G$75/12)</f>
        <v>57.594686537899157</v>
      </c>
      <c r="N75" s="1548"/>
      <c r="O75" s="1547"/>
      <c r="P75" s="1546">
        <f>(P23+P27+P34+P43+P60+P65+P67+P69+P71)*('SDK1'!$O$59%*$G$75/12)</f>
        <v>58.39152893028011</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6" orientation="portrait" r:id="rId1"/>
  <headerFooter alignWithMargins="0">
    <oddFooter>&amp;L&amp;11LEL Schwäbisch Gmünd&amp;C79&amp;R&amp;11&amp;F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3">
    <tabColor theme="3" tint="0.39997558519241921"/>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3805.5398353139672</v>
      </c>
      <c r="K1" s="4855">
        <f>M1-J1</f>
        <v>1088.6263445717323</v>
      </c>
      <c r="L1" s="4855"/>
      <c r="M1" s="1874">
        <f>(M7+M13+M18+M22+L11+L12)-(M23+M27+M34+M43+M60+M65+M67+M69+M71+M75)</f>
        <v>4894.1661798856994</v>
      </c>
      <c r="N1" s="4855">
        <f>P1-M1</f>
        <v>1062.3663038279628</v>
      </c>
      <c r="O1" s="4855"/>
      <c r="P1" s="1874">
        <f>(P7+P13+P18+P22+O11+O12)-(P23+P27+P34+P43+P60+P65+P67+P69+P71+P75)</f>
        <v>5956.5324837136623</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37</v>
      </c>
      <c r="L2" s="4867"/>
      <c r="M2" s="4867"/>
      <c r="N2" s="4867"/>
      <c r="O2" s="4867"/>
      <c r="P2" s="4867"/>
      <c r="Q2" s="1888">
        <v>0</v>
      </c>
    </row>
    <row r="3" spans="1:41" s="1859" customFormat="1" ht="21.75" customHeight="1">
      <c r="A3" s="1863"/>
      <c r="B3" s="1887"/>
      <c r="H3" s="1870"/>
      <c r="J3" s="4863"/>
      <c r="K3" s="4864"/>
      <c r="L3" s="4864"/>
      <c r="M3" s="1928"/>
      <c r="N3" s="4868" t="str">
        <f>IF(AND(T3=TRUE,T4=TRUE),"nur 1 Strohnutzung möglich","")</f>
        <v/>
      </c>
      <c r="O3" s="4869"/>
      <c r="P3" s="1868"/>
      <c r="Q3" s="1863"/>
      <c r="T3" s="1886" t="b">
        <v>0</v>
      </c>
    </row>
    <row r="4" spans="1:41" s="1859" customFormat="1" ht="20.25" customHeight="1">
      <c r="A4" s="1863"/>
      <c r="B4" s="370" t="s">
        <v>1098</v>
      </c>
      <c r="C4" s="35"/>
      <c r="D4" s="35"/>
      <c r="E4" s="4898" t="s">
        <v>1237</v>
      </c>
      <c r="F4" s="4898"/>
      <c r="G4" s="4898"/>
      <c r="H4" s="4898"/>
      <c r="I4" s="4898"/>
      <c r="J4" s="4863"/>
      <c r="K4" s="4864"/>
      <c r="L4" s="4864"/>
      <c r="M4" s="1928"/>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450</v>
      </c>
      <c r="K6" s="4874" t="s">
        <v>152</v>
      </c>
      <c r="L6" s="4875"/>
      <c r="M6" s="1855">
        <v>500</v>
      </c>
      <c r="N6" s="4861" t="s">
        <v>178</v>
      </c>
      <c r="O6" s="4862"/>
      <c r="P6" s="1854">
        <v>550</v>
      </c>
      <c r="Q6" s="70"/>
    </row>
    <row r="7" spans="1:41" s="251" customFormat="1" ht="18.75" customHeight="1">
      <c r="A7" s="47"/>
      <c r="B7" s="305" t="s">
        <v>1202</v>
      </c>
      <c r="C7" s="47"/>
      <c r="D7" s="47"/>
      <c r="E7" s="47"/>
      <c r="F7" s="47"/>
      <c r="G7" s="1852"/>
      <c r="H7" s="1849"/>
      <c r="I7" s="1848"/>
      <c r="J7" s="1582">
        <f>SUM(I9:I10)</f>
        <v>10803.766666666666</v>
      </c>
      <c r="K7" s="1851"/>
      <c r="L7" s="1850"/>
      <c r="M7" s="1585">
        <f>SUM(L9:L10)</f>
        <v>11989.166666666666</v>
      </c>
      <c r="N7" s="1849"/>
      <c r="O7" s="1848"/>
      <c r="P7" s="1582">
        <f>SUM(O9:O10)</f>
        <v>13147.533333333333</v>
      </c>
      <c r="Q7" s="38" t="s">
        <v>1229</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t="s">
        <v>1240</v>
      </c>
    </row>
    <row r="9" spans="1:41" s="251" customFormat="1" ht="16.5" customHeight="1">
      <c r="A9" s="47"/>
      <c r="B9" s="305"/>
      <c r="C9" s="45" t="str">
        <f>IF('SDK1'!O9&gt;0,"Hauptprodukt (incl. MwSt.)","Hauptprodukt (ohne MwSt)")</f>
        <v>Hauptprodukt (ohne MwSt)</v>
      </c>
      <c r="D9" s="47"/>
      <c r="E9" s="47"/>
      <c r="F9" s="1846" t="s">
        <v>1201</v>
      </c>
      <c r="G9" s="1762">
        <f>'SDK1'!O42</f>
        <v>28.033333333333331</v>
      </c>
      <c r="H9" s="1845">
        <f>J6-H10</f>
        <v>383</v>
      </c>
      <c r="I9" s="1841">
        <f>H9*G9</f>
        <v>10736.766666666666</v>
      </c>
      <c r="J9" s="43"/>
      <c r="K9" s="1844">
        <f>M6-K10</f>
        <v>425</v>
      </c>
      <c r="L9" s="1843">
        <f>K9*G9</f>
        <v>11914.166666666666</v>
      </c>
      <c r="M9" s="1822"/>
      <c r="N9" s="1842">
        <f>P6-N10</f>
        <v>466</v>
      </c>
      <c r="O9" s="1841">
        <f>N9*G9</f>
        <v>13063.533333333333</v>
      </c>
      <c r="P9" s="43"/>
      <c r="Q9" s="38" t="s">
        <v>1227</v>
      </c>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v>1</v>
      </c>
      <c r="H10" s="1834">
        <v>67</v>
      </c>
      <c r="I10" s="1833">
        <f>H10*G10</f>
        <v>67</v>
      </c>
      <c r="J10" s="1838"/>
      <c r="K10" s="1837">
        <v>75</v>
      </c>
      <c r="L10" s="1836">
        <f>K10*G10</f>
        <v>75</v>
      </c>
      <c r="M10" s="1835"/>
      <c r="N10" s="1834">
        <v>84</v>
      </c>
      <c r="O10" s="1833">
        <f>N10*G10</f>
        <v>84</v>
      </c>
      <c r="P10" s="1832"/>
      <c r="Q10" s="38" t="s">
        <v>1239</v>
      </c>
      <c r="R10" s="1831">
        <f>I10+I11+I12</f>
        <v>67</v>
      </c>
      <c r="S10" s="1830">
        <f>L10+L11+L12</f>
        <v>75</v>
      </c>
      <c r="T10" s="1829">
        <f>O10+O11+O12</f>
        <v>84</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4425</v>
      </c>
      <c r="K23" s="1587"/>
      <c r="L23" s="1586"/>
      <c r="M23" s="1768">
        <f>SUM(L25:L26)</f>
        <v>4425</v>
      </c>
      <c r="N23" s="1584"/>
      <c r="O23" s="1583"/>
      <c r="P23" s="1567">
        <f>SUM(O25:O26)</f>
        <v>4425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'SDK7'!F71</f>
        <v>177</v>
      </c>
      <c r="G25" s="1762">
        <f>F25*(100+$D$24)/100</f>
        <v>177</v>
      </c>
      <c r="H25" s="1761">
        <v>25</v>
      </c>
      <c r="I25" s="1722">
        <f>H25*$G25</f>
        <v>4425</v>
      </c>
      <c r="J25" s="45"/>
      <c r="K25" s="1761">
        <f>H25</f>
        <v>25</v>
      </c>
      <c r="L25" s="1564">
        <f>K25*$G25</f>
        <v>4425</v>
      </c>
      <c r="M25" s="1557"/>
      <c r="N25" s="1761">
        <f>H25</f>
        <v>25</v>
      </c>
      <c r="O25" s="1722">
        <f>N25*$G25</f>
        <v>4425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595.76600000000008</v>
      </c>
      <c r="K27" s="1716"/>
      <c r="L27" s="1715"/>
      <c r="M27" s="1585">
        <f>SUM(L30:L33)</f>
        <v>658.78</v>
      </c>
      <c r="N27" s="1714"/>
      <c r="O27" s="1713"/>
      <c r="P27" s="1582">
        <f>SUM(O30:O33)</f>
        <v>721.7940000000001</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1224</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0.35</v>
      </c>
      <c r="F30" s="1742">
        <f>VLOOKUP(K2,'SD8'!B9:L42,7,FALSE)</f>
        <v>0.20000000000000007</v>
      </c>
      <c r="G30" s="1741">
        <v>20</v>
      </c>
      <c r="H30" s="1739">
        <f>IF(J$6=0,0,(J$6*$E30+$G30+X14))</f>
        <v>177.5</v>
      </c>
      <c r="I30" s="1722">
        <f>H30*$D30</f>
        <v>254.17999999999998</v>
      </c>
      <c r="J30" s="45"/>
      <c r="K30" s="1740">
        <f>IF(M$6=0,0,(M$6*$E30+$G30+Y14))</f>
        <v>195</v>
      </c>
      <c r="L30" s="1564">
        <f>K30*$D30</f>
        <v>279.24</v>
      </c>
      <c r="M30" s="1557"/>
      <c r="N30" s="1739">
        <f>IF(P$6=0,0,(P$6*$E30+$G30+Z14))</f>
        <v>212.5</v>
      </c>
      <c r="O30" s="1722">
        <f>N30*$D30</f>
        <v>304.3</v>
      </c>
      <c r="P30" s="1686"/>
      <c r="Q30" s="38"/>
    </row>
    <row r="31" spans="1:26" s="42" customFormat="1" ht="15" customHeight="1">
      <c r="A31" s="1284"/>
      <c r="B31" s="272"/>
      <c r="C31" s="1284" t="s">
        <v>244</v>
      </c>
      <c r="D31" s="1691">
        <f>'SDK1'!O53</f>
        <v>1.05</v>
      </c>
      <c r="E31" s="1742">
        <f>VLOOKUP(K2,'SD8'!B9:L42,4,FALSE)</f>
        <v>0.14000000000000001</v>
      </c>
      <c r="F31" s="1742">
        <f>VLOOKUP(K2,'SD8'!B9:L42,8,FALSE)</f>
        <v>9.9999999999999811E-3</v>
      </c>
      <c r="G31" s="1741"/>
      <c r="H31" s="1739">
        <f>IF(J$6=0,0,(J$6*$E31+$G31+X15))</f>
        <v>63.000000000000007</v>
      </c>
      <c r="I31" s="1722">
        <f>H31*$D31</f>
        <v>66.150000000000006</v>
      </c>
      <c r="J31" s="45"/>
      <c r="K31" s="1740">
        <f>IF(M$6=0,0,(M$6*$E31+$G31+Y15))</f>
        <v>70</v>
      </c>
      <c r="L31" s="1564">
        <f>K31*$D31</f>
        <v>73.5</v>
      </c>
      <c r="M31" s="1557"/>
      <c r="N31" s="1739">
        <f>IF(P$6=0,0,(P$6*$E31+$G31+Z15))</f>
        <v>77.000000000000014</v>
      </c>
      <c r="O31" s="1722">
        <f>N31*$D31</f>
        <v>80.850000000000023</v>
      </c>
      <c r="P31" s="1686"/>
      <c r="Q31" s="38"/>
    </row>
    <row r="32" spans="1:26" s="42" customFormat="1" ht="15" customHeight="1">
      <c r="A32" s="1284"/>
      <c r="B32" s="272"/>
      <c r="C32" s="1284" t="s">
        <v>242</v>
      </c>
      <c r="D32" s="1691">
        <f>'SDK1'!O54</f>
        <v>0.98000000000000009</v>
      </c>
      <c r="E32" s="1742">
        <f>VLOOKUP(K2,'SD8'!B9:L42,5,FALSE)</f>
        <v>0.6</v>
      </c>
      <c r="F32" s="1742">
        <f>VLOOKUP(K2,'SD8'!B9:L42,9,FALSE)</f>
        <v>0</v>
      </c>
      <c r="G32" s="1741"/>
      <c r="H32" s="1739">
        <f>IF(J$6=0,0,(J$6*$E32+$G32+X16))</f>
        <v>270</v>
      </c>
      <c r="I32" s="1722">
        <f>H32*$D32</f>
        <v>264.60000000000002</v>
      </c>
      <c r="J32" s="45"/>
      <c r="K32" s="1740">
        <f>IF(M$6=0,0,(M$6*$E32+$G32+Y16))</f>
        <v>300</v>
      </c>
      <c r="L32" s="1564">
        <f>K32*$D32</f>
        <v>294</v>
      </c>
      <c r="M32" s="1557"/>
      <c r="N32" s="1739">
        <f>IF(P$6=0,0,(P$6*$E32+$G32+Z16))</f>
        <v>330</v>
      </c>
      <c r="O32" s="1722">
        <f>N32*$D32</f>
        <v>323.40000000000003</v>
      </c>
      <c r="P32" s="1686"/>
      <c r="Q32" s="38"/>
    </row>
    <row r="33" spans="1:17" s="42" customFormat="1" ht="15" customHeight="1">
      <c r="A33" s="1284"/>
      <c r="B33" s="239"/>
      <c r="C33" s="1309" t="s">
        <v>240</v>
      </c>
      <c r="D33" s="1674">
        <f>'SDK1'!O55</f>
        <v>0.60200000000000009</v>
      </c>
      <c r="E33" s="1738">
        <f>VLOOKUP(K2,'SD8'!B9:L42,6,FALSE)</f>
        <v>0.04</v>
      </c>
      <c r="F33" s="1738">
        <f>VLOOKUP(K2,'SD8'!B9:L40,10,FALSE)</f>
        <v>0</v>
      </c>
      <c r="G33" s="1737"/>
      <c r="H33" s="1735">
        <f>IF(J$6=0,0,(J$6*$E33+$G33+X17))</f>
        <v>18</v>
      </c>
      <c r="I33" s="1718">
        <f>H33*$D33</f>
        <v>10.836000000000002</v>
      </c>
      <c r="J33" s="45"/>
      <c r="K33" s="1736">
        <f>IF(M$6=0,0,(M$6*$E33+$G33+Y17))</f>
        <v>20</v>
      </c>
      <c r="L33" s="1558">
        <f>K33*$D33</f>
        <v>12.040000000000003</v>
      </c>
      <c r="M33" s="1557"/>
      <c r="N33" s="1735">
        <f>IF(P$6=0,0,(P$6*$E33+$G33+Z17))</f>
        <v>22</v>
      </c>
      <c r="O33" s="1718">
        <f>N33*$D33</f>
        <v>13.244000000000002</v>
      </c>
      <c r="P33" s="1717"/>
      <c r="Q33" s="38"/>
    </row>
    <row r="34" spans="1:17" s="686" customFormat="1" ht="18.75" customHeight="1">
      <c r="A34" s="1248"/>
      <c r="B34" s="1254" t="s">
        <v>1178</v>
      </c>
      <c r="C34" s="1248"/>
      <c r="D34" s="37"/>
      <c r="E34" s="37"/>
      <c r="F34" s="4876" t="s">
        <v>1177</v>
      </c>
      <c r="G34" s="4877"/>
      <c r="H34" s="1732"/>
      <c r="I34" s="1731"/>
      <c r="J34" s="1582">
        <f>SUM(I36:I42)</f>
        <v>328.36400000000003</v>
      </c>
      <c r="K34" s="1734"/>
      <c r="L34" s="1733"/>
      <c r="M34" s="1585">
        <f>SUM(L36:L42)</f>
        <v>328.36400000000003</v>
      </c>
      <c r="N34" s="1732"/>
      <c r="O34" s="1731"/>
      <c r="P34" s="1582">
        <f>SUM(O36:O42)</f>
        <v>328.36400000000003</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655</v>
      </c>
      <c r="D36" s="4884"/>
      <c r="E36" s="4885"/>
      <c r="F36" s="1724">
        <f>IF(C36="",0,VLOOKUP(C36,'SDK5'!C3:AF83,2,FALSE))</f>
        <v>32.799999999999997</v>
      </c>
      <c r="G36" s="1724">
        <f t="shared" ref="G36:G42" si="0">F36*(100+$D$35)/100</f>
        <v>32.799999999999997</v>
      </c>
      <c r="H36" s="1723">
        <v>3.5</v>
      </c>
      <c r="I36" s="1722">
        <f t="shared" ref="I36:I42" si="1">$G36*H36</f>
        <v>114.79999999999998</v>
      </c>
      <c r="J36" s="45"/>
      <c r="K36" s="1723">
        <v>3.5</v>
      </c>
      <c r="L36" s="1564">
        <f t="shared" ref="L36:L42" si="2">$G36*K36</f>
        <v>114.79999999999998</v>
      </c>
      <c r="M36" s="1557"/>
      <c r="N36" s="1723">
        <v>3.5</v>
      </c>
      <c r="O36" s="1722">
        <f t="shared" ref="O36:O42" si="3">$G36*N36</f>
        <v>114.79999999999998</v>
      </c>
      <c r="P36" s="1726"/>
      <c r="Q36" s="38"/>
    </row>
    <row r="37" spans="1:17" s="42" customFormat="1" ht="15" customHeight="1">
      <c r="A37" s="1284"/>
      <c r="B37" s="1562"/>
      <c r="C37" s="4870" t="s">
        <v>605</v>
      </c>
      <c r="D37" s="4870"/>
      <c r="E37" s="4871"/>
      <c r="F37" s="1724">
        <f>IF(C37="",0,VLOOKUP(C37,'SDK5'!C4:AF84,2,FALSE))</f>
        <v>62.8</v>
      </c>
      <c r="G37" s="1724">
        <f t="shared" si="0"/>
        <v>62.8</v>
      </c>
      <c r="H37" s="1723">
        <v>0.4</v>
      </c>
      <c r="I37" s="1722">
        <f t="shared" si="1"/>
        <v>25.12</v>
      </c>
      <c r="J37" s="45"/>
      <c r="K37" s="1723">
        <v>0.4</v>
      </c>
      <c r="L37" s="1564">
        <f t="shared" si="2"/>
        <v>25.12</v>
      </c>
      <c r="M37" s="1557"/>
      <c r="N37" s="1723">
        <v>0.4</v>
      </c>
      <c r="O37" s="1722">
        <f t="shared" si="3"/>
        <v>25.12</v>
      </c>
      <c r="P37" s="1686"/>
      <c r="Q37" s="38"/>
    </row>
    <row r="38" spans="1:17" s="42" customFormat="1" ht="15" customHeight="1">
      <c r="A38" s="1284"/>
      <c r="B38" s="1725"/>
      <c r="C38" s="4870" t="s">
        <v>351</v>
      </c>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t="s">
        <v>617</v>
      </c>
      <c r="D39" s="4870"/>
      <c r="E39" s="4871"/>
      <c r="F39" s="1724">
        <f>IF(C39="",0,VLOOKUP(C39,'SDK5'!C6:AF86,2,FALSE))</f>
        <v>15.3</v>
      </c>
      <c r="G39" s="1724">
        <f t="shared" si="0"/>
        <v>15.3</v>
      </c>
      <c r="H39" s="1723">
        <v>3.6</v>
      </c>
      <c r="I39" s="1722">
        <f t="shared" si="1"/>
        <v>55.080000000000005</v>
      </c>
      <c r="J39" s="45"/>
      <c r="K39" s="1723">
        <v>3.6</v>
      </c>
      <c r="L39" s="1564">
        <f t="shared" si="2"/>
        <v>55.080000000000005</v>
      </c>
      <c r="M39" s="1557"/>
      <c r="N39" s="1723">
        <v>3.6</v>
      </c>
      <c r="O39" s="1722">
        <f t="shared" si="3"/>
        <v>55.080000000000005</v>
      </c>
      <c r="P39" s="1686"/>
      <c r="Q39" s="38"/>
    </row>
    <row r="40" spans="1:17" s="42" customFormat="1" ht="15" customHeight="1">
      <c r="A40" s="1284"/>
      <c r="B40" s="1562"/>
      <c r="C40" s="4870" t="s">
        <v>604</v>
      </c>
      <c r="D40" s="4870"/>
      <c r="E40" s="4871"/>
      <c r="F40" s="1724">
        <f>IF(C40="",0,VLOOKUP(C40,'SDK5'!C7:AF87,2,FALSE))</f>
        <v>44.1</v>
      </c>
      <c r="G40" s="1724">
        <f t="shared" si="0"/>
        <v>44.1</v>
      </c>
      <c r="H40" s="1723">
        <v>1.6</v>
      </c>
      <c r="I40" s="1722">
        <f t="shared" si="1"/>
        <v>70.56</v>
      </c>
      <c r="J40" s="45"/>
      <c r="K40" s="1723">
        <v>1.6</v>
      </c>
      <c r="L40" s="1564">
        <f t="shared" si="2"/>
        <v>70.56</v>
      </c>
      <c r="M40" s="1557"/>
      <c r="N40" s="1723">
        <v>1.6</v>
      </c>
      <c r="O40" s="1722">
        <f t="shared" si="3"/>
        <v>70.56</v>
      </c>
      <c r="P40" s="1686"/>
      <c r="Q40" s="38"/>
    </row>
    <row r="41" spans="1:17" s="42" customFormat="1" ht="15" customHeight="1">
      <c r="A41" s="1284"/>
      <c r="B41" s="1562"/>
      <c r="C41" s="4870" t="s">
        <v>640</v>
      </c>
      <c r="D41" s="4870"/>
      <c r="E41" s="4871"/>
      <c r="F41" s="1724">
        <f>IF(C41="",0,VLOOKUP(C41,'SDK5'!C8:AF88,2,FALSE))</f>
        <v>412.6</v>
      </c>
      <c r="G41" s="1724">
        <f t="shared" si="0"/>
        <v>412.6</v>
      </c>
      <c r="H41" s="1723">
        <v>0.06</v>
      </c>
      <c r="I41" s="1722">
        <f t="shared" si="1"/>
        <v>24.756</v>
      </c>
      <c r="J41" s="45"/>
      <c r="K41" s="1723">
        <v>0.06</v>
      </c>
      <c r="L41" s="1564">
        <f t="shared" si="2"/>
        <v>24.756</v>
      </c>
      <c r="M41" s="1557"/>
      <c r="N41" s="1723">
        <v>0.06</v>
      </c>
      <c r="O41" s="1722">
        <f t="shared" si="3"/>
        <v>24.756</v>
      </c>
      <c r="P41" s="1686"/>
      <c r="Q41" s="38"/>
    </row>
    <row r="42" spans="1:17" s="42" customFormat="1" ht="15" customHeight="1">
      <c r="A42" s="1284"/>
      <c r="B42" s="1721"/>
      <c r="C42" s="4856" t="s">
        <v>600</v>
      </c>
      <c r="D42" s="4856"/>
      <c r="E42" s="4857"/>
      <c r="F42" s="1724">
        <f>IF(C42="",0,VLOOKUP(C42,'SDK5'!C9:AF89,2,FALSE))</f>
        <v>237.8</v>
      </c>
      <c r="G42" s="1720">
        <f t="shared" si="0"/>
        <v>237.8</v>
      </c>
      <c r="H42" s="1719">
        <v>0.16</v>
      </c>
      <c r="I42" s="1718">
        <f t="shared" si="1"/>
        <v>38.048000000000002</v>
      </c>
      <c r="J42" s="45"/>
      <c r="K42" s="1719">
        <v>0.16</v>
      </c>
      <c r="L42" s="1558">
        <f t="shared" si="2"/>
        <v>38.048000000000002</v>
      </c>
      <c r="M42" s="1557"/>
      <c r="N42" s="1719">
        <v>0.16</v>
      </c>
      <c r="O42" s="1718">
        <f t="shared" si="3"/>
        <v>38.048000000000002</v>
      </c>
      <c r="P42" s="1717"/>
      <c r="Q42" s="38"/>
    </row>
    <row r="43" spans="1:17" s="686" customFormat="1" ht="18.75" customHeight="1">
      <c r="A43" s="1248"/>
      <c r="B43" s="1254" t="s">
        <v>1175</v>
      </c>
      <c r="C43" s="1248"/>
      <c r="D43" s="1248"/>
      <c r="E43" s="1248"/>
      <c r="F43" s="1248"/>
      <c r="G43" s="1588"/>
      <c r="H43" s="1714"/>
      <c r="I43" s="1713"/>
      <c r="J43" s="1582">
        <f>SUM(J46:J57)</f>
        <v>500.84010960598312</v>
      </c>
      <c r="K43" s="1716"/>
      <c r="L43" s="1715"/>
      <c r="M43" s="1585">
        <f>SUM(M46:M57)</f>
        <v>516.01898275798317</v>
      </c>
      <c r="N43" s="1714"/>
      <c r="O43" s="1713"/>
      <c r="P43" s="1582">
        <f>SUM(P46:P57)</f>
        <v>530.8364541682688</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 t="shared" ref="Q46:Q57" si="10">$Q$2*H46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f t="shared" si="10"/>
        <v>0</v>
      </c>
    </row>
    <row r="48" spans="1:17" s="42" customFormat="1" ht="15" customHeight="1">
      <c r="A48" s="1284"/>
      <c r="B48" s="1694"/>
      <c r="C48" s="4882" t="s">
        <v>374</v>
      </c>
      <c r="D48" s="4883"/>
      <c r="E48" s="1693">
        <f>IF($C48=0,0,VLOOKUP($C48,'SDK3'!$C$24:$O$86,4,FALSE))</f>
        <v>83</v>
      </c>
      <c r="F48" s="1692">
        <f>IF($C48=0,0,VLOOKUP($C48,'SDK3'!$C$24:$O$86,12,FALSE))</f>
        <v>1.1399999999999999</v>
      </c>
      <c r="G48" s="1691">
        <f>IF($C48=0,0,VLOOKUP($C48,'SDK3'!$C$24:$O$86,13,FALSE))</f>
        <v>31.267352355294115</v>
      </c>
      <c r="H48" s="1688">
        <v>1</v>
      </c>
      <c r="I48" s="1687">
        <f t="shared" si="4"/>
        <v>1.1399999999999999</v>
      </c>
      <c r="J48" s="1686">
        <f t="shared" si="5"/>
        <v>31.267352355294115</v>
      </c>
      <c r="K48" s="1688">
        <v>1</v>
      </c>
      <c r="L48" s="1690">
        <f t="shared" si="6"/>
        <v>1.1399999999999999</v>
      </c>
      <c r="M48" s="1689">
        <f t="shared" si="7"/>
        <v>31.267352355294115</v>
      </c>
      <c r="N48" s="1688">
        <v>1</v>
      </c>
      <c r="O48" s="1687">
        <f t="shared" si="8"/>
        <v>1.1399999999999999</v>
      </c>
      <c r="P48" s="1686">
        <f t="shared" si="9"/>
        <v>31.267352355294115</v>
      </c>
      <c r="Q48" s="38">
        <f t="shared" si="10"/>
        <v>0</v>
      </c>
    </row>
    <row r="49" spans="1:17" s="42" customFormat="1" ht="15" customHeight="1">
      <c r="A49" s="1284"/>
      <c r="B49" s="1694"/>
      <c r="C49" s="4882" t="s">
        <v>370</v>
      </c>
      <c r="D49" s="4883"/>
      <c r="E49" s="1693">
        <f>IF($C49=0,0,VLOOKUP($C49,'SDK3'!$C$24:$O$86,4,FALSE))</f>
        <v>54</v>
      </c>
      <c r="F49" s="1692">
        <f>IF($C49=0,0,VLOOKUP($C49,'SDK3'!$C$24:$O$86,12,FALSE))</f>
        <v>0.71</v>
      </c>
      <c r="G49" s="1691">
        <f>IF($C49=0,0,VLOOKUP($C49,'SDK3'!$C$24:$O$86,13,FALSE))</f>
        <v>12.216527541176468</v>
      </c>
      <c r="H49" s="1688">
        <v>1</v>
      </c>
      <c r="I49" s="1687">
        <f t="shared" si="4"/>
        <v>0.71</v>
      </c>
      <c r="J49" s="1686">
        <f t="shared" si="5"/>
        <v>12.216527541176468</v>
      </c>
      <c r="K49" s="1688">
        <v>1</v>
      </c>
      <c r="L49" s="1690">
        <f t="shared" si="6"/>
        <v>0.71</v>
      </c>
      <c r="M49" s="1689">
        <f t="shared" si="7"/>
        <v>12.216527541176468</v>
      </c>
      <c r="N49" s="1688">
        <v>1</v>
      </c>
      <c r="O49" s="1687">
        <f t="shared" si="8"/>
        <v>0.71</v>
      </c>
      <c r="P49" s="1686">
        <f t="shared" si="9"/>
        <v>12.216527541176468</v>
      </c>
      <c r="Q49" s="38">
        <f t="shared" si="10"/>
        <v>0</v>
      </c>
    </row>
    <row r="50" spans="1:17" s="42" customFormat="1" ht="15" customHeight="1">
      <c r="A50" s="1284"/>
      <c r="B50" s="1694"/>
      <c r="C50" s="4882" t="s">
        <v>342</v>
      </c>
      <c r="D50" s="4883"/>
      <c r="E50" s="1693">
        <f>IF($C50=0,0,VLOOKUP($C50,'SDK3'!$C$24:$O$86,4,FALSE))</f>
        <v>54</v>
      </c>
      <c r="F50" s="1692">
        <f>IF($C50=0,0,VLOOKUP($C50,'SDK3'!$C$24:$O$86,12,FALSE))</f>
        <v>10.19</v>
      </c>
      <c r="G50" s="1691">
        <f>IF($C50=0,0,VLOOKUP($C50,'SDK3'!$C$24:$O$86,13,FALSE))</f>
        <v>149.83664175294115</v>
      </c>
      <c r="H50" s="1688">
        <v>1</v>
      </c>
      <c r="I50" s="1687">
        <f t="shared" si="4"/>
        <v>10.19</v>
      </c>
      <c r="J50" s="1686">
        <f t="shared" si="5"/>
        <v>149.83664175294115</v>
      </c>
      <c r="K50" s="1688">
        <v>1</v>
      </c>
      <c r="L50" s="1690">
        <f t="shared" si="6"/>
        <v>10.19</v>
      </c>
      <c r="M50" s="1689">
        <f t="shared" si="7"/>
        <v>149.83664175294115</v>
      </c>
      <c r="N50" s="1688">
        <v>1</v>
      </c>
      <c r="O50" s="1687">
        <f t="shared" si="8"/>
        <v>10.19</v>
      </c>
      <c r="P50" s="1686">
        <f t="shared" si="9"/>
        <v>149.83664175294115</v>
      </c>
      <c r="Q50" s="38">
        <f t="shared" si="10"/>
        <v>0</v>
      </c>
    </row>
    <row r="51" spans="1:17" s="42" customFormat="1" ht="15" customHeight="1">
      <c r="A51" s="1284"/>
      <c r="B51" s="1694"/>
      <c r="C51" s="4882" t="s">
        <v>426</v>
      </c>
      <c r="D51" s="4883"/>
      <c r="E51" s="1693">
        <f>IF($C51=0,0,VLOOKUP($C51,'SDK3'!$C$24:$O$86,4,FALSE))</f>
        <v>54</v>
      </c>
      <c r="F51" s="1692">
        <f>IF($C51=0,0,VLOOKUP($C51,'SDK3'!$C$24:$O$86,12,FALSE))</f>
        <v>0.37</v>
      </c>
      <c r="G51" s="1691">
        <f>IF($C51=0,0,VLOOKUP($C51,'SDK3'!$C$24:$O$86,13,FALSE))</f>
        <v>4.2780853988235288</v>
      </c>
      <c r="H51" s="1688">
        <v>2</v>
      </c>
      <c r="I51" s="1687">
        <f t="shared" si="4"/>
        <v>0.74</v>
      </c>
      <c r="J51" s="1686">
        <f t="shared" si="5"/>
        <v>8.5561707976470576</v>
      </c>
      <c r="K51" s="1688">
        <v>2</v>
      </c>
      <c r="L51" s="1690">
        <f t="shared" si="6"/>
        <v>0.74</v>
      </c>
      <c r="M51" s="1689">
        <f t="shared" si="7"/>
        <v>8.5561707976470576</v>
      </c>
      <c r="N51" s="1688">
        <v>2</v>
      </c>
      <c r="O51" s="1687">
        <f t="shared" si="8"/>
        <v>0.74</v>
      </c>
      <c r="P51" s="1686">
        <f t="shared" si="9"/>
        <v>8.5561707976470576</v>
      </c>
      <c r="Q51" s="38">
        <f t="shared" si="10"/>
        <v>0</v>
      </c>
    </row>
    <row r="52" spans="1:17" s="42" customFormat="1" ht="15" customHeight="1">
      <c r="A52" s="1284"/>
      <c r="B52" s="1694"/>
      <c r="C52" s="4882" t="s">
        <v>419</v>
      </c>
      <c r="D52" s="4883"/>
      <c r="E52" s="1693">
        <f>IF($C52=0,0,VLOOKUP($C52,'SDK3'!$C$24:$O$86,4,FALSE))</f>
        <v>83</v>
      </c>
      <c r="F52" s="1692">
        <f>IF($C52=0,0,VLOOKUP($C52,'SDK3'!$C$24:$O$86,12,FALSE))</f>
        <v>0.39</v>
      </c>
      <c r="G52" s="1691">
        <f>IF($C52=0,0,VLOOKUP($C52,'SDK3'!$C$24:$O$86,13,FALSE))</f>
        <v>6.5093573847058819</v>
      </c>
      <c r="H52" s="1688">
        <v>10</v>
      </c>
      <c r="I52" s="1687">
        <f t="shared" si="4"/>
        <v>3.9000000000000004</v>
      </c>
      <c r="J52" s="1686">
        <f t="shared" si="5"/>
        <v>65.093573847058821</v>
      </c>
      <c r="K52" s="1688">
        <v>10</v>
      </c>
      <c r="L52" s="1690">
        <f t="shared" si="6"/>
        <v>3.9000000000000004</v>
      </c>
      <c r="M52" s="1689">
        <f t="shared" si="7"/>
        <v>65.093573847058821</v>
      </c>
      <c r="N52" s="1688">
        <v>10</v>
      </c>
      <c r="O52" s="1687">
        <f t="shared" si="8"/>
        <v>3.9000000000000004</v>
      </c>
      <c r="P52" s="1686">
        <f t="shared" si="9"/>
        <v>65.093573847058821</v>
      </c>
      <c r="Q52" s="38">
        <f t="shared" si="10"/>
        <v>0</v>
      </c>
    </row>
    <row r="53" spans="1:17" s="42" customFormat="1" ht="15" customHeight="1">
      <c r="A53" s="1284"/>
      <c r="B53" s="1694"/>
      <c r="C53" s="4882" t="s">
        <v>350</v>
      </c>
      <c r="D53" s="4883"/>
      <c r="E53" s="1693">
        <f>IF($C53=0,0,VLOOKUP($C53,'SDK3'!$C$24:$O$86,4,FALSE))</f>
        <v>102</v>
      </c>
      <c r="F53" s="1692">
        <f>IF($C53=0,0,VLOOKUP($C53,'SDK3'!$C$24:$O$86,12,FALSE))</f>
        <v>1.68</v>
      </c>
      <c r="G53" s="1691">
        <f>IF($C53=0,0,VLOOKUP($C53,'SDK3'!$C$24:$O$86,13,FALSE))</f>
        <v>37.94718288</v>
      </c>
      <c r="H53" s="1688">
        <f>$H$9/10/10.5</f>
        <v>3.6476190476190475</v>
      </c>
      <c r="I53" s="1687">
        <f t="shared" si="4"/>
        <v>6.1279999999999992</v>
      </c>
      <c r="J53" s="1686">
        <f t="shared" si="5"/>
        <v>138.41686707657144</v>
      </c>
      <c r="K53" s="1688">
        <f>$K$9/10/10.5</f>
        <v>4.0476190476190474</v>
      </c>
      <c r="L53" s="1690">
        <f t="shared" si="6"/>
        <v>6.8</v>
      </c>
      <c r="M53" s="1689">
        <f t="shared" si="7"/>
        <v>153.59574022857143</v>
      </c>
      <c r="N53" s="1688">
        <f>$N$9/10/10.5</f>
        <v>4.4380952380952383</v>
      </c>
      <c r="O53" s="1687">
        <f t="shared" si="8"/>
        <v>7.4560000000000004</v>
      </c>
      <c r="P53" s="1686">
        <f t="shared" si="9"/>
        <v>168.41321163885715</v>
      </c>
      <c r="Q53" s="38">
        <f t="shared" si="10"/>
        <v>0</v>
      </c>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f t="shared" si="10"/>
        <v>0</v>
      </c>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f t="shared" si="10"/>
        <v>0</v>
      </c>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f t="shared" si="10"/>
        <v>0</v>
      </c>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f t="shared" si="10"/>
        <v>0</v>
      </c>
    </row>
    <row r="58" spans="1:17" s="65" customFormat="1" ht="18.75" customHeight="1">
      <c r="A58" s="1351"/>
      <c r="B58" s="1254" t="s">
        <v>1167</v>
      </c>
      <c r="C58" s="1351"/>
      <c r="D58" s="1351"/>
      <c r="E58" s="1351"/>
      <c r="F58" s="38"/>
      <c r="G58" s="1588"/>
      <c r="H58" s="1665"/>
      <c r="I58" s="1664">
        <f>SUM($I$46:$I$57)</f>
        <v>25.298000000000002</v>
      </c>
      <c r="J58" s="1669"/>
      <c r="K58" s="1668"/>
      <c r="L58" s="1667">
        <f>SUM($L$46:$L$57)</f>
        <v>25.970000000000002</v>
      </c>
      <c r="M58" s="1666"/>
      <c r="N58" s="1665"/>
      <c r="O58" s="1664">
        <f>SUM($O$46:$O$57)</f>
        <v>26.626000000000001</v>
      </c>
      <c r="P58" s="1663"/>
      <c r="Q58" s="38"/>
    </row>
    <row r="59" spans="1:17" s="65" customFormat="1" ht="15" customHeight="1">
      <c r="A59" s="1351"/>
      <c r="B59" s="1662"/>
      <c r="C59" s="346"/>
      <c r="D59" s="278" t="s">
        <v>1166</v>
      </c>
      <c r="E59" s="1661">
        <v>80</v>
      </c>
      <c r="F59" s="346" t="s">
        <v>1165</v>
      </c>
      <c r="G59" s="1660"/>
      <c r="H59" s="1656"/>
      <c r="I59" s="1655">
        <f>IF(I58+SUM($I$46:$I$57)*$E$59%&gt;I58+10,I58+10,I58+SUM($I$46:$I$57)*$E$59%)</f>
        <v>35.298000000000002</v>
      </c>
      <c r="J59" s="1654"/>
      <c r="K59" s="1659"/>
      <c r="L59" s="1658">
        <f>IF(L58+SUM($L$46:$L$57)*$E$59%&gt;L58+10,L58+10,L58+SUM($L$46:$L$57)*$E$59%)</f>
        <v>35.97</v>
      </c>
      <c r="M59" s="1657"/>
      <c r="N59" s="1656"/>
      <c r="O59" s="1655">
        <f>IF(O58+SUM($O$46:$O$57)*$E$59%&gt;O58+10,O58+10,O58+SUM($O$46:$O$57)*$E$59%)</f>
        <v>36.626000000000005</v>
      </c>
      <c r="P59" s="1654"/>
      <c r="Q59" s="38"/>
    </row>
    <row r="60" spans="1:17" s="42" customFormat="1" ht="18.75" customHeight="1">
      <c r="A60" s="1284"/>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320</v>
      </c>
      <c r="D62" s="4860"/>
      <c r="E62" s="4860"/>
      <c r="F62" s="1642">
        <f>IF($C62=0,0,VLOOKUP($C62,'SDK3'!$C$92:$D$106,2,FALSE))</f>
        <v>600</v>
      </c>
      <c r="G62" s="1641">
        <f>(100+$D$61)/100*F62</f>
        <v>600</v>
      </c>
      <c r="H62" s="227"/>
      <c r="I62" s="1637">
        <f>$G$62</f>
        <v>600</v>
      </c>
      <c r="J62" s="227"/>
      <c r="K62" s="1640"/>
      <c r="L62" s="1639">
        <f>$G$62</f>
        <v>600</v>
      </c>
      <c r="M62" s="1557"/>
      <c r="N62" s="1638"/>
      <c r="O62" s="1637">
        <f>$G$62</f>
        <v>600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510</v>
      </c>
      <c r="K65" s="1597"/>
      <c r="L65" s="1597"/>
      <c r="M65" s="1585">
        <f>K66*$E66</f>
        <v>510</v>
      </c>
      <c r="N65" s="73"/>
      <c r="O65" s="73"/>
      <c r="P65" s="1582">
        <f>N66*$E66</f>
        <v>510</v>
      </c>
      <c r="Q65" s="38" t="s">
        <v>1236</v>
      </c>
    </row>
    <row r="66" spans="1:20" s="686" customFormat="1" ht="15" customHeight="1">
      <c r="A66" s="1248"/>
      <c r="B66" s="1616"/>
      <c r="C66" s="1355"/>
      <c r="D66" s="278" t="s">
        <v>1004</v>
      </c>
      <c r="E66" s="1615">
        <v>8.5</v>
      </c>
      <c r="F66" s="1590"/>
      <c r="G66" s="1614" t="s">
        <v>463</v>
      </c>
      <c r="H66" s="1612">
        <v>60</v>
      </c>
      <c r="I66" s="1611"/>
      <c r="J66" s="1600"/>
      <c r="K66" s="1612">
        <v>60</v>
      </c>
      <c r="L66" s="1613"/>
      <c r="M66" s="1603"/>
      <c r="N66" s="1612">
        <v>60</v>
      </c>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162.0565</v>
      </c>
      <c r="K69" s="1598"/>
      <c r="L69" s="1597"/>
      <c r="M69" s="1585">
        <f>K70*$F70/1000</f>
        <v>179.83750000000001</v>
      </c>
      <c r="N69" s="44"/>
      <c r="O69" s="73"/>
      <c r="P69" s="1582">
        <f>N70*$F70/1000</f>
        <v>197.21299999999999</v>
      </c>
      <c r="Q69" s="38"/>
    </row>
    <row r="70" spans="1:20" s="686" customFormat="1" ht="15" customHeight="1">
      <c r="A70" s="1248"/>
      <c r="B70" s="1310"/>
      <c r="C70" s="1309" t="s">
        <v>840</v>
      </c>
      <c r="D70" s="346"/>
      <c r="E70" s="278"/>
      <c r="F70" s="1596">
        <f>'SDK7'!G112</f>
        <v>15</v>
      </c>
      <c r="G70" s="1595" t="s">
        <v>171</v>
      </c>
      <c r="H70" s="1591">
        <f>I9+I10</f>
        <v>10803.766666666666</v>
      </c>
      <c r="I70" s="1590"/>
      <c r="J70" s="1589"/>
      <c r="K70" s="1594">
        <f>L9+L10</f>
        <v>11989.166666666666</v>
      </c>
      <c r="L70" s="1593"/>
      <c r="M70" s="1592"/>
      <c r="N70" s="1591">
        <f>O9+O10</f>
        <v>13147.533333333333</v>
      </c>
      <c r="O70" s="1590"/>
      <c r="P70" s="1589"/>
      <c r="Q70" s="38"/>
    </row>
    <row r="71" spans="1:20" ht="18.75" customHeight="1">
      <c r="A71" s="370"/>
      <c r="B71" s="305" t="s">
        <v>1157</v>
      </c>
      <c r="C71" s="370"/>
      <c r="D71" s="370"/>
      <c r="E71" s="229"/>
      <c r="G71" s="1588"/>
      <c r="H71" s="1584"/>
      <c r="I71" s="1583"/>
      <c r="J71" s="1582">
        <f>SUM(I73:I74)</f>
        <v>270</v>
      </c>
      <c r="K71" s="1587"/>
      <c r="L71" s="1586"/>
      <c r="M71" s="1585">
        <f>SUM(L73:L74)</f>
        <v>270</v>
      </c>
      <c r="N71" s="1584"/>
      <c r="O71" s="1583"/>
      <c r="P71" s="1582">
        <f>SUM(O73:O74)</f>
        <v>270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t="s">
        <v>1238</v>
      </c>
      <c r="D73" s="4895"/>
      <c r="E73" s="4895"/>
      <c r="F73" s="1566"/>
      <c r="G73" s="1565"/>
      <c r="H73" s="1559">
        <v>270</v>
      </c>
      <c r="I73" s="1563">
        <f>(100+$D$72)/100*H73</f>
        <v>270</v>
      </c>
      <c r="J73" s="45"/>
      <c r="K73" s="1559">
        <v>270</v>
      </c>
      <c r="L73" s="1564">
        <f>(100+$D$72)/100*K73</f>
        <v>270</v>
      </c>
      <c r="M73" s="1557"/>
      <c r="N73" s="1559">
        <v>270</v>
      </c>
      <c r="O73" s="1563">
        <f>(100+$D$72)/100*N73</f>
        <v>270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61.600221746716521</v>
      </c>
      <c r="K75" s="689"/>
      <c r="L75" s="1034"/>
      <c r="M75" s="1546">
        <f>(M23+M27+M34+M43+M60+M65+M67+M69+M71)*('SDK1'!$O$59%*$G$75/12)</f>
        <v>62.40000402298319</v>
      </c>
      <c r="N75" s="1548"/>
      <c r="O75" s="1547"/>
      <c r="P75" s="1546">
        <f>(P23+P27+P34+P43+P60+P65+P67+P69+P71)*('SDK1'!$O$59%*$G$75/12)</f>
        <v>63.193395451402232</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H159" s="1897"/>
      <c r="J159" s="1896"/>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K6:L6"/>
    <mergeCell ref="H6:I6"/>
    <mergeCell ref="F23:G23"/>
    <mergeCell ref="F34:G34"/>
    <mergeCell ref="N6:O6"/>
    <mergeCell ref="C17:F17"/>
    <mergeCell ref="C19:F19"/>
    <mergeCell ref="C14:F14"/>
    <mergeCell ref="C16:F16"/>
    <mergeCell ref="C20:F20"/>
    <mergeCell ref="C21:F21"/>
    <mergeCell ref="N1:O1"/>
    <mergeCell ref="E4:I4"/>
    <mergeCell ref="N3:O4"/>
    <mergeCell ref="J3:L3"/>
    <mergeCell ref="J4:L4"/>
    <mergeCell ref="K2:P2"/>
    <mergeCell ref="K1:L1"/>
    <mergeCell ref="B75:C75"/>
    <mergeCell ref="C41:E41"/>
    <mergeCell ref="E22:G22"/>
    <mergeCell ref="C39:E39"/>
    <mergeCell ref="C37:E37"/>
    <mergeCell ref="C74:E74"/>
    <mergeCell ref="C36:E36"/>
    <mergeCell ref="D26:E26"/>
    <mergeCell ref="C55:D55"/>
    <mergeCell ref="C73:E73"/>
    <mergeCell ref="C46:D46"/>
    <mergeCell ref="C50:D50"/>
    <mergeCell ref="C40:E40"/>
    <mergeCell ref="D25:E25"/>
    <mergeCell ref="C68:E68"/>
    <mergeCell ref="C62:E62"/>
    <mergeCell ref="C57:D57"/>
    <mergeCell ref="C63:E63"/>
    <mergeCell ref="C49:D49"/>
    <mergeCell ref="C64:E64"/>
    <mergeCell ref="C56:D56"/>
    <mergeCell ref="C38:E38"/>
    <mergeCell ref="E10:F10"/>
    <mergeCell ref="C53:D53"/>
    <mergeCell ref="C54:D54"/>
    <mergeCell ref="C51:D51"/>
    <mergeCell ref="C42:E42"/>
    <mergeCell ref="C47:D47"/>
    <mergeCell ref="C15:F15"/>
    <mergeCell ref="C48:D48"/>
    <mergeCell ref="C52:D52"/>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8" firstPageNumber="68" orientation="portrait" r:id="rId1"/>
  <headerFooter alignWithMargins="0">
    <oddFooter>&amp;L&amp;11LEL Schwäbisch Gmünd&amp;C81&amp;R&amp;11&amp;F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'SDK5'!$AB$214:$AB$313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8">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582"/>
      <c r="B1" s="1794"/>
      <c r="C1" s="1793"/>
      <c r="D1" s="3059"/>
      <c r="E1" s="1792"/>
      <c r="F1" s="1791"/>
      <c r="G1" s="1582"/>
      <c r="H1" s="1870"/>
      <c r="I1" s="1875" t="s">
        <v>1207</v>
      </c>
      <c r="J1" s="1874">
        <f>(J7+J13+J18+J22+I11+I12)-(J23+J27+J34+J43+J60+J65+J67+J69+J71+J75)</f>
        <v>689.68055800260572</v>
      </c>
      <c r="K1" s="4855">
        <f>M1-J1</f>
        <v>256.97628768796699</v>
      </c>
      <c r="L1" s="4855"/>
      <c r="M1" s="1874">
        <f>(M7+M13+M18+M22+L11+L12)-(M23+M27+M34+M43+M60+M65+M67+M69+M71+M75)</f>
        <v>946.65684569057271</v>
      </c>
      <c r="N1" s="4855">
        <f>P1-M1</f>
        <v>262.47975435463331</v>
      </c>
      <c r="O1" s="4855"/>
      <c r="P1" s="1874">
        <f>(P7+P13+P18+P22+O11+O12)-(P23+P27+P34+P43+P60+P65+P67+P69+P71+P75)</f>
        <v>1209.136600045206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211</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55</v>
      </c>
      <c r="K6" s="4874" t="s">
        <v>152</v>
      </c>
      <c r="L6" s="4875"/>
      <c r="M6" s="1855">
        <v>70</v>
      </c>
      <c r="N6" s="4861" t="s">
        <v>178</v>
      </c>
      <c r="O6" s="4862"/>
      <c r="P6" s="1854">
        <v>85</v>
      </c>
      <c r="Q6" s="70"/>
    </row>
    <row r="7" spans="1:41" s="251" customFormat="1" ht="18.75" customHeight="1">
      <c r="A7" s="47"/>
      <c r="B7" s="305" t="s">
        <v>1202</v>
      </c>
      <c r="C7" s="47"/>
      <c r="D7" s="47"/>
      <c r="E7" s="47"/>
      <c r="F7" s="47"/>
      <c r="G7" s="1852"/>
      <c r="H7" s="1849"/>
      <c r="I7" s="1848"/>
      <c r="J7" s="1582">
        <f>SUM(I9:I10)</f>
        <v>1364</v>
      </c>
      <c r="K7" s="1851"/>
      <c r="L7" s="1850"/>
      <c r="M7" s="1585">
        <f>SUM(L9:L10)</f>
        <v>1736</v>
      </c>
      <c r="N7" s="1849"/>
      <c r="O7" s="1848"/>
      <c r="P7" s="1582">
        <f>SUM(O9:O10)</f>
        <v>2108</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'SDK1'!O18</f>
        <v>24.8</v>
      </c>
      <c r="H9" s="1845">
        <f>J6-H10</f>
        <v>55</v>
      </c>
      <c r="I9" s="1841">
        <f>H9*G9</f>
        <v>1364</v>
      </c>
      <c r="J9" s="43"/>
      <c r="K9" s="1844">
        <f>M6-K10</f>
        <v>70</v>
      </c>
      <c r="L9" s="1843">
        <f>K9*G9</f>
        <v>1736</v>
      </c>
      <c r="M9" s="1822"/>
      <c r="N9" s="1842">
        <f>P6-N10</f>
        <v>85</v>
      </c>
      <c r="O9" s="1841">
        <f>N9*G9</f>
        <v>2108</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158.4</v>
      </c>
      <c r="K23" s="1587"/>
      <c r="L23" s="1586"/>
      <c r="M23" s="1768">
        <f>SUM(L25:L26)</f>
        <v>158.4</v>
      </c>
      <c r="N23" s="1584"/>
      <c r="O23" s="1583"/>
      <c r="P23" s="1567">
        <f>SUM(O25:O26)</f>
        <v>158.4</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'SDK7'!F47/100</f>
        <v>0.88</v>
      </c>
      <c r="G25" s="1762">
        <f>F25*(100+$D$24)/100</f>
        <v>0.88</v>
      </c>
      <c r="H25" s="1761">
        <v>180</v>
      </c>
      <c r="I25" s="1722">
        <f>H25*$G25</f>
        <v>158.4</v>
      </c>
      <c r="J25" s="45"/>
      <c r="K25" s="1761">
        <f>H25</f>
        <v>180</v>
      </c>
      <c r="L25" s="1564">
        <f>K25*$G25</f>
        <v>158.4</v>
      </c>
      <c r="M25" s="1557"/>
      <c r="N25" s="1761">
        <f>H25</f>
        <v>180</v>
      </c>
      <c r="O25" s="1722">
        <f>N25*$G25</f>
        <v>158.4</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279.98560000000003</v>
      </c>
      <c r="K27" s="1716"/>
      <c r="L27" s="1715"/>
      <c r="M27" s="1585">
        <f>SUM(L30:L33)</f>
        <v>348.53440000000001</v>
      </c>
      <c r="N27" s="1714"/>
      <c r="O27" s="1713"/>
      <c r="P27" s="1582">
        <f>SUM(O30:O33)</f>
        <v>417.08319999999998</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2.11</v>
      </c>
      <c r="F30" s="1742">
        <f>VLOOKUP(K2,'SD8'!B9:L42,7,FALSE)</f>
        <v>0.39999999999999991</v>
      </c>
      <c r="G30" s="1741">
        <v>20</v>
      </c>
      <c r="H30" s="1739">
        <f>IF(J$6=0,0,(J$6*$E30+$G30+X14))</f>
        <v>136.05000000000001</v>
      </c>
      <c r="I30" s="1722">
        <f>H30*$D30</f>
        <v>194.8236</v>
      </c>
      <c r="J30" s="45"/>
      <c r="K30" s="1740">
        <f>IF(M$6=0,0,(M$6*$E30+$G30+Y14))</f>
        <v>167.7</v>
      </c>
      <c r="L30" s="1564">
        <f>K30*$D30</f>
        <v>240.14639999999997</v>
      </c>
      <c r="M30" s="1557"/>
      <c r="N30" s="1739">
        <f>IF(P$6=0,0,(P$6*$E30+$G30+Z14))</f>
        <v>199.35</v>
      </c>
      <c r="O30" s="1722">
        <f>N30*$D30</f>
        <v>285.4692</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56</v>
      </c>
      <c r="L31" s="1564">
        <f>K31*$D31</f>
        <v>58.800000000000004</v>
      </c>
      <c r="M31" s="1557"/>
      <c r="N31" s="1739">
        <f>IF(P$6=0,0,(P$6*$E31+$G31+Z15))</f>
        <v>68</v>
      </c>
      <c r="O31" s="1722">
        <f>N31*$D31</f>
        <v>71.400000000000006</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42</v>
      </c>
      <c r="L32" s="1564">
        <f>K32*$D32</f>
        <v>41.160000000000004</v>
      </c>
      <c r="M32" s="1557"/>
      <c r="N32" s="1739">
        <f>IF(P$6=0,0,(P$6*$E32+$G32+Z16))</f>
        <v>51</v>
      </c>
      <c r="O32" s="1722">
        <f>N32*$D32</f>
        <v>49.980000000000004</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14</v>
      </c>
      <c r="L33" s="1558">
        <f>K33*$D33</f>
        <v>8.4280000000000008</v>
      </c>
      <c r="M33" s="1557"/>
      <c r="N33" s="1735">
        <f>IF(P$6=0,0,(P$6*$E33+$G33+Z17))</f>
        <v>17</v>
      </c>
      <c r="O33" s="1718">
        <f>N33*$D33</f>
        <v>10.234000000000002</v>
      </c>
      <c r="P33" s="1717"/>
      <c r="Q33" s="38"/>
    </row>
    <row r="34" spans="1:17" s="686" customFormat="1" ht="18.75" customHeight="1">
      <c r="A34" s="1248"/>
      <c r="B34" s="1254" t="s">
        <v>1178</v>
      </c>
      <c r="C34" s="1248"/>
      <c r="D34" s="37"/>
      <c r="E34" s="37"/>
      <c r="F34" s="4876" t="s">
        <v>1177</v>
      </c>
      <c r="G34" s="4877"/>
      <c r="H34" s="1732"/>
      <c r="I34" s="1731"/>
      <c r="J34" s="1582">
        <f>SUM(I36:I42)</f>
        <v>236.01999999999998</v>
      </c>
      <c r="K34" s="1734"/>
      <c r="L34" s="1733"/>
      <c r="M34" s="1585">
        <f>SUM(L36:L42)</f>
        <v>241.45999999999998</v>
      </c>
      <c r="N34" s="1732"/>
      <c r="O34" s="1731"/>
      <c r="P34" s="1582">
        <f>SUM(O36:O42)</f>
        <v>241.45999999999998</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650</v>
      </c>
      <c r="D36" s="4884"/>
      <c r="E36" s="4885"/>
      <c r="F36" s="1724">
        <f>IF(C36="",0,VLOOKUP(C36,'SDK5'!C3:AF83,2,FALSE))</f>
        <v>306</v>
      </c>
      <c r="G36" s="1724">
        <f t="shared" ref="G36:G42" si="0">F36*(100+$D$35)/100</f>
        <v>306</v>
      </c>
      <c r="H36" s="1723">
        <v>0.22</v>
      </c>
      <c r="I36" s="1722">
        <f t="shared" ref="I36:I42" si="1">$G36*H36</f>
        <v>67.320000000000007</v>
      </c>
      <c r="J36" s="45"/>
      <c r="K36" s="1723">
        <v>0.22</v>
      </c>
      <c r="L36" s="1564">
        <f t="shared" ref="L36:L42" si="2">$G36*K36</f>
        <v>67.320000000000007</v>
      </c>
      <c r="M36" s="1557"/>
      <c r="N36" s="1723">
        <v>0.22</v>
      </c>
      <c r="O36" s="1722">
        <f t="shared" ref="O36:O42" si="3">$G36*N36</f>
        <v>67.320000000000007</v>
      </c>
      <c r="P36" s="1726"/>
      <c r="Q36" s="38"/>
    </row>
    <row r="37" spans="1:17" s="42" customFormat="1" ht="15" customHeight="1">
      <c r="A37" s="1284"/>
      <c r="B37" s="1562"/>
      <c r="C37" s="4870" t="s">
        <v>644</v>
      </c>
      <c r="D37" s="4870"/>
      <c r="E37" s="4871"/>
      <c r="F37" s="1724">
        <f>IF(C37="",0,VLOOKUP(C37,'SDK5'!C4:AF84,2,FALSE))</f>
        <v>6.8</v>
      </c>
      <c r="G37" s="1724">
        <f t="shared" si="0"/>
        <v>6.8</v>
      </c>
      <c r="H37" s="1723"/>
      <c r="I37" s="1722">
        <f t="shared" si="1"/>
        <v>0</v>
      </c>
      <c r="J37" s="45"/>
      <c r="K37" s="1723">
        <v>0.8</v>
      </c>
      <c r="L37" s="1564">
        <f t="shared" si="2"/>
        <v>5.44</v>
      </c>
      <c r="M37" s="1557"/>
      <c r="N37" s="1723">
        <v>0.8</v>
      </c>
      <c r="O37" s="1722">
        <f t="shared" si="3"/>
        <v>5.44</v>
      </c>
      <c r="P37" s="1686"/>
      <c r="Q37" s="38"/>
    </row>
    <row r="38" spans="1:17" s="42" customFormat="1" ht="15" customHeight="1">
      <c r="A38" s="1284"/>
      <c r="B38" s="1725"/>
      <c r="C38" s="4870" t="s">
        <v>2007</v>
      </c>
      <c r="D38" s="4870"/>
      <c r="E38" s="4871"/>
      <c r="F38" s="1724">
        <f>IF(C38="",0,VLOOKUP(C38,'SDK5'!C5:AF85,2,FALSE))</f>
        <v>71.599999999999994</v>
      </c>
      <c r="G38" s="1724">
        <f t="shared" si="0"/>
        <v>71.599999999999994</v>
      </c>
      <c r="H38" s="1723">
        <v>1.5</v>
      </c>
      <c r="I38" s="1722">
        <f t="shared" si="1"/>
        <v>107.39999999999999</v>
      </c>
      <c r="J38" s="45"/>
      <c r="K38" s="1723">
        <v>1.5</v>
      </c>
      <c r="L38" s="1564">
        <f t="shared" si="2"/>
        <v>107.39999999999999</v>
      </c>
      <c r="M38" s="1557"/>
      <c r="N38" s="1723">
        <v>1.5</v>
      </c>
      <c r="O38" s="1722">
        <f t="shared" si="3"/>
        <v>107.39999999999999</v>
      </c>
      <c r="P38" s="1686"/>
      <c r="Q38" s="38"/>
    </row>
    <row r="39" spans="1:17" s="42" customFormat="1" ht="15" customHeight="1">
      <c r="A39" s="1284"/>
      <c r="B39" s="1562"/>
      <c r="C39" s="4870" t="s">
        <v>613</v>
      </c>
      <c r="D39" s="4870"/>
      <c r="E39" s="487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row>
    <row r="40" spans="1:17" s="42" customFormat="1" ht="15" customHeight="1">
      <c r="A40" s="1284"/>
      <c r="B40" s="1562"/>
      <c r="C40" s="4870" t="s">
        <v>351</v>
      </c>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t="s">
        <v>351</v>
      </c>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t="s">
        <v>351</v>
      </c>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160.76822040470586</v>
      </c>
      <c r="N43" s="1714"/>
      <c r="O43" s="1713"/>
      <c r="P43" s="1582">
        <f>SUM(P46:P57)</f>
        <v>167.44966486470585</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55/60</f>
        <v>0.91666666666666663</v>
      </c>
      <c r="I50" s="1687">
        <f t="shared" si="4"/>
        <v>0.51333333333333331</v>
      </c>
      <c r="J50" s="1686">
        <f t="shared" si="5"/>
        <v>8.8123165576470566</v>
      </c>
      <c r="K50" s="1688">
        <f>70/60</f>
        <v>1.1666666666666667</v>
      </c>
      <c r="L50" s="1690">
        <f t="shared" si="6"/>
        <v>0.65333333333333343</v>
      </c>
      <c r="M50" s="1689">
        <f t="shared" si="7"/>
        <v>11.215675618823528</v>
      </c>
      <c r="N50" s="1688">
        <f>85/60</f>
        <v>1.4166666666666667</v>
      </c>
      <c r="O50" s="1687">
        <f t="shared" si="8"/>
        <v>0.79333333333333345</v>
      </c>
      <c r="P50" s="1686">
        <f t="shared" si="9"/>
        <v>13.619034679999999</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6.2133333333333329</v>
      </c>
      <c r="M58" s="1666"/>
      <c r="N58" s="1665"/>
      <c r="O58" s="1664">
        <f>SUM($O$46:$O$57)</f>
        <v>6.7233333333333336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11.183999999999999</v>
      </c>
      <c r="M59" s="1657"/>
      <c r="N59" s="1656"/>
      <c r="O59" s="1655">
        <f>IF(O58+SUM($O$46:$O$57)*$E$59%&gt;O58+10,O58+10,O58+SUM($O$46:$O$57)*$E$59%)</f>
        <v>12.102</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126.35000000000001</v>
      </c>
      <c r="N67" s="1607" t="s">
        <v>1161</v>
      </c>
      <c r="O67" s="1606" t="s">
        <v>1160</v>
      </c>
      <c r="P67" s="1582">
        <f>T68*(N9+N10)*O68%+F68</f>
        <v>153.42500000000001</v>
      </c>
      <c r="Q67" s="38"/>
    </row>
    <row r="68" spans="1:20" s="686" customFormat="1" ht="15" customHeight="1">
      <c r="A68" s="1248"/>
      <c r="B68" s="1605"/>
      <c r="C68" s="4888" t="s">
        <v>1159</v>
      </c>
      <c r="D68" s="4888"/>
      <c r="E68" s="4888"/>
      <c r="F68" s="1604">
        <v>0</v>
      </c>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21.824000000000002</v>
      </c>
      <c r="K69" s="1598"/>
      <c r="L69" s="1597"/>
      <c r="M69" s="1585">
        <f>K70*$F70/1000</f>
        <v>27.776</v>
      </c>
      <c r="N69" s="44"/>
      <c r="O69" s="73"/>
      <c r="P69" s="1582">
        <f>N70*$F70/1000</f>
        <v>33.728000000000002</v>
      </c>
      <c r="Q69" s="38"/>
    </row>
    <row r="70" spans="1:20" s="686" customFormat="1" ht="15" customHeight="1">
      <c r="A70" s="1248"/>
      <c r="B70" s="1310"/>
      <c r="C70" s="1309" t="s">
        <v>840</v>
      </c>
      <c r="D70" s="346"/>
      <c r="E70" s="278"/>
      <c r="F70" s="1596">
        <f>'SDK7'!G101</f>
        <v>16</v>
      </c>
      <c r="G70" s="1595" t="s">
        <v>171</v>
      </c>
      <c r="H70" s="1591">
        <f>I9+I10</f>
        <v>1364</v>
      </c>
      <c r="I70" s="1590"/>
      <c r="J70" s="1589"/>
      <c r="K70" s="1594">
        <f>L9+L10</f>
        <v>1736</v>
      </c>
      <c r="L70" s="1593"/>
      <c r="M70" s="1592"/>
      <c r="N70" s="1591">
        <f>O9+O10</f>
        <v>2108</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13.028066052688239</v>
      </c>
      <c r="K75" s="689"/>
      <c r="L75" s="1034"/>
      <c r="M75" s="1546">
        <f>(M23+M27+M34+M43+M60+M65+M67+M69+M71)*('SDK1'!$O$59%*$G$75/12)</f>
        <v>14.354533904721569</v>
      </c>
      <c r="N75" s="1548"/>
      <c r="O75" s="1547"/>
      <c r="P75" s="1546">
        <f>(P23+P27+P34+P43+P60+P65+P67+P69+P71)*('SDK1'!$O$59%*$G$75/12)</f>
        <v>15.617535090088236</v>
      </c>
      <c r="Q75" s="38"/>
    </row>
    <row r="77" spans="1:20" ht="12.6" customHeight="1"/>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15"/>
      <c r="F150" s="15"/>
      <c r="G150" s="15"/>
      <c r="H150" s="15"/>
      <c r="I150" s="15"/>
      <c r="J150" s="15"/>
      <c r="K150" s="15"/>
      <c r="M150" s="35"/>
      <c r="N150" s="35"/>
      <c r="O150" s="35"/>
      <c r="P150" s="35"/>
      <c r="Q150" s="35"/>
    </row>
    <row r="151" spans="1:17">
      <c r="A151" s="35"/>
      <c r="B151" s="601"/>
      <c r="C151" s="15"/>
      <c r="D151" s="15"/>
      <c r="F151" s="15"/>
      <c r="G151" s="15"/>
      <c r="H151" s="15"/>
      <c r="I151" s="15"/>
      <c r="J151" s="15"/>
      <c r="K151" s="15"/>
      <c r="M151" s="35"/>
      <c r="N151" s="35"/>
      <c r="O151" s="35"/>
      <c r="P151" s="35"/>
      <c r="Q151" s="35"/>
    </row>
    <row r="152" spans="1:17">
      <c r="A152" s="35"/>
      <c r="B152" s="601"/>
      <c r="C152" s="15"/>
      <c r="D152" s="15"/>
      <c r="F152" s="15"/>
      <c r="G152" s="15"/>
      <c r="H152" s="15"/>
      <c r="I152" s="15"/>
      <c r="J152" s="15"/>
      <c r="K152" s="15"/>
      <c r="M152" s="35"/>
      <c r="N152" s="35"/>
      <c r="O152" s="35"/>
      <c r="P152" s="35"/>
      <c r="Q152" s="35"/>
    </row>
    <row r="153" spans="1:17">
      <c r="A153" s="35"/>
      <c r="B153" s="601"/>
      <c r="C153" s="15"/>
      <c r="D153" s="15"/>
      <c r="F153" s="15"/>
      <c r="G153" s="15"/>
      <c r="H153" s="15"/>
      <c r="I153" s="15"/>
      <c r="J153" s="15"/>
      <c r="K153" s="15"/>
      <c r="M153" s="35"/>
      <c r="N153" s="35"/>
      <c r="O153" s="35"/>
      <c r="P153" s="35"/>
      <c r="Q153" s="35"/>
    </row>
    <row r="154" spans="1:17">
      <c r="A154" s="35"/>
      <c r="B154" s="601"/>
      <c r="C154" s="15"/>
      <c r="D154" s="15"/>
      <c r="F154" s="15"/>
      <c r="G154" s="15"/>
      <c r="H154" s="15"/>
      <c r="I154" s="15"/>
      <c r="J154" s="15"/>
      <c r="K154" s="15"/>
      <c r="M154" s="35"/>
      <c r="N154" s="35"/>
      <c r="O154" s="35"/>
      <c r="P154" s="35"/>
      <c r="Q154" s="35"/>
    </row>
    <row r="155" spans="1:17">
      <c r="A155" s="35"/>
      <c r="B155" s="601"/>
      <c r="C155" s="15"/>
      <c r="D155" s="15"/>
      <c r="F155" s="15"/>
      <c r="G155" s="15"/>
      <c r="H155" s="15"/>
      <c r="I155" s="15"/>
      <c r="J155" s="15"/>
      <c r="K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C48:D48"/>
    <mergeCell ref="C37:E37"/>
    <mergeCell ref="C39:E39"/>
    <mergeCell ref="C50:D50"/>
    <mergeCell ref="C55:D55"/>
    <mergeCell ref="C47:D47"/>
    <mergeCell ref="C46:D46"/>
    <mergeCell ref="C17:F17"/>
    <mergeCell ref="C19:F19"/>
    <mergeCell ref="C36:E36"/>
    <mergeCell ref="C42:E42"/>
    <mergeCell ref="C40:E40"/>
    <mergeCell ref="C41:E41"/>
    <mergeCell ref="E22:G22"/>
    <mergeCell ref="F34:G34"/>
    <mergeCell ref="C21:F21"/>
    <mergeCell ref="C38:E38"/>
    <mergeCell ref="F23:G23"/>
    <mergeCell ref="C20:F20"/>
    <mergeCell ref="D26:E26"/>
    <mergeCell ref="D25:E25"/>
    <mergeCell ref="N1:O1"/>
    <mergeCell ref="C16:F16"/>
    <mergeCell ref="E4:I4"/>
    <mergeCell ref="H6:I6"/>
    <mergeCell ref="N3:O4"/>
    <mergeCell ref="K1:L1"/>
    <mergeCell ref="K2:P2"/>
    <mergeCell ref="N6:O6"/>
    <mergeCell ref="E10:F10"/>
    <mergeCell ref="K6:L6"/>
    <mergeCell ref="C14:F14"/>
    <mergeCell ref="C15:F15"/>
    <mergeCell ref="J3:L3"/>
    <mergeCell ref="J4:L4"/>
    <mergeCell ref="B75:C75"/>
    <mergeCell ref="C73:E73"/>
    <mergeCell ref="C49:D49"/>
    <mergeCell ref="C68:E68"/>
    <mergeCell ref="C62:E62"/>
    <mergeCell ref="C51:D51"/>
    <mergeCell ref="C63:E63"/>
    <mergeCell ref="C52:D52"/>
    <mergeCell ref="C57:D57"/>
    <mergeCell ref="C56:D56"/>
    <mergeCell ref="C53:D53"/>
    <mergeCell ref="C54:D54"/>
    <mergeCell ref="C74:E74"/>
    <mergeCell ref="C64:E64"/>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0" orientation="portrait" r:id="rId1"/>
  <headerFooter alignWithMargins="0">
    <oddFooter>&amp;L&amp;11LEL Schwäbisch Gmünd&amp;C27&amp;R&amp;11&amp;F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12</xdr:col>
                    <xdr:colOff>285750</xdr:colOff>
                    <xdr:row>3</xdr:row>
                    <xdr:rowOff>19050</xdr:rowOff>
                  </from>
                  <to>
                    <xdr:col>13</xdr:col>
                    <xdr:colOff>9525</xdr:colOff>
                    <xdr:row>4</xdr:row>
                    <xdr:rowOff>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12</xdr:col>
                    <xdr:colOff>285750</xdr:colOff>
                    <xdr:row>2</xdr:row>
                    <xdr:rowOff>47625</xdr:rowOff>
                  </from>
                  <to>
                    <xdr:col>13</xdr:col>
                    <xdr:colOff>9525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9">
    <tabColor rgb="FFFFFF0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756.47707542482817</v>
      </c>
      <c r="K1" s="4855">
        <f>M1-J1</f>
        <v>190.19885272693023</v>
      </c>
      <c r="L1" s="4855"/>
      <c r="M1" s="1874">
        <f>(M7+M13+M18+M22+L11+L12)-(M23+M27+M34+M43+M60+M65+M67+M69+M71+M75)</f>
        <v>946.6759281517584</v>
      </c>
      <c r="N1" s="4855">
        <f>P1-M1</f>
        <v>190.19885272693023</v>
      </c>
      <c r="O1" s="4855"/>
      <c r="P1" s="1874">
        <f>(P7+P13+P18+P22+O11+O12)-(P23+P27+P34+P43+P60+P65+P67+P69+P71+P75)</f>
        <v>1136.8747808786886</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209</v>
      </c>
      <c r="L2" s="4867"/>
      <c r="M2" s="4867"/>
      <c r="N2" s="4867"/>
      <c r="O2" s="4867"/>
      <c r="P2" s="4867"/>
      <c r="Q2" s="1888">
        <v>0</v>
      </c>
    </row>
    <row r="3" spans="1:41" s="1859" customFormat="1" ht="21.75" customHeight="1">
      <c r="A3" s="1863"/>
      <c r="B3" s="1887"/>
      <c r="H3" s="1870"/>
      <c r="J3" s="4863" t="s">
        <v>1205</v>
      </c>
      <c r="K3" s="4864"/>
      <c r="L3" s="4864"/>
      <c r="M3" s="1869"/>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t="s">
        <v>1194</v>
      </c>
      <c r="K4" s="4864"/>
      <c r="L4" s="4864"/>
      <c r="M4" s="1865"/>
      <c r="N4" s="4869"/>
      <c r="O4" s="4869"/>
      <c r="P4" s="1864">
        <f>'SDK1'!O3</f>
        <v>0</v>
      </c>
      <c r="Q4" s="1863"/>
      <c r="T4" s="1886" t="b">
        <v>0</v>
      </c>
      <c r="U4" s="1860"/>
    </row>
    <row r="5" spans="1:41" ht="6" customHeight="1"/>
    <row r="6" spans="1:41" s="1853" customFormat="1" ht="24" customHeight="1">
      <c r="A6" s="48"/>
      <c r="B6" s="1858" t="s">
        <v>1151</v>
      </c>
      <c r="C6" s="1857"/>
      <c r="D6" s="1857"/>
      <c r="E6" s="1857"/>
      <c r="F6" s="1857"/>
      <c r="G6" s="1856"/>
      <c r="H6" s="4861" t="s">
        <v>179</v>
      </c>
      <c r="I6" s="4862"/>
      <c r="J6" s="1855">
        <v>55</v>
      </c>
      <c r="K6" s="4874" t="s">
        <v>152</v>
      </c>
      <c r="L6" s="4875"/>
      <c r="M6" s="1855">
        <v>65</v>
      </c>
      <c r="N6" s="4861" t="s">
        <v>178</v>
      </c>
      <c r="O6" s="4862"/>
      <c r="P6" s="1854">
        <v>75</v>
      </c>
      <c r="Q6" s="70"/>
    </row>
    <row r="7" spans="1:41" s="251" customFormat="1" ht="18.75" customHeight="1">
      <c r="A7" s="47"/>
      <c r="B7" s="305" t="s">
        <v>1202</v>
      </c>
      <c r="C7" s="47"/>
      <c r="D7" s="47"/>
      <c r="E7" s="47"/>
      <c r="F7" s="47"/>
      <c r="G7" s="1852"/>
      <c r="H7" s="1849"/>
      <c r="I7" s="1848"/>
      <c r="J7" s="1582">
        <f>SUM(I9:I10)</f>
        <v>1481.4066666666668</v>
      </c>
      <c r="K7" s="1851"/>
      <c r="L7" s="1850"/>
      <c r="M7" s="1585">
        <f>SUM(L9:L10)</f>
        <v>1750.7533333333336</v>
      </c>
      <c r="N7" s="1849"/>
      <c r="O7" s="1848"/>
      <c r="P7" s="1582">
        <f>SUM(O9:O10)</f>
        <v>2020.1000000000001</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'SDK1'!O19</f>
        <v>26.934666666666669</v>
      </c>
      <c r="H9" s="1845">
        <f>J6-H10</f>
        <v>55</v>
      </c>
      <c r="I9" s="1841">
        <f>H9*G9</f>
        <v>1481.4066666666668</v>
      </c>
      <c r="J9" s="43"/>
      <c r="K9" s="1844">
        <f>M6-K10</f>
        <v>65</v>
      </c>
      <c r="L9" s="1843">
        <f>K9*G9</f>
        <v>1750.7533333333336</v>
      </c>
      <c r="M9" s="1822"/>
      <c r="N9" s="1842">
        <f>P6-N10</f>
        <v>75</v>
      </c>
      <c r="O9" s="1841">
        <f>N9*G9</f>
        <v>2020.1000000000001</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0.8</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792"/>
      <c r="I13" s="1791"/>
      <c r="J13" s="1582">
        <f>SUM(I14:I17)</f>
        <v>100</v>
      </c>
      <c r="K13" s="1794"/>
      <c r="L13" s="1793"/>
      <c r="M13" s="1585">
        <f>SUM(L14:L17)</f>
        <v>100</v>
      </c>
      <c r="N13" s="1792"/>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153</v>
      </c>
      <c r="K23" s="1587"/>
      <c r="L23" s="1586"/>
      <c r="M23" s="1768">
        <f>SUM(L25:L26)</f>
        <v>153</v>
      </c>
      <c r="N23" s="1584"/>
      <c r="O23" s="1583"/>
      <c r="P23" s="1567">
        <f>SUM(O25:O26)</f>
        <v>153</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'SDK7'!F48/100</f>
        <v>0.9</v>
      </c>
      <c r="G25" s="1762">
        <f>F25*(100+$D$24)/100</f>
        <v>0.9</v>
      </c>
      <c r="H25" s="1761">
        <v>170</v>
      </c>
      <c r="I25" s="1722">
        <f>H25*$G25</f>
        <v>153</v>
      </c>
      <c r="J25" s="45"/>
      <c r="K25" s="1761">
        <f>H25</f>
        <v>170</v>
      </c>
      <c r="L25" s="1564">
        <f>K25*$G25</f>
        <v>153</v>
      </c>
      <c r="M25" s="1557"/>
      <c r="N25" s="1761">
        <f>H25</f>
        <v>170</v>
      </c>
      <c r="O25" s="1722">
        <f>N25*$G25</f>
        <v>153</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303.61360000000008</v>
      </c>
      <c r="K27" s="1716"/>
      <c r="L27" s="1715"/>
      <c r="M27" s="1585">
        <f>SUM(L30:L33)</f>
        <v>353.60880000000003</v>
      </c>
      <c r="N27" s="1714"/>
      <c r="O27" s="1713"/>
      <c r="P27" s="1582">
        <f>SUM(O30:O33)</f>
        <v>403.60400000000004</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2.41</v>
      </c>
      <c r="F30" s="1742">
        <f>VLOOKUP(K2,'SD8'!B9:L42,7,FALSE)</f>
        <v>0.39999999999999991</v>
      </c>
      <c r="G30" s="1741">
        <v>20</v>
      </c>
      <c r="H30" s="1739">
        <f>IF(J$6=0,0,(J$6*$E30+$G30+X14))</f>
        <v>152.55000000000001</v>
      </c>
      <c r="I30" s="1722">
        <f>H30*$D30</f>
        <v>218.45160000000001</v>
      </c>
      <c r="J30" s="45"/>
      <c r="K30" s="1740">
        <f>IF(M$6=0,0,(M$6*$E30+$G30+Y14))</f>
        <v>176.65</v>
      </c>
      <c r="L30" s="1564">
        <f>K30*$D30</f>
        <v>252.96279999999999</v>
      </c>
      <c r="M30" s="1557"/>
      <c r="N30" s="1739">
        <f>IF(P$6=0,0,(P$6*$E30+$G30+Z14))</f>
        <v>200.75</v>
      </c>
      <c r="O30" s="1722">
        <f>N30*$D30</f>
        <v>287.47399999999999</v>
      </c>
      <c r="P30" s="1686"/>
      <c r="Q30" s="38"/>
    </row>
    <row r="31" spans="1:26" s="42" customFormat="1" ht="15" customHeight="1">
      <c r="A31" s="1284"/>
      <c r="B31" s="272"/>
      <c r="C31" s="1284" t="s">
        <v>244</v>
      </c>
      <c r="D31" s="1691">
        <f>'SDK1'!O53</f>
        <v>1.05</v>
      </c>
      <c r="E31" s="1742">
        <f>VLOOKUP(K2,'SD8'!B9:L42,4,FALSE)</f>
        <v>0.8</v>
      </c>
      <c r="F31" s="1742">
        <f>VLOOKUP(K2,'SD8'!B9:L42,8,FALSE)</f>
        <v>0.24</v>
      </c>
      <c r="G31" s="1741"/>
      <c r="H31" s="1739">
        <f>IF(J$6=0,0,(J$6*$E31+$G31+X15))</f>
        <v>44</v>
      </c>
      <c r="I31" s="1722">
        <f>H31*$D31</f>
        <v>46.2</v>
      </c>
      <c r="J31" s="45"/>
      <c r="K31" s="1740">
        <f>IF(M$6=0,0,(M$6*$E31+$G31+Y15))</f>
        <v>52</v>
      </c>
      <c r="L31" s="1564">
        <f>K31*$D31</f>
        <v>54.6</v>
      </c>
      <c r="M31" s="1557"/>
      <c r="N31" s="1739">
        <f>IF(P$6=0,0,(P$6*$E31+$G31+Z15))</f>
        <v>60</v>
      </c>
      <c r="O31" s="1722">
        <f>N31*$D31</f>
        <v>63</v>
      </c>
      <c r="P31" s="1686"/>
      <c r="Q31" s="38"/>
    </row>
    <row r="32" spans="1:26" s="42" customFormat="1" ht="15" customHeight="1">
      <c r="A32" s="1284"/>
      <c r="B32" s="272"/>
      <c r="C32" s="1284" t="s">
        <v>242</v>
      </c>
      <c r="D32" s="1691">
        <f>'SDK1'!O54</f>
        <v>0.98000000000000009</v>
      </c>
      <c r="E32" s="1742">
        <f>VLOOKUP(K2,'SD8'!B9:L42,5,FALSE)</f>
        <v>0.6</v>
      </c>
      <c r="F32" s="1742">
        <f>VLOOKUP(K2,'SD8'!B9:L42,9,FALSE)</f>
        <v>1.1200000000000001</v>
      </c>
      <c r="G32" s="1741"/>
      <c r="H32" s="1739">
        <f>IF(J$6=0,0,(J$6*$E32+$G32+X16))</f>
        <v>33</v>
      </c>
      <c r="I32" s="1722">
        <f>H32*$D32</f>
        <v>32.340000000000003</v>
      </c>
      <c r="J32" s="45"/>
      <c r="K32" s="1740">
        <f>IF(M$6=0,0,(M$6*$E32+$G32+Y16))</f>
        <v>39</v>
      </c>
      <c r="L32" s="1564">
        <f>K32*$D32</f>
        <v>38.220000000000006</v>
      </c>
      <c r="M32" s="1557"/>
      <c r="N32" s="1739">
        <f>IF(P$6=0,0,(P$6*$E32+$G32+Z16))</f>
        <v>45</v>
      </c>
      <c r="O32" s="1722">
        <f>N32*$D32</f>
        <v>44.1</v>
      </c>
      <c r="P32" s="1686"/>
      <c r="Q32" s="38"/>
    </row>
    <row r="33" spans="1:17" s="42" customFormat="1" ht="15" customHeight="1">
      <c r="A33" s="1284"/>
      <c r="B33" s="239"/>
      <c r="C33" s="1309" t="s">
        <v>240</v>
      </c>
      <c r="D33" s="1674">
        <f>'SDK1'!O55</f>
        <v>0.60200000000000009</v>
      </c>
      <c r="E33" s="1738">
        <f>VLOOKUP(K2,'SD8'!B9:L42,6,FALSE)</f>
        <v>0.2</v>
      </c>
      <c r="F33" s="1738">
        <f>VLOOKUP(K2,'SD8'!B9:L42,10,FALSE)</f>
        <v>0.15999999999999998</v>
      </c>
      <c r="G33" s="1737"/>
      <c r="H33" s="1735">
        <f>IF(J$6=0,0,(J$6*$E33+$G33+X17))</f>
        <v>11</v>
      </c>
      <c r="I33" s="1718">
        <f>H33*$D33</f>
        <v>6.6220000000000008</v>
      </c>
      <c r="J33" s="45"/>
      <c r="K33" s="1736">
        <f>IF(M$6=0,0,(M$6*$E33+$G33+Y17))</f>
        <v>13</v>
      </c>
      <c r="L33" s="1558">
        <f>K33*$D33</f>
        <v>7.8260000000000014</v>
      </c>
      <c r="M33" s="1557"/>
      <c r="N33" s="1735">
        <f>IF(P$6=0,0,(P$6*$E33+$G33+Z17))</f>
        <v>15</v>
      </c>
      <c r="O33" s="1718">
        <f>N33*$D33</f>
        <v>9.0300000000000011</v>
      </c>
      <c r="P33" s="1717"/>
      <c r="Q33" s="38"/>
    </row>
    <row r="34" spans="1:17" s="686" customFormat="1" ht="18.75" customHeight="1">
      <c r="A34" s="1248"/>
      <c r="B34" s="1254" t="s">
        <v>1178</v>
      </c>
      <c r="C34" s="1248"/>
      <c r="D34" s="37"/>
      <c r="E34" s="37"/>
      <c r="F34" s="4876" t="s">
        <v>1177</v>
      </c>
      <c r="G34" s="4877"/>
      <c r="H34" s="1732"/>
      <c r="I34" s="1731"/>
      <c r="J34" s="1582">
        <f>SUM(I36:I42)</f>
        <v>265.94</v>
      </c>
      <c r="K34" s="1734"/>
      <c r="L34" s="1733"/>
      <c r="M34" s="1585">
        <f>SUM(L36:L42)</f>
        <v>265.94</v>
      </c>
      <c r="N34" s="1732"/>
      <c r="O34" s="1731"/>
      <c r="P34" s="1582">
        <f>SUM(O36:O42)</f>
        <v>265.94</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650</v>
      </c>
      <c r="D36" s="4884"/>
      <c r="E36" s="4885"/>
      <c r="F36" s="1724">
        <f>IF(C36="",0,VLOOKUP(C36,'SDK5'!C3:AF83,2,FALSE))</f>
        <v>306</v>
      </c>
      <c r="G36" s="1724">
        <f t="shared" ref="G36:G42" si="0">F36*(100+$D$35)/100</f>
        <v>306</v>
      </c>
      <c r="H36" s="1723">
        <v>0.3</v>
      </c>
      <c r="I36" s="1722">
        <f t="shared" ref="I36:I42" si="1">$G36*H36</f>
        <v>91.8</v>
      </c>
      <c r="J36" s="45"/>
      <c r="K36" s="1723">
        <v>0.3</v>
      </c>
      <c r="L36" s="1564">
        <f t="shared" ref="L36:L42" si="2">$G36*K36</f>
        <v>91.8</v>
      </c>
      <c r="M36" s="1557"/>
      <c r="N36" s="1723">
        <v>0.3</v>
      </c>
      <c r="O36" s="1722">
        <f t="shared" ref="O36:O42" si="3">$G36*N36</f>
        <v>91.8</v>
      </c>
      <c r="P36" s="1726"/>
      <c r="Q36" s="38"/>
    </row>
    <row r="37" spans="1:17" s="42" customFormat="1" ht="15" customHeight="1">
      <c r="A37" s="1284"/>
      <c r="B37" s="1562"/>
      <c r="C37" s="4870" t="s">
        <v>644</v>
      </c>
      <c r="D37" s="4870"/>
      <c r="E37" s="4871"/>
      <c r="F37" s="1724">
        <f>IF(C37="",0,VLOOKUP(C37,'SDK5'!C4:AF84,2,FALSE))</f>
        <v>6.8</v>
      </c>
      <c r="G37" s="1724">
        <f t="shared" si="0"/>
        <v>6.8</v>
      </c>
      <c r="H37" s="1723">
        <v>0.8</v>
      </c>
      <c r="I37" s="1722">
        <f t="shared" si="1"/>
        <v>5.44</v>
      </c>
      <c r="J37" s="45"/>
      <c r="K37" s="1723">
        <v>0.8</v>
      </c>
      <c r="L37" s="1564">
        <f t="shared" si="2"/>
        <v>5.44</v>
      </c>
      <c r="M37" s="1557"/>
      <c r="N37" s="1723">
        <v>0.8</v>
      </c>
      <c r="O37" s="1722">
        <f t="shared" si="3"/>
        <v>5.44</v>
      </c>
      <c r="P37" s="1686"/>
      <c r="Q37" s="38"/>
    </row>
    <row r="38" spans="1:17" s="42" customFormat="1" ht="15" customHeight="1">
      <c r="A38" s="1284"/>
      <c r="B38" s="1725"/>
      <c r="C38" s="4870" t="s">
        <v>2007</v>
      </c>
      <c r="D38" s="4870"/>
      <c r="E38" s="4871"/>
      <c r="F38" s="1724">
        <f>IF(C38="",0,VLOOKUP(C38,'SDK5'!C5:AF85,2,FALSE))</f>
        <v>71.599999999999994</v>
      </c>
      <c r="G38" s="1724">
        <f t="shared" si="0"/>
        <v>71.599999999999994</v>
      </c>
      <c r="H38" s="1723">
        <v>1.5</v>
      </c>
      <c r="I38" s="1722">
        <f t="shared" si="1"/>
        <v>107.39999999999999</v>
      </c>
      <c r="J38" s="45"/>
      <c r="K38" s="1723">
        <v>1.5</v>
      </c>
      <c r="L38" s="1564">
        <f t="shared" si="2"/>
        <v>107.39999999999999</v>
      </c>
      <c r="M38" s="1557"/>
      <c r="N38" s="1723">
        <v>1.5</v>
      </c>
      <c r="O38" s="1722">
        <f t="shared" si="3"/>
        <v>107.39999999999999</v>
      </c>
      <c r="P38" s="1686"/>
      <c r="Q38" s="38"/>
    </row>
    <row r="39" spans="1:17" s="42" customFormat="1" ht="15" customHeight="1">
      <c r="A39" s="1284"/>
      <c r="B39" s="1562"/>
      <c r="C39" s="4870" t="s">
        <v>613</v>
      </c>
      <c r="D39" s="4870"/>
      <c r="E39" s="4871"/>
      <c r="F39" s="1724">
        <f>IF(C39="",0,VLOOKUP(C39,'SDK5'!C6:AF86,2,FALSE))</f>
        <v>61.3</v>
      </c>
      <c r="G39" s="1724">
        <f t="shared" si="0"/>
        <v>61.3</v>
      </c>
      <c r="H39" s="1723">
        <v>1</v>
      </c>
      <c r="I39" s="1722">
        <f t="shared" si="1"/>
        <v>61.3</v>
      </c>
      <c r="J39" s="45"/>
      <c r="K39" s="1723">
        <v>1</v>
      </c>
      <c r="L39" s="1564">
        <f t="shared" si="2"/>
        <v>61.3</v>
      </c>
      <c r="M39" s="1557"/>
      <c r="N39" s="1723">
        <v>1</v>
      </c>
      <c r="O39" s="1722">
        <f t="shared" si="3"/>
        <v>61.3</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154.08677594470586</v>
      </c>
      <c r="K43" s="1716"/>
      <c r="L43" s="1715"/>
      <c r="M43" s="1585">
        <f>SUM(M46:M57)</f>
        <v>159.96710071764704</v>
      </c>
      <c r="N43" s="1714"/>
      <c r="O43" s="1713"/>
      <c r="P43" s="1582">
        <f>SUM(P46:P57)</f>
        <v>165.84742549058819</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426</v>
      </c>
      <c r="D48" s="4883"/>
      <c r="E48" s="1693">
        <f>IF($C48=0,0,VLOOKUP($C48,'SDK3'!$C$24:$O$86,4,FALSE))</f>
        <v>54</v>
      </c>
      <c r="F48" s="1692">
        <f>IF($C48=0,0,VLOOKUP($C48,'SDK3'!$C$24:$O$86,12,FALSE))</f>
        <v>0.37</v>
      </c>
      <c r="G48" s="1691">
        <f>IF($C48=0,0,VLOOKUP($C48,'SDK3'!$C$24:$O$86,13,FALSE))</f>
        <v>4.2780853988235288</v>
      </c>
      <c r="H48" s="1688">
        <v>2</v>
      </c>
      <c r="I48" s="1687">
        <f t="shared" si="4"/>
        <v>0.74</v>
      </c>
      <c r="J48" s="1686">
        <f t="shared" si="5"/>
        <v>8.5561707976470576</v>
      </c>
      <c r="K48" s="1688">
        <v>3</v>
      </c>
      <c r="L48" s="1690">
        <f t="shared" si="6"/>
        <v>1.1099999999999999</v>
      </c>
      <c r="M48" s="1689">
        <f t="shared" si="7"/>
        <v>12.834256196470587</v>
      </c>
      <c r="N48" s="1688">
        <v>4</v>
      </c>
      <c r="O48" s="1687">
        <f t="shared" si="8"/>
        <v>1.48</v>
      </c>
      <c r="P48" s="1686">
        <f t="shared" si="9"/>
        <v>17.112341595294115</v>
      </c>
      <c r="Q48" s="38"/>
    </row>
    <row r="49" spans="1:17" s="42" customFormat="1" ht="15" customHeight="1">
      <c r="A49" s="1284"/>
      <c r="B49" s="1694"/>
      <c r="C49" s="4882" t="s">
        <v>419</v>
      </c>
      <c r="D49" s="4883"/>
      <c r="E49" s="1693">
        <f>IF($C49=0,0,VLOOKUP($C49,'SDK3'!$C$24:$O$86,4,FALSE))</f>
        <v>83</v>
      </c>
      <c r="F49" s="1692">
        <f>IF($C49=0,0,VLOOKUP($C49,'SDK3'!$C$24:$O$86,12,FALSE))</f>
        <v>0.39</v>
      </c>
      <c r="G49" s="1691">
        <f>IF($C49=0,0,VLOOKUP($C49,'SDK3'!$C$24:$O$86,13,FALSE))</f>
        <v>6.5093573847058819</v>
      </c>
      <c r="H49" s="1688">
        <v>3</v>
      </c>
      <c r="I49" s="1687">
        <f t="shared" si="4"/>
        <v>1.17</v>
      </c>
      <c r="J49" s="1686">
        <f t="shared" si="5"/>
        <v>19.528072154117645</v>
      </c>
      <c r="K49" s="1688">
        <v>3</v>
      </c>
      <c r="L49" s="1690">
        <f t="shared" si="6"/>
        <v>1.17</v>
      </c>
      <c r="M49" s="1689">
        <f t="shared" si="7"/>
        <v>19.528072154117645</v>
      </c>
      <c r="N49" s="1688">
        <v>3</v>
      </c>
      <c r="O49" s="1687">
        <f t="shared" si="8"/>
        <v>1.17</v>
      </c>
      <c r="P49" s="1686">
        <f t="shared" si="9"/>
        <v>19.528072154117645</v>
      </c>
      <c r="Q49" s="38"/>
    </row>
    <row r="50" spans="1:17" s="42" customFormat="1" ht="15" customHeight="1">
      <c r="A50" s="1284"/>
      <c r="B50" s="1694"/>
      <c r="C50" s="4882" t="s">
        <v>403</v>
      </c>
      <c r="D50" s="4883"/>
      <c r="E50" s="1693">
        <f>IF($C50=0,0,VLOOKUP($C50,'SDK3'!$C$24:$O$86,4,FALSE))</f>
        <v>83</v>
      </c>
      <c r="F50" s="1692">
        <f>IF($C50=0,0,VLOOKUP($C50,'SDK3'!$C$24:$O$86,12,FALSE))</f>
        <v>0.56000000000000005</v>
      </c>
      <c r="G50" s="1691">
        <f>IF($C50=0,0,VLOOKUP($C50,'SDK3'!$C$24:$O$86,13,FALSE))</f>
        <v>9.6134362447058805</v>
      </c>
      <c r="H50" s="1688">
        <f>55/60</f>
        <v>0.91666666666666663</v>
      </c>
      <c r="I50" s="1687">
        <f t="shared" si="4"/>
        <v>0.51333333333333331</v>
      </c>
      <c r="J50" s="1686">
        <f t="shared" si="5"/>
        <v>8.8123165576470566</v>
      </c>
      <c r="K50" s="1688">
        <f>65/60</f>
        <v>1.0833333333333333</v>
      </c>
      <c r="L50" s="1690">
        <f t="shared" si="6"/>
        <v>0.60666666666666669</v>
      </c>
      <c r="M50" s="1689">
        <f t="shared" si="7"/>
        <v>10.414555931764703</v>
      </c>
      <c r="N50" s="1688">
        <f>75/60</f>
        <v>1.25</v>
      </c>
      <c r="O50" s="1687">
        <f t="shared" si="8"/>
        <v>0.70000000000000007</v>
      </c>
      <c r="P50" s="1686">
        <f t="shared" si="9"/>
        <v>12.016795305882351</v>
      </c>
      <c r="Q50" s="38"/>
    </row>
    <row r="51" spans="1:17" s="42" customFormat="1" ht="15" customHeight="1">
      <c r="A51" s="1284"/>
      <c r="B51" s="1694"/>
      <c r="C51" s="4882" t="s">
        <v>459</v>
      </c>
      <c r="D51" s="4883"/>
      <c r="E51" s="1693">
        <f>IF($C51=0,0,VLOOKUP($C51,'SDK3'!$C$24:$O$86,4,FALSE))</f>
        <v>102</v>
      </c>
      <c r="F51" s="1692">
        <f>IF($C51=0,0,VLOOKUP($C51,'SDK3'!$C$24:$O$86,12,FALSE))</f>
        <v>0.79</v>
      </c>
      <c r="G51" s="1691">
        <f>IF($C51=0,0,VLOOKUP($C51,'SDK3'!$C$24:$O$86,13,FALSE))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5.703333333333334</v>
      </c>
      <c r="J58" s="1669"/>
      <c r="K58" s="1668"/>
      <c r="L58" s="1667">
        <f>SUM($L$46:$L$57)</f>
        <v>6.1666666666666661</v>
      </c>
      <c r="M58" s="1666"/>
      <c r="N58" s="1665"/>
      <c r="O58" s="1664">
        <f>SUM($O$46:$O$57)</f>
        <v>6.6300000000000008</v>
      </c>
      <c r="P58" s="1663"/>
      <c r="Q58" s="38"/>
    </row>
    <row r="59" spans="1:17" s="65" customFormat="1" ht="15" customHeight="1">
      <c r="A59" s="1351"/>
      <c r="B59" s="1662"/>
      <c r="C59" s="346"/>
      <c r="D59" s="278" t="s">
        <v>1166</v>
      </c>
      <c r="E59" s="1661">
        <v>80</v>
      </c>
      <c r="F59" s="346" t="s">
        <v>1165</v>
      </c>
      <c r="G59" s="1660"/>
      <c r="H59" s="1656"/>
      <c r="I59" s="1655">
        <f>IF(I58+SUM($I$46:$I$57)*$E$59%&gt;I58+10,I58+10,I58+SUM($I$46:$I$57)*$E$59%)</f>
        <v>10.266000000000002</v>
      </c>
      <c r="J59" s="1654"/>
      <c r="K59" s="1659"/>
      <c r="L59" s="1658">
        <f>IF(L58+SUM($L$46:$L$57)*$E$59%&gt;L58+10,L58+10,L58+SUM($L$46:$L$57)*$E$59%)</f>
        <v>11.1</v>
      </c>
      <c r="M59" s="1657"/>
      <c r="N59" s="1656"/>
      <c r="O59" s="1655">
        <f>IF(O58+SUM($O$46:$O$57)*$E$59%&gt;O58+10,O58+10,O58+SUM($O$46:$O$57)*$E$59%)</f>
        <v>11.934000000000001</v>
      </c>
      <c r="P59" s="1654"/>
      <c r="Q59" s="38"/>
    </row>
    <row r="60" spans="1:17" s="42" customFormat="1" ht="18.75" customHeight="1">
      <c r="A60" s="1284"/>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99.275000000000006</v>
      </c>
      <c r="K67" s="1609" t="s">
        <v>1161</v>
      </c>
      <c r="L67" s="1608" t="s">
        <v>1160</v>
      </c>
      <c r="M67" s="1585">
        <f>S68*(K9+K10)*L68%+F68</f>
        <v>117.32500000000002</v>
      </c>
      <c r="N67" s="1607" t="s">
        <v>1161</v>
      </c>
      <c r="O67" s="1606" t="s">
        <v>1160</v>
      </c>
      <c r="P67" s="1582">
        <f>T68*(N9+N10)*O68%+F68</f>
        <v>135.375</v>
      </c>
      <c r="Q67" s="38"/>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8"/>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23.702506666666668</v>
      </c>
      <c r="K69" s="1598"/>
      <c r="L69" s="1597"/>
      <c r="M69" s="1585">
        <f>K70*$F70/1000</f>
        <v>28.012053333333338</v>
      </c>
      <c r="N69" s="44"/>
      <c r="O69" s="73"/>
      <c r="P69" s="1582">
        <f>N70*$F70/1000</f>
        <v>32.321600000000004</v>
      </c>
      <c r="Q69" s="38"/>
    </row>
    <row r="70" spans="1:20" s="686" customFormat="1" ht="15" customHeight="1">
      <c r="A70" s="1248"/>
      <c r="B70" s="1310"/>
      <c r="C70" s="1309" t="s">
        <v>840</v>
      </c>
      <c r="D70" s="346"/>
      <c r="E70" s="278"/>
      <c r="F70" s="1596">
        <f>'SDK7'!G101</f>
        <v>16</v>
      </c>
      <c r="G70" s="1595" t="s">
        <v>171</v>
      </c>
      <c r="H70" s="1591">
        <f>I9+I10</f>
        <v>1481.4066666666668</v>
      </c>
      <c r="I70" s="1590"/>
      <c r="J70" s="1589"/>
      <c r="K70" s="1594">
        <f>L9+L10</f>
        <v>1750.7533333333336</v>
      </c>
      <c r="L70" s="1593"/>
      <c r="M70" s="1592"/>
      <c r="N70" s="1591">
        <f>O9+O10</f>
        <v>2020.1000000000001</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7</v>
      </c>
      <c r="H75" s="1548"/>
      <c r="I75" s="1549"/>
      <c r="J75" s="1546">
        <f>(J23+J27+J34+J43+J60+J65+J67+J69+J71)*('SDK1'!$O$59%*$G$75/12)</f>
        <v>13.611708630466016</v>
      </c>
      <c r="K75" s="689"/>
      <c r="L75" s="1034"/>
      <c r="M75" s="1546">
        <f>(M23+M27+M34+M43+M60+M65+M67+M69+M71)*('SDK1'!$O$59%*$G$75/12)</f>
        <v>14.524451130594773</v>
      </c>
      <c r="N75" s="1548"/>
      <c r="O75" s="1547"/>
      <c r="P75" s="1546">
        <f>(P23+P27+P34+P43+P60+P65+P67+P69+P71)*('SDK1'!$O$59%*$G$75/12)</f>
        <v>15.437193630723529</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D150" s="15"/>
      <c r="F150" s="15"/>
      <c r="G150" s="15"/>
      <c r="H150" s="15"/>
      <c r="I150" s="15"/>
      <c r="J150" s="15"/>
      <c r="M150" s="35"/>
      <c r="N150" s="35"/>
      <c r="O150" s="35"/>
      <c r="P150" s="35"/>
      <c r="Q150" s="35"/>
    </row>
    <row r="151" spans="1:17">
      <c r="A151" s="35"/>
      <c r="B151" s="601"/>
      <c r="C151" s="15"/>
      <c r="D151" s="15"/>
      <c r="F151" s="15"/>
      <c r="G151" s="15"/>
      <c r="H151" s="15"/>
      <c r="I151" s="15"/>
      <c r="J151" s="15"/>
      <c r="M151" s="35"/>
      <c r="N151" s="35"/>
      <c r="O151" s="35"/>
      <c r="P151" s="35"/>
      <c r="Q151" s="35"/>
    </row>
    <row r="152" spans="1:17">
      <c r="A152" s="35"/>
      <c r="B152" s="601"/>
      <c r="C152" s="15"/>
      <c r="D152" s="15"/>
      <c r="F152" s="15"/>
      <c r="G152" s="15"/>
      <c r="H152" s="15"/>
      <c r="I152" s="15"/>
      <c r="J152" s="15"/>
      <c r="M152" s="35"/>
      <c r="N152" s="35"/>
      <c r="O152" s="35"/>
      <c r="P152" s="35"/>
      <c r="Q152" s="35"/>
    </row>
    <row r="153" spans="1:17">
      <c r="A153" s="35"/>
      <c r="B153" s="601"/>
      <c r="C153" s="15"/>
      <c r="D153" s="15"/>
      <c r="F153" s="15"/>
      <c r="G153" s="15"/>
      <c r="H153" s="15"/>
      <c r="I153" s="15"/>
      <c r="J153" s="15"/>
      <c r="M153" s="35"/>
      <c r="N153" s="35"/>
      <c r="O153" s="35"/>
      <c r="P153" s="35"/>
      <c r="Q153" s="35"/>
    </row>
    <row r="154" spans="1:17">
      <c r="A154" s="35"/>
      <c r="B154" s="601"/>
      <c r="C154" s="15"/>
      <c r="D154" s="15"/>
      <c r="F154" s="15"/>
      <c r="G154" s="15"/>
      <c r="H154" s="15"/>
      <c r="I154" s="15"/>
      <c r="J154" s="15"/>
      <c r="M154" s="35"/>
      <c r="N154" s="35"/>
      <c r="O154" s="35"/>
      <c r="P154" s="35"/>
      <c r="Q154" s="35"/>
    </row>
    <row r="155" spans="1:17">
      <c r="A155" s="35"/>
      <c r="B155" s="601"/>
      <c r="C155" s="15"/>
      <c r="D155" s="15"/>
      <c r="F155" s="15"/>
      <c r="G155" s="15"/>
      <c r="H155" s="15"/>
      <c r="I155" s="15"/>
      <c r="J155" s="15"/>
      <c r="M155" s="35"/>
      <c r="N155" s="35"/>
      <c r="O155" s="35"/>
      <c r="P155" s="35"/>
      <c r="Q155" s="35"/>
    </row>
    <row r="156" spans="1:17">
      <c r="A156" s="35"/>
      <c r="B156" s="601"/>
      <c r="C156" s="15"/>
      <c r="D156" s="15"/>
      <c r="F156" s="15"/>
      <c r="G156" s="15"/>
      <c r="H156" s="15"/>
      <c r="I156" s="15"/>
      <c r="J156" s="15"/>
      <c r="M156" s="35"/>
      <c r="N156" s="35"/>
      <c r="O156" s="35"/>
      <c r="P156" s="35"/>
      <c r="Q156" s="35"/>
    </row>
    <row r="157" spans="1:17">
      <c r="A157" s="35"/>
      <c r="B157" s="601"/>
      <c r="C157" s="15"/>
      <c r="D157" s="15"/>
      <c r="F157" s="15"/>
      <c r="G157" s="15"/>
      <c r="H157" s="15"/>
      <c r="I157" s="15"/>
      <c r="J157" s="15"/>
      <c r="M157" s="35"/>
      <c r="N157" s="35"/>
      <c r="O157" s="35"/>
      <c r="P157" s="35"/>
      <c r="Q157" s="35"/>
    </row>
    <row r="158" spans="1:17">
      <c r="A158" s="35"/>
      <c r="B158" s="601"/>
      <c r="C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6:E36"/>
    <mergeCell ref="C40:E40"/>
    <mergeCell ref="C38:E38"/>
    <mergeCell ref="C74:E74"/>
    <mergeCell ref="C55:D55"/>
    <mergeCell ref="C68:E68"/>
    <mergeCell ref="C62:E62"/>
    <mergeCell ref="C64:E64"/>
    <mergeCell ref="C73:E73"/>
    <mergeCell ref="C63:E63"/>
    <mergeCell ref="C57:D57"/>
    <mergeCell ref="C54:D54"/>
    <mergeCell ref="C50:D50"/>
    <mergeCell ref="C49:D49"/>
    <mergeCell ref="C53:D53"/>
    <mergeCell ref="C56:D56"/>
    <mergeCell ref="C51:D51"/>
    <mergeCell ref="C52:D52"/>
    <mergeCell ref="E22:G22"/>
    <mergeCell ref="J4:L4"/>
    <mergeCell ref="E10:F10"/>
    <mergeCell ref="C48:D48"/>
    <mergeCell ref="F23:G23"/>
    <mergeCell ref="F34:G34"/>
    <mergeCell ref="C47:D47"/>
    <mergeCell ref="C46:D46"/>
    <mergeCell ref="C41:E41"/>
    <mergeCell ref="C37:E37"/>
    <mergeCell ref="C20:F20"/>
    <mergeCell ref="C21:F21"/>
    <mergeCell ref="C17:F17"/>
    <mergeCell ref="C42:E42"/>
    <mergeCell ref="H6:I6"/>
    <mergeCell ref="C19:F19"/>
    <mergeCell ref="C39:E39"/>
    <mergeCell ref="E4:I4"/>
    <mergeCell ref="D25:E25"/>
    <mergeCell ref="D26:E26"/>
    <mergeCell ref="C14:F14"/>
    <mergeCell ref="C15:F15"/>
    <mergeCell ref="N6:O6"/>
    <mergeCell ref="K6:L6"/>
    <mergeCell ref="K1:L1"/>
    <mergeCell ref="C16:F16"/>
    <mergeCell ref="N1:O1"/>
    <mergeCell ref="N3:O4"/>
    <mergeCell ref="J3:L3"/>
    <mergeCell ref="K2:P2"/>
  </mergeCells>
  <dataValidations count="5">
    <dataValidation type="list" showInputMessage="1" showErrorMessage="1" sqref="H14 K14 N14">
      <formula1>"ja,nein"</formula1>
    </dataValidation>
    <dataValidation type="list" allowBlank="1" showInputMessage="1" showErrorMessage="1" sqref="H15:H17 K15:K17 N15:N17">
      <formula1>"ja,nein"</formula1>
    </dataValidation>
    <dataValidation type="list" allowBlank="1" showInputMessage="1" showErrorMessage="1" errorTitle="Hagelversicherung Landesteil" error="Bitte aus Liste auswählen." sqref="E69:F69">
      <formula1>$C$102:$C$107</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22" orientation="portrait" r:id="rId1"/>
  <headerFooter alignWithMargins="0">
    <oddFooter>&amp;L&amp;11LEL Schwäbisch Gmünd&amp;C29&amp;R&amp;11&amp;F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12</xdr:col>
                    <xdr:colOff>285750</xdr:colOff>
                    <xdr:row>3</xdr:row>
                    <xdr:rowOff>19050</xdr:rowOff>
                  </from>
                  <to>
                    <xdr:col>13</xdr:col>
                    <xdr:colOff>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12</xdr:col>
                    <xdr:colOff>285750</xdr:colOff>
                    <xdr:row>2</xdr:row>
                    <xdr:rowOff>47625</xdr:rowOff>
                  </from>
                  <to>
                    <xdr:col>13</xdr:col>
                    <xdr:colOff>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'SDK5'!$F$214:$F$313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tabColor rgb="FF92D050"/>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10.5" style="35" hidden="1" customWidth="1"/>
    <col min="22" max="22" width="12.875" style="35" hidden="1" customWidth="1"/>
    <col min="23" max="26" width="10.5"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554.50703497324503</v>
      </c>
      <c r="K1" s="4855">
        <f>M1-J1</f>
        <v>137.21220764888199</v>
      </c>
      <c r="L1" s="4855"/>
      <c r="M1" s="1874">
        <f>(M7+M13+M18+M22+L11+L12)-(M23+M27+M34+M43+M60+M65+M67+M69+M71+M75)</f>
        <v>691.71924262212701</v>
      </c>
      <c r="N1" s="4855">
        <f>P1-M1</f>
        <v>137.21220764888244</v>
      </c>
      <c r="O1" s="4855"/>
      <c r="P1" s="1874">
        <f>(P7+P13+P18+P22+O11+O12)-(P23+P27+P34+P43+P60+P65+P67+P69+P71+P75)</f>
        <v>828.93145027100945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202</v>
      </c>
      <c r="L2" s="4867"/>
      <c r="M2" s="4867"/>
      <c r="N2" s="4867"/>
      <c r="O2" s="4867"/>
      <c r="P2" s="4867"/>
      <c r="Q2" s="1888">
        <v>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1211</v>
      </c>
      <c r="F4" s="4898"/>
      <c r="G4" s="4898"/>
      <c r="H4" s="4898"/>
      <c r="I4" s="4898"/>
      <c r="J4" s="4863"/>
      <c r="K4" s="4864"/>
      <c r="L4" s="4864"/>
      <c r="M4" s="1910"/>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25</v>
      </c>
      <c r="K6" s="4874" t="s">
        <v>152</v>
      </c>
      <c r="L6" s="4875"/>
      <c r="M6" s="1855">
        <v>30</v>
      </c>
      <c r="N6" s="4861" t="s">
        <v>178</v>
      </c>
      <c r="O6" s="4862"/>
      <c r="P6" s="1854">
        <v>35</v>
      </c>
      <c r="Q6" s="70"/>
    </row>
    <row r="7" spans="1:41" s="251" customFormat="1" ht="18.75" customHeight="1">
      <c r="A7" s="47"/>
      <c r="B7" s="305" t="s">
        <v>1202</v>
      </c>
      <c r="C7" s="47"/>
      <c r="D7" s="47"/>
      <c r="E7" s="47"/>
      <c r="F7" s="47"/>
      <c r="G7" s="1852"/>
      <c r="H7" s="1849"/>
      <c r="I7" s="1848"/>
      <c r="J7" s="1582">
        <f>SUM(I9:I10)</f>
        <v>1129.1666666666665</v>
      </c>
      <c r="K7" s="1851"/>
      <c r="L7" s="1850"/>
      <c r="M7" s="1585">
        <f>SUM(L9:L10)</f>
        <v>1354.9999999999998</v>
      </c>
      <c r="N7" s="1849"/>
      <c r="O7" s="1848"/>
      <c r="P7" s="1582">
        <f>SUM(O9:O10)</f>
        <v>1580.833333333333</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f>'SDK1'!O32</f>
        <v>45.166666666666657</v>
      </c>
      <c r="H9" s="1845">
        <f>J6-H10</f>
        <v>25</v>
      </c>
      <c r="I9" s="1841">
        <f>H9*G9</f>
        <v>1129.1666666666665</v>
      </c>
      <c r="J9" s="43"/>
      <c r="K9" s="1844">
        <f>M6-K10</f>
        <v>30</v>
      </c>
      <c r="L9" s="1843">
        <f>K9*G9</f>
        <v>1354.9999999999998</v>
      </c>
      <c r="M9" s="1822"/>
      <c r="N9" s="1842">
        <f>P6-N10</f>
        <v>35</v>
      </c>
      <c r="O9" s="1841">
        <f>N9*G9</f>
        <v>1580.833333333333</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0.5</v>
      </c>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175</v>
      </c>
      <c r="K23" s="1587"/>
      <c r="L23" s="1586"/>
      <c r="M23" s="1768">
        <f>SUM(L25:L26)</f>
        <v>175</v>
      </c>
      <c r="N23" s="1584"/>
      <c r="O23" s="1583"/>
      <c r="P23" s="1567">
        <f>SUM(O25:O26)</f>
        <v>175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'SDK7'!F64</f>
        <v>350</v>
      </c>
      <c r="G25" s="1762">
        <f>F25*(100+$D$24)/100</f>
        <v>350</v>
      </c>
      <c r="H25" s="1761">
        <v>0.5</v>
      </c>
      <c r="I25" s="1722">
        <f>H25*$G25</f>
        <v>175</v>
      </c>
      <c r="J25" s="45"/>
      <c r="K25" s="1761">
        <f>H25</f>
        <v>0.5</v>
      </c>
      <c r="L25" s="1564">
        <f>K25*$G25</f>
        <v>175</v>
      </c>
      <c r="M25" s="1557"/>
      <c r="N25" s="1761">
        <f>H25</f>
        <v>0.5</v>
      </c>
      <c r="O25" s="1722">
        <f>N25*$G25</f>
        <v>175</v>
      </c>
      <c r="P25" s="1686"/>
      <c r="Q25" s="38"/>
    </row>
    <row r="26" spans="1:26" s="42" customFormat="1" ht="15" customHeight="1">
      <c r="A26" s="1284"/>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8"/>
    </row>
    <row r="27" spans="1:26" s="686" customFormat="1" ht="18.75" customHeight="1">
      <c r="A27" s="1248"/>
      <c r="B27" s="1756" t="s">
        <v>1184</v>
      </c>
      <c r="C27" s="1248"/>
      <c r="D27" s="73"/>
      <c r="E27" s="38"/>
      <c r="F27" s="38"/>
      <c r="G27" s="1755"/>
      <c r="H27" s="1714"/>
      <c r="I27" s="1713"/>
      <c r="J27" s="1582">
        <f>SUM(I30:I33)</f>
        <v>215.51300000000001</v>
      </c>
      <c r="K27" s="1716"/>
      <c r="L27" s="1715"/>
      <c r="M27" s="1585">
        <f>SUM(L30:L33)</f>
        <v>258.61560000000003</v>
      </c>
      <c r="N27" s="1714"/>
      <c r="O27" s="1713"/>
      <c r="P27" s="1582">
        <f>SUM(O30:O33)</f>
        <v>301.71820000000002</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2.91</v>
      </c>
      <c r="F30" s="1742">
        <f>VLOOKUP(K2,'SD8'!B9:L42,7,FALSE)</f>
        <v>2</v>
      </c>
      <c r="G30" s="1741"/>
      <c r="H30" s="1739">
        <f>IF(J$6=0,0,(J$6*$E30+$G30+X14))</f>
        <v>72.75</v>
      </c>
      <c r="I30" s="1722">
        <f>H30*$D30</f>
        <v>104.178</v>
      </c>
      <c r="J30" s="45"/>
      <c r="K30" s="1740">
        <f>IF(M$6=0,0,(M$6*$E30+$G30+Y14))</f>
        <v>87.300000000000011</v>
      </c>
      <c r="L30" s="1564">
        <f>K30*$D30</f>
        <v>125.01360000000001</v>
      </c>
      <c r="M30" s="1557"/>
      <c r="N30" s="1739">
        <f>IF(P$6=0,0,(P$6*$E30+$G30+Z14))</f>
        <v>101.85000000000001</v>
      </c>
      <c r="O30" s="1722">
        <f>N30*$D30</f>
        <v>145.8492</v>
      </c>
      <c r="P30" s="1686"/>
      <c r="Q30" s="38"/>
    </row>
    <row r="31" spans="1:26" s="42" customFormat="1" ht="15" customHeight="1">
      <c r="A31" s="1284"/>
      <c r="B31" s="272"/>
      <c r="C31" s="1284" t="s">
        <v>244</v>
      </c>
      <c r="D31" s="1691">
        <f>'SDK1'!O53</f>
        <v>1.05</v>
      </c>
      <c r="E31" s="1742">
        <f>VLOOKUP(K2,'SD8'!B9:L42,4,FALSE)</f>
        <v>1.6</v>
      </c>
      <c r="F31" s="1742">
        <f>VLOOKUP(K2,'SD8'!B9:L42,8,FALSE)</f>
        <v>1.7999999999999998</v>
      </c>
      <c r="G31" s="1741"/>
      <c r="H31" s="1739">
        <f>IF(J$6=0,0,(J$6*$E31+$G31+X15))</f>
        <v>40</v>
      </c>
      <c r="I31" s="1722">
        <f>H31*$D31</f>
        <v>42</v>
      </c>
      <c r="J31" s="45"/>
      <c r="K31" s="1740">
        <f>IF(M$6=0,0,(M$6*$E31+$G31+Y15))</f>
        <v>48</v>
      </c>
      <c r="L31" s="1564">
        <f>K31*$D31</f>
        <v>50.400000000000006</v>
      </c>
      <c r="M31" s="1557"/>
      <c r="N31" s="1739">
        <f>IF(P$6=0,0,(P$6*$E31+$G31+Z15))</f>
        <v>56</v>
      </c>
      <c r="O31" s="1722">
        <f>N31*$D31</f>
        <v>58.800000000000004</v>
      </c>
      <c r="P31" s="1686"/>
      <c r="Q31" s="38"/>
    </row>
    <row r="32" spans="1:26" s="42" customFormat="1" ht="15" customHeight="1">
      <c r="A32" s="1284"/>
      <c r="B32" s="272"/>
      <c r="C32" s="1284" t="s">
        <v>242</v>
      </c>
      <c r="D32" s="1691">
        <f>'SDK1'!O54</f>
        <v>0.98000000000000009</v>
      </c>
      <c r="E32" s="1742">
        <f>VLOOKUP(K2,'SD8'!B9:L42,5,FALSE)</f>
        <v>2.4</v>
      </c>
      <c r="F32" s="1742">
        <f>VLOOKUP(K2,'SD8'!B9:L42,9,FALSE)</f>
        <v>10</v>
      </c>
      <c r="G32" s="1741"/>
      <c r="H32" s="1739">
        <f>IF(J$6=0,0,(J$6*$E32+$G32+X16))</f>
        <v>60</v>
      </c>
      <c r="I32" s="1722">
        <f>H32*$D32</f>
        <v>58.800000000000004</v>
      </c>
      <c r="J32" s="45"/>
      <c r="K32" s="1740">
        <f>IF(M$6=0,0,(M$6*$E32+$G32+Y16))</f>
        <v>72</v>
      </c>
      <c r="L32" s="1564">
        <f>K32*$D32</f>
        <v>70.56</v>
      </c>
      <c r="M32" s="1557"/>
      <c r="N32" s="1739">
        <f>IF(P$6=0,0,(P$6*$E32+$G32+Z16))</f>
        <v>84</v>
      </c>
      <c r="O32" s="1722">
        <f>N32*$D32</f>
        <v>82.320000000000007</v>
      </c>
      <c r="P32" s="1686"/>
      <c r="Q32" s="38"/>
    </row>
    <row r="33" spans="1:17" s="42" customFormat="1" ht="15" customHeight="1">
      <c r="A33" s="1284"/>
      <c r="B33" s="239"/>
      <c r="C33" s="1309" t="s">
        <v>240</v>
      </c>
      <c r="D33" s="1674">
        <f>'SDK1'!O55</f>
        <v>0.60200000000000009</v>
      </c>
      <c r="E33" s="1738">
        <f>VLOOKUP(K2,'SD8'!B9:L42,6,FALSE)</f>
        <v>0.7</v>
      </c>
      <c r="F33" s="1738">
        <f>VLOOKUP(K2,'SD8'!B9:L42,10,FALSE)</f>
        <v>0.5</v>
      </c>
      <c r="G33" s="1737"/>
      <c r="H33" s="1735">
        <f>IF(J$6=0,0,(J$6*$E33+$G33+X17))</f>
        <v>17.5</v>
      </c>
      <c r="I33" s="1718">
        <f>H33*$D33</f>
        <v>10.535000000000002</v>
      </c>
      <c r="J33" s="45"/>
      <c r="K33" s="1736">
        <f>IF(M$6=0,0,(M$6*$E33+$G33+Y17))</f>
        <v>21</v>
      </c>
      <c r="L33" s="1558">
        <f>K33*$D33</f>
        <v>12.642000000000001</v>
      </c>
      <c r="M33" s="1557"/>
      <c r="N33" s="1735">
        <f>IF(P$6=0,0,(P$6*$E33+$G33+Z17))</f>
        <v>24.5</v>
      </c>
      <c r="O33" s="1718">
        <f>N33*$D33</f>
        <v>14.749000000000002</v>
      </c>
      <c r="P33" s="1717"/>
      <c r="Q33" s="38"/>
    </row>
    <row r="34" spans="1:17" s="686" customFormat="1" ht="18.75" customHeight="1">
      <c r="A34" s="1248"/>
      <c r="B34" s="1254" t="s">
        <v>1178</v>
      </c>
      <c r="C34" s="1248"/>
      <c r="D34" s="37"/>
      <c r="E34" s="37"/>
      <c r="F34" s="4876" t="s">
        <v>1177</v>
      </c>
      <c r="G34" s="4877"/>
      <c r="H34" s="1732"/>
      <c r="I34" s="1731"/>
      <c r="J34" s="1582">
        <f>SUM(I36:I42)</f>
        <v>81.2</v>
      </c>
      <c r="K34" s="1734"/>
      <c r="L34" s="1733"/>
      <c r="M34" s="1585">
        <f>SUM(L36:L42)</f>
        <v>81.2</v>
      </c>
      <c r="N34" s="1732"/>
      <c r="O34" s="1731"/>
      <c r="P34" s="1582">
        <f>SUM(O36:O42)</f>
        <v>81.2</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2006</v>
      </c>
      <c r="D36" s="4884"/>
      <c r="E36" s="4885"/>
      <c r="F36" s="1724">
        <f>IF(C36="",0,VLOOKUP(C36,'SDK5'!C3:AF83,2,FALSE))</f>
        <v>23.2</v>
      </c>
      <c r="G36" s="1724">
        <f t="shared" ref="G36:G42" si="0">F36*(100+$D$35)/100</f>
        <v>23.2</v>
      </c>
      <c r="H36" s="1723">
        <v>3.5</v>
      </c>
      <c r="I36" s="1722">
        <f t="shared" ref="I36:I42" si="1">$G36*H36</f>
        <v>81.2</v>
      </c>
      <c r="J36" s="45"/>
      <c r="K36" s="1723">
        <v>3.5</v>
      </c>
      <c r="L36" s="1564">
        <f t="shared" ref="L36:L42" si="2">$G36*K36</f>
        <v>81.2</v>
      </c>
      <c r="M36" s="1557"/>
      <c r="N36" s="1723">
        <v>3.5</v>
      </c>
      <c r="O36" s="1722">
        <f t="shared" ref="O36:O42" si="3">$G36*N36</f>
        <v>81.2</v>
      </c>
      <c r="P36" s="1726"/>
      <c r="Q36" s="38"/>
    </row>
    <row r="37" spans="1:17" s="42" customFormat="1" ht="15" customHeight="1">
      <c r="A37" s="1284"/>
      <c r="B37" s="1562"/>
      <c r="C37" s="4870" t="s">
        <v>351</v>
      </c>
      <c r="D37" s="4870"/>
      <c r="E37" s="487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145.30874217529413</v>
      </c>
      <c r="K43" s="1716"/>
      <c r="L43" s="1715"/>
      <c r="M43" s="1585">
        <f>SUM(M46:M57)</f>
        <v>146.10986186235294</v>
      </c>
      <c r="N43" s="1714"/>
      <c r="O43" s="1713"/>
      <c r="P43" s="1582">
        <f>SUM(P46:P57)</f>
        <v>146.91098154941176</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88">
        <v>1</v>
      </c>
      <c r="I46" s="1695">
        <f t="shared" ref="I46:I57" si="4">$F46*H46</f>
        <v>1.44</v>
      </c>
      <c r="J46" s="1686">
        <f t="shared" ref="J46:J57" si="5">H46*$G46</f>
        <v>59.188918588235289</v>
      </c>
      <c r="K46" s="1688">
        <v>1</v>
      </c>
      <c r="L46" s="1697">
        <f t="shared" ref="L46:L57" si="6">$F46*K46</f>
        <v>1.44</v>
      </c>
      <c r="M46" s="1689">
        <f t="shared" ref="M46:M57" si="7">K46*$G46</f>
        <v>59.188918588235289</v>
      </c>
      <c r="N46" s="1688">
        <v>1</v>
      </c>
      <c r="O46" s="1695">
        <f t="shared" ref="O46:O57" si="8">$F46*N46</f>
        <v>1.44</v>
      </c>
      <c r="P46" s="1686">
        <f t="shared" ref="P46:P57" si="9">N46*$G46</f>
        <v>59.188918588235289</v>
      </c>
      <c r="Q46" s="38">
        <f>$Q$2*H46</f>
        <v>0</v>
      </c>
    </row>
    <row r="47" spans="1:17" s="42" customFormat="1" ht="15" customHeight="1">
      <c r="A47" s="1284"/>
      <c r="B47" s="1694"/>
      <c r="C47" s="4882" t="s">
        <v>451</v>
      </c>
      <c r="D47" s="4883"/>
      <c r="E47" s="1693">
        <f>IF($C47=0,0,VLOOKUP($C47,'SDK3'!$C$24:$O$86,4,FALSE))</f>
        <v>102</v>
      </c>
      <c r="F47" s="1692">
        <f>IF($C47=0,0,VLOOKUP($C47,'SDK3'!$C$24:$O$86,12,FALSE))</f>
        <v>1.02</v>
      </c>
      <c r="G47" s="1691">
        <f>IF($C47=0,0,VLOOKUP($C47,'SDK3'!$C$24:$O$86,13,FALSE))</f>
        <v>28.610107599999999</v>
      </c>
      <c r="H47" s="1688">
        <v>1</v>
      </c>
      <c r="I47" s="1687">
        <f t="shared" si="4"/>
        <v>1.02</v>
      </c>
      <c r="J47" s="1686">
        <f t="shared" si="5"/>
        <v>28.610107599999999</v>
      </c>
      <c r="K47" s="1688">
        <v>1</v>
      </c>
      <c r="L47" s="1690">
        <f t="shared" si="6"/>
        <v>1.02</v>
      </c>
      <c r="M47" s="1689">
        <f t="shared" si="7"/>
        <v>28.610107599999999</v>
      </c>
      <c r="N47" s="1688">
        <v>1</v>
      </c>
      <c r="O47" s="1687">
        <f t="shared" si="8"/>
        <v>1.02</v>
      </c>
      <c r="P47" s="1686">
        <f t="shared" si="9"/>
        <v>28.610107599999999</v>
      </c>
      <c r="Q47" s="38"/>
    </row>
    <row r="48" spans="1:17" s="42" customFormat="1" ht="15" customHeight="1">
      <c r="A48" s="1284"/>
      <c r="B48" s="1694"/>
      <c r="C48" s="4882" t="s">
        <v>437</v>
      </c>
      <c r="D48" s="4883"/>
      <c r="E48" s="1693">
        <f>IF($C48=0,0,VLOOKUP($C48,'SDK3'!$C$24:$O$86,4,FALSE))</f>
        <v>83</v>
      </c>
      <c r="F48" s="1692">
        <f>IF($C48=0,0,VLOOKUP($C48,'SDK3'!$C$24:$O$86,12,FALSE))</f>
        <v>0.81</v>
      </c>
      <c r="G48" s="1691">
        <f>IF($C48=0,0,VLOOKUP($C48,'SDK3'!$C$24:$O$86,13,FALSE))</f>
        <v>20.979434568235291</v>
      </c>
      <c r="H48" s="1688">
        <v>1</v>
      </c>
      <c r="I48" s="1687">
        <f t="shared" si="4"/>
        <v>0.81</v>
      </c>
      <c r="J48" s="1686">
        <f t="shared" si="5"/>
        <v>20.979434568235291</v>
      </c>
      <c r="K48" s="1688">
        <v>1</v>
      </c>
      <c r="L48" s="1690">
        <f t="shared" si="6"/>
        <v>0.81</v>
      </c>
      <c r="M48" s="1689">
        <f t="shared" si="7"/>
        <v>20.979434568235291</v>
      </c>
      <c r="N48" s="1688">
        <v>1</v>
      </c>
      <c r="O48" s="1687">
        <f t="shared" si="8"/>
        <v>0.81</v>
      </c>
      <c r="P48" s="1686">
        <f t="shared" si="9"/>
        <v>20.979434568235291</v>
      </c>
      <c r="Q48" s="38"/>
    </row>
    <row r="49" spans="1:17" s="42" customFormat="1" ht="15" customHeight="1">
      <c r="A49" s="1284"/>
      <c r="B49" s="1694"/>
      <c r="C49" s="4882" t="s">
        <v>426</v>
      </c>
      <c r="D49" s="4883"/>
      <c r="E49" s="1693">
        <f>IF($C49=0,0,VLOOKUP($C49,'SDK3'!$C$24:$O$86,4,FALSE))</f>
        <v>54</v>
      </c>
      <c r="F49" s="1692">
        <f>IF($C49=0,0,VLOOKUP($C49,'SDK3'!$C$24:$O$86,12,FALSE))</f>
        <v>0.37</v>
      </c>
      <c r="G49" s="1691">
        <f>IF($C49=0,0,VLOOKUP($C49,'SDK3'!$C$24:$O$86,13,FALSE))</f>
        <v>4.2780853988235288</v>
      </c>
      <c r="H49" s="1688">
        <v>1</v>
      </c>
      <c r="I49" s="1687">
        <f t="shared" si="4"/>
        <v>0.37</v>
      </c>
      <c r="J49" s="1686">
        <f t="shared" si="5"/>
        <v>4.2780853988235288</v>
      </c>
      <c r="K49" s="1688">
        <v>1</v>
      </c>
      <c r="L49" s="1690">
        <f t="shared" si="6"/>
        <v>0.37</v>
      </c>
      <c r="M49" s="1689">
        <f t="shared" si="7"/>
        <v>4.2780853988235288</v>
      </c>
      <c r="N49" s="1688">
        <v>1</v>
      </c>
      <c r="O49" s="1687">
        <f t="shared" si="8"/>
        <v>0.37</v>
      </c>
      <c r="P49" s="1686">
        <f t="shared" si="9"/>
        <v>4.2780853988235288</v>
      </c>
      <c r="Q49" s="38"/>
    </row>
    <row r="50" spans="1:17" s="42" customFormat="1" ht="15" customHeight="1">
      <c r="A50" s="1284"/>
      <c r="B50" s="1694"/>
      <c r="C50" s="4882" t="s">
        <v>419</v>
      </c>
      <c r="D50" s="4883"/>
      <c r="E50" s="1693">
        <f>IF($C50=0,0,VLOOKUP($C50,'SDK3'!$C$24:$O$86,4,FALSE))</f>
        <v>83</v>
      </c>
      <c r="F50" s="1692">
        <f>IF($C50=0,0,VLOOKUP($C50,'SDK3'!$C$24:$O$86,12,FALSE))</f>
        <v>0.39</v>
      </c>
      <c r="G50" s="1691">
        <f>IF($C50=0,0,VLOOKUP($C50,'SDK3'!$C$24:$O$86,13,FALSE))</f>
        <v>6.5093573847058819</v>
      </c>
      <c r="H50" s="1688">
        <v>1</v>
      </c>
      <c r="I50" s="1687">
        <f t="shared" si="4"/>
        <v>0.39</v>
      </c>
      <c r="J50" s="1686">
        <f t="shared" si="5"/>
        <v>6.5093573847058819</v>
      </c>
      <c r="K50" s="1688">
        <v>1</v>
      </c>
      <c r="L50" s="1690">
        <f t="shared" si="6"/>
        <v>0.39</v>
      </c>
      <c r="M50" s="1689">
        <f t="shared" si="7"/>
        <v>6.5093573847058819</v>
      </c>
      <c r="N50" s="1688">
        <v>1</v>
      </c>
      <c r="O50" s="1687">
        <f t="shared" si="8"/>
        <v>0.39</v>
      </c>
      <c r="P50" s="1686">
        <f t="shared" si="9"/>
        <v>6.5093573847058819</v>
      </c>
      <c r="Q50" s="38"/>
    </row>
    <row r="51" spans="1:17" s="42" customFormat="1" ht="15" customHeight="1">
      <c r="A51" s="1284"/>
      <c r="B51" s="1694"/>
      <c r="C51" s="4882" t="s">
        <v>403</v>
      </c>
      <c r="D51" s="4883"/>
      <c r="E51" s="1693">
        <f>IF($C51=0,0,VLOOKUP($C51,'SDK3'!$C$24:$O$86,4,FALSE))</f>
        <v>83</v>
      </c>
      <c r="F51" s="1692">
        <f>IF($C51=0,0,VLOOKUP($C51,'SDK3'!$C$24:$O$86,12,FALSE))</f>
        <v>0.56000000000000005</v>
      </c>
      <c r="G51" s="1691">
        <f>IF($C51=0,0,VLOOKUP($C51,'SDK3'!$C$24:$O$86,13,FALSE))</f>
        <v>9.6134362447058805</v>
      </c>
      <c r="H51" s="1688">
        <v>0.41666666666666669</v>
      </c>
      <c r="I51" s="1687">
        <f t="shared" si="4"/>
        <v>0.23333333333333336</v>
      </c>
      <c r="J51" s="1686">
        <f t="shared" si="5"/>
        <v>4.0055984352941172</v>
      </c>
      <c r="K51" s="1688">
        <v>0.5</v>
      </c>
      <c r="L51" s="1690">
        <f t="shared" si="6"/>
        <v>0.28000000000000003</v>
      </c>
      <c r="M51" s="1689">
        <f t="shared" si="7"/>
        <v>4.8067181223529403</v>
      </c>
      <c r="N51" s="1688">
        <v>0.58333333333333337</v>
      </c>
      <c r="O51" s="1687">
        <f t="shared" si="8"/>
        <v>0.32666666666666672</v>
      </c>
      <c r="P51" s="1686">
        <f t="shared" si="9"/>
        <v>5.6078378094117642</v>
      </c>
      <c r="Q51" s="38"/>
    </row>
    <row r="52" spans="1:17" s="42" customFormat="1" ht="15" customHeight="1">
      <c r="A52" s="1284"/>
      <c r="B52" s="1694"/>
      <c r="C52" s="4882" t="s">
        <v>459</v>
      </c>
      <c r="D52" s="4883"/>
      <c r="E52" s="1693">
        <f>IF($C52=0,0,VLOOKUP($C52,'SDK3'!$C$24:$O$86,4,FALSE))</f>
        <v>102</v>
      </c>
      <c r="F52" s="1692">
        <f>IF($C52=0,0,VLOOKUP($C52,'SDK3'!$C$24:$O$86,12,FALSE))</f>
        <v>0.79</v>
      </c>
      <c r="G52" s="1691">
        <f>IF($C52=0,0,VLOOKUP($C52,'SDK3'!$C$24:$O$86,13,FALSE))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t="s">
        <v>396</v>
      </c>
      <c r="D57" s="4897"/>
      <c r="E57" s="1676">
        <f>IF($C57=0,0,VLOOKUP($C57,'SDK3'!$C$24:$O$86,4,FALSE))</f>
        <v>83</v>
      </c>
      <c r="F57" s="1675">
        <f>IF($C57=0,0,VLOOKUP($C57,'SDK3'!$C$24:$O$86,12,FALSE))</f>
        <v>0.68</v>
      </c>
      <c r="G57" s="1674">
        <f>IF($C57=0,0,VLOOKUP($C57,'SDK3'!$C$24:$O$86,13,FALSE))</f>
        <v>11.696315439999999</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5.0533333333333337</v>
      </c>
      <c r="J58" s="1669"/>
      <c r="K58" s="1668"/>
      <c r="L58" s="1667">
        <f>SUM($L$46:$L$57)</f>
        <v>5.1000000000000005</v>
      </c>
      <c r="M58" s="1666"/>
      <c r="N58" s="1665"/>
      <c r="O58" s="1664">
        <f>SUM($O$46:$O$57)</f>
        <v>5.1466666666666674</v>
      </c>
      <c r="P58" s="1663"/>
      <c r="Q58" s="38"/>
    </row>
    <row r="59" spans="1:17" s="65" customFormat="1" ht="15" customHeight="1">
      <c r="A59" s="1351"/>
      <c r="B59" s="1662"/>
      <c r="C59" s="346"/>
      <c r="D59" s="278" t="s">
        <v>1166</v>
      </c>
      <c r="E59" s="1661">
        <v>80</v>
      </c>
      <c r="F59" s="346" t="s">
        <v>1165</v>
      </c>
      <c r="G59" s="1660"/>
      <c r="H59" s="1656"/>
      <c r="I59" s="1655">
        <f>IF(I58+SUM($I$46:$I$57)*$E$59%&gt;I58+10,I58+10,I58+SUM($I$46:$I$57)*$E$59%)</f>
        <v>9.0960000000000001</v>
      </c>
      <c r="J59" s="1654"/>
      <c r="K59" s="1659"/>
      <c r="L59" s="1658">
        <f>IF(L58+SUM($L$46:$L$57)*$E$59%&gt;L58+10,L58+10,L58+SUM($L$46:$L$57)*$E$59%)</f>
        <v>9.1800000000000015</v>
      </c>
      <c r="M59" s="1657"/>
      <c r="N59" s="1656"/>
      <c r="O59" s="1655">
        <f>IF(O58+SUM($O$46:$O$57)*$E$59%&gt;O58+10,O58+10,O58+SUM($O$46:$O$57)*$E$59%)</f>
        <v>9.2640000000000011</v>
      </c>
      <c r="P59" s="1654"/>
      <c r="Q59" s="38"/>
    </row>
    <row r="60" spans="1:17" s="42" customFormat="1" ht="18.75" customHeight="1">
      <c r="A60" s="1284"/>
      <c r="B60" s="1254" t="s">
        <v>1164</v>
      </c>
      <c r="C60" s="1351"/>
      <c r="D60" s="1351"/>
      <c r="E60" s="45"/>
      <c r="F60" s="45"/>
      <c r="G60" s="1653"/>
      <c r="H60" s="1645"/>
      <c r="I60" s="1644"/>
      <c r="J60" s="1652">
        <f>IF(J6=0,0,SUM(I62:I64))</f>
        <v>184.6</v>
      </c>
      <c r="K60" s="1648"/>
      <c r="L60" s="1647"/>
      <c r="M60" s="1585">
        <f>IF(M6=0,0,SUM(L62:L64))</f>
        <v>184.6</v>
      </c>
      <c r="N60" s="1645"/>
      <c r="O60" s="1644"/>
      <c r="P60" s="1652">
        <f>IF(P6=0,0,SUM(O62:O64))</f>
        <v>184.6</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t="s">
        <v>330</v>
      </c>
      <c r="D62" s="4860"/>
      <c r="E62" s="4860"/>
      <c r="F62" s="1642">
        <f>IF($C62=0,0,VLOOKUP($C62,'SDK3'!$C$92:$D$106,2,FALSE))</f>
        <v>184.6</v>
      </c>
      <c r="G62" s="1641">
        <f>(100+$D$61)/100*F62</f>
        <v>184.6</v>
      </c>
      <c r="H62" s="227"/>
      <c r="I62" s="1637">
        <f>$G$62</f>
        <v>184.6</v>
      </c>
      <c r="J62" s="227"/>
      <c r="K62" s="1640"/>
      <c r="L62" s="1639">
        <f>$G$62</f>
        <v>184.6</v>
      </c>
      <c r="M62" s="1557"/>
      <c r="N62" s="1638"/>
      <c r="O62" s="1637">
        <f>$G$62</f>
        <v>184.6</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582">
        <f>R68*(H9+H10)*I68%+F68</f>
        <v>172.5</v>
      </c>
      <c r="K67" s="1609" t="s">
        <v>1161</v>
      </c>
      <c r="L67" s="1608" t="s">
        <v>1160</v>
      </c>
      <c r="M67" s="1585">
        <f>S68*(K9+K10)*L68%+F68</f>
        <v>207</v>
      </c>
      <c r="N67" s="1607" t="s">
        <v>1161</v>
      </c>
      <c r="O67" s="1606" t="s">
        <v>1160</v>
      </c>
      <c r="P67" s="1582">
        <f>T68*(N9+N10)*O68%+F68</f>
        <v>241.5</v>
      </c>
      <c r="Q67" s="38"/>
    </row>
    <row r="68" spans="1:20" s="686" customFormat="1" ht="15" customHeight="1">
      <c r="A68" s="1248"/>
      <c r="B68" s="1605"/>
      <c r="C68" s="4888" t="s">
        <v>1159</v>
      </c>
      <c r="D68" s="4888"/>
      <c r="E68" s="4888"/>
      <c r="F68" s="1604"/>
      <c r="G68" s="1595" t="s">
        <v>171</v>
      </c>
      <c r="H68" s="1602">
        <v>13</v>
      </c>
      <c r="I68" s="1601">
        <v>100</v>
      </c>
      <c r="J68" s="1600"/>
      <c r="K68" s="1602">
        <v>13</v>
      </c>
      <c r="L68" s="1601">
        <v>100</v>
      </c>
      <c r="M68" s="1603"/>
      <c r="N68" s="1602">
        <v>13</v>
      </c>
      <c r="O68" s="1601">
        <v>100</v>
      </c>
      <c r="P68" s="1600"/>
      <c r="Q68" s="38"/>
      <c r="R68" s="1916">
        <f>IF(H68=0,0,VLOOKUP(H68,'SD6'!L8:M156,'SD6'!M1))*(1+'SDK1'!O11/100)</f>
        <v>6.9</v>
      </c>
      <c r="S68" s="1916">
        <f>IF(K68=0,0,VLOOKUP(K68,'SD6'!L8:M156,'SD6'!M1))*(1+'SDK1'!O11/100)</f>
        <v>6.9</v>
      </c>
      <c r="T68" s="1915">
        <f>IF(N68=0,0,VLOOKUP(N68,'SD6'!L8:M156,'SD6'!M1))*(1+'SDK1'!O11/100)</f>
        <v>6.9</v>
      </c>
    </row>
    <row r="69" spans="1:20" s="686" customFormat="1" ht="18.75" customHeight="1">
      <c r="A69" s="1248"/>
      <c r="B69" s="1254" t="s">
        <v>1158</v>
      </c>
      <c r="C69" s="1248"/>
      <c r="D69" s="1248"/>
      <c r="E69" s="38"/>
      <c r="F69" s="38"/>
      <c r="G69" s="1588"/>
      <c r="H69" s="44"/>
      <c r="I69" s="73"/>
      <c r="J69" s="1582">
        <f>H70*$F70/1000</f>
        <v>47.42499999999999</v>
      </c>
      <c r="K69" s="1598"/>
      <c r="L69" s="1597"/>
      <c r="M69" s="1585">
        <f>K70*$F70/1000</f>
        <v>56.909999999999989</v>
      </c>
      <c r="N69" s="44"/>
      <c r="O69" s="73"/>
      <c r="P69" s="1582">
        <f>N70*$F70/1000</f>
        <v>66.394999999999982</v>
      </c>
      <c r="Q69" s="38"/>
    </row>
    <row r="70" spans="1:20" s="686" customFormat="1" ht="15" customHeight="1">
      <c r="A70" s="1248"/>
      <c r="B70" s="1310"/>
      <c r="C70" s="1309" t="s">
        <v>840</v>
      </c>
      <c r="D70" s="346"/>
      <c r="E70" s="278"/>
      <c r="F70" s="1596">
        <f>'SDK7'!G106</f>
        <v>42</v>
      </c>
      <c r="G70" s="1595" t="s">
        <v>171</v>
      </c>
      <c r="H70" s="1591">
        <f>I9+I10</f>
        <v>1129.1666666666665</v>
      </c>
      <c r="I70" s="1590"/>
      <c r="J70" s="1589"/>
      <c r="K70" s="1594">
        <f>L9+L10</f>
        <v>1354.9999999999998</v>
      </c>
      <c r="L70" s="1593"/>
      <c r="M70" s="1592"/>
      <c r="N70" s="1591">
        <f>O9+O10</f>
        <v>1580.833333333333</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8.5128895181274498</v>
      </c>
      <c r="K75" s="689"/>
      <c r="L75" s="1034"/>
      <c r="M75" s="1546">
        <f>(M23+M27+M34+M43+M60+M65+M67+M69+M71)*('SDK1'!$O$59%*$G$75/12)</f>
        <v>9.2452955155196097</v>
      </c>
      <c r="N75" s="1548"/>
      <c r="O75" s="1547"/>
      <c r="P75" s="1546">
        <f>(P23+P27+P34+P43+P60+P65+P67+P69+P71)*('SDK1'!$O$59%*$G$75/12)</f>
        <v>9.9777015129117643</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H151" s="1897"/>
      <c r="J151" s="1896"/>
      <c r="M151" s="35"/>
      <c r="N151" s="35"/>
      <c r="O151" s="35"/>
      <c r="P151" s="35"/>
      <c r="Q151" s="35"/>
    </row>
    <row r="152" spans="1:17">
      <c r="A152" s="35"/>
      <c r="B152" s="601"/>
      <c r="C152" s="15"/>
      <c r="H152" s="1897"/>
      <c r="J152" s="1896"/>
      <c r="M152" s="35"/>
      <c r="N152" s="35"/>
      <c r="O152" s="35"/>
      <c r="P152" s="35"/>
      <c r="Q152" s="35"/>
    </row>
    <row r="153" spans="1:17">
      <c r="A153" s="35"/>
      <c r="B153" s="601"/>
      <c r="C153" s="15"/>
      <c r="H153" s="1897"/>
      <c r="J153" s="1896"/>
      <c r="M153" s="35"/>
      <c r="N153" s="35"/>
      <c r="O153" s="35"/>
      <c r="P153" s="35"/>
      <c r="Q153" s="35"/>
    </row>
    <row r="154" spans="1:17">
      <c r="A154" s="35"/>
      <c r="B154" s="601"/>
      <c r="C154" s="15"/>
      <c r="H154" s="1897"/>
      <c r="J154" s="1896"/>
      <c r="M154" s="35"/>
      <c r="N154" s="35"/>
      <c r="O154" s="35"/>
      <c r="P154" s="35"/>
      <c r="Q154" s="35"/>
    </row>
    <row r="155" spans="1:17">
      <c r="A155" s="35"/>
      <c r="B155" s="601"/>
      <c r="C155" s="15"/>
      <c r="H155" s="1897"/>
      <c r="J155" s="1896"/>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F34:G34"/>
    <mergeCell ref="C40:E40"/>
    <mergeCell ref="C64:E64"/>
    <mergeCell ref="C36:E36"/>
    <mergeCell ref="C42:E42"/>
    <mergeCell ref="C73:E73"/>
    <mergeCell ref="C37:E37"/>
    <mergeCell ref="C56:D56"/>
    <mergeCell ref="C68:E68"/>
    <mergeCell ref="C62:E62"/>
    <mergeCell ref="C41:E41"/>
    <mergeCell ref="C47:D47"/>
    <mergeCell ref="C48:D48"/>
    <mergeCell ref="C49:D49"/>
    <mergeCell ref="C50:D50"/>
    <mergeCell ref="C51:D51"/>
    <mergeCell ref="C52:D52"/>
    <mergeCell ref="C53:D53"/>
    <mergeCell ref="C54:D54"/>
    <mergeCell ref="C55:D55"/>
    <mergeCell ref="B75:C75"/>
    <mergeCell ref="K1:L1"/>
    <mergeCell ref="N1:O1"/>
    <mergeCell ref="C16:F16"/>
    <mergeCell ref="C74:E74"/>
    <mergeCell ref="C17:F17"/>
    <mergeCell ref="C19:F19"/>
    <mergeCell ref="N3:O4"/>
    <mergeCell ref="F23:G23"/>
    <mergeCell ref="C63:E63"/>
    <mergeCell ref="C38:E38"/>
    <mergeCell ref="C57:D57"/>
    <mergeCell ref="J4:L4"/>
    <mergeCell ref="H6:I6"/>
    <mergeCell ref="C46:D46"/>
    <mergeCell ref="C39:E39"/>
    <mergeCell ref="K2:P2"/>
    <mergeCell ref="D25:E25"/>
    <mergeCell ref="D26:E26"/>
    <mergeCell ref="C14:F14"/>
    <mergeCell ref="C15:F15"/>
    <mergeCell ref="N6:O6"/>
    <mergeCell ref="E10:F10"/>
    <mergeCell ref="K6:L6"/>
    <mergeCell ref="E4:I4"/>
    <mergeCell ref="J3:L3"/>
    <mergeCell ref="E22:G22"/>
    <mergeCell ref="C20:F20"/>
    <mergeCell ref="C21:F21"/>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9,1 und 17,0 % Wassergehalt." sqref="H68 K68 N68">
      <formula1>9.1</formula1>
      <formula2>17</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48" orientation="portrait" r:id="rId1"/>
  <headerFooter alignWithMargins="0">
    <oddFooter>&amp;L&amp;11LEL Schwäbisch Gmünd&amp;C61&amp;R&amp;11&amp;F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'SDK5'!$U$214:$U$313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4">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6" width="0" style="35" hidden="1" customWidth="1"/>
    <col min="27" max="16384" width="10.5" style="35"/>
  </cols>
  <sheetData>
    <row r="1" spans="1:41" s="1859" customFormat="1" ht="30.4" customHeight="1">
      <c r="A1" s="1863"/>
      <c r="B1" s="319"/>
      <c r="C1" s="1876"/>
      <c r="D1" s="1795"/>
      <c r="E1" s="316"/>
      <c r="F1" s="316"/>
      <c r="G1" s="585"/>
      <c r="H1" s="1870"/>
      <c r="I1" s="1875" t="s">
        <v>1207</v>
      </c>
      <c r="J1" s="1874">
        <f>(J7+J13+J18+J22+I11+I12)-(J23+J27+J34+J43+J60+J65+J67+J69+J71+J75)</f>
        <v>895.72867478836145</v>
      </c>
      <c r="K1" s="4855">
        <f>M1-J1</f>
        <v>0</v>
      </c>
      <c r="L1" s="4855"/>
      <c r="M1" s="1874">
        <f>(M7+M13+M18+M22+L11+L12)-(M23+M27+M34+M43+M60+M65+M67+M69+M71+M75)</f>
        <v>895.72867478836145</v>
      </c>
      <c r="N1" s="4855">
        <f>P1-M1</f>
        <v>0</v>
      </c>
      <c r="O1" s="4855"/>
      <c r="P1" s="1874">
        <f>(P7+P13+P18+P22+O11+O12)-(P23+P27+P34+P43+P60+P65+P67+P69+P71+P75)</f>
        <v>895.72867478836145</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192</v>
      </c>
      <c r="L2" s="4867"/>
      <c r="M2" s="4867"/>
      <c r="N2" s="4867"/>
      <c r="O2" s="4867"/>
      <c r="P2" s="4867"/>
      <c r="Q2" s="1888">
        <v>0</v>
      </c>
    </row>
    <row r="3" spans="1:41" s="1859" customFormat="1" ht="21.75" customHeight="1">
      <c r="A3" s="1863"/>
      <c r="B3" s="1887"/>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898" t="s">
        <v>1242</v>
      </c>
      <c r="F4" s="4898"/>
      <c r="G4" s="4898"/>
      <c r="H4" s="4898"/>
      <c r="I4" s="4898"/>
      <c r="J4" s="4863"/>
      <c r="K4" s="4864"/>
      <c r="L4" s="4864"/>
      <c r="M4" s="1910"/>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1</v>
      </c>
      <c r="K6" s="4874" t="s">
        <v>152</v>
      </c>
      <c r="L6" s="4875"/>
      <c r="M6" s="1855">
        <v>1</v>
      </c>
      <c r="N6" s="4861" t="s">
        <v>178</v>
      </c>
      <c r="O6" s="4862"/>
      <c r="P6" s="1854">
        <v>1</v>
      </c>
      <c r="Q6" s="70"/>
    </row>
    <row r="7" spans="1:41" s="251" customFormat="1" ht="18.75" customHeight="1">
      <c r="A7" s="47"/>
      <c r="B7" s="305" t="s">
        <v>1202</v>
      </c>
      <c r="C7" s="47"/>
      <c r="D7" s="47"/>
      <c r="E7" s="47"/>
      <c r="F7" s="47"/>
      <c r="G7" s="1852"/>
      <c r="H7" s="1849"/>
      <c r="I7" s="1848"/>
      <c r="J7" s="1582">
        <f>SUM(I9:I10)</f>
        <v>0</v>
      </c>
      <c r="K7" s="1851"/>
      <c r="L7" s="1850"/>
      <c r="M7" s="1585">
        <f>SUM(L9:L10)</f>
        <v>0</v>
      </c>
      <c r="N7" s="1849"/>
      <c r="O7" s="1848"/>
      <c r="P7" s="1582">
        <f>SUM(O9:O10)</f>
        <v>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t="s">
        <v>1201</v>
      </c>
      <c r="G9" s="1762"/>
      <c r="H9" s="1845">
        <f>J6-H10</f>
        <v>1</v>
      </c>
      <c r="I9" s="1841">
        <f>H9*G9</f>
        <v>0</v>
      </c>
      <c r="J9" s="43"/>
      <c r="K9" s="1844">
        <f>M6-K10</f>
        <v>1</v>
      </c>
      <c r="L9" s="1843">
        <f>K9*G9</f>
        <v>0</v>
      </c>
      <c r="M9" s="1822"/>
      <c r="N9" s="1842">
        <f>P6-N10</f>
        <v>1</v>
      </c>
      <c r="O9" s="1841">
        <f>N9*G9</f>
        <v>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730</v>
      </c>
      <c r="K13" s="1895"/>
      <c r="L13" s="1793"/>
      <c r="M13" s="1585">
        <f>SUM(L14:L17)</f>
        <v>730</v>
      </c>
      <c r="N13" s="1894"/>
      <c r="O13" s="1791"/>
      <c r="P13" s="1582">
        <f>SUM(O14:O17)</f>
        <v>730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2049</v>
      </c>
      <c r="D14" s="4860"/>
      <c r="E14" s="4860"/>
      <c r="F14" s="4860"/>
      <c r="G14" s="1805"/>
      <c r="H14" s="1935" t="s">
        <v>1241</v>
      </c>
      <c r="I14" s="3909">
        <f>IF(H14="ja",Q14,0)</f>
        <v>730</v>
      </c>
      <c r="J14" s="45"/>
      <c r="K14" s="1804" t="s">
        <v>1241</v>
      </c>
      <c r="L14" s="1639">
        <f>IF(K14="ja",Q14,0)</f>
        <v>730</v>
      </c>
      <c r="M14" s="1557"/>
      <c r="N14" s="1804" t="s">
        <v>1241</v>
      </c>
      <c r="O14" s="1785">
        <f>IF(N14="ja",Q14,0)</f>
        <v>730</v>
      </c>
      <c r="P14" s="1554"/>
      <c r="Q14" s="1803">
        <f>IF(C14=0,0,VLOOKUP(C14,'SD2'!$C$11:$N$49,'SD2'!$N$1,FALSE))</f>
        <v>730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1085.4000000000001</v>
      </c>
      <c r="S19" s="1783">
        <f>M13+M18</f>
        <v>1085.4000000000001</v>
      </c>
      <c r="T19" s="1782">
        <f>P13+P18</f>
        <v>1085.4000000000001</v>
      </c>
    </row>
    <row r="20" spans="1:26" s="42" customFormat="1" ht="15">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68.400000000000006</v>
      </c>
      <c r="K23" s="1587"/>
      <c r="L23" s="1586"/>
      <c r="M23" s="1768">
        <f>SUM(L25:L26)</f>
        <v>68.400000000000006</v>
      </c>
      <c r="N23" s="1584"/>
      <c r="O23" s="1583"/>
      <c r="P23" s="1567">
        <f>SUM(O25:O26)</f>
        <v>68.400000000000006</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f>'SDK7'!F75/100</f>
        <v>5.7</v>
      </c>
      <c r="G25" s="1762">
        <f>F25*(100+$D$24)/100</f>
        <v>5.7</v>
      </c>
      <c r="H25" s="1934">
        <v>12</v>
      </c>
      <c r="I25" s="1722">
        <f>H25*$G25</f>
        <v>68.400000000000006</v>
      </c>
      <c r="J25" s="45"/>
      <c r="K25" s="1934">
        <v>12</v>
      </c>
      <c r="L25" s="1564">
        <f>K25*$G25</f>
        <v>68.400000000000006</v>
      </c>
      <c r="M25" s="1557"/>
      <c r="N25" s="1934">
        <v>12</v>
      </c>
      <c r="O25" s="1722">
        <f>N25*$G25</f>
        <v>68.400000000000006</v>
      </c>
      <c r="P25" s="1686"/>
      <c r="Q25" s="38"/>
    </row>
    <row r="26" spans="1:26" s="42" customFormat="1" ht="15" customHeight="1">
      <c r="A26" s="1284"/>
      <c r="B26" s="1310"/>
      <c r="C26" s="1760"/>
      <c r="D26" s="4880"/>
      <c r="E26" s="4881"/>
      <c r="F26" s="1759"/>
      <c r="G26" s="1758">
        <f>F26*(100+$D$24)/100</f>
        <v>0</v>
      </c>
      <c r="H26" s="1903"/>
      <c r="I26" s="1718">
        <f>H26*$G26</f>
        <v>0</v>
      </c>
      <c r="J26" s="45"/>
      <c r="K26" s="1903">
        <f>H26</f>
        <v>0</v>
      </c>
      <c r="L26" s="1558">
        <f>K26*$G26</f>
        <v>0</v>
      </c>
      <c r="M26" s="1557"/>
      <c r="N26" s="1903">
        <f>H26</f>
        <v>0</v>
      </c>
      <c r="O26" s="1718">
        <f>N26*$G26</f>
        <v>0</v>
      </c>
      <c r="P26" s="1717"/>
      <c r="Q26" s="38"/>
    </row>
    <row r="27" spans="1:26" s="686" customFormat="1" ht="18.75" customHeight="1">
      <c r="A27" s="1248"/>
      <c r="B27" s="1756" t="s">
        <v>1184</v>
      </c>
      <c r="C27" s="1248"/>
      <c r="D27" s="73"/>
      <c r="E27" s="38"/>
      <c r="F27" s="38"/>
      <c r="G27" s="1755"/>
      <c r="H27" s="1714"/>
      <c r="I27" s="1713"/>
      <c r="J27" s="1582">
        <f>SUM(I30:I33)</f>
        <v>0</v>
      </c>
      <c r="K27" s="1716"/>
      <c r="L27" s="1715"/>
      <c r="M27" s="1585">
        <f>SUM(L30:L33)</f>
        <v>0</v>
      </c>
      <c r="N27" s="1714"/>
      <c r="O27" s="1713"/>
      <c r="P27" s="1582">
        <f>SUM(O30:O33)</f>
        <v>0</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v>
      </c>
      <c r="F30" s="1742">
        <f>VLOOKUP(K2,'SD8'!B9:L42,7,FALSE)</f>
        <v>0</v>
      </c>
      <c r="G30" s="1741"/>
      <c r="H30" s="1739">
        <f>IF(J$6=0,0,(J$6*$E30+$G30+X14))</f>
        <v>0</v>
      </c>
      <c r="I30" s="1722">
        <f>H30*$D30</f>
        <v>0</v>
      </c>
      <c r="J30" s="45"/>
      <c r="K30" s="1740">
        <f>IF(M$6=0,0,(M$6*$E30+$G30+Y14))</f>
        <v>0</v>
      </c>
      <c r="L30" s="1564">
        <f>K30*$D30</f>
        <v>0</v>
      </c>
      <c r="M30" s="1557"/>
      <c r="N30" s="1739">
        <f>IF(P$6=0,0,(P$6*$E30+$G30+Z14))</f>
        <v>0</v>
      </c>
      <c r="O30" s="1722">
        <f>N30*$D30</f>
        <v>0</v>
      </c>
      <c r="P30" s="1686"/>
      <c r="Q30" s="38"/>
    </row>
    <row r="31" spans="1:26" s="42" customFormat="1" ht="15" customHeight="1">
      <c r="A31" s="1284"/>
      <c r="B31" s="272"/>
      <c r="C31" s="1284" t="s">
        <v>244</v>
      </c>
      <c r="D31" s="1691">
        <f>'SDK1'!O53</f>
        <v>1.05</v>
      </c>
      <c r="E31" s="1742">
        <f>VLOOKUP(K2,'SD8'!B9:L42,4,FALSE)</f>
        <v>0</v>
      </c>
      <c r="F31" s="1742">
        <f>VLOOKUP(K2,'SD8'!B9:L42,8,FALSE)</f>
        <v>0</v>
      </c>
      <c r="G31" s="1741"/>
      <c r="H31" s="1739">
        <f>IF(J$6=0,0,(J$6*$E31+$G31+X15))</f>
        <v>0</v>
      </c>
      <c r="I31" s="1722">
        <f>H31*$D31</f>
        <v>0</v>
      </c>
      <c r="J31" s="45"/>
      <c r="K31" s="1740">
        <f>IF(M$6=0,0,(M$6*$E31+$G31+Y15))</f>
        <v>0</v>
      </c>
      <c r="L31" s="1564">
        <f>K31*$D31</f>
        <v>0</v>
      </c>
      <c r="M31" s="1557"/>
      <c r="N31" s="1739">
        <f>IF(P$6=0,0,(P$6*$E31+$G31+Z15))</f>
        <v>0</v>
      </c>
      <c r="O31" s="1722">
        <f>N31*$D31</f>
        <v>0</v>
      </c>
      <c r="P31" s="1686"/>
      <c r="Q31" s="38"/>
    </row>
    <row r="32" spans="1:26" s="42" customFormat="1" ht="15" customHeight="1">
      <c r="A32" s="1284"/>
      <c r="B32" s="272"/>
      <c r="C32" s="1284" t="s">
        <v>242</v>
      </c>
      <c r="D32" s="1691">
        <f>'SDK1'!O54</f>
        <v>0.98000000000000009</v>
      </c>
      <c r="E32" s="1742">
        <f>VLOOKUP(K2,'SD8'!B9:L42,5,FALSE)</f>
        <v>0</v>
      </c>
      <c r="F32" s="1742">
        <f>VLOOKUP(K2,'SD8'!B9:L42,9,FALSE)</f>
        <v>0</v>
      </c>
      <c r="G32" s="1741"/>
      <c r="H32" s="1739">
        <f>IF(J$6=0,0,(J$6*$E32+$G32+X16))</f>
        <v>0</v>
      </c>
      <c r="I32" s="1722">
        <f>H32*$D32</f>
        <v>0</v>
      </c>
      <c r="J32" s="45"/>
      <c r="K32" s="1740">
        <f>IF(M$6=0,0,(M$6*$E32+$G32+Y16))</f>
        <v>0</v>
      </c>
      <c r="L32" s="1564">
        <f>K32*$D32</f>
        <v>0</v>
      </c>
      <c r="M32" s="1557"/>
      <c r="N32" s="1739">
        <f>IF(P$6=0,0,(P$6*$E32+$G32+Z16))</f>
        <v>0</v>
      </c>
      <c r="O32" s="1722">
        <f>N32*$D32</f>
        <v>0</v>
      </c>
      <c r="P32" s="1686"/>
      <c r="Q32" s="38"/>
    </row>
    <row r="33" spans="1:17" s="42" customFormat="1" ht="15" customHeight="1">
      <c r="A33" s="1284"/>
      <c r="B33" s="239"/>
      <c r="C33" s="1309" t="s">
        <v>240</v>
      </c>
      <c r="D33" s="1674">
        <f>'SDK1'!O55</f>
        <v>0.60200000000000009</v>
      </c>
      <c r="E33" s="1738">
        <f>VLOOKUP(K2,'SD8'!B9:L42,6,FALSE)</f>
        <v>0</v>
      </c>
      <c r="F33" s="1738">
        <f>VLOOKUP(K2,'SD8'!B9:L42,10,FALSE)</f>
        <v>0</v>
      </c>
      <c r="G33" s="1737"/>
      <c r="H33" s="1735">
        <f>IF(J$6=0,0,(J$6*$E33+$G33+X17))</f>
        <v>0</v>
      </c>
      <c r="I33" s="1718">
        <f>H33*$D33</f>
        <v>0</v>
      </c>
      <c r="J33" s="45"/>
      <c r="K33" s="1736">
        <f>IF(M$6=0,0,(M$6*$E33+$G33+Y17))</f>
        <v>0</v>
      </c>
      <c r="L33" s="1558">
        <f>K33*$D33</f>
        <v>0</v>
      </c>
      <c r="M33" s="1557"/>
      <c r="N33" s="1735">
        <f>IF(P$6=0,0,(P$6*$E33+$G33+Z17))</f>
        <v>0</v>
      </c>
      <c r="O33" s="1718">
        <f>N33*$D33</f>
        <v>0</v>
      </c>
      <c r="P33" s="1717"/>
      <c r="Q33" s="38"/>
    </row>
    <row r="34" spans="1:17" s="686" customFormat="1" ht="18.75" customHeight="1">
      <c r="A34" s="1248"/>
      <c r="B34" s="1254" t="s">
        <v>1178</v>
      </c>
      <c r="C34" s="1248"/>
      <c r="D34" s="37"/>
      <c r="E34" s="37"/>
      <c r="F34" s="4876" t="s">
        <v>1177</v>
      </c>
      <c r="G34" s="4877"/>
      <c r="H34" s="1732"/>
      <c r="I34" s="1731"/>
      <c r="J34" s="1582">
        <f>SUM(I36:I42)</f>
        <v>0</v>
      </c>
      <c r="K34" s="1734"/>
      <c r="L34" s="1733"/>
      <c r="M34" s="1585">
        <f>SUM(L36:L42)</f>
        <v>0</v>
      </c>
      <c r="N34" s="1732"/>
      <c r="O34" s="1731"/>
      <c r="P34" s="1582">
        <f>SUM(O36:O42)</f>
        <v>0</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c r="D36" s="4884"/>
      <c r="E36" s="4885"/>
      <c r="F36" s="1724">
        <f>IF(C36="",0,VLOOKUP(C36,'SDK5'!C3:AF83,2,FALSE))</f>
        <v>0</v>
      </c>
      <c r="G36" s="1724">
        <f t="shared" ref="G36:G42" si="0">F36*(100+$D$35)/100</f>
        <v>0</v>
      </c>
      <c r="H36" s="1933"/>
      <c r="I36" s="1722">
        <f t="shared" ref="I36:I42" si="1">$G36*H36</f>
        <v>0</v>
      </c>
      <c r="J36" s="45"/>
      <c r="K36" s="1933"/>
      <c r="L36" s="1564">
        <f t="shared" ref="L36:L42" si="2">$G36*K36</f>
        <v>0</v>
      </c>
      <c r="M36" s="1557"/>
      <c r="N36" s="1723"/>
      <c r="O36" s="1722">
        <f t="shared" ref="O36:O42" si="3">$G36*N36</f>
        <v>0</v>
      </c>
      <c r="P36" s="1726"/>
      <c r="Q36" s="38"/>
    </row>
    <row r="37" spans="1:17" s="42" customFormat="1" ht="15" customHeight="1">
      <c r="A37" s="1284"/>
      <c r="B37" s="1562"/>
      <c r="C37" s="4870"/>
      <c r="D37" s="4870"/>
      <c r="E37" s="4871"/>
      <c r="F37" s="1724">
        <f>IF(C37="",0,VLOOKUP(C37,'SDK5'!C4:AF84,2,FALSE))</f>
        <v>0</v>
      </c>
      <c r="G37" s="1724">
        <f t="shared" si="0"/>
        <v>0</v>
      </c>
      <c r="H37" s="1933"/>
      <c r="I37" s="1722">
        <f t="shared" si="1"/>
        <v>0</v>
      </c>
      <c r="J37" s="45"/>
      <c r="K37" s="1933"/>
      <c r="L37" s="1564">
        <f t="shared" si="2"/>
        <v>0</v>
      </c>
      <c r="M37" s="1557"/>
      <c r="N37" s="1723"/>
      <c r="O37" s="1722">
        <f t="shared" si="3"/>
        <v>0</v>
      </c>
      <c r="P37" s="1686"/>
      <c r="Q37" s="38"/>
    </row>
    <row r="38" spans="1:17" s="42" customFormat="1" ht="15" customHeight="1">
      <c r="A38" s="1284"/>
      <c r="B38" s="1725"/>
      <c r="C38" s="4870"/>
      <c r="D38" s="4870"/>
      <c r="E38" s="4871"/>
      <c r="F38" s="1724">
        <f>IF(C38="",0,VLOOKUP(C38,'SDK5'!C5:AF85,2,FALSE))</f>
        <v>0</v>
      </c>
      <c r="G38" s="1724">
        <f t="shared" si="0"/>
        <v>0</v>
      </c>
      <c r="H38" s="1933"/>
      <c r="I38" s="1722">
        <f t="shared" si="1"/>
        <v>0</v>
      </c>
      <c r="J38" s="45"/>
      <c r="K38" s="193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933"/>
      <c r="I39" s="1722">
        <f t="shared" si="1"/>
        <v>0</v>
      </c>
      <c r="J39" s="45"/>
      <c r="K39" s="193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933"/>
      <c r="I40" s="1722">
        <f t="shared" si="1"/>
        <v>0</v>
      </c>
      <c r="J40" s="45"/>
      <c r="K40" s="193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933"/>
      <c r="I41" s="1722">
        <f t="shared" si="1"/>
        <v>0</v>
      </c>
      <c r="J41" s="45"/>
      <c r="K41" s="193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932"/>
      <c r="I42" s="1718">
        <f t="shared" si="1"/>
        <v>0</v>
      </c>
      <c r="J42" s="45"/>
      <c r="K42" s="1932"/>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119.70379359831931</v>
      </c>
      <c r="K43" s="1716"/>
      <c r="L43" s="1715"/>
      <c r="M43" s="1585">
        <f>SUM(M46:M57)</f>
        <v>119.70379359831931</v>
      </c>
      <c r="N43" s="1714"/>
      <c r="O43" s="1713"/>
      <c r="P43" s="1582">
        <f>SUM(P46:P57)</f>
        <v>119.70379359831931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462</v>
      </c>
      <c r="D46" s="4859"/>
      <c r="E46" s="1693">
        <f>IF($C46=0,0,VLOOKUP($C46,'SDK3'!$C$24:$O$86,4,FALSE))</f>
        <v>120</v>
      </c>
      <c r="F46" s="1692">
        <f>IF($C46=0,0,VLOOKUP($C46,'SDK3'!$C$24:$O$86,12,FALSE))</f>
        <v>1.44</v>
      </c>
      <c r="G46" s="1691">
        <f>IF($C46=0,0,VLOOKUP($C46,'SDK3'!$C$24:$O$86,13,FALSE))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414</v>
      </c>
      <c r="D48" s="4883"/>
      <c r="E48" s="1693">
        <f>IF($C48=0,0,VLOOKUP($C48,'SDK3'!$C$24:$O$86,4,FALSE))</f>
        <v>83</v>
      </c>
      <c r="F48" s="1692">
        <f>IF($C48=0,0,VLOOKUP($C48,'SDK3'!$C$24:$O$86,12,FALSE))</f>
        <v>1.17</v>
      </c>
      <c r="G48" s="1691">
        <f>IF($C48=0,0,VLOOKUP($C48,'SDK3'!$C$24:$O$86,13,FALSE))</f>
        <v>24.250817363025202</v>
      </c>
      <c r="H48" s="1688">
        <v>1</v>
      </c>
      <c r="I48" s="1687">
        <f t="shared" si="4"/>
        <v>1.17</v>
      </c>
      <c r="J48" s="1686">
        <f t="shared" si="5"/>
        <v>24.250817363025202</v>
      </c>
      <c r="K48" s="1688">
        <v>1</v>
      </c>
      <c r="L48" s="1690">
        <f t="shared" si="6"/>
        <v>1.17</v>
      </c>
      <c r="M48" s="1689">
        <f t="shared" si="7"/>
        <v>24.250817363025202</v>
      </c>
      <c r="N48" s="1688">
        <v>1</v>
      </c>
      <c r="O48" s="1687">
        <f t="shared" si="8"/>
        <v>1.17</v>
      </c>
      <c r="P48" s="1686">
        <f t="shared" si="9"/>
        <v>24.250817363025202</v>
      </c>
      <c r="Q48" s="38"/>
    </row>
    <row r="49" spans="1:17" s="42" customFormat="1" ht="15" customHeight="1">
      <c r="A49" s="1284"/>
      <c r="B49" s="1694"/>
      <c r="C49" s="4882"/>
      <c r="D49" s="4883"/>
      <c r="E49" s="1693">
        <f>IF($C49=0,0,VLOOKUP($C49,'SDK3'!$C$24:$O$86,4,FALSE))</f>
        <v>0</v>
      </c>
      <c r="F49" s="1692">
        <f>IF($C49=0,0,VLOOKUP($C49,'SDK3'!$C$24:$O$86,12,FALSE))</f>
        <v>0</v>
      </c>
      <c r="G49" s="1691">
        <f>IF($C49=0,0,VLOOKUP($C49,'SDK3'!$C$24:$O$86,13,FALSE))</f>
        <v>0</v>
      </c>
      <c r="H49" s="1688"/>
      <c r="I49" s="1687">
        <f t="shared" si="4"/>
        <v>0</v>
      </c>
      <c r="J49" s="1686">
        <f t="shared" si="5"/>
        <v>0</v>
      </c>
      <c r="K49" s="1688"/>
      <c r="L49" s="1690">
        <f t="shared" si="6"/>
        <v>0</v>
      </c>
      <c r="M49" s="1689">
        <f t="shared" si="7"/>
        <v>0</v>
      </c>
      <c r="N49" s="1688"/>
      <c r="O49" s="1687">
        <f t="shared" si="8"/>
        <v>0</v>
      </c>
      <c r="P49" s="1686">
        <f t="shared" si="9"/>
        <v>0</v>
      </c>
      <c r="Q49" s="38"/>
    </row>
    <row r="50" spans="1:17" s="42" customFormat="1" ht="15" customHeight="1">
      <c r="A50" s="1284"/>
      <c r="B50" s="1694"/>
      <c r="C50" s="4882"/>
      <c r="D50" s="4883"/>
      <c r="E50" s="1693">
        <f>IF($C50=0,0,VLOOKUP($C50,'SDK3'!$C$24:$O$86,4,FALSE))</f>
        <v>0</v>
      </c>
      <c r="F50" s="1692">
        <f>IF($C50=0,0,VLOOKUP($C50,'SDK3'!$C$24:$O$86,12,FALSE))</f>
        <v>0</v>
      </c>
      <c r="G50" s="1691">
        <f>IF($C50=0,0,VLOOKUP($C50,'SDK3'!$C$24:$O$86,13,FALSE))</f>
        <v>0</v>
      </c>
      <c r="H50" s="1688"/>
      <c r="I50" s="1687">
        <f t="shared" si="4"/>
        <v>0</v>
      </c>
      <c r="J50" s="1686">
        <f t="shared" si="5"/>
        <v>0</v>
      </c>
      <c r="K50" s="1688"/>
      <c r="L50" s="1690">
        <f t="shared" si="6"/>
        <v>0</v>
      </c>
      <c r="M50" s="1689">
        <f t="shared" si="7"/>
        <v>0</v>
      </c>
      <c r="N50" s="1688"/>
      <c r="O50" s="1687">
        <f t="shared" si="8"/>
        <v>0</v>
      </c>
      <c r="P50" s="1686">
        <f t="shared" si="9"/>
        <v>0</v>
      </c>
      <c r="Q50" s="38"/>
    </row>
    <row r="51" spans="1:17" s="42" customFormat="1" ht="15" customHeight="1">
      <c r="A51" s="1284"/>
      <c r="B51" s="1694"/>
      <c r="C51" s="4882"/>
      <c r="D51" s="4883"/>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3.66</v>
      </c>
      <c r="J58" s="1669"/>
      <c r="K58" s="1668"/>
      <c r="L58" s="1667">
        <f>SUM($L$46:$L$57)</f>
        <v>3.66</v>
      </c>
      <c r="M58" s="1666"/>
      <c r="N58" s="1665"/>
      <c r="O58" s="1664">
        <f>SUM($O$46:$O$57)</f>
        <v>3.66</v>
      </c>
      <c r="P58" s="1663"/>
      <c r="Q58" s="38"/>
    </row>
    <row r="59" spans="1:17" s="65" customFormat="1" ht="15" customHeight="1">
      <c r="A59" s="1351"/>
      <c r="B59" s="1662"/>
      <c r="C59" s="346"/>
      <c r="D59" s="278" t="s">
        <v>1166</v>
      </c>
      <c r="E59" s="1661">
        <v>80</v>
      </c>
      <c r="F59" s="346" t="s">
        <v>1165</v>
      </c>
      <c r="G59" s="1660"/>
      <c r="H59" s="1656"/>
      <c r="I59" s="1655">
        <f>IF(I58+SUM($I$46:$I$57)*$E$59%&gt;I58+10,I58+10,I58+SUM($I$46:$I$57)*$E$59%)</f>
        <v>6.588000000000001</v>
      </c>
      <c r="J59" s="1654"/>
      <c r="K59" s="1659"/>
      <c r="L59" s="1658">
        <f>IF(L58+SUM($L$46:$L$57)*$E$59%&gt;L58+10,L58+10,L58+SUM($L$46:$L$57)*$E$59%)</f>
        <v>6.588000000000001</v>
      </c>
      <c r="M59" s="1657"/>
      <c r="N59" s="1656"/>
      <c r="O59" s="1655">
        <f>IF(O58+SUM($O$46:$O$57)*$E$59%&gt;O58+10,O58+10,O58+SUM($O$46:$O$57)*$E$59%)</f>
        <v>6.588000000000001</v>
      </c>
      <c r="P59" s="1654"/>
      <c r="Q59" s="38"/>
    </row>
    <row r="60" spans="1:17" s="42" customFormat="1" ht="18.75" customHeight="1">
      <c r="A60" s="1284"/>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931"/>
      <c r="K67" s="1609" t="s">
        <v>1161</v>
      </c>
      <c r="L67" s="1608" t="s">
        <v>1160</v>
      </c>
      <c r="M67" s="1931"/>
      <c r="N67" s="1607" t="s">
        <v>1161</v>
      </c>
      <c r="O67" s="1606" t="s">
        <v>1160</v>
      </c>
      <c r="P67" s="1931"/>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8"/>
    </row>
    <row r="70" spans="1:20" s="686" customFormat="1" ht="15" customHeight="1">
      <c r="A70" s="1248"/>
      <c r="B70" s="1310"/>
      <c r="C70" s="1309" t="s">
        <v>840</v>
      </c>
      <c r="D70" s="346"/>
      <c r="E70" s="278"/>
      <c r="F70" s="1930"/>
      <c r="G70" s="1595" t="s">
        <v>171</v>
      </c>
      <c r="H70" s="1591">
        <f>I9+I10</f>
        <v>0</v>
      </c>
      <c r="I70" s="1590"/>
      <c r="J70" s="1589"/>
      <c r="K70" s="1594">
        <f>L9+L10</f>
        <v>0</v>
      </c>
      <c r="L70" s="1593"/>
      <c r="M70" s="1592"/>
      <c r="N70" s="1591">
        <f>O9+O10</f>
        <v>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1.5675316133193278</v>
      </c>
      <c r="K75" s="689"/>
      <c r="L75" s="1034"/>
      <c r="M75" s="1546">
        <f>(M23+M27+M34+M43+M60+M65+M67+M69+M71)*('SDK1'!$O$59%*$G$75/12)</f>
        <v>1.5675316133193278</v>
      </c>
      <c r="N75" s="1548"/>
      <c r="O75" s="1547"/>
      <c r="P75" s="1546">
        <f>(P23+P27+P34+P43+P60+P65+P67+P69+P71)*('SDK1'!$O$59%*$G$75/12)</f>
        <v>1.5675316133193278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M153" s="35"/>
      <c r="N153" s="35"/>
      <c r="O153" s="35"/>
      <c r="P153" s="35"/>
      <c r="Q153" s="35"/>
    </row>
    <row r="154" spans="1:17">
      <c r="A154" s="35"/>
      <c r="B154" s="601"/>
      <c r="C154" s="15"/>
      <c r="M154" s="35"/>
      <c r="N154" s="35"/>
      <c r="O154" s="35"/>
      <c r="P154" s="35"/>
      <c r="Q154" s="35"/>
    </row>
    <row r="155" spans="1:17">
      <c r="A155" s="35"/>
      <c r="B155" s="601"/>
      <c r="C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mergeCells count="49">
    <mergeCell ref="B75:C75"/>
    <mergeCell ref="C37:E37"/>
    <mergeCell ref="C73:E73"/>
    <mergeCell ref="C55:D55"/>
    <mergeCell ref="C68:E68"/>
    <mergeCell ref="C74:E74"/>
    <mergeCell ref="C56:D56"/>
    <mergeCell ref="C57:D57"/>
    <mergeCell ref="C51:D51"/>
    <mergeCell ref="C53:D53"/>
    <mergeCell ref="C62:E62"/>
    <mergeCell ref="C64:E64"/>
    <mergeCell ref="C41:E41"/>
    <mergeCell ref="C42:E42"/>
    <mergeCell ref="C47:D47"/>
    <mergeCell ref="C63:E63"/>
    <mergeCell ref="C19:F19"/>
    <mergeCell ref="J4:L4"/>
    <mergeCell ref="E4:I4"/>
    <mergeCell ref="C20:F20"/>
    <mergeCell ref="C21:F21"/>
    <mergeCell ref="N6:O6"/>
    <mergeCell ref="C14:F14"/>
    <mergeCell ref="C17:F17"/>
    <mergeCell ref="C16:F16"/>
    <mergeCell ref="K1:L1"/>
    <mergeCell ref="K2:P2"/>
    <mergeCell ref="C15:F15"/>
    <mergeCell ref="N3:O4"/>
    <mergeCell ref="H6:I6"/>
    <mergeCell ref="K6:L6"/>
    <mergeCell ref="E10:F10"/>
    <mergeCell ref="N1:O1"/>
    <mergeCell ref="J3:L3"/>
    <mergeCell ref="C48:D48"/>
    <mergeCell ref="C52:D52"/>
    <mergeCell ref="C54:D54"/>
    <mergeCell ref="E22:G22"/>
    <mergeCell ref="F23:G23"/>
    <mergeCell ref="F34:G34"/>
    <mergeCell ref="D25:E25"/>
    <mergeCell ref="D26:E26"/>
    <mergeCell ref="C36:E36"/>
    <mergeCell ref="C39:E39"/>
    <mergeCell ref="C40:E40"/>
    <mergeCell ref="C38:E38"/>
    <mergeCell ref="C49:D49"/>
    <mergeCell ref="C50:D50"/>
    <mergeCell ref="C46:D46"/>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s>
  <hyperlinks>
    <hyperlink ref="F9" location="'SDK1'!A1" display="Preis ändern"/>
  </hyperlink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Gmünd&amp;C83&amp;R&amp;11&amp;F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'SDK5'!$AR$214:$AR$313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0000"/>
    <pageSetUpPr fitToPage="1"/>
  </sheetPr>
  <dimension ref="A1:L60"/>
  <sheetViews>
    <sheetView showZeros="0" topLeftCell="A2" zoomScaleNormal="100" workbookViewId="0">
      <selection activeCell="A2" sqref="A2"/>
    </sheetView>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9" width="9.625" style="136" customWidth="1"/>
    <col min="10" max="10" width="10.75" style="136" customWidth="1"/>
    <col min="11" max="11" width="7.875" style="136" customWidth="1"/>
    <col min="12" max="12" width="9.25" style="136" hidden="1" customWidth="1"/>
    <col min="13" max="16384" width="10.5" style="136"/>
  </cols>
  <sheetData>
    <row r="1" spans="1:12" ht="13.5" hidden="1">
      <c r="A1" s="4154">
        <f>IF(J7=100,0,   "Flächenanteile ergeben nicht 100% !")</f>
        <v>0</v>
      </c>
      <c r="B1" s="4154"/>
      <c r="D1" s="206">
        <f t="shared" ref="D1:I1" si="0">VLOOKUP(D6,$D$27:$F$58,3,FALSE)</f>
        <v>17</v>
      </c>
      <c r="E1" s="206">
        <f t="shared" si="0"/>
        <v>3</v>
      </c>
      <c r="F1" s="206">
        <f t="shared" si="0"/>
        <v>22</v>
      </c>
      <c r="G1" s="206">
        <f t="shared" si="0"/>
        <v>8</v>
      </c>
      <c r="H1" s="206">
        <f t="shared" si="0"/>
        <v>15</v>
      </c>
      <c r="I1" s="206">
        <f t="shared" si="0"/>
        <v>32</v>
      </c>
      <c r="J1" s="140"/>
      <c r="K1" s="140"/>
    </row>
    <row r="2" spans="1:12" ht="21.4" customHeight="1">
      <c r="B2" s="205" t="str">
        <f>"Deckungsbeitrag je ha Ackerfläche " &amp; 'SDK1'!O8</f>
        <v>Deckungsbeitrag je ha Ackerfläche ohne MwSt.</v>
      </c>
      <c r="D2" s="202"/>
      <c r="E2" s="202"/>
      <c r="F2" s="204"/>
      <c r="G2" s="202"/>
      <c r="H2" s="140" t="str">
        <f>'SDK1'!O8</f>
        <v>ohne MwSt.</v>
      </c>
      <c r="I2" s="140"/>
      <c r="J2" s="3222" t="s">
        <v>184</v>
      </c>
      <c r="K2" s="201"/>
    </row>
    <row r="3" spans="1:12" ht="40.15" customHeight="1">
      <c r="B3" s="221" t="s">
        <v>234</v>
      </c>
      <c r="D3" s="140"/>
      <c r="E3" s="4156" t="s">
        <v>233</v>
      </c>
      <c r="F3" s="4156"/>
      <c r="G3" s="4156"/>
      <c r="H3" s="4156"/>
      <c r="I3" s="4156"/>
      <c r="J3" s="4156"/>
    </row>
    <row r="4" spans="1:12" ht="21.4" customHeight="1">
      <c r="B4" s="4155" t="s">
        <v>212</v>
      </c>
      <c r="C4" s="4155"/>
      <c r="D4" s="202">
        <f>VLOOKUP(B4,G27:J30,4,FALSE)</f>
        <v>3</v>
      </c>
      <c r="E4" s="202"/>
      <c r="F4" s="202"/>
      <c r="G4" s="202"/>
      <c r="H4" s="140"/>
      <c r="I4" s="140"/>
      <c r="J4" s="201">
        <f>'SDK1'!O3</f>
        <v>0</v>
      </c>
      <c r="K4" s="201"/>
    </row>
    <row r="5" spans="1:12" ht="19.899999999999999" customHeight="1">
      <c r="C5" s="33"/>
      <c r="D5" s="200">
        <f t="shared" ref="D5:I5" si="1">$D$4*100+D1</f>
        <v>317</v>
      </c>
      <c r="E5" s="200">
        <f t="shared" si="1"/>
        <v>303</v>
      </c>
      <c r="F5" s="200">
        <f t="shared" si="1"/>
        <v>322</v>
      </c>
      <c r="G5" s="200">
        <f t="shared" si="1"/>
        <v>308</v>
      </c>
      <c r="H5" s="200">
        <f t="shared" si="1"/>
        <v>315</v>
      </c>
      <c r="I5" s="200">
        <f t="shared" si="1"/>
        <v>332</v>
      </c>
      <c r="J5" s="33"/>
    </row>
    <row r="6" spans="1:12" ht="43.15" customHeight="1">
      <c r="B6" s="220"/>
      <c r="C6" s="198" t="s">
        <v>232</v>
      </c>
      <c r="D6" s="3357" t="s">
        <v>64</v>
      </c>
      <c r="E6" s="3357" t="s">
        <v>96</v>
      </c>
      <c r="F6" s="3357" t="s">
        <v>199</v>
      </c>
      <c r="G6" s="3357" t="s">
        <v>86</v>
      </c>
      <c r="H6" s="3358" t="s">
        <v>205</v>
      </c>
      <c r="I6" s="197" t="s">
        <v>191</v>
      </c>
      <c r="J6" s="196" t="s">
        <v>231</v>
      </c>
      <c r="K6" s="195"/>
      <c r="L6" s="3209" t="str">
        <f>J6</f>
        <v xml:space="preserve">Ø DB je ha AF </v>
      </c>
    </row>
    <row r="7" spans="1:12" ht="18.75" customHeight="1">
      <c r="B7" s="194" t="s">
        <v>230</v>
      </c>
      <c r="C7" s="193" t="s">
        <v>113</v>
      </c>
      <c r="D7" s="3359">
        <v>20</v>
      </c>
      <c r="E7" s="3359">
        <v>30</v>
      </c>
      <c r="F7" s="3359">
        <v>10</v>
      </c>
      <c r="G7" s="3359">
        <v>20</v>
      </c>
      <c r="H7" s="3360">
        <v>20</v>
      </c>
      <c r="I7" s="3361"/>
      <c r="J7" s="189">
        <f>SUM($D$7:$H$7)</f>
        <v>100</v>
      </c>
      <c r="L7" s="3216">
        <v>100</v>
      </c>
    </row>
    <row r="8" spans="1:12" ht="21.6" customHeight="1">
      <c r="B8" s="179" t="s">
        <v>229</v>
      </c>
      <c r="C8" s="165" t="s">
        <v>172</v>
      </c>
      <c r="D8" s="164">
        <f>IF(ISERROR(IF(D5&lt;200,0,HLOOKUP(D5,Daten!$D$1:$CT$6,6,FALSE))),"",IF(D5&lt;200,0,HLOOKUP(D5,Daten!$D$1:$CT$6,6,FALSE)))</f>
        <v>40</v>
      </c>
      <c r="E8" s="164">
        <f>IF(ISERROR(IF(E5&lt;200,0,HLOOKUP(E5,Daten!$D$1:$CT$6,6,FALSE))),"",IF(E5&lt;200,0,HLOOKUP(E5,Daten!$D$1:$CT$6,6,FALSE)))</f>
        <v>75</v>
      </c>
      <c r="F8" s="164">
        <f>IF(ISERROR(IF(F5&lt;200,0,HLOOKUP(F5,Daten!$D$1:$CT$6,6,FALSE))),"",IF(F5&lt;200,0,HLOOKUP(F5,Daten!$D$1:$CT$6,6,FALSE)))</f>
        <v>35</v>
      </c>
      <c r="G8" s="164">
        <f>IF(ISERROR(IF(G5&lt;200,0,HLOOKUP(G5,Daten!$D$1:$CT$6,6,FALSE))),"",IF(G5&lt;200,0,HLOOKUP(G5,Daten!$D$1:$CT$6,6,FALSE)))</f>
        <v>70</v>
      </c>
      <c r="H8" s="162">
        <f>IF(ISERROR(IF(H5&lt;200,0,HLOOKUP(H5,Daten!$D$1:$CT$6,6,FALSE))),"",IF(H5&lt;200,0,HLOOKUP(H5,Daten!$D$1:$CT$6,6,FALSE)))</f>
        <v>100</v>
      </c>
      <c r="I8" s="178"/>
      <c r="J8" s="177"/>
      <c r="K8" s="176"/>
      <c r="L8" s="3212"/>
    </row>
    <row r="9" spans="1:12" ht="19.899999999999999" customHeight="1">
      <c r="B9" s="179" t="str">
        <f>IF('SDK1'!O9&gt;0," Preis (inkl. MwSt.)","Preis (ohne. MwSt.)")</f>
        <v>Preis (ohne. MwSt.)</v>
      </c>
      <c r="C9" s="165" t="s">
        <v>228</v>
      </c>
      <c r="D9" s="188">
        <f>IF(ISERROR(IF(D5&lt;200,0,HLOOKUP(D5,Daten!$D$1:$CT$7,7,FALSE))),"",IF(D5&lt;200,0,HLOOKUP(D5,Daten!$D$1:$CT$7,7,FALSE)))</f>
        <v>52.166666666666657</v>
      </c>
      <c r="E9" s="188">
        <f>IF(ISERROR(IF(E5&lt;200,0,HLOOKUP(E5,Daten!$D$1:$CT$7,7,FALSE))),"",IF(E5&lt;200,0,HLOOKUP(E5,Daten!$D$1:$CT$7,7,FALSE)))</f>
        <v>23.533333333333331</v>
      </c>
      <c r="F9" s="188">
        <f>IF(ISERROR(IF(F5&lt;200,0,HLOOKUP(F5,Daten!$D$1:$CT$7,7,FALSE))),"",IF(F5&lt;200,0,HLOOKUP(F5,Daten!$D$1:$CT$7,7,FALSE)))</f>
        <v>29.966666666666669</v>
      </c>
      <c r="G9" s="188">
        <f>IF(ISERROR(IF(G5&lt;200,0,HLOOKUP(G5,Daten!$D$1:$CT$7,7,FALSE))),"",IF(G5&lt;200,0,HLOOKUP(G5,Daten!$D$1:$CT$7,7,FALSE)))</f>
        <v>19.900000000000002</v>
      </c>
      <c r="H9" s="187">
        <f>IF(ISERROR(IF(H5&lt;200,0,HLOOKUP(H5,Daten!$D$1:$CT$7,7,FALSE))),"",IF(H5&lt;200,0,HLOOKUP(H5,Daten!$D$1:$CT$7,7,FALSE)))</f>
        <v>24.633333333333336</v>
      </c>
      <c r="I9" s="186">
        <f>IF(I7=0,0,IF(ISERROR(IF(I5&lt;200,0,HLOOKUP(I5,Daten!$D$1:$CT$7,7,FALSE))),"",IF(I5&lt;200,0,HLOOKUP(I5,Daten!$D$1:$CT$7,7,FALSE))))</f>
        <v>0</v>
      </c>
      <c r="J9" s="185"/>
      <c r="K9" s="184"/>
      <c r="L9" s="3212"/>
    </row>
    <row r="10" spans="1:12" ht="19.899999999999999" customHeight="1">
      <c r="B10" s="179" t="s">
        <v>227</v>
      </c>
      <c r="C10" s="165" t="s">
        <v>171</v>
      </c>
      <c r="D10" s="164">
        <f>IF(ISERROR(IF(D$5&lt;200,0,HLOOKUP(D$5,Daten!$D$1:$CT$11,8,FALSE))),"",IF(D$5&lt;200,0,HLOOKUP(D$5,Daten!$D$1:$CT$11,8,FALSE)))</f>
        <v>2086.6666666666661</v>
      </c>
      <c r="E10" s="164">
        <f>IF(ISERROR(IF(E$5&lt;200,0,HLOOKUP(E$5,Daten!$D$1:$CT$11,8,FALSE))),"",IF(E$5&lt;200,0,HLOOKUP(E$5,Daten!$D$1:$CT$11,8,FALSE)))</f>
        <v>1764.9999999999998</v>
      </c>
      <c r="F10" s="164">
        <f>IF(ISERROR(IF(F$5&lt;200,0,HLOOKUP(F$5,Daten!$D$1:$CT$11,8,FALSE))),"",IF(F$5&lt;200,0,HLOOKUP(F$5,Daten!$D$1:$CT$11,8,FALSE)))</f>
        <v>1048.8333333333335</v>
      </c>
      <c r="G10" s="164">
        <f>IF(ISERROR(IF(G$5&lt;200,0,HLOOKUP(G$5,Daten!$D$1:$CT$11,8,FALSE))),"",IF(G$5&lt;200,0,HLOOKUP(G$5,Daten!$D$1:$CT$11,8,FALSE)))</f>
        <v>1393.0000000000002</v>
      </c>
      <c r="H10" s="162">
        <f>IF(ISERROR(IF(H$5&lt;200,0,HLOOKUP(H$5,Daten!$D$1:$CT$11,8,FALSE))),"",IF(H$5&lt;200,0,HLOOKUP(H$5,Daten!$D$1:$CT$11,8,FALSE)))</f>
        <v>2463.3333333333335</v>
      </c>
      <c r="I10" s="178">
        <f>IF(I7=0,0,IF(ISERROR(IF(I$5&lt;200,0,HLOOKUP(I$5,Daten!$D$1:$CT$11,8,FALSE))),"",IF(I$5&lt;200,0,HLOOKUP(I$5,Daten!$D$1:$CT$11,8,FALSE))))</f>
        <v>0</v>
      </c>
      <c r="J10" s="185"/>
      <c r="K10" s="184"/>
      <c r="L10" s="3212"/>
    </row>
    <row r="11" spans="1:12" ht="19.899999999999999" customHeight="1">
      <c r="B11" s="179" t="s">
        <v>226</v>
      </c>
      <c r="C11" s="165" t="s">
        <v>171</v>
      </c>
      <c r="D11" s="164">
        <f>IF(ISERROR(IF(D$5&lt;200,0,HLOOKUP(D$5,Daten!$D$1:$CT$11,9,FALSE))),"",IF(D$5&lt;200,0,HLOOKUP(D$5,Daten!$D$1:$CT$11,9,FALSE)))</f>
        <v>0</v>
      </c>
      <c r="E11" s="164">
        <f>IF(ISERROR(IF(E$5&lt;200,0,HLOOKUP(E$5,Daten!$D$1:$CT$11,9,FALSE))),"",IF(E$5&lt;200,0,HLOOKUP(E$5,Daten!$D$1:$CT$11,9,FALSE)))</f>
        <v>0</v>
      </c>
      <c r="F11" s="164">
        <f>IF(ISERROR(IF(F$5&lt;200,0,HLOOKUP(F$5,Daten!$D$1:$CT$11,9,FALSE))),"",IF(F$5&lt;200,0,HLOOKUP(F$5,Daten!$D$1:$CT$11,9,FALSE)))</f>
        <v>0</v>
      </c>
      <c r="G11" s="164">
        <f>IF(ISERROR(IF(G$5&lt;200,0,HLOOKUP(G$5,Daten!$D$1:$CT$11,9,FALSE))),"",IF(G$5&lt;200,0,HLOOKUP(G$5,Daten!$D$1:$CT$11,9,FALSE)))</f>
        <v>0</v>
      </c>
      <c r="H11" s="162">
        <f>IF(ISERROR(IF(H$5&lt;200,0,HLOOKUP(H$5,Daten!$D$1:$CT$11,9,FALSE))),"",IF(H$5&lt;200,0,HLOOKUP(H$5,Daten!$D$1:$CT$11,9,FALSE)))</f>
        <v>0</v>
      </c>
      <c r="I11" s="178">
        <f>IF(I7=0,0,IF(ISERROR(IF(I$5&lt;200,0,HLOOKUP(I$5,Daten!$D$1:$CT$11,9,FALSE))),"",IF(I$5&lt;200,0,HLOOKUP(I$5,Daten!$D$1:$CT$11,9,FALSE))))</f>
        <v>0</v>
      </c>
      <c r="J11" s="185"/>
      <c r="K11" s="184"/>
      <c r="L11" s="3212"/>
    </row>
    <row r="12" spans="1:12" ht="19.899999999999999" customHeight="1">
      <c r="B12" s="179" t="s">
        <v>225</v>
      </c>
      <c r="C12" s="165" t="s">
        <v>171</v>
      </c>
      <c r="D12" s="164">
        <f>IF(ISERROR(IF(D$5&lt;200,0,HLOOKUP(D$5,Daten!$D$1:$CT$11,10,FALSE))),"",IF(D$5&lt;200,0,HLOOKUP(D$5,Daten!$D$1:$CT$11,10,FALSE)))</f>
        <v>0</v>
      </c>
      <c r="E12" s="164">
        <f>IF(ISERROR(IF(E$5&lt;200,0,HLOOKUP(E$5,Daten!$D$1:$CT$11,10,FALSE))),"",IF(E$5&lt;200,0,HLOOKUP(E$5,Daten!$D$1:$CT$11,10,FALSE)))</f>
        <v>0</v>
      </c>
      <c r="F12" s="164">
        <f>IF(ISERROR(IF(F$5&lt;200,0,HLOOKUP(F$5,Daten!$D$1:$CT$11,10,FALSE))),"",IF(F$5&lt;200,0,HLOOKUP(F$5,Daten!$D$1:$CT$11,10,FALSE)))</f>
        <v>0</v>
      </c>
      <c r="G12" s="164">
        <f>IF(ISERROR(IF(G$5&lt;200,0,HLOOKUP(G$5,Daten!$D$1:$CT$11,10,FALSE))),"",IF(G$5&lt;200,0,HLOOKUP(G$5,Daten!$D$1:$CT$11,10,FALSE)))</f>
        <v>0</v>
      </c>
      <c r="H12" s="162">
        <f>IF(ISERROR(IF(H$5&lt;200,0,HLOOKUP(H$5,Daten!$D$1:$CT$11,10,FALSE))),"",IF(H$5&lt;200,0,HLOOKUP(H$5,Daten!$D$1:$CT$11,10,FALSE)))</f>
        <v>0</v>
      </c>
      <c r="I12" s="178">
        <f>IF(I7=0,0,IF(ISERROR(IF(I$5&lt;200,0,HLOOKUP(I$5,Daten!$D$1:$CT$11,10,FALSE))),"",IF(I$5&lt;200,0,HLOOKUP(I$5,Daten!$D$1:$CT$11,10,FALSE))))</f>
        <v>0</v>
      </c>
      <c r="J12" s="185"/>
      <c r="K12" s="184"/>
      <c r="L12" s="3213"/>
    </row>
    <row r="13" spans="1:12" ht="19.899999999999999" customHeight="1">
      <c r="B13" s="179" t="s">
        <v>224</v>
      </c>
      <c r="C13" s="165" t="s">
        <v>171</v>
      </c>
      <c r="D13" s="164">
        <f>IF(ISERROR(IF(D$5&lt;200,0,HLOOKUP(D$5,Daten!$D$1:$CT$23,23,FALSE))),"",IF(D$5&lt;200,0,HLOOKUP(D$5,Daten!$D$1:$CT$23,23,FALSE)))</f>
        <v>455.4</v>
      </c>
      <c r="E13" s="164">
        <f>IF(ISERROR(IF(E$5&lt;200,0,HLOOKUP(E$5,Daten!$D$1:$CT$23,23,FALSE))),"",IF(E$5&lt;200,0,HLOOKUP(E$5,Daten!$D$1:$CT$23,23,FALSE)))</f>
        <v>321.39999999999998</v>
      </c>
      <c r="F13" s="164">
        <f>IF(ISERROR(IF(F$5&lt;200,0,HLOOKUP(F$5,Daten!$D$1:$CT$23,23,FALSE))),"",IF(F$5&lt;200,0,HLOOKUP(F$5,Daten!$D$1:$CT$23,23,FALSE)))</f>
        <v>555.4</v>
      </c>
      <c r="G13" s="164">
        <f>IF(ISERROR(IF(G$5&lt;200,0,HLOOKUP(G$5,Daten!$D$1:$CT$23,23,FALSE))),"",IF(G$5&lt;200,0,HLOOKUP(G$5,Daten!$D$1:$CT$23,23,FALSE)))</f>
        <v>455.4</v>
      </c>
      <c r="H13" s="162">
        <f>IF(ISERROR(IF(H$5&lt;200,0,HLOOKUP(H$5,Daten!$D$1:$CT$23,23,FALSE))),"",IF(H$5&lt;200,0,HLOOKUP(H$5,Daten!$D$1:$CT$23,23,FALSE)))</f>
        <v>355.4</v>
      </c>
      <c r="I13" s="178">
        <f>IF(I7=0,0,IF(ISERROR(IF(I$5&lt;200,0,HLOOKUP(I$5,Daten!$D$1:$CT$23,23,FALSE))),"",IF(I$5&lt;200,0,HLOOKUP(I$5,Daten!$D$1:$CT$23,23,FALSE))))</f>
        <v>0</v>
      </c>
      <c r="J13" s="185"/>
      <c r="K13" s="184"/>
      <c r="L13" s="3210">
        <f t="shared" ref="L13:L22" si="2">IF(ISERROR((D13*$D$7+E13*$E$7+F13*$F$7+G13*$G$7+H13*$H$7+I13*$I$7)/$J$7),"",(D13*$D$7+E13*$E$7+F13*$F$7+G13*$G$7+H13*$H$7+I13*$I$7)/$J$7)</f>
        <v>405.2</v>
      </c>
    </row>
    <row r="14" spans="1:12" ht="19.899999999999999" customHeight="1">
      <c r="B14" s="175" t="s">
        <v>223</v>
      </c>
      <c r="C14" s="183" t="s">
        <v>171</v>
      </c>
      <c r="D14" s="170">
        <f>IF(ISERROR(IF(D5&lt;200,0,(HLOOKUP(D5,Daten!$D$1:$CT$63,11,FALSE))+(HLOOKUP(D5,Daten!$D$1:$CT$63,23,FALSE)))),"",IF(D5&lt;200,0,(HLOOKUP(D5,Daten!$D$1:$CT$63,11,FALSE))+(HLOOKUP(D5,Daten!$D$1:$CT$63,23,FALSE))))</f>
        <v>2542.0666666666662</v>
      </c>
      <c r="E14" s="170">
        <f>IF(ISERROR(IF(E5&lt;200,0,(HLOOKUP(E5,Daten!$D$1:$CT$63,11,FALSE))+(HLOOKUP(E5,Daten!$D$1:$CT$63,23,FALSE)))),"",IF(E5&lt;200,0,(HLOOKUP(E5,Daten!$D$1:$CT$63,11,FALSE))+(HLOOKUP(E5,Daten!$D$1:$CT$63,23,FALSE))))</f>
        <v>2086.3999999999996</v>
      </c>
      <c r="F14" s="170">
        <f>IF(ISERROR(IF(F5&lt;200,0,(HLOOKUP(F5,Daten!$D$1:$CT$63,11,FALSE))+(HLOOKUP(F5,Daten!$D$1:$CT$63,23,FALSE)))),"",IF(F5&lt;200,0,(HLOOKUP(F5,Daten!$D$1:$CT$63,11,FALSE))+(HLOOKUP(F5,Daten!$D$1:$CT$63,23,FALSE))))</f>
        <v>1604.2333333333336</v>
      </c>
      <c r="G14" s="170">
        <f>IF(ISERROR(IF(G5&lt;200,0,(HLOOKUP(G5,Daten!$D$1:$CT$63,11,FALSE))+(HLOOKUP(G5,Daten!$D$1:$CT$63,23,FALSE)))),"",IF(G5&lt;200,0,(HLOOKUP(G5,Daten!$D$1:$CT$63,11,FALSE))+(HLOOKUP(G5,Daten!$D$1:$CT$63,23,FALSE))))</f>
        <v>1848.4</v>
      </c>
      <c r="H14" s="169">
        <f>IF(ISERROR(IF(H5&lt;200,0,(HLOOKUP(H5,Daten!$D$1:$CT$63,11,FALSE))+(HLOOKUP(H5,Daten!$D$1:$CT$63,23,FALSE)))),"",IF(H5&lt;200,0,(HLOOKUP(H5,Daten!$D$1:$CT$63,11,FALSE))+(HLOOKUP(H5,Daten!$D$1:$CT$63,23,FALSE))))</f>
        <v>2818.7333333333336</v>
      </c>
      <c r="I14" s="168">
        <f>IF(I7=0,0,IF(ISERROR(IF(I5&lt;200,0,(HLOOKUP(I5,Daten!$D$1:$CT$63,11,FALSE))+(HLOOKUP(I5,Daten!$D$1:$CT$63,23,FALSE)))),"",IF(I5&lt;200,0,(HLOOKUP(I5,Daten!$D$1:$CT$63,11,FALSE))+(HLOOKUP(I5,Daten!$D$1:$CT$63,23,FALSE)))))</f>
        <v>0</v>
      </c>
      <c r="J14" s="182"/>
      <c r="K14" s="181"/>
      <c r="L14" s="3218">
        <f t="shared" si="2"/>
        <v>2228.1833333333329</v>
      </c>
    </row>
    <row r="15" spans="1:12" ht="19.899999999999999" customHeight="1">
      <c r="B15" s="179" t="s">
        <v>222</v>
      </c>
      <c r="C15" s="165" t="s">
        <v>171</v>
      </c>
      <c r="D15" s="164">
        <f>IF(ISERROR(IF(D5&lt;200,0,HLOOKUP(D5,Daten!$D$1:$CT$12,12,FALSE))),"",IF(D5&lt;200,0,HLOOKUP(D5,Daten!$D$1:$CT$12,12,FALSE)))</f>
        <v>105</v>
      </c>
      <c r="E15" s="164">
        <f>IF(ISERROR(IF(E5&lt;200,0,HLOOKUP(E5,Daten!$D$1:$CT$12,12,FALSE))),"",IF(E5&lt;200,0,HLOOKUP(E5,Daten!$D$1:$CT$12,12,FALSE)))</f>
        <v>161.5</v>
      </c>
      <c r="F15" s="164">
        <f>IF(ISERROR(IF(F5&lt;200,0,HLOOKUP(F5,Daten!$D$1:$CT$12,12,FALSE))),"",IF(F5&lt;200,0,HLOOKUP(F5,Daten!$D$1:$CT$12,12,FALSE)))</f>
        <v>168</v>
      </c>
      <c r="G15" s="164">
        <f>IF(ISERROR(IF(G5&lt;200,0,HLOOKUP(G5,Daten!$D$1:$CT$12,12,FALSE))),"",IF(G5&lt;200,0,HLOOKUP(G5,Daten!$D$1:$CT$12,12,FALSE)))</f>
        <v>145.25</v>
      </c>
      <c r="H15" s="162">
        <f>IF(ISERROR(IF(H5&lt;200,0,HLOOKUP(H5,Daten!$D$1:$CT$12,12,FALSE))),"",IF(H5&lt;200,0,HLOOKUP(H5,Daten!$D$1:$CT$12,12,FALSE)))</f>
        <v>243</v>
      </c>
      <c r="I15" s="178">
        <f>IF(I7=0,0,IF(ISERROR(IF(I5&lt;200,0,HLOOKUP(I5,Daten!$D$1:$CT$12,12,FALSE))),"",IF(I5&lt;200,0,HLOOKUP(I5,Daten!$D$1:$CT$12,12,FALSE))))</f>
        <v>0</v>
      </c>
      <c r="J15" s="180"/>
      <c r="K15" s="176"/>
      <c r="L15" s="3210">
        <f t="shared" si="2"/>
        <v>163.9</v>
      </c>
    </row>
    <row r="16" spans="1:12" ht="19.899999999999999" customHeight="1">
      <c r="B16" s="179" t="s">
        <v>1283</v>
      </c>
      <c r="C16" s="165" t="s">
        <v>171</v>
      </c>
      <c r="D16" s="164">
        <f>IF(ISERROR(IF(D5&lt;200,0,HLOOKUP(D5,Daten!$D$1:$CT$13,13,FALSE))),"",IF(D5&lt;200,0,HLOOKUP(D5,Daten!$D$1:$CT$13,13,FALSE)))</f>
        <v>390.32800000000003</v>
      </c>
      <c r="E16" s="164">
        <f>IF(ISERROR(IF(E5&lt;200,0,HLOOKUP(E5,Daten!$D$1:$CT$13,13,FALSE))),"",IF(E5&lt;200,0,HLOOKUP(E5,Daten!$D$1:$CT$13,13,FALSE)))</f>
        <v>371.38400000000001</v>
      </c>
      <c r="F16" s="164">
        <f>IF(ISERROR(IF(F5&lt;200,0,HLOOKUP(F5,Daten!$D$1:$CT$13,13,FALSE))),"",IF(F5&lt;200,0,HLOOKUP(F5,Daten!$D$1:$CT$13,13,FALSE)))</f>
        <v>52.562999999999995</v>
      </c>
      <c r="G16" s="164">
        <f>IF(ISERROR(IF(G5&lt;200,0,HLOOKUP(G5,Daten!$D$1:$CT$13,13,FALSE))),"",IF(G5&lt;200,0,HLOOKUP(G5,Daten!$D$1:$CT$13,13,FALSE)))</f>
        <v>316.45760000000001</v>
      </c>
      <c r="H16" s="162">
        <f>IF(ISERROR(IF(H5&lt;200,0,HLOOKUP(H5,Daten!$D$1:$CT$13,13,FALSE))),"",IF(H5&lt;200,0,HLOOKUP(H5,Daten!$D$1:$CT$13,13,FALSE)))</f>
        <v>371.29599999999999</v>
      </c>
      <c r="I16" s="178">
        <f>IF(I7=0,0,IF(ISERROR(IF(I5&lt;200,0,HLOOKUP(I5,Daten!$D$1:$CT$13,13,FALSE))),"",IF(I5&lt;200,0,HLOOKUP(I5,Daten!$D$1:$CT$13,13,FALSE))))</f>
        <v>0</v>
      </c>
      <c r="J16" s="177"/>
      <c r="K16" s="176"/>
      <c r="L16" s="3210">
        <f t="shared" si="2"/>
        <v>332.28782000000001</v>
      </c>
    </row>
    <row r="17" spans="2:12" ht="19.899999999999999" customHeight="1">
      <c r="B17" s="179" t="s">
        <v>220</v>
      </c>
      <c r="C17" s="165" t="s">
        <v>171</v>
      </c>
      <c r="D17" s="164">
        <f>IF(ISERROR(IF(D5&lt;200,0,HLOOKUP(D5,Daten!$D$1:$CT$14,14,FALSE))),"",IF(D5&lt;200,0,HLOOKUP(D5,Daten!$D$1:$CT$14,14,FALSE)))</f>
        <v>191.17</v>
      </c>
      <c r="E17" s="164">
        <f>IF(ISERROR(IF(E5&lt;200,0,HLOOKUP(E5,Daten!$D$1:$CT$14,14,FALSE))),"",IF(E5&lt;200,0,HLOOKUP(E5,Daten!$D$1:$CT$14,14,FALSE)))</f>
        <v>203.22000000000003</v>
      </c>
      <c r="F17" s="164">
        <f>IF(ISERROR(IF(F5&lt;200,0,HLOOKUP(F5,Daten!$D$1:$CT$14,14,FALSE))),"",IF(F5&lt;200,0,HLOOKUP(F5,Daten!$D$1:$CT$14,14,FALSE)))</f>
        <v>91.800000000000011</v>
      </c>
      <c r="G17" s="164">
        <f>IF(ISERROR(IF(G5&lt;200,0,HLOOKUP(G5,Daten!$D$1:$CT$14,14,FALSE))),"",IF(G5&lt;200,0,HLOOKUP(G5,Daten!$D$1:$CT$14,14,FALSE)))</f>
        <v>212.20000000000002</v>
      </c>
      <c r="H17" s="162">
        <f>IF(ISERROR(IF(H5&lt;200,0,HLOOKUP(H5,Daten!$D$1:$CT$14,14,FALSE))),"",IF(H5&lt;200,0,HLOOKUP(H5,Daten!$D$1:$CT$14,14,FALSE)))</f>
        <v>83.25</v>
      </c>
      <c r="I17" s="178">
        <f>IF(I7=0,0,IF(ISERROR(IF(I5&lt;200,0,HLOOKUP(I5,Daten!$D$1:$CT$14,14,FALSE))),"",IF(I5&lt;200,0,HLOOKUP(I5,Daten!$D$1:$CT$14,14,FALSE))))</f>
        <v>0</v>
      </c>
      <c r="J17" s="177"/>
      <c r="K17" s="176"/>
      <c r="L17" s="3210">
        <f t="shared" si="2"/>
        <v>167.47</v>
      </c>
    </row>
    <row r="18" spans="2:12" ht="19.899999999999999" customHeight="1">
      <c r="B18" s="179" t="s">
        <v>219</v>
      </c>
      <c r="C18" s="165" t="s">
        <v>171</v>
      </c>
      <c r="D18" s="164">
        <f>IF(ISERROR(IF(D5&lt;200,0,HLOOKUP(D5,Daten!$D$1:$CT$60,60,FALSE))),"",IF(D5&lt;200,0,HLOOKUP(D5,Daten!$D$1:$CT$60,60,FALSE)))</f>
        <v>347.07085966705881</v>
      </c>
      <c r="E18" s="164">
        <f>IF(ISERROR(IF(E5&lt;200,0,HLOOKUP(E5,Daten!$D$1:$CT$60,60,FALSE))),"",IF(E5&lt;200,0,HLOOKUP(E5,Daten!$D$1:$CT$60,60,FALSE)))</f>
        <v>328.66934009176464</v>
      </c>
      <c r="F18" s="164">
        <f>IF(ISERROR(IF(F5&lt;200,0,HLOOKUP(F5,Daten!$D$1:$CT$60,60,FALSE))),"",IF(F5&lt;200,0,HLOOKUP(F5,Daten!$D$1:$CT$60,60,FALSE)))</f>
        <v>328.24572096564702</v>
      </c>
      <c r="G18" s="164">
        <f>IF(ISERROR(IF(G5&lt;200,0,HLOOKUP(G5,Daten!$D$1:$CT$60,60,FALSE))),"",IF(G5&lt;200,0,HLOOKUP(G5,Daten!$D$1:$CT$60,60,FALSE)))</f>
        <v>323.5901350058823</v>
      </c>
      <c r="H18" s="162">
        <f>IF(ISERROR(IF(H5&lt;200,0,HLOOKUP(H5,Daten!$D$1:$CT$60,60,FALSE))),"",IF(H5&lt;200,0,HLOOKUP(H5,Daten!$D$1:$CT$60,60,FALSE)))</f>
        <v>326.1001444235294</v>
      </c>
      <c r="I18" s="178">
        <f>IF(I7=0,0,IF(ISERROR(IF(I5&lt;200,0,HLOOKUP(I5,Daten!$D$1:$CT$60,60,FALSE))),"",IF(I5&lt;200,0,HLOOKUP(I5,Daten!$D$1:$CT$60,60,FALSE))))</f>
        <v>0</v>
      </c>
      <c r="J18" s="177"/>
      <c r="K18" s="176"/>
      <c r="L18" s="3210">
        <f t="shared" si="2"/>
        <v>330.77760194338816</v>
      </c>
    </row>
    <row r="19" spans="2:12" ht="19.899999999999999" customHeight="1">
      <c r="B19" s="179" t="s">
        <v>218</v>
      </c>
      <c r="C19" s="165" t="s">
        <v>171</v>
      </c>
      <c r="D19" s="164">
        <f>IF(ISERROR(IF(D5&lt;200,0,HLOOKUP(D5,Daten!$D$1:$CT$59,59,FALSE))),"",IF(D5&lt;200,0,HLOOKUP(D5,Daten!$D$1:$CT$59,59,FALSE)))</f>
        <v>207.52714114056013</v>
      </c>
      <c r="E19" s="164">
        <f>IF(ISERROR(IF(E5&lt;200,0,HLOOKUP(E5,Daten!$D$1:$CT$59,59,FALSE))),"",IF(E5&lt;200,0,HLOOKUP(E5,Daten!$D$1:$CT$59,59,FALSE)))</f>
        <v>177.94619730107058</v>
      </c>
      <c r="F19" s="164">
        <f>IF(ISERROR(IF(F5&lt;200,0,HLOOKUP(F5,Daten!$D$1:$CT$59,59,FALSE))),"",IF(F5&lt;200,0,HLOOKUP(F5,Daten!$D$1:$CT$59,59,FALSE)))</f>
        <v>136.97161711915817</v>
      </c>
      <c r="G19" s="164">
        <f>IF(ISERROR(IF(G5&lt;200,0,HLOOKUP(G5,Daten!$D$1:$CT$59,59,FALSE))),"",IF(G5&lt;200,0,HLOOKUP(G5,Daten!$D$1:$CT$59,59,FALSE)))</f>
        <v>162.00958357506863</v>
      </c>
      <c r="H19" s="162">
        <f>IF(ISERROR(IF(H5&lt;200,0,HLOOKUP(H5,Daten!$D$1:$CT$59,59,FALSE))),"",IF(H5&lt;200,0,HLOOKUP(H5,Daten!$D$1:$CT$59,59,FALSE)))</f>
        <v>597.88777342575167</v>
      </c>
      <c r="I19" s="178">
        <f>IF(I7=0,0,IF(ISERROR(IF(I5&lt;200,0,HLOOKUP(I5,Daten!$D$1:$CT$59,59,FALSE))),"",IF(I5&lt;200,0,HLOOKUP(I5,Daten!$D$1:$CT$59,59,FALSE))))</f>
        <v>0</v>
      </c>
      <c r="J19" s="177"/>
      <c r="K19" s="176"/>
      <c r="L19" s="3210">
        <f t="shared" si="2"/>
        <v>260.56592053051304</v>
      </c>
    </row>
    <row r="20" spans="2:12" ht="19.899999999999999" customHeight="1">
      <c r="B20" s="175" t="s">
        <v>217</v>
      </c>
      <c r="C20" s="171" t="s">
        <v>171</v>
      </c>
      <c r="D20" s="170">
        <f>IF(ISERROR(IF(D5&lt;200,0,(HLOOKUP(D5,Daten!$D$1:$CT$63,21,FALSE))+(HLOOKUP(D5,Daten!$D$1:$CT$63,24,FALSE)))),"",IF(D5&lt;200,0,(HLOOKUP(D5,Daten!$D$1:$CT$63,21,FALSE))+(HLOOKUP(D5,Daten!$D$1:$CT$63,24,FALSE))))</f>
        <v>1241.096000807619</v>
      </c>
      <c r="E20" s="170">
        <f>IF(ISERROR(IF(E5&lt;200,0,(HLOOKUP(E5,Daten!$D$1:$CT$63,21,FALSE))+(HLOOKUP(E5,Daten!$D$1:$CT$63,24,FALSE)))),"",IF(E5&lt;200,0,(HLOOKUP(E5,Daten!$D$1:$CT$63,21,FALSE))+(HLOOKUP(E5,Daten!$D$1:$CT$63,24,FALSE))))</f>
        <v>1242.7195373928353</v>
      </c>
      <c r="F20" s="170">
        <f>IF(ISERROR(IF(F5&lt;200,0,(HLOOKUP(F5,Daten!$D$1:$CT$63,21,FALSE))+(HLOOKUP(F5,Daten!$D$1:$CT$63,24,FALSE)))),"",IF(F5&lt;200,0,(HLOOKUP(F5,Daten!$D$1:$CT$63,21,FALSE))+(HLOOKUP(F5,Daten!$D$1:$CT$63,24,FALSE))))</f>
        <v>777.58033808480525</v>
      </c>
      <c r="G20" s="170">
        <f>IF(ISERROR(IF(G5&lt;200,0,(HLOOKUP(G5,Daten!$D$1:$CT$63,21,FALSE))+(HLOOKUP(G5,Daten!$D$1:$CT$63,24,FALSE)))),"",IF(G5&lt;200,0,(HLOOKUP(G5,Daten!$D$1:$CT$63,21,FALSE))+(HLOOKUP(G5,Daten!$D$1:$CT$63,24,FALSE))))</f>
        <v>1159.5073185809511</v>
      </c>
      <c r="H20" s="169">
        <f>IF(ISERROR(IF(H5&lt;200,0,(HLOOKUP(H5,Daten!$D$1:$CT$63,21,FALSE))+(HLOOKUP(H5,Daten!$D$1:$CT$63,24,FALSE)))),"",IF(H5&lt;200,0,(HLOOKUP(H5,Daten!$D$1:$CT$63,21,FALSE))+(HLOOKUP(H5,Daten!$D$1:$CT$63,24,FALSE))))</f>
        <v>1621.5339178492811</v>
      </c>
      <c r="I20" s="168">
        <f>IF(I7=0,0,IF(ISERROR(IF(I5&lt;200,0,(HLOOKUP(I5,Daten!$D$1:$CT$63,21,FALSE))+(HLOOKUP(I5,Daten!$D$1:$CT$63,24,FALSE)))),"",IF(I5&lt;200,0,(HLOOKUP(I5,Daten!$D$1:$CT$63,21,FALSE))+(HLOOKUP(I5,Daten!$D$1:$CT$63,24,FALSE)))))</f>
        <v>0</v>
      </c>
      <c r="J20" s="174"/>
      <c r="K20" s="162"/>
      <c r="L20" s="3210">
        <f t="shared" si="2"/>
        <v>1255.0013424739013</v>
      </c>
    </row>
    <row r="21" spans="2:12" ht="33" customHeight="1">
      <c r="B21" s="3219" t="s">
        <v>216</v>
      </c>
      <c r="C21" s="171" t="s">
        <v>171</v>
      </c>
      <c r="D21" s="170">
        <f>IF(ISERROR(IF(D5&lt;200,0,HLOOKUP(D5,Daten!$D$1:$CT$25,22,FALSE))),"",IF(D5&lt;200,0,HLOOKUP(D5,Daten!$D$1:$CT$25,22,FALSE)))</f>
        <v>859.88314033294046</v>
      </c>
      <c r="E21" s="170">
        <f>IF(ISERROR(IF(E5&lt;200,0,HLOOKUP(E5,Daten!$D$1:$CT$25,22,FALSE))),"",IF(E5&lt;200,0,HLOOKUP(E5,Daten!$D$1:$CT$25,22,FALSE)))</f>
        <v>536.6116599082352</v>
      </c>
      <c r="F21" s="170">
        <f>IF(ISERROR(IF(F5&lt;200,0,HLOOKUP(F5,Daten!$D$1:$CT$25,22,FALSE))),"",IF(F5&lt;200,0,HLOOKUP(F5,Daten!$D$1:$CT$25,22,FALSE)))</f>
        <v>277.67927903435304</v>
      </c>
      <c r="G21" s="170">
        <f>IF(ISERROR(IF(G5&lt;200,0,HLOOKUP(G5,Daten!$D$1:$CT$25,22,FALSE))),"",IF(G5&lt;200,0,HLOOKUP(G5,Daten!$D$1:$CT$25,22,FALSE)))</f>
        <v>246.86426499411778</v>
      </c>
      <c r="H21" s="169">
        <f>IF(ISERROR(IF(H5&lt;200,0,HLOOKUP(H5,Daten!$D$1:$CT$25,22,FALSE))),"",IF(H5&lt;200,0,HLOOKUP(H5,Daten!$D$1:$CT$25,22,FALSE)))</f>
        <v>855.20052224313736</v>
      </c>
      <c r="I21" s="168">
        <f>IF(I7=0,0,IF(ISERROR(IF(I5&lt;200,0,HLOOKUP(I5,Daten!$D$1:$CT$25,22,FALSE))),"",IF(I5&lt;200,0,HLOOKUP(I5,Daten!$D$1:$CT$25,22,FALSE))))</f>
        <v>0</v>
      </c>
      <c r="J21" s="215">
        <f>SUMPRODUCT(D7:H7,D21:H21)%+(I7*I21)%</f>
        <v>581.14101138994511</v>
      </c>
      <c r="K21" s="162"/>
      <c r="L21" s="3217">
        <f t="shared" si="2"/>
        <v>581.14101138994511</v>
      </c>
    </row>
    <row r="22" spans="2:12" ht="46.5" customHeight="1">
      <c r="B22" s="3220" t="s">
        <v>215</v>
      </c>
      <c r="C22" s="219" t="s">
        <v>171</v>
      </c>
      <c r="D22" s="218">
        <f>IF(ISERROR(IF(D5&lt;200,0,HLOOKUP(D5,Daten!$D$1:$CT$25,25,FALSE))),"",IF(D5&lt;200,0,HLOOKUP(D5,Daten!$D$1:$CT$25,25,FALSE)))</f>
        <v>1300.9706658590471</v>
      </c>
      <c r="E22" s="218">
        <f>IF(ISERROR(IF(E5&lt;200,0,HLOOKUP(E5,Daten!$D$1:$CT$25,25,FALSE))),"",IF(E5&lt;200,0,HLOOKUP(E5,Daten!$D$1:$CT$25,25,FALSE)))</f>
        <v>843.6804626071646</v>
      </c>
      <c r="F22" s="218">
        <f>IF(ISERROR(IF(F5&lt;200,0,HLOOKUP(F5,Daten!$D$1:$CT$25,25,FALSE))),"",IF(F5&lt;200,0,HLOOKUP(F5,Daten!$D$1:$CT$25,25,FALSE)))</f>
        <v>826.65299524852821</v>
      </c>
      <c r="G22" s="218">
        <f>IF(ISERROR(IF(G5&lt;200,0,HLOOKUP(G5,Daten!$D$1:$CT$25,25,FALSE))),"",IF(G5&lt;200,0,HLOOKUP(G5,Daten!$D$1:$CT$25,25,FALSE)))</f>
        <v>688.89268141904915</v>
      </c>
      <c r="H22" s="217">
        <f>IF(ISERROR(IF(H5&lt;200,0,HLOOKUP(H5,Daten!$D$1:$CT$25,25,FALSE))),"",IF(H5&lt;200,0,HLOOKUP(H5,Daten!$D$1:$CT$25,25,FALSE)))</f>
        <v>1197.1994154840522</v>
      </c>
      <c r="I22" s="216">
        <f>IF(I7=0,0,IF(ISERROR(IF(I5&lt;200,0,HLOOKUP(I5,Daten!$D$1:$CT$25,25,FALSE))),"",IF(I5&lt;200,0,HLOOKUP(I5,Daten!$D$1:$CT$25,25,FALSE))))</f>
        <v>0</v>
      </c>
      <c r="J22" s="215">
        <f>SUMPRODUCT(D7:H7,D22:H22)%+(I7*I22)%</f>
        <v>973.18199085943195</v>
      </c>
      <c r="K22" s="150"/>
      <c r="L22" s="3211">
        <f t="shared" si="2"/>
        <v>973.18199085943195</v>
      </c>
    </row>
    <row r="23" spans="2:12" ht="19.899999999999999" hidden="1" customHeight="1">
      <c r="B23" s="166"/>
      <c r="C23" s="165"/>
      <c r="D23" s="164"/>
      <c r="E23" s="164"/>
      <c r="F23" s="164"/>
      <c r="G23" s="164"/>
      <c r="H23" s="164"/>
      <c r="I23" s="162"/>
      <c r="J23" s="163"/>
      <c r="K23" s="162"/>
    </row>
    <row r="24" spans="2:12" ht="25.15" hidden="1" customHeight="1" thickBot="1">
      <c r="B24" s="214"/>
      <c r="C24" s="213"/>
      <c r="D24" s="211"/>
      <c r="E24" s="212"/>
      <c r="F24" s="211"/>
      <c r="G24" s="211"/>
      <c r="H24" s="210"/>
      <c r="I24" s="209"/>
      <c r="J24" s="208"/>
      <c r="K24" s="154"/>
    </row>
    <row r="25" spans="2:12" ht="163.69999999999999" customHeight="1">
      <c r="B25" s="207"/>
      <c r="C25" s="207"/>
      <c r="D25" s="207"/>
      <c r="E25" s="207"/>
      <c r="F25" s="207"/>
      <c r="G25" s="207"/>
      <c r="H25" s="207"/>
      <c r="I25" s="207"/>
      <c r="J25" s="207"/>
      <c r="K25" s="145"/>
    </row>
    <row r="26" spans="2:12" ht="12.4" customHeight="1">
      <c r="B26" s="3225" t="s">
        <v>1934</v>
      </c>
      <c r="K26" s="33"/>
    </row>
    <row r="27" spans="2:12" hidden="1">
      <c r="C27" s="147">
        <v>1</v>
      </c>
      <c r="D27" s="149"/>
      <c r="E27" s="147"/>
      <c r="F27" s="147">
        <v>1</v>
      </c>
      <c r="G27" s="148"/>
      <c r="H27" s="141"/>
      <c r="I27" s="141"/>
      <c r="J27" s="147">
        <v>1</v>
      </c>
    </row>
    <row r="28" spans="2:12" hidden="1">
      <c r="C28" s="138">
        <v>2</v>
      </c>
      <c r="D28" s="139" t="s">
        <v>98</v>
      </c>
      <c r="E28" s="138"/>
      <c r="F28" s="138">
        <v>2</v>
      </c>
      <c r="G28" s="146" t="s">
        <v>213</v>
      </c>
      <c r="H28" s="145"/>
      <c r="I28" s="145"/>
      <c r="J28" s="138">
        <v>2</v>
      </c>
    </row>
    <row r="29" spans="2:12" hidden="1">
      <c r="C29" s="138">
        <v>3</v>
      </c>
      <c r="D29" s="139" t="s">
        <v>96</v>
      </c>
      <c r="E29" s="138"/>
      <c r="F29" s="138">
        <v>3</v>
      </c>
      <c r="G29" s="146" t="s">
        <v>212</v>
      </c>
      <c r="H29" s="145"/>
      <c r="I29" s="145"/>
      <c r="J29" s="138">
        <v>3</v>
      </c>
    </row>
    <row r="30" spans="2:12" hidden="1">
      <c r="C30" s="138">
        <v>4</v>
      </c>
      <c r="D30" s="139" t="s">
        <v>211</v>
      </c>
      <c r="E30" s="138"/>
      <c r="F30" s="138">
        <v>4</v>
      </c>
      <c r="G30" s="144" t="s">
        <v>210</v>
      </c>
      <c r="H30" s="143"/>
      <c r="I30" s="143"/>
      <c r="J30" s="142">
        <v>4</v>
      </c>
    </row>
    <row r="31" spans="2:12" hidden="1">
      <c r="C31" s="138">
        <v>5</v>
      </c>
      <c r="D31" s="139" t="s">
        <v>209</v>
      </c>
      <c r="E31" s="138"/>
      <c r="F31" s="138">
        <v>5</v>
      </c>
      <c r="G31" s="141"/>
      <c r="H31" s="141"/>
      <c r="I31" s="141"/>
      <c r="J31" s="141"/>
    </row>
    <row r="32" spans="2:12" hidden="1">
      <c r="C32" s="138">
        <v>6</v>
      </c>
      <c r="D32" s="139" t="s">
        <v>90</v>
      </c>
      <c r="E32" s="138"/>
      <c r="F32" s="138">
        <v>6</v>
      </c>
      <c r="H32" s="140" t="str">
        <f>'SDK1'!O8</f>
        <v>ohne MwSt.</v>
      </c>
    </row>
    <row r="33" spans="3:6" hidden="1">
      <c r="C33" s="138">
        <v>7</v>
      </c>
      <c r="D33" s="139" t="s">
        <v>88</v>
      </c>
      <c r="E33" s="138"/>
      <c r="F33" s="138">
        <v>7</v>
      </c>
    </row>
    <row r="34" spans="3:6" hidden="1">
      <c r="C34" s="138">
        <v>8</v>
      </c>
      <c r="D34" s="139" t="s">
        <v>86</v>
      </c>
      <c r="E34" s="138"/>
      <c r="F34" s="138">
        <v>8</v>
      </c>
    </row>
    <row r="35" spans="3:6" hidden="1">
      <c r="C35" s="138">
        <v>9</v>
      </c>
      <c r="D35" s="139" t="s">
        <v>84</v>
      </c>
      <c r="E35" s="138"/>
      <c r="F35" s="138">
        <v>9</v>
      </c>
    </row>
    <row r="36" spans="3:6" hidden="1">
      <c r="C36" s="138">
        <v>10</v>
      </c>
      <c r="D36" s="139" t="s">
        <v>208</v>
      </c>
      <c r="E36" s="138"/>
      <c r="F36" s="138">
        <v>10</v>
      </c>
    </row>
    <row r="37" spans="3:6" hidden="1">
      <c r="C37" s="138">
        <v>11</v>
      </c>
      <c r="D37" s="139" t="s">
        <v>207</v>
      </c>
      <c r="E37" s="138"/>
      <c r="F37" s="138">
        <v>11</v>
      </c>
    </row>
    <row r="38" spans="3:6" hidden="1">
      <c r="C38" s="138">
        <v>12</v>
      </c>
      <c r="D38" s="139" t="s">
        <v>77</v>
      </c>
      <c r="E38" s="138"/>
      <c r="F38" s="138">
        <v>12</v>
      </c>
    </row>
    <row r="39" spans="3:6" hidden="1">
      <c r="C39" s="138">
        <v>13</v>
      </c>
      <c r="D39" s="139" t="s">
        <v>206</v>
      </c>
      <c r="E39" s="138"/>
      <c r="F39" s="138">
        <v>13</v>
      </c>
    </row>
    <row r="40" spans="3:6" hidden="1">
      <c r="C40" s="138">
        <v>14</v>
      </c>
      <c r="D40" s="139" t="s">
        <v>73</v>
      </c>
      <c r="E40" s="138"/>
      <c r="F40" s="138">
        <v>14</v>
      </c>
    </row>
    <row r="41" spans="3:6" hidden="1">
      <c r="C41" s="138">
        <v>15</v>
      </c>
      <c r="D41" s="139" t="s">
        <v>205</v>
      </c>
      <c r="E41" s="138"/>
      <c r="F41" s="138">
        <v>15</v>
      </c>
    </row>
    <row r="42" spans="3:6" hidden="1">
      <c r="C42" s="138">
        <v>16</v>
      </c>
      <c r="D42" s="139" t="s">
        <v>204</v>
      </c>
      <c r="E42" s="138"/>
      <c r="F42" s="138">
        <v>16</v>
      </c>
    </row>
    <row r="43" spans="3:6" hidden="1">
      <c r="C43" s="138">
        <v>17</v>
      </c>
      <c r="D43" s="139" t="s">
        <v>64</v>
      </c>
      <c r="E43" s="138"/>
      <c r="F43" s="138">
        <v>17</v>
      </c>
    </row>
    <row r="44" spans="3:6" hidden="1">
      <c r="C44" s="138">
        <v>18</v>
      </c>
      <c r="D44" s="139" t="s">
        <v>203</v>
      </c>
      <c r="E44" s="138"/>
      <c r="F44" s="138">
        <v>18</v>
      </c>
    </row>
    <row r="45" spans="3:6" hidden="1">
      <c r="C45" s="138">
        <v>19</v>
      </c>
      <c r="D45" s="139" t="s">
        <v>202</v>
      </c>
      <c r="E45" s="138"/>
      <c r="F45" s="138">
        <v>19</v>
      </c>
    </row>
    <row r="46" spans="3:6" hidden="1">
      <c r="C46" s="138">
        <v>20</v>
      </c>
      <c r="D46" s="139" t="s">
        <v>201</v>
      </c>
      <c r="E46" s="138"/>
      <c r="F46" s="138">
        <v>20</v>
      </c>
    </row>
    <row r="47" spans="3:6" hidden="1">
      <c r="C47" s="138">
        <v>21</v>
      </c>
      <c r="D47" s="139" t="s">
        <v>200</v>
      </c>
      <c r="E47" s="138"/>
      <c r="F47" s="138">
        <v>21</v>
      </c>
    </row>
    <row r="48" spans="3:6" hidden="1">
      <c r="C48" s="138">
        <v>22</v>
      </c>
      <c r="D48" s="139" t="s">
        <v>199</v>
      </c>
      <c r="E48" s="138"/>
      <c r="F48" s="138">
        <v>22</v>
      </c>
    </row>
    <row r="49" spans="3:11" hidden="1">
      <c r="C49" s="138">
        <v>23</v>
      </c>
      <c r="D49" s="139" t="s">
        <v>198</v>
      </c>
      <c r="E49" s="138"/>
      <c r="F49" s="138">
        <v>23</v>
      </c>
    </row>
    <row r="50" spans="3:11" hidden="1">
      <c r="C50" s="138">
        <v>24</v>
      </c>
      <c r="D50" s="139" t="s">
        <v>197</v>
      </c>
      <c r="E50" s="138"/>
      <c r="F50" s="138">
        <v>24</v>
      </c>
    </row>
    <row r="51" spans="3:11" hidden="1">
      <c r="C51" s="138">
        <v>25</v>
      </c>
      <c r="D51" s="139" t="s">
        <v>196</v>
      </c>
      <c r="E51" s="138"/>
      <c r="F51" s="138">
        <v>25</v>
      </c>
    </row>
    <row r="52" spans="3:11" hidden="1">
      <c r="C52" s="138">
        <v>26</v>
      </c>
      <c r="D52" s="139" t="s">
        <v>195</v>
      </c>
      <c r="E52" s="138"/>
      <c r="F52" s="138">
        <v>26</v>
      </c>
    </row>
    <row r="53" spans="3:11" hidden="1">
      <c r="C53" s="138">
        <v>27</v>
      </c>
      <c r="D53" s="139" t="s">
        <v>194</v>
      </c>
      <c r="E53" s="138"/>
      <c r="F53" s="138">
        <v>27</v>
      </c>
    </row>
    <row r="54" spans="3:11" hidden="1">
      <c r="C54" s="138">
        <v>28</v>
      </c>
      <c r="D54" s="139" t="s">
        <v>193</v>
      </c>
      <c r="E54" s="138"/>
      <c r="F54" s="138">
        <v>28</v>
      </c>
    </row>
    <row r="55" spans="3:11" hidden="1">
      <c r="C55" s="138">
        <v>29</v>
      </c>
      <c r="D55" s="139" t="s">
        <v>37</v>
      </c>
      <c r="E55" s="138"/>
      <c r="F55" s="138">
        <v>29</v>
      </c>
    </row>
    <row r="56" spans="3:11" hidden="1">
      <c r="C56" s="138">
        <v>30</v>
      </c>
      <c r="D56" s="139" t="s">
        <v>23</v>
      </c>
      <c r="E56" s="138"/>
      <c r="F56" s="138">
        <v>30</v>
      </c>
    </row>
    <row r="57" spans="3:11" hidden="1">
      <c r="C57" s="138">
        <v>31</v>
      </c>
      <c r="D57" s="139" t="s">
        <v>192</v>
      </c>
      <c r="E57" s="138"/>
      <c r="F57" s="138">
        <v>31</v>
      </c>
    </row>
    <row r="58" spans="3:11" hidden="1">
      <c r="C58" s="138">
        <v>32</v>
      </c>
      <c r="D58" s="139" t="s">
        <v>191</v>
      </c>
      <c r="E58" s="138"/>
      <c r="F58" s="138">
        <v>32</v>
      </c>
    </row>
    <row r="60" spans="3:11">
      <c r="K60" s="3997"/>
    </row>
  </sheetData>
  <sheetProtection sheet="1" objects="1" scenarios="1"/>
  <mergeCells count="3">
    <mergeCell ref="A1:B1"/>
    <mergeCell ref="B4:C4"/>
    <mergeCell ref="E3:J3"/>
  </mergeCells>
  <conditionalFormatting sqref="J7 L7">
    <cfRule type="expression" dxfId="16" priority="1" stopIfTrue="1">
      <formula>$J$7&lt;&gt;100</formula>
    </cfRule>
  </conditionalFormatting>
  <dataValidations count="3">
    <dataValidation type="list" allowBlank="1" showInputMessage="1" showErrorMessage="1" errorTitle="Produktionsverfahren" error="Bitte Produktionsverfahren aus Dropdownliste auswählen." sqref="D6:H6">
      <formula1>$D$27:$D$58</formula1>
    </dataValidation>
    <dataValidation type="list" allowBlank="1" showInputMessage="1" showErrorMessage="1" errorTitle="Leistungsniveau" error="Bitte Leistungsniveau aus Dropdownliste auswählen." sqref="B4:C4">
      <formula1>$G$27:$G$30</formula1>
    </dataValidation>
    <dataValidation allowBlank="1" showInputMessage="1" showErrorMessage="1" errorTitle="Produktionsverfahren" error="Bitte Produktionsverfahren aus Dropdownliste auswählen." sqref="I6"/>
  </dataValidations>
  <printOptions horizontalCentered="1"/>
  <pageMargins left="0.59055118110236227" right="0.59055118110236227" top="0.59055118110236227" bottom="0.59055118110236227" header="0.39370078740157483" footer="0.39370078740157483"/>
  <pageSetup paperSize="9" scale="85" firstPageNumber="87" fitToHeight="0" orientation="portrait" r:id="rId1"/>
  <headerFooter alignWithMargins="0">
    <oddFooter>&amp;L&amp;11LEL Schwäbisch Gmünd&amp;C&amp;P&amp;R&amp;11&amp;F</oddFooter>
  </headerFooter>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5">
    <tabColor rgb="FF99FF33"/>
    <pageSetUpPr fitToPage="1"/>
  </sheetPr>
  <dimension ref="A1:AO218"/>
  <sheetViews>
    <sheetView showZeros="0" workbookViewId="0"/>
  </sheetViews>
  <sheetFormatPr baseColWidth="10" defaultColWidth="10.5" defaultRowHeight="12.75"/>
  <cols>
    <col min="1" max="1" width="1.5" style="38" customWidth="1"/>
    <col min="2" max="2" width="3.25" style="38" customWidth="1"/>
    <col min="3" max="3" width="13.25" style="38" customWidth="1"/>
    <col min="4" max="5" width="9.25" style="38" customWidth="1"/>
    <col min="6" max="6" width="9.625" style="38" customWidth="1"/>
    <col min="7" max="7" width="9.25" style="39" customWidth="1"/>
    <col min="8" max="8" width="8.125" style="38" customWidth="1"/>
    <col min="9" max="10" width="7.25" style="38" customWidth="1"/>
    <col min="11" max="11" width="8" style="38" customWidth="1"/>
    <col min="12" max="13" width="7.25" style="38" customWidth="1"/>
    <col min="14" max="14" width="8" style="38" customWidth="1"/>
    <col min="15" max="16" width="7.25" style="38" customWidth="1"/>
    <col min="17" max="17" width="19.75" style="38" hidden="1" customWidth="1"/>
    <col min="18" max="18" width="12" style="35" hidden="1" customWidth="1"/>
    <col min="19" max="21" width="0" style="35" hidden="1" customWidth="1"/>
    <col min="22" max="22" width="12.875" style="35" hidden="1" customWidth="1"/>
    <col min="23" max="28" width="0" style="35" hidden="1" customWidth="1"/>
    <col min="29" max="16384" width="10.5" style="35"/>
  </cols>
  <sheetData>
    <row r="1" spans="1:41" s="1859" customFormat="1" ht="30.4" customHeight="1">
      <c r="A1" s="1863"/>
      <c r="B1" s="319"/>
      <c r="C1" s="1876"/>
      <c r="D1" s="1795"/>
      <c r="E1" s="316"/>
      <c r="F1" s="316"/>
      <c r="G1" s="585"/>
      <c r="H1" s="1870"/>
      <c r="I1" s="1875" t="s">
        <v>1207</v>
      </c>
      <c r="J1" s="1874">
        <f>(J7+J13+J18+J22+I11+I12)-(J23+J27+J34+J43+J60+J65+J67+J69+J71+J75)</f>
        <v>298.03245068879272</v>
      </c>
      <c r="K1" s="4855">
        <f>M1-J1</f>
        <v>0</v>
      </c>
      <c r="L1" s="4855"/>
      <c r="M1" s="1874">
        <f>(M7+M13+M18+M22+L11+L12)-(M23+M27+M34+M43+M60+M65+M67+M69+M71+M75)</f>
        <v>298.03245068879272</v>
      </c>
      <c r="N1" s="4855">
        <f>P1-M1</f>
        <v>0</v>
      </c>
      <c r="O1" s="4855"/>
      <c r="P1" s="1874">
        <f>(P7+P13+P18+P22+O11+O12)-(P23+P27+P34+P43+P60+P65+P67+P69+P71+P75)</f>
        <v>298.03245068879272</v>
      </c>
      <c r="Q1" s="1863"/>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1859" customFormat="1" ht="24.6" customHeight="1">
      <c r="A2" s="1863"/>
      <c r="B2" s="592" t="str">
        <f>"Berechnungsgrundlagen (Deckungsbeitrag "&amp;'SDK1'!O14 &amp;")"</f>
        <v>Berechnungsgrundlagen (Deckungsbeitrag ohne MwSt.)</v>
      </c>
      <c r="H2" s="1870"/>
      <c r="K2" s="4867" t="s">
        <v>191</v>
      </c>
      <c r="L2" s="4867"/>
      <c r="M2" s="4867"/>
      <c r="N2" s="4867"/>
      <c r="O2" s="4867"/>
      <c r="P2" s="4867"/>
      <c r="Q2" s="1888">
        <v>0</v>
      </c>
    </row>
    <row r="3" spans="1:41" s="1859" customFormat="1" ht="21.75" customHeight="1">
      <c r="A3" s="1863"/>
      <c r="B3" s="1887"/>
      <c r="E3" s="1936" t="s">
        <v>1245</v>
      </c>
      <c r="H3" s="1870"/>
      <c r="J3" s="4863"/>
      <c r="K3" s="4864"/>
      <c r="L3" s="4864"/>
      <c r="M3" s="1911"/>
      <c r="N3" s="4868" t="str">
        <f>IF(AND(T3=TRUE,T4=TRUE),"nur 1 Strohnutzung möglich","")</f>
        <v/>
      </c>
      <c r="O3" s="4869"/>
      <c r="P3" s="1868"/>
      <c r="Q3" s="1863"/>
      <c r="T3" s="1886" t="b">
        <v>0</v>
      </c>
    </row>
    <row r="4" spans="1:41" s="1859" customFormat="1" ht="20.25" customHeight="1">
      <c r="A4" s="1863"/>
      <c r="B4" s="370" t="s">
        <v>1098</v>
      </c>
      <c r="C4" s="35"/>
      <c r="D4" s="35"/>
      <c r="E4" s="4921" t="s">
        <v>1244</v>
      </c>
      <c r="F4" s="4921"/>
      <c r="G4" s="4921"/>
      <c r="H4" s="4921"/>
      <c r="I4" s="4921"/>
      <c r="J4" s="4863"/>
      <c r="K4" s="4864"/>
      <c r="L4" s="4864"/>
      <c r="M4" s="1910"/>
      <c r="N4" s="4869"/>
      <c r="O4" s="4869"/>
      <c r="P4" s="1864">
        <f>'SDK1'!O3</f>
        <v>0</v>
      </c>
      <c r="Q4" s="1863"/>
      <c r="T4" s="1886" t="b">
        <v>0</v>
      </c>
    </row>
    <row r="5" spans="1:41" ht="6" customHeight="1"/>
    <row r="6" spans="1:41" s="1853" customFormat="1" ht="24" customHeight="1">
      <c r="A6" s="48"/>
      <c r="B6" s="1858" t="s">
        <v>1151</v>
      </c>
      <c r="C6" s="1857"/>
      <c r="D6" s="1857"/>
      <c r="E6" s="1857"/>
      <c r="F6" s="1857"/>
      <c r="G6" s="1856"/>
      <c r="H6" s="4861" t="s">
        <v>179</v>
      </c>
      <c r="I6" s="4862"/>
      <c r="J6" s="1855">
        <v>1</v>
      </c>
      <c r="K6" s="4874" t="s">
        <v>152</v>
      </c>
      <c r="L6" s="4875"/>
      <c r="M6" s="1855">
        <v>1</v>
      </c>
      <c r="N6" s="4861" t="s">
        <v>178</v>
      </c>
      <c r="O6" s="4862"/>
      <c r="P6" s="1854">
        <v>1</v>
      </c>
      <c r="Q6" s="70"/>
    </row>
    <row r="7" spans="1:41" s="251" customFormat="1" ht="18.75" customHeight="1">
      <c r="A7" s="47"/>
      <c r="B7" s="305" t="s">
        <v>1202</v>
      </c>
      <c r="C7" s="47"/>
      <c r="D7" s="47"/>
      <c r="E7" s="47"/>
      <c r="F7" s="47"/>
      <c r="G7" s="1852"/>
      <c r="H7" s="1849"/>
      <c r="I7" s="1848"/>
      <c r="J7" s="1582">
        <f>SUM(I9:I10)</f>
        <v>0</v>
      </c>
      <c r="K7" s="1851"/>
      <c r="L7" s="1850"/>
      <c r="M7" s="1585">
        <f>SUM(L9:L10)</f>
        <v>0</v>
      </c>
      <c r="N7" s="1849"/>
      <c r="O7" s="1848"/>
      <c r="P7" s="1582">
        <f>SUM(O9:O10)</f>
        <v>0</v>
      </c>
      <c r="Q7" s="38"/>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8"/>
    </row>
    <row r="9" spans="1:41" s="251" customFormat="1" ht="16.5" customHeight="1">
      <c r="A9" s="47"/>
      <c r="B9" s="305"/>
      <c r="C9" s="45" t="str">
        <f>IF('SDK1'!O9&gt;0,"Hauptprodukt (incl. MwSt.)","Hauptprodukt (ohne MwSt)")</f>
        <v>Hauptprodukt (ohne MwSt)</v>
      </c>
      <c r="D9" s="47"/>
      <c r="E9" s="47"/>
      <c r="F9" s="1846"/>
      <c r="G9" s="1762"/>
      <c r="H9" s="1845">
        <f>J6-H10</f>
        <v>1</v>
      </c>
      <c r="I9" s="1841">
        <f>H9*G9</f>
        <v>0</v>
      </c>
      <c r="J9" s="43"/>
      <c r="K9" s="1844">
        <f>M6-K10</f>
        <v>1</v>
      </c>
      <c r="L9" s="1843">
        <f>K9*G9</f>
        <v>0</v>
      </c>
      <c r="M9" s="1822"/>
      <c r="N9" s="1842">
        <f>P6-N10</f>
        <v>1</v>
      </c>
      <c r="O9" s="1841">
        <f>N9*G9</f>
        <v>0</v>
      </c>
      <c r="P9" s="43"/>
      <c r="Q9" s="38"/>
      <c r="R9" s="913"/>
      <c r="S9" s="263" t="s">
        <v>1208</v>
      </c>
      <c r="T9" s="1840"/>
    </row>
    <row r="10" spans="1:41" s="1810" customFormat="1" ht="15" customHeight="1">
      <c r="A10" s="370"/>
      <c r="B10" s="239"/>
      <c r="C10" s="279" t="str">
        <f>IF('SDK1'!O9&gt;0,"Nebenprodukt (incl. MwSt.)","Nebenprodukt (ohne MwSt)")</f>
        <v>Nebenprodukt (ohne MwSt)</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'SDK1'!$O$48</f>
        <v>9.1666666666666661</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row>
    <row r="13" spans="1:41" s="251" customFormat="1" ht="18.75" customHeight="1">
      <c r="A13" s="47"/>
      <c r="B13" s="264" t="s">
        <v>1192</v>
      </c>
      <c r="C13" s="47"/>
      <c r="D13" s="47"/>
      <c r="E13" s="47"/>
      <c r="F13" s="47"/>
      <c r="G13" s="1809"/>
      <c r="H13" s="1894"/>
      <c r="I13" s="1791"/>
      <c r="J13" s="1582">
        <f>SUM(I14:I17)</f>
        <v>100</v>
      </c>
      <c r="K13" s="1895"/>
      <c r="L13" s="1793"/>
      <c r="M13" s="1585">
        <f>SUM(L14:L17)</f>
        <v>100</v>
      </c>
      <c r="N13" s="1894"/>
      <c r="O13" s="1791"/>
      <c r="P13" s="1582">
        <f>SUM(O14:O17)</f>
        <v>100</v>
      </c>
      <c r="Q13" s="38"/>
      <c r="R13" s="1795"/>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1804" t="s">
        <v>1241</v>
      </c>
      <c r="I14" s="3909">
        <f>IF(H14="ja",Q14,0)</f>
        <v>100</v>
      </c>
      <c r="J14" s="45"/>
      <c r="K14" s="1804" t="s">
        <v>1241</v>
      </c>
      <c r="L14" s="1639">
        <f>IF(K14="ja",Q14,0)</f>
        <v>100</v>
      </c>
      <c r="M14" s="1557"/>
      <c r="N14" s="1804" t="s">
        <v>1241</v>
      </c>
      <c r="O14" s="1785">
        <f>IF(N14="ja",Q14,0)</f>
        <v>100</v>
      </c>
      <c r="P14" s="1554"/>
      <c r="Q14" s="1803">
        <f>IF(C14=0,0,VLOOKUP(C14,'SD2'!$C$11:$N$49,'SD2'!$N$1,FALSE))</f>
        <v>100</v>
      </c>
      <c r="R14" s="1795"/>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795"/>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795"/>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R17" s="1795"/>
      <c r="S17" s="251"/>
      <c r="T17" s="251"/>
      <c r="W17" s="42" t="s">
        <v>240</v>
      </c>
      <c r="X17" s="1802">
        <f>$X$13*F33</f>
        <v>0</v>
      </c>
      <c r="Y17" s="1802">
        <f>$Y$13*F33</f>
        <v>0</v>
      </c>
      <c r="Z17" s="1802">
        <f>$Z$13*F33</f>
        <v>0</v>
      </c>
    </row>
    <row r="18" spans="1:26" s="686" customFormat="1" ht="18.75" customHeight="1">
      <c r="A18" s="47"/>
      <c r="B18" s="264" t="s">
        <v>2114</v>
      </c>
      <c r="C18" s="2466"/>
      <c r="D18" s="2466"/>
      <c r="E18" s="2466"/>
      <c r="F18" s="2466"/>
      <c r="G18" s="3050"/>
      <c r="H18" s="1894"/>
      <c r="I18" s="3051"/>
      <c r="J18" s="1582">
        <f>SUM(I19:I21)</f>
        <v>355.4</v>
      </c>
      <c r="K18" s="1895"/>
      <c r="L18" s="3052"/>
      <c r="M18" s="1585">
        <f>SUM(L19:L21)</f>
        <v>355.4</v>
      </c>
      <c r="N18" s="1894"/>
      <c r="O18" s="3051"/>
      <c r="P18" s="1582">
        <f>SUM(O19:O21)</f>
        <v>355.4</v>
      </c>
      <c r="Q18" s="38"/>
      <c r="R18" s="693" t="s">
        <v>1189</v>
      </c>
      <c r="S18" s="369"/>
      <c r="T18" s="1790"/>
    </row>
    <row r="19" spans="1:26" s="42" customFormat="1" ht="15.6" customHeight="1">
      <c r="A19" s="45"/>
      <c r="B19" s="1789"/>
      <c r="C19" s="4860" t="s">
        <v>2109</v>
      </c>
      <c r="D19" s="4860"/>
      <c r="E19" s="4860"/>
      <c r="F19" s="4860"/>
      <c r="G19" s="1788"/>
      <c r="H19" s="1786"/>
      <c r="I19" s="1785">
        <f>IF(OR($C19=0,$J$6=0),0,VLOOKUP($C19,'SD2'!C59:N75,12,FALSE))</f>
        <v>158</v>
      </c>
      <c r="J19" s="45"/>
      <c r="K19" s="1787"/>
      <c r="L19" s="1639">
        <f>IF(OR($C19=0,$M$6=0),0,VLOOKUP($C19,'SD2'!$C$59:$N$75,12,FALSE))</f>
        <v>158</v>
      </c>
      <c r="M19" s="1557"/>
      <c r="N19" s="1786"/>
      <c r="O19" s="1785">
        <f>IF(OR($C19=0,$P$6=0),0,VLOOKUP($C19,'SD2'!C59:N75,12,FALSE))</f>
        <v>158</v>
      </c>
      <c r="P19" s="1554"/>
      <c r="Q19" s="38"/>
      <c r="R19" s="1784">
        <f>J13+J18</f>
        <v>455.4</v>
      </c>
      <c r="S19" s="1783">
        <f>M13+M18</f>
        <v>455.4</v>
      </c>
      <c r="T19" s="1782">
        <f>P13+P18</f>
        <v>455.4</v>
      </c>
    </row>
    <row r="20" spans="1:26" s="42" customFormat="1" ht="15.6" customHeight="1">
      <c r="A20" s="3852"/>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8"/>
      <c r="R20" s="3968"/>
      <c r="S20" s="3968"/>
      <c r="T20" s="3968"/>
    </row>
    <row r="21" spans="1:26" s="42" customFormat="1" ht="15.6" customHeight="1">
      <c r="A21" s="3852"/>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8"/>
      <c r="R21" s="3968"/>
      <c r="S21" s="3968"/>
      <c r="T21" s="3968"/>
    </row>
    <row r="22" spans="1:26" ht="15.75">
      <c r="A22" s="370"/>
      <c r="B22" s="305" t="s">
        <v>1188</v>
      </c>
      <c r="C22" s="45"/>
      <c r="D22" s="1775"/>
      <c r="E22" s="4865" t="s">
        <v>1187</v>
      </c>
      <c r="F22" s="4865"/>
      <c r="G22" s="4866"/>
      <c r="H22" s="1772"/>
      <c r="I22" s="1771"/>
      <c r="J22" s="1770"/>
      <c r="K22" s="1774"/>
      <c r="L22" s="1773"/>
      <c r="M22" s="1770"/>
      <c r="N22" s="1772"/>
      <c r="O22" s="1771"/>
      <c r="P22" s="1770"/>
      <c r="R22" s="38"/>
      <c r="S22" s="38"/>
      <c r="T22" s="38"/>
    </row>
    <row r="23" spans="1:26" ht="18.75" customHeight="1">
      <c r="A23" s="370"/>
      <c r="B23" s="264" t="s">
        <v>1186</v>
      </c>
      <c r="C23" s="1769"/>
      <c r="D23" s="1769"/>
      <c r="F23" s="4876" t="s">
        <v>1177</v>
      </c>
      <c r="G23" s="4877"/>
      <c r="H23" s="1584"/>
      <c r="I23" s="1583"/>
      <c r="J23" s="1567">
        <f>SUM(I25:I26)</f>
        <v>62.5</v>
      </c>
      <c r="K23" s="1587"/>
      <c r="L23" s="1586"/>
      <c r="M23" s="1768">
        <f>SUM(L25:L26)</f>
        <v>62.5</v>
      </c>
      <c r="N23" s="1584"/>
      <c r="O23" s="1583"/>
      <c r="P23" s="1567">
        <f>SUM(O25:O26)</f>
        <v>62.5</v>
      </c>
    </row>
    <row r="24" spans="1:26" ht="13.15" customHeight="1">
      <c r="A24" s="370"/>
      <c r="B24" s="1767"/>
      <c r="C24" s="1580" t="s">
        <v>1156</v>
      </c>
      <c r="D24" s="1651">
        <f>'SDK1'!$O$10</f>
        <v>0</v>
      </c>
      <c r="E24" s="1766"/>
      <c r="F24" s="1574" t="s">
        <v>249</v>
      </c>
      <c r="G24" s="1650" t="s">
        <v>1155</v>
      </c>
      <c r="H24" s="1746" t="s">
        <v>1176</v>
      </c>
      <c r="I24" s="1568" t="s">
        <v>171</v>
      </c>
      <c r="K24" s="1748" t="s">
        <v>1176</v>
      </c>
      <c r="L24" s="1571" t="s">
        <v>171</v>
      </c>
      <c r="M24" s="1765"/>
      <c r="N24" s="1746" t="s">
        <v>1176</v>
      </c>
      <c r="O24" s="1568" t="s">
        <v>171</v>
      </c>
      <c r="P24" s="1726"/>
    </row>
    <row r="25" spans="1:26" s="42" customFormat="1" ht="15" customHeight="1">
      <c r="A25" s="1284"/>
      <c r="B25" s="1764"/>
      <c r="C25" s="1284" t="s">
        <v>1185</v>
      </c>
      <c r="D25" s="4878"/>
      <c r="E25" s="4879"/>
      <c r="F25" s="1763"/>
      <c r="G25" s="1762">
        <f>F25*(100+$D$24)/100</f>
        <v>0</v>
      </c>
      <c r="H25" s="1934"/>
      <c r="I25" s="1722">
        <f>H25*$G25</f>
        <v>0</v>
      </c>
      <c r="J25" s="45"/>
      <c r="K25" s="1934"/>
      <c r="L25" s="1564">
        <f>K25*$G25</f>
        <v>0</v>
      </c>
      <c r="M25" s="1557"/>
      <c r="N25" s="1934">
        <f>H25</f>
        <v>0</v>
      </c>
      <c r="O25" s="1722">
        <f>N25*$G25</f>
        <v>0</v>
      </c>
      <c r="P25" s="1686"/>
      <c r="Q25" s="38"/>
    </row>
    <row r="26" spans="1:26" s="42" customFormat="1" ht="15" customHeight="1">
      <c r="A26" s="1284"/>
      <c r="B26" s="1310"/>
      <c r="C26" s="1760" t="s">
        <v>191</v>
      </c>
      <c r="D26" s="4880" t="s">
        <v>1243</v>
      </c>
      <c r="E26" s="4881"/>
      <c r="F26" s="1759">
        <v>2.5</v>
      </c>
      <c r="G26" s="1758">
        <f>F26*(100+$D$24)/100</f>
        <v>2.5</v>
      </c>
      <c r="H26" s="1903">
        <v>25</v>
      </c>
      <c r="I26" s="1718">
        <f>H26*$G26</f>
        <v>62.5</v>
      </c>
      <c r="J26" s="45"/>
      <c r="K26" s="1903">
        <v>25</v>
      </c>
      <c r="L26" s="1558">
        <f>K26*$G26</f>
        <v>62.5</v>
      </c>
      <c r="M26" s="1557"/>
      <c r="N26" s="1903">
        <v>25</v>
      </c>
      <c r="O26" s="1718">
        <f>N26*$G26</f>
        <v>62.5</v>
      </c>
      <c r="P26" s="1717"/>
      <c r="Q26" s="38"/>
    </row>
    <row r="27" spans="1:26" s="686" customFormat="1" ht="18.75" customHeight="1">
      <c r="A27" s="1248"/>
      <c r="B27" s="1756" t="s">
        <v>1184</v>
      </c>
      <c r="C27" s="1248"/>
      <c r="D27" s="73"/>
      <c r="E27" s="38"/>
      <c r="F27" s="38"/>
      <c r="G27" s="1755"/>
      <c r="H27" s="1714"/>
      <c r="I27" s="1713"/>
      <c r="J27" s="1582">
        <f>SUM(I30:I33)</f>
        <v>0</v>
      </c>
      <c r="K27" s="1716"/>
      <c r="L27" s="1715"/>
      <c r="M27" s="1585">
        <f>SUM(L30:L33)</f>
        <v>0</v>
      </c>
      <c r="N27" s="1714"/>
      <c r="O27" s="1713"/>
      <c r="P27" s="1582">
        <f>SUM(O30:O33)</f>
        <v>0</v>
      </c>
      <c r="Q27" s="38"/>
    </row>
    <row r="28" spans="1:26" s="686" customFormat="1" ht="13.7" customHeight="1">
      <c r="A28" s="1248"/>
      <c r="B28" s="1312"/>
      <c r="C28" s="37"/>
      <c r="D28" s="1754" t="s">
        <v>1019</v>
      </c>
      <c r="E28" s="1754" t="s">
        <v>1183</v>
      </c>
      <c r="F28" s="1754" t="s">
        <v>1183</v>
      </c>
      <c r="G28" s="1753" t="s">
        <v>1182</v>
      </c>
      <c r="H28" s="1713"/>
      <c r="I28" s="1750"/>
      <c r="J28" s="1752"/>
      <c r="K28" s="1716"/>
      <c r="L28" s="1646"/>
      <c r="M28" s="1751"/>
      <c r="N28" s="1714"/>
      <c r="O28" s="1750"/>
      <c r="P28" s="1567"/>
      <c r="Q28" s="38"/>
    </row>
    <row r="29" spans="1:26" s="686" customFormat="1" ht="15" customHeight="1">
      <c r="A29" s="1248"/>
      <c r="B29" s="1749"/>
      <c r="C29" s="1285" t="s">
        <v>1181</v>
      </c>
      <c r="D29" s="1575" t="s">
        <v>852</v>
      </c>
      <c r="E29" s="1575" t="s">
        <v>1180</v>
      </c>
      <c r="F29" s="1575" t="s">
        <v>1179</v>
      </c>
      <c r="G29" s="1575" t="s">
        <v>853</v>
      </c>
      <c r="H29" s="1746" t="s">
        <v>853</v>
      </c>
      <c r="I29" s="1568" t="s">
        <v>171</v>
      </c>
      <c r="J29" s="37"/>
      <c r="K29" s="1748" t="s">
        <v>853</v>
      </c>
      <c r="L29" s="1571" t="s">
        <v>171</v>
      </c>
      <c r="M29" s="1747"/>
      <c r="N29" s="1746" t="s">
        <v>853</v>
      </c>
      <c r="O29" s="1568" t="s">
        <v>171</v>
      </c>
      <c r="P29" s="1745"/>
      <c r="Q29" s="38"/>
    </row>
    <row r="30" spans="1:26" s="42" customFormat="1" ht="15" customHeight="1">
      <c r="A30" s="1284"/>
      <c r="B30" s="1744"/>
      <c r="C30" s="1743" t="s">
        <v>246</v>
      </c>
      <c r="D30" s="1691">
        <f>'SDK1'!O52</f>
        <v>1.4319999999999999</v>
      </c>
      <c r="E30" s="1742">
        <f>VLOOKUP(K2,'SD8'!B9:L42,3,FALSE)</f>
        <v>0</v>
      </c>
      <c r="F30" s="1742">
        <f>VLOOKUP(K2,'SD8'!B9:L42,7,FALSE)</f>
        <v>0</v>
      </c>
      <c r="G30" s="1741"/>
      <c r="H30" s="1739">
        <f>IF(J$6=0,0,(J$6*$E30+$G30+X14))</f>
        <v>0</v>
      </c>
      <c r="I30" s="1722">
        <f>H30*$D30</f>
        <v>0</v>
      </c>
      <c r="J30" s="45"/>
      <c r="K30" s="1740">
        <f>IF(M$6=0,0,(M$6*$E30+$G30+Y14))</f>
        <v>0</v>
      </c>
      <c r="L30" s="1564">
        <f>K30*$D30</f>
        <v>0</v>
      </c>
      <c r="M30" s="1557"/>
      <c r="N30" s="1739">
        <f>IF(P$6=0,0,(P$6*$E30+$G30+Z14))</f>
        <v>0</v>
      </c>
      <c r="O30" s="1722">
        <f>N30*$D30</f>
        <v>0</v>
      </c>
      <c r="P30" s="1686"/>
      <c r="Q30" s="38"/>
    </row>
    <row r="31" spans="1:26" s="42" customFormat="1" ht="15" customHeight="1">
      <c r="A31" s="1284"/>
      <c r="B31" s="272"/>
      <c r="C31" s="1284" t="s">
        <v>244</v>
      </c>
      <c r="D31" s="1691">
        <f>'SDK1'!O53</f>
        <v>1.05</v>
      </c>
      <c r="E31" s="1742">
        <f>VLOOKUP(K2,'SD8'!B9:L42,4,FALSE)</f>
        <v>0</v>
      </c>
      <c r="F31" s="1742">
        <f>VLOOKUP(K2,'SD8'!B9:L42,8,FALSE)</f>
        <v>0</v>
      </c>
      <c r="G31" s="1741"/>
      <c r="H31" s="1739">
        <f>IF(J$6=0,0,(J$6*$E31+$G31+X15))</f>
        <v>0</v>
      </c>
      <c r="I31" s="1722">
        <f>H31*$D31</f>
        <v>0</v>
      </c>
      <c r="J31" s="45"/>
      <c r="K31" s="1740">
        <f>IF(M$6=0,0,(M$6*$E31+$G31+Y15))</f>
        <v>0</v>
      </c>
      <c r="L31" s="1564">
        <f>K31*$D31</f>
        <v>0</v>
      </c>
      <c r="M31" s="1557"/>
      <c r="N31" s="1739">
        <f>IF(P$6=0,0,(P$6*$E31+$G31+Z15))</f>
        <v>0</v>
      </c>
      <c r="O31" s="1722">
        <f>N31*$D31</f>
        <v>0</v>
      </c>
      <c r="P31" s="1686"/>
      <c r="Q31" s="38"/>
    </row>
    <row r="32" spans="1:26" s="42" customFormat="1" ht="15" customHeight="1">
      <c r="A32" s="1284"/>
      <c r="B32" s="272"/>
      <c r="C32" s="1284" t="s">
        <v>242</v>
      </c>
      <c r="D32" s="1691">
        <f>'SDK1'!O54</f>
        <v>0.98000000000000009</v>
      </c>
      <c r="E32" s="1742">
        <f>VLOOKUP(K2,'SD8'!B9:L42,5,FALSE)</f>
        <v>0</v>
      </c>
      <c r="F32" s="1742">
        <f>VLOOKUP(K2,'SD8'!B9:L42,9,FALSE)</f>
        <v>0</v>
      </c>
      <c r="G32" s="1741"/>
      <c r="H32" s="1739">
        <f>IF(J$6=0,0,(J$6*$E32+$G32+X16))</f>
        <v>0</v>
      </c>
      <c r="I32" s="1722">
        <f>H32*$D32</f>
        <v>0</v>
      </c>
      <c r="J32" s="45"/>
      <c r="K32" s="1740">
        <f>IF(M$6=0,0,(M$6*$E32+$G32+Y16))</f>
        <v>0</v>
      </c>
      <c r="L32" s="1564">
        <f>K32*$D32</f>
        <v>0</v>
      </c>
      <c r="M32" s="1557"/>
      <c r="N32" s="1739">
        <f>IF(P$6=0,0,(P$6*$E32+$G32+Z16))</f>
        <v>0</v>
      </c>
      <c r="O32" s="1722">
        <f>N32*$D32</f>
        <v>0</v>
      </c>
      <c r="P32" s="1686"/>
      <c r="Q32" s="38"/>
    </row>
    <row r="33" spans="1:17" s="42" customFormat="1" ht="15" customHeight="1">
      <c r="A33" s="1284"/>
      <c r="B33" s="239"/>
      <c r="C33" s="1309" t="s">
        <v>240</v>
      </c>
      <c r="D33" s="1674">
        <f>'SDK1'!O55</f>
        <v>0.60200000000000009</v>
      </c>
      <c r="E33" s="1738">
        <f>VLOOKUP(K2,'SD8'!B9:L42,6,FALSE)</f>
        <v>0</v>
      </c>
      <c r="F33" s="1738">
        <f>VLOOKUP(K2,'SD8'!B9:L42,10,FALSE)</f>
        <v>0</v>
      </c>
      <c r="G33" s="1737"/>
      <c r="H33" s="1735">
        <f>IF(J$6=0,0,(J$6*$E33+$G33+X17))</f>
        <v>0</v>
      </c>
      <c r="I33" s="1718">
        <f>H33*$D33</f>
        <v>0</v>
      </c>
      <c r="J33" s="45"/>
      <c r="K33" s="1736">
        <f>IF(M$6=0,0,(M$6*$E33+$G33+Y17))</f>
        <v>0</v>
      </c>
      <c r="L33" s="1558">
        <f>K33*$D33</f>
        <v>0</v>
      </c>
      <c r="M33" s="1557"/>
      <c r="N33" s="1735">
        <f>IF(P$6=0,0,(P$6*$E33+$G33+Z17))</f>
        <v>0</v>
      </c>
      <c r="O33" s="1718">
        <f>N33*$D33</f>
        <v>0</v>
      </c>
      <c r="P33" s="1717"/>
      <c r="Q33" s="38"/>
    </row>
    <row r="34" spans="1:17" s="686" customFormat="1" ht="18.75" customHeight="1">
      <c r="A34" s="1248"/>
      <c r="B34" s="1254" t="s">
        <v>1178</v>
      </c>
      <c r="C34" s="1248"/>
      <c r="D34" s="37"/>
      <c r="E34" s="37"/>
      <c r="F34" s="4876" t="s">
        <v>1177</v>
      </c>
      <c r="G34" s="4877"/>
      <c r="H34" s="1732"/>
      <c r="I34" s="1731"/>
      <c r="J34" s="1582">
        <f>SUM(I36:I42)</f>
        <v>0</v>
      </c>
      <c r="K34" s="1734"/>
      <c r="L34" s="1733"/>
      <c r="M34" s="1585">
        <f>SUM(L36:L42)</f>
        <v>0</v>
      </c>
      <c r="N34" s="1732"/>
      <c r="O34" s="1731"/>
      <c r="P34" s="1582">
        <f>SUM(O36:O42)</f>
        <v>0</v>
      </c>
      <c r="Q34" s="38"/>
    </row>
    <row r="35" spans="1:17" s="686" customFormat="1" ht="13.15" customHeight="1">
      <c r="A35" s="1248"/>
      <c r="B35" s="1581"/>
      <c r="C35" s="1580" t="s">
        <v>1156</v>
      </c>
      <c r="D35" s="1651">
        <f>'SDK1'!$O$11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351</v>
      </c>
      <c r="D36" s="4884"/>
      <c r="E36" s="4885"/>
      <c r="F36" s="1724">
        <f>IF(C36="",0,VLOOKUP(C36,'SDK5'!C3:AF83,2,FALSE))</f>
        <v>0</v>
      </c>
      <c r="G36" s="1724">
        <f t="shared" ref="G36:G42" si="0">F36*(100+$D$35)/100</f>
        <v>0</v>
      </c>
      <c r="H36" s="1723"/>
      <c r="I36" s="1722">
        <f t="shared" ref="I36:I42" si="1">$G36*H36</f>
        <v>0</v>
      </c>
      <c r="J36" s="45"/>
      <c r="K36" s="1723"/>
      <c r="L36" s="1564">
        <f t="shared" ref="L36:L42" si="2">$G36*K36</f>
        <v>0</v>
      </c>
      <c r="M36" s="1557"/>
      <c r="N36" s="1723"/>
      <c r="O36" s="1722">
        <f t="shared" ref="O36:O42" si="3">$G36*N36</f>
        <v>0</v>
      </c>
      <c r="P36" s="1726"/>
      <c r="Q36" s="38"/>
    </row>
    <row r="37" spans="1:17" s="42" customFormat="1" ht="15" customHeight="1">
      <c r="A37" s="1284"/>
      <c r="B37" s="1562"/>
      <c r="C37" s="4870"/>
      <c r="D37" s="4870"/>
      <c r="E37" s="4871"/>
      <c r="F37" s="1724">
        <f>IF(C37="",0,VLOOKUP(C37,'SDK5'!C4:AF84,2,FALSE))</f>
        <v>0</v>
      </c>
      <c r="G37" s="1724">
        <f t="shared" si="0"/>
        <v>0</v>
      </c>
      <c r="H37" s="1723"/>
      <c r="I37" s="1722">
        <f t="shared" si="1"/>
        <v>0</v>
      </c>
      <c r="J37" s="45"/>
      <c r="K37" s="1723"/>
      <c r="L37" s="1564">
        <f t="shared" si="2"/>
        <v>0</v>
      </c>
      <c r="M37" s="1557"/>
      <c r="N37" s="1723"/>
      <c r="O37" s="1722">
        <f t="shared" si="3"/>
        <v>0</v>
      </c>
      <c r="P37" s="1686"/>
      <c r="Q37" s="38"/>
    </row>
    <row r="38" spans="1:17" s="42" customFormat="1" ht="15" customHeight="1">
      <c r="A38" s="1284"/>
      <c r="B38" s="1725"/>
      <c r="C38" s="4870"/>
      <c r="D38" s="4870"/>
      <c r="E38" s="4871"/>
      <c r="F38" s="1724">
        <f>IF(C38="",0,VLOOKUP(C38,'SDK5'!C5:AF85,2,FALSE))</f>
        <v>0</v>
      </c>
      <c r="G38" s="1724">
        <f t="shared" si="0"/>
        <v>0</v>
      </c>
      <c r="H38" s="1723"/>
      <c r="I38" s="1722">
        <f t="shared" si="1"/>
        <v>0</v>
      </c>
      <c r="J38" s="45"/>
      <c r="K38" s="1723"/>
      <c r="L38" s="1564">
        <f t="shared" si="2"/>
        <v>0</v>
      </c>
      <c r="M38" s="1557"/>
      <c r="N38" s="1723"/>
      <c r="O38" s="1722">
        <f t="shared" si="3"/>
        <v>0</v>
      </c>
      <c r="P38" s="1686"/>
      <c r="Q38" s="38"/>
    </row>
    <row r="39" spans="1:17" s="42" customFormat="1" ht="15" customHeight="1">
      <c r="A39" s="1284"/>
      <c r="B39" s="1562"/>
      <c r="C39" s="4870"/>
      <c r="D39" s="4870"/>
      <c r="E39" s="4871"/>
      <c r="F39" s="1724">
        <f>IF(C39="",0,VLOOKUP(C39,'SDK5'!C6:AF86,2,FALSE))</f>
        <v>0</v>
      </c>
      <c r="G39" s="1724">
        <f t="shared" si="0"/>
        <v>0</v>
      </c>
      <c r="H39" s="1723"/>
      <c r="I39" s="1722">
        <f t="shared" si="1"/>
        <v>0</v>
      </c>
      <c r="J39" s="45"/>
      <c r="K39" s="1723"/>
      <c r="L39" s="1564">
        <f t="shared" si="2"/>
        <v>0</v>
      </c>
      <c r="M39" s="1557"/>
      <c r="N39" s="1723"/>
      <c r="O39" s="1722">
        <f t="shared" si="3"/>
        <v>0</v>
      </c>
      <c r="P39" s="1686"/>
      <c r="Q39" s="38"/>
    </row>
    <row r="40" spans="1:17" s="42" customFormat="1" ht="15" customHeight="1">
      <c r="A40" s="1284"/>
      <c r="B40" s="1562"/>
      <c r="C40" s="4870"/>
      <c r="D40" s="4870"/>
      <c r="E40" s="4871"/>
      <c r="F40" s="1724">
        <f>IF(C40="",0,VLOOKUP(C40,'SDK5'!C7:AF87,2,FALSE))</f>
        <v>0</v>
      </c>
      <c r="G40" s="1724">
        <f t="shared" si="0"/>
        <v>0</v>
      </c>
      <c r="H40" s="1723"/>
      <c r="I40" s="1722">
        <f t="shared" si="1"/>
        <v>0</v>
      </c>
      <c r="J40" s="45"/>
      <c r="K40" s="1723"/>
      <c r="L40" s="1564">
        <f t="shared" si="2"/>
        <v>0</v>
      </c>
      <c r="M40" s="1557"/>
      <c r="N40" s="1723"/>
      <c r="O40" s="1722">
        <f t="shared" si="3"/>
        <v>0</v>
      </c>
      <c r="P40" s="1686"/>
      <c r="Q40" s="38"/>
    </row>
    <row r="41" spans="1:17" s="42" customFormat="1" ht="15" customHeight="1">
      <c r="A41" s="1284"/>
      <c r="B41" s="1562"/>
      <c r="C41" s="4870"/>
      <c r="D41" s="4870"/>
      <c r="E41" s="4871"/>
      <c r="F41" s="1724">
        <f>IF(C41="",0,VLOOKUP(C41,'SDK5'!C8:AF88,2,FALSE))</f>
        <v>0</v>
      </c>
      <c r="G41" s="1724">
        <f t="shared" si="0"/>
        <v>0</v>
      </c>
      <c r="H41" s="1723"/>
      <c r="I41" s="1722">
        <f t="shared" si="1"/>
        <v>0</v>
      </c>
      <c r="J41" s="45"/>
      <c r="K41" s="1723"/>
      <c r="L41" s="1564">
        <f t="shared" si="2"/>
        <v>0</v>
      </c>
      <c r="M41" s="1557"/>
      <c r="N41" s="1723"/>
      <c r="O41" s="1722">
        <f t="shared" si="3"/>
        <v>0</v>
      </c>
      <c r="P41" s="1686"/>
      <c r="Q41" s="38"/>
    </row>
    <row r="42" spans="1:17" s="42" customFormat="1" ht="15" customHeight="1">
      <c r="A42" s="1284"/>
      <c r="B42" s="1721"/>
      <c r="C42" s="4856"/>
      <c r="D42" s="4856"/>
      <c r="E42" s="4857"/>
      <c r="F42" s="1720">
        <f>IF(C42="",0,VLOOKUP(C42,'SDK5'!C9:AF89,2,FALSE))</f>
        <v>0</v>
      </c>
      <c r="G42" s="1720">
        <f t="shared" si="0"/>
        <v>0</v>
      </c>
      <c r="H42" s="1719"/>
      <c r="I42" s="1718">
        <f t="shared" si="1"/>
        <v>0</v>
      </c>
      <c r="J42" s="45"/>
      <c r="K42" s="1719"/>
      <c r="L42" s="1558">
        <f t="shared" si="2"/>
        <v>0</v>
      </c>
      <c r="M42" s="1557"/>
      <c r="N42" s="1719"/>
      <c r="O42" s="1718">
        <f t="shared" si="3"/>
        <v>0</v>
      </c>
      <c r="P42" s="1717"/>
      <c r="Q42" s="38"/>
    </row>
    <row r="43" spans="1:17" s="686" customFormat="1" ht="18.75" customHeight="1">
      <c r="A43" s="1248"/>
      <c r="B43" s="1254" t="s">
        <v>1175</v>
      </c>
      <c r="C43" s="1248"/>
      <c r="D43" s="1248"/>
      <c r="E43" s="1248"/>
      <c r="F43" s="1248"/>
      <c r="G43" s="1588"/>
      <c r="H43" s="1714"/>
      <c r="I43" s="1713"/>
      <c r="J43" s="1582">
        <f>SUM(J46:J57)</f>
        <v>93.566991052436961</v>
      </c>
      <c r="K43" s="1716"/>
      <c r="L43" s="1715"/>
      <c r="M43" s="1585">
        <f>SUM(M46:M57)</f>
        <v>93.566991052436961</v>
      </c>
      <c r="N43" s="1714"/>
      <c r="O43" s="1713"/>
      <c r="P43" s="1582">
        <f>SUM(P46:P57)</f>
        <v>93.566991052436961</v>
      </c>
      <c r="Q43" s="38"/>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8"/>
    </row>
    <row r="45" spans="1:17" s="42" customFormat="1" ht="15" customHeight="1">
      <c r="A45" s="1284"/>
      <c r="B45" s="551"/>
      <c r="C45" s="532"/>
      <c r="D45" s="1704"/>
      <c r="E45" s="1575" t="s">
        <v>1170</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8"/>
    </row>
    <row r="46" spans="1:17" s="42" customFormat="1" ht="15" customHeight="1">
      <c r="A46" s="1284"/>
      <c r="B46" s="1698"/>
      <c r="C46" s="4858" t="s">
        <v>459</v>
      </c>
      <c r="D46" s="4859"/>
      <c r="E46" s="1693">
        <f>IF($C46=0,0,VLOOKUP($C46,'SDK3'!$C$24:$O$86,4,FALSE))</f>
        <v>102</v>
      </c>
      <c r="F46" s="1692">
        <f>IF($C46=0,0,VLOOKUP($C46,'SDK3'!$C$24:$O$86,12,FALSE))</f>
        <v>0.79</v>
      </c>
      <c r="G46" s="1691">
        <f>IF($C46=0,0,VLOOKUP($C46,'SDK3'!$C$24:$O$86,13,FALSE))</f>
        <v>21.737240200000002</v>
      </c>
      <c r="H46" s="1696">
        <v>1</v>
      </c>
      <c r="I46" s="1695">
        <f t="shared" ref="I46:I57" si="4">$F46*H46</f>
        <v>0.79</v>
      </c>
      <c r="J46" s="1686">
        <f t="shared" ref="J46:J57" si="5">H46*$G46</f>
        <v>21.737240200000002</v>
      </c>
      <c r="K46" s="1696">
        <v>1</v>
      </c>
      <c r="L46" s="1697">
        <f t="shared" ref="L46:L57" si="6">$F46*K46</f>
        <v>0.79</v>
      </c>
      <c r="M46" s="1689">
        <f t="shared" ref="M46:M57" si="7">K46*$G46</f>
        <v>21.737240200000002</v>
      </c>
      <c r="N46" s="1696">
        <v>1</v>
      </c>
      <c r="O46" s="1695">
        <f t="shared" ref="O46:O57" si="8">$F46*N46</f>
        <v>0.79</v>
      </c>
      <c r="P46" s="1686">
        <f t="shared" ref="P46:P57" si="9">N46*$G46</f>
        <v>21.737240200000002</v>
      </c>
      <c r="Q46" s="38">
        <f>$Q$2*H46</f>
        <v>0</v>
      </c>
    </row>
    <row r="47" spans="1:17" s="42" customFormat="1" ht="15" customHeight="1">
      <c r="A47" s="1284"/>
      <c r="B47" s="1694"/>
      <c r="C47" s="4882" t="s">
        <v>446</v>
      </c>
      <c r="D47" s="4883"/>
      <c r="E47" s="1693">
        <f>IF($C47=0,0,VLOOKUP($C47,'SDK3'!$C$24:$O$86,4,FALSE))</f>
        <v>120</v>
      </c>
      <c r="F47" s="1692">
        <f>IF($C47=0,0,VLOOKUP($C47,'SDK3'!$C$24:$O$86,12,FALSE))</f>
        <v>1.05</v>
      </c>
      <c r="G47" s="1691">
        <f>IF($C47=0,0,VLOOKUP($C47,'SDK3'!$C$24:$O$86,13,FALSE))</f>
        <v>36.26405764705882</v>
      </c>
      <c r="H47" s="1688">
        <v>1</v>
      </c>
      <c r="I47" s="1687">
        <f t="shared" si="4"/>
        <v>1.05</v>
      </c>
      <c r="J47" s="1686">
        <f t="shared" si="5"/>
        <v>36.26405764705882</v>
      </c>
      <c r="K47" s="1688">
        <v>1</v>
      </c>
      <c r="L47" s="1690">
        <f t="shared" si="6"/>
        <v>1.05</v>
      </c>
      <c r="M47" s="1689">
        <f t="shared" si="7"/>
        <v>36.26405764705882</v>
      </c>
      <c r="N47" s="1688">
        <v>1</v>
      </c>
      <c r="O47" s="1687">
        <f t="shared" si="8"/>
        <v>1.05</v>
      </c>
      <c r="P47" s="1686">
        <f t="shared" si="9"/>
        <v>36.26405764705882</v>
      </c>
      <c r="Q47" s="38"/>
    </row>
    <row r="48" spans="1:17" s="42" customFormat="1" ht="15" customHeight="1">
      <c r="A48" s="1284"/>
      <c r="B48" s="1694"/>
      <c r="C48" s="4882" t="s">
        <v>449</v>
      </c>
      <c r="D48" s="4883"/>
      <c r="E48" s="1693">
        <f>IF($C48=0,0,VLOOKUP($C48,'SDK3'!$C$24:$O$86,4,FALSE))</f>
        <v>83</v>
      </c>
      <c r="F48" s="1692">
        <f>IF($C48=0,0,VLOOKUP($C48,'SDK3'!$C$24:$O$86,12,FALSE))</f>
        <v>0.62</v>
      </c>
      <c r="G48" s="1691">
        <f>IF($C48=0,0,VLOOKUP($C48,'SDK3'!$C$24:$O$86,13,FALSE))</f>
        <v>11.31487584235294</v>
      </c>
      <c r="H48" s="1688">
        <v>1</v>
      </c>
      <c r="I48" s="1687">
        <f t="shared" si="4"/>
        <v>0.62</v>
      </c>
      <c r="J48" s="1686">
        <f t="shared" si="5"/>
        <v>11.31487584235294</v>
      </c>
      <c r="K48" s="1688">
        <v>1</v>
      </c>
      <c r="L48" s="1690">
        <f t="shared" si="6"/>
        <v>0.62</v>
      </c>
      <c r="M48" s="1689">
        <f t="shared" si="7"/>
        <v>11.31487584235294</v>
      </c>
      <c r="N48" s="1688">
        <v>1</v>
      </c>
      <c r="O48" s="1687">
        <f t="shared" si="8"/>
        <v>0.62</v>
      </c>
      <c r="P48" s="1686">
        <f t="shared" si="9"/>
        <v>11.31487584235294</v>
      </c>
      <c r="Q48" s="38"/>
    </row>
    <row r="49" spans="1:17" s="42" customFormat="1" ht="15" customHeight="1">
      <c r="A49" s="1284"/>
      <c r="B49" s="1694"/>
      <c r="C49" s="4882" t="s">
        <v>414</v>
      </c>
      <c r="D49" s="4883"/>
      <c r="E49" s="1693">
        <f>IF($C49=0,0,VLOOKUP($C49,'SDK3'!$C$24:$O$86,4,FALSE))</f>
        <v>83</v>
      </c>
      <c r="F49" s="1692">
        <f>IF($C49=0,0,VLOOKUP($C49,'SDK3'!$C$24:$O$86,12,FALSE))</f>
        <v>1.17</v>
      </c>
      <c r="G49" s="1691">
        <f>IF($C49=0,0,VLOOKUP($C49,'SDK3'!$C$24:$O$86,13,FALSE))</f>
        <v>24.250817363025202</v>
      </c>
      <c r="H49" s="1688">
        <v>1</v>
      </c>
      <c r="I49" s="1687">
        <f t="shared" si="4"/>
        <v>1.17</v>
      </c>
      <c r="J49" s="1686">
        <f t="shared" si="5"/>
        <v>24.250817363025202</v>
      </c>
      <c r="K49" s="1688">
        <v>1</v>
      </c>
      <c r="L49" s="1690">
        <f t="shared" si="6"/>
        <v>1.17</v>
      </c>
      <c r="M49" s="1689">
        <f t="shared" si="7"/>
        <v>24.250817363025202</v>
      </c>
      <c r="N49" s="1688">
        <v>1</v>
      </c>
      <c r="O49" s="1687">
        <f t="shared" si="8"/>
        <v>1.17</v>
      </c>
      <c r="P49" s="1686">
        <f t="shared" si="9"/>
        <v>24.250817363025202</v>
      </c>
      <c r="Q49" s="38"/>
    </row>
    <row r="50" spans="1:17" s="42" customFormat="1" ht="15" customHeight="1">
      <c r="A50" s="1284"/>
      <c r="B50" s="1694"/>
      <c r="C50" s="4882"/>
      <c r="D50" s="4883"/>
      <c r="E50" s="1693">
        <f>IF($C50=0,0,VLOOKUP($C50,'SDK3'!$C$24:$O$86,4,FALSE))</f>
        <v>0</v>
      </c>
      <c r="F50" s="1692">
        <f>IF($C50=0,0,VLOOKUP($C50,'SDK3'!$C$24:$O$86,12,FALSE))</f>
        <v>0</v>
      </c>
      <c r="G50" s="1691">
        <f>IF($C50=0,0,VLOOKUP($C50,'SDK3'!$C$24:$O$86,13,FALSE))</f>
        <v>0</v>
      </c>
      <c r="H50" s="1688"/>
      <c r="I50" s="1687">
        <f t="shared" si="4"/>
        <v>0</v>
      </c>
      <c r="J50" s="1686">
        <f t="shared" si="5"/>
        <v>0</v>
      </c>
      <c r="K50" s="1688"/>
      <c r="L50" s="1690">
        <f t="shared" si="6"/>
        <v>0</v>
      </c>
      <c r="M50" s="1689">
        <f t="shared" si="7"/>
        <v>0</v>
      </c>
      <c r="N50" s="1688"/>
      <c r="O50" s="1687">
        <f t="shared" si="8"/>
        <v>0</v>
      </c>
      <c r="P50" s="1686">
        <f t="shared" si="9"/>
        <v>0</v>
      </c>
      <c r="Q50" s="38"/>
    </row>
    <row r="51" spans="1:17" s="42" customFormat="1" ht="15" customHeight="1">
      <c r="A51" s="1284"/>
      <c r="B51" s="1694"/>
      <c r="C51" s="4882"/>
      <c r="D51" s="4883"/>
      <c r="E51" s="1693">
        <f>IF($C51=0,0,VLOOKUP($C51,'SDK3'!$C$24:$O$86,4,FALSE))</f>
        <v>0</v>
      </c>
      <c r="F51" s="1692">
        <f>IF($C51=0,0,VLOOKUP($C51,'SDK3'!$C$24:$O$86,12,FALSE))</f>
        <v>0</v>
      </c>
      <c r="G51" s="1691">
        <f>IF($C51=0,0,VLOOKUP($C51,'SDK3'!$C$24:$O$86,13,FALSE))</f>
        <v>0</v>
      </c>
      <c r="H51" s="1688"/>
      <c r="I51" s="1687">
        <f t="shared" si="4"/>
        <v>0</v>
      </c>
      <c r="J51" s="1686">
        <f t="shared" si="5"/>
        <v>0</v>
      </c>
      <c r="K51" s="1688"/>
      <c r="L51" s="1690">
        <f t="shared" si="6"/>
        <v>0</v>
      </c>
      <c r="M51" s="1689">
        <f t="shared" si="7"/>
        <v>0</v>
      </c>
      <c r="N51" s="1688"/>
      <c r="O51" s="1687">
        <f t="shared" si="8"/>
        <v>0</v>
      </c>
      <c r="P51" s="1686">
        <f t="shared" si="9"/>
        <v>0</v>
      </c>
      <c r="Q51" s="38"/>
    </row>
    <row r="52" spans="1:17" s="42" customFormat="1" ht="15" customHeight="1">
      <c r="A52" s="1284"/>
      <c r="B52" s="1694"/>
      <c r="C52" s="4882"/>
      <c r="D52" s="4883"/>
      <c r="E52" s="1693">
        <f>IF($C52=0,0,VLOOKUP($C52,'SDK3'!$C$24:$O$86,4,FALSE))</f>
        <v>0</v>
      </c>
      <c r="F52" s="1692">
        <f>IF($C52=0,0,VLOOKUP($C52,'SDK3'!$C$24:$O$86,12,FALSE))</f>
        <v>0</v>
      </c>
      <c r="G52" s="1691">
        <f>IF($C52=0,0,VLOOKUP($C52,'SDK3'!$C$24:$O$86,13,FALSE))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c r="D53" s="4883"/>
      <c r="E53" s="1693">
        <f>IF($C53=0,0,VLOOKUP($C53,'SDK3'!$C$24:$O$86,4,FALSE))</f>
        <v>0</v>
      </c>
      <c r="F53" s="1692">
        <f>IF($C53=0,0,VLOOKUP($C53,'SDK3'!$C$24:$O$86,12,FALSE))</f>
        <v>0</v>
      </c>
      <c r="G53" s="1691">
        <f>IF($C53=0,0,VLOOKUP($C53,'SDK3'!$C$24:$O$86,13,FALSE))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882"/>
      <c r="D54" s="4883"/>
      <c r="E54" s="1693">
        <f>IF($C54=0,0,VLOOKUP($C54,'SDK3'!$C$24:$O$86,4,FALSE))</f>
        <v>0</v>
      </c>
      <c r="F54" s="1692">
        <f>IF($C54=0,0,VLOOKUP($C54,'SDK3'!$C$24:$O$86,12,FALSE))</f>
        <v>0</v>
      </c>
      <c r="G54" s="1691">
        <f>IF($C54=0,0,VLOOKUP($C54,'SDK3'!$C$24:$O$86,13,FALSE))</f>
        <v>0</v>
      </c>
      <c r="H54" s="1688"/>
      <c r="I54" s="1687">
        <f t="shared" si="4"/>
        <v>0</v>
      </c>
      <c r="J54" s="1686">
        <f t="shared" si="5"/>
        <v>0</v>
      </c>
      <c r="K54" s="1688"/>
      <c r="L54" s="1690">
        <f t="shared" si="6"/>
        <v>0</v>
      </c>
      <c r="M54" s="1689">
        <f t="shared" si="7"/>
        <v>0</v>
      </c>
      <c r="N54" s="1688"/>
      <c r="O54" s="1687">
        <f t="shared" si="8"/>
        <v>0</v>
      </c>
      <c r="P54" s="1686">
        <f t="shared" si="9"/>
        <v>0</v>
      </c>
      <c r="Q54" s="38"/>
    </row>
    <row r="55" spans="1:17" s="42" customFormat="1" ht="15" customHeight="1">
      <c r="A55" s="1284"/>
      <c r="B55" s="1694"/>
      <c r="C55" s="4882"/>
      <c r="D55" s="4883"/>
      <c r="E55" s="1693">
        <f>IF($C55=0,0,VLOOKUP($C55,'SDK3'!$C$24:$O$86,4,FALSE))</f>
        <v>0</v>
      </c>
      <c r="F55" s="1692">
        <f>IF($C55=0,0,VLOOKUP($C55,'SDK3'!$C$24:$O$86,12,FALSE))</f>
        <v>0</v>
      </c>
      <c r="G55" s="1691">
        <f>IF($C55=0,0,VLOOKUP($C55,'SDK3'!$C$24:$O$86,13,FALSE))</f>
        <v>0</v>
      </c>
      <c r="H55" s="1688"/>
      <c r="I55" s="1687">
        <f t="shared" si="4"/>
        <v>0</v>
      </c>
      <c r="J55" s="1686">
        <f t="shared" si="5"/>
        <v>0</v>
      </c>
      <c r="K55" s="1688"/>
      <c r="L55" s="1690">
        <f t="shared" si="6"/>
        <v>0</v>
      </c>
      <c r="M55" s="1689">
        <f t="shared" si="7"/>
        <v>0</v>
      </c>
      <c r="N55" s="1688"/>
      <c r="O55" s="1687">
        <f t="shared" si="8"/>
        <v>0</v>
      </c>
      <c r="P55" s="1686">
        <f t="shared" si="9"/>
        <v>0</v>
      </c>
      <c r="Q55" s="38"/>
    </row>
    <row r="56" spans="1:17" s="42" customFormat="1" ht="15" customHeight="1">
      <c r="A56" s="1284"/>
      <c r="B56" s="1885"/>
      <c r="C56" s="4889"/>
      <c r="D56" s="4890"/>
      <c r="E56" s="1884">
        <f>IF($C56=0,0,VLOOKUP($C56,'SDK3'!$C$24:$O$86,4,FALSE))</f>
        <v>0</v>
      </c>
      <c r="F56" s="1883">
        <f>IF($C56=0,0,VLOOKUP($C56,'SDK3'!$C$24:$O$86,12,FALSE))</f>
        <v>0</v>
      </c>
      <c r="G56" s="1882">
        <f>IF($C56=0,0,VLOOKUP($C56,'SDK3'!$C$24:$O$86,13,FALSE))</f>
        <v>0</v>
      </c>
      <c r="H56" s="1879"/>
      <c r="I56" s="1878">
        <f t="shared" si="4"/>
        <v>0</v>
      </c>
      <c r="J56" s="1877">
        <f t="shared" si="5"/>
        <v>0</v>
      </c>
      <c r="K56" s="1879"/>
      <c r="L56" s="1881">
        <f t="shared" si="6"/>
        <v>0</v>
      </c>
      <c r="M56" s="1880">
        <f t="shared" si="7"/>
        <v>0</v>
      </c>
      <c r="N56" s="1879"/>
      <c r="O56" s="1878">
        <f t="shared" si="8"/>
        <v>0</v>
      </c>
      <c r="P56" s="1877">
        <f t="shared" si="9"/>
        <v>0</v>
      </c>
      <c r="Q56" s="38"/>
    </row>
    <row r="57" spans="1:17" s="42" customFormat="1" ht="47.25" customHeight="1">
      <c r="A57" s="1284"/>
      <c r="B57" s="1625"/>
      <c r="C57" s="4896"/>
      <c r="D57" s="4897"/>
      <c r="E57" s="1676">
        <f>IF($C57=0,0,VLOOKUP($C57,'SDK3'!$C$24:$O$86,4,FALSE))</f>
        <v>0</v>
      </c>
      <c r="F57" s="1675">
        <f>IF($C57=0,0,VLOOKUP($C57,'SDK3'!$C$24:$O$86,12,FALSE))</f>
        <v>0</v>
      </c>
      <c r="G57" s="1674">
        <f>IF($C57=0,0,VLOOKUP($C57,'SDK3'!$C$24:$O$86,13,FALSE))</f>
        <v>0</v>
      </c>
      <c r="H57" s="1672">
        <f>H11/50</f>
        <v>0</v>
      </c>
      <c r="I57" s="1671">
        <f t="shared" si="4"/>
        <v>0</v>
      </c>
      <c r="J57" s="1670">
        <f t="shared" si="5"/>
        <v>0</v>
      </c>
      <c r="K57" s="1672">
        <f>K11/50</f>
        <v>0</v>
      </c>
      <c r="L57" s="1673">
        <f t="shared" si="6"/>
        <v>0</v>
      </c>
      <c r="M57" s="1620">
        <f t="shared" si="7"/>
        <v>0</v>
      </c>
      <c r="N57" s="1672">
        <f>N11/50</f>
        <v>0</v>
      </c>
      <c r="O57" s="1671">
        <f t="shared" si="8"/>
        <v>0</v>
      </c>
      <c r="P57" s="1670">
        <f t="shared" si="9"/>
        <v>0</v>
      </c>
      <c r="Q57" s="38"/>
    </row>
    <row r="58" spans="1:17" s="65" customFormat="1" ht="18.75" customHeight="1">
      <c r="A58" s="1351"/>
      <c r="B58" s="1254" t="s">
        <v>1167</v>
      </c>
      <c r="C58" s="1351"/>
      <c r="D58" s="1351"/>
      <c r="E58" s="1351"/>
      <c r="F58" s="38"/>
      <c r="G58" s="1588"/>
      <c r="H58" s="1665"/>
      <c r="I58" s="1664">
        <f>SUM($I$46:$I$57)</f>
        <v>3.63</v>
      </c>
      <c r="J58" s="1669"/>
      <c r="K58" s="1668"/>
      <c r="L58" s="1667">
        <f>SUM($L$46:$L$57)</f>
        <v>3.63</v>
      </c>
      <c r="M58" s="1666"/>
      <c r="N58" s="1665"/>
      <c r="O58" s="1664">
        <f>SUM($O$46:$O$57)</f>
        <v>3.63</v>
      </c>
      <c r="P58" s="1663"/>
      <c r="Q58" s="38"/>
    </row>
    <row r="59" spans="1:17" s="65" customFormat="1" ht="15" customHeight="1">
      <c r="A59" s="1351"/>
      <c r="B59" s="1662"/>
      <c r="C59" s="346"/>
      <c r="D59" s="278" t="s">
        <v>1166</v>
      </c>
      <c r="E59" s="1661">
        <v>80</v>
      </c>
      <c r="F59" s="346" t="s">
        <v>1165</v>
      </c>
      <c r="G59" s="1660"/>
      <c r="H59" s="1656"/>
      <c r="I59" s="1655">
        <f>IF(I58+SUM($I$46:$I$57)*$E$59%&gt;I58+10,I58+10,I58+SUM($I$46:$I$57)*$E$59%)</f>
        <v>6.5339999999999998</v>
      </c>
      <c r="J59" s="1654"/>
      <c r="K59" s="1659"/>
      <c r="L59" s="1658">
        <f>IF(L58+SUM($L$46:$L$57)*$E$59%&gt;L58+10,L58+10,L58+SUM($L$46:$L$57)*$E$59%)</f>
        <v>6.5339999999999998</v>
      </c>
      <c r="M59" s="1657"/>
      <c r="N59" s="1656"/>
      <c r="O59" s="1655">
        <f>IF(O58+SUM($O$46:$O$57)*$E$59%&gt;O58+10,O58+10,O58+SUM($O$46:$O$57)*$E$59%)</f>
        <v>6.5339999999999998</v>
      </c>
      <c r="P59" s="1654"/>
      <c r="Q59" s="38"/>
    </row>
    <row r="60" spans="1:17" s="42" customFormat="1" ht="18.75" customHeight="1">
      <c r="A60" s="1284"/>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8"/>
    </row>
    <row r="61" spans="1:17" s="42" customFormat="1" ht="13.15" customHeight="1">
      <c r="A61" s="1284"/>
      <c r="B61" s="1581"/>
      <c r="C61" s="1580" t="s">
        <v>1156</v>
      </c>
      <c r="D61" s="1651">
        <f>'SDK1'!$O$11</f>
        <v>0</v>
      </c>
      <c r="E61" s="1578"/>
      <c r="F61" s="1574" t="s">
        <v>249</v>
      </c>
      <c r="G61" s="1650" t="s">
        <v>1155</v>
      </c>
      <c r="H61" s="1645"/>
      <c r="I61" s="1644"/>
      <c r="J61" s="1649"/>
      <c r="K61" s="1648"/>
      <c r="L61" s="1647"/>
      <c r="M61" s="1646"/>
      <c r="N61" s="1645"/>
      <c r="O61" s="1644"/>
      <c r="P61" s="1643"/>
      <c r="Q61" s="38"/>
    </row>
    <row r="62" spans="1:17" s="42" customFormat="1" ht="1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8"/>
    </row>
    <row r="63" spans="1:17" s="42" customFormat="1" ht="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8"/>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8"/>
    </row>
    <row r="65" spans="1:20" s="686" customFormat="1" ht="18.75" customHeight="1">
      <c r="A65" s="1248"/>
      <c r="B65" s="1254" t="s">
        <v>1163</v>
      </c>
      <c r="C65" s="1248"/>
      <c r="D65" s="1248"/>
      <c r="E65" s="1248"/>
      <c r="F65" s="38"/>
      <c r="G65" s="1588"/>
      <c r="H65" s="73"/>
      <c r="I65" s="73"/>
      <c r="J65" s="1582">
        <f>H66*$E66</f>
        <v>0</v>
      </c>
      <c r="K65" s="1597"/>
      <c r="L65" s="1597"/>
      <c r="M65" s="1585">
        <f>K66*$E66</f>
        <v>0</v>
      </c>
      <c r="N65" s="73"/>
      <c r="O65" s="73"/>
      <c r="P65" s="1582">
        <f>N66*$E66</f>
        <v>0</v>
      </c>
      <c r="Q65" s="38"/>
    </row>
    <row r="66" spans="1:20" s="686" customFormat="1" ht="15" customHeight="1">
      <c r="A66" s="1248"/>
      <c r="B66" s="1616"/>
      <c r="C66" s="1355"/>
      <c r="D66" s="278" t="s">
        <v>1004</v>
      </c>
      <c r="E66" s="1615"/>
      <c r="F66" s="1590"/>
      <c r="G66" s="1614" t="s">
        <v>463</v>
      </c>
      <c r="H66" s="1612"/>
      <c r="I66" s="1611"/>
      <c r="J66" s="1600"/>
      <c r="K66" s="1612"/>
      <c r="L66" s="1613"/>
      <c r="M66" s="1603"/>
      <c r="N66" s="1612"/>
      <c r="O66" s="1611"/>
      <c r="P66" s="1600"/>
      <c r="Q66" s="38"/>
    </row>
    <row r="67" spans="1:20" s="686" customFormat="1" ht="22.9" customHeight="1">
      <c r="A67" s="1248"/>
      <c r="B67" s="1254" t="s">
        <v>1162</v>
      </c>
      <c r="C67" s="1248"/>
      <c r="D67" s="1248"/>
      <c r="E67" s="229"/>
      <c r="F67" s="1610"/>
      <c r="G67" s="1588"/>
      <c r="H67" s="1607" t="s">
        <v>1161</v>
      </c>
      <c r="I67" s="1606" t="s">
        <v>1160</v>
      </c>
      <c r="J67" s="1931"/>
      <c r="K67" s="1609" t="s">
        <v>1161</v>
      </c>
      <c r="L67" s="1608" t="s">
        <v>1160</v>
      </c>
      <c r="M67" s="1931"/>
      <c r="N67" s="1607" t="s">
        <v>1161</v>
      </c>
      <c r="O67" s="1606" t="s">
        <v>1160</v>
      </c>
      <c r="P67" s="1931"/>
      <c r="Q67" s="38"/>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8"/>
      <c r="R68" s="1912">
        <f>IF($H$68=0,0,VLOOKUP($H$68,'SD6'!B8:C101,2,FALSE))*(1+'SDK1'!O11/100)</f>
        <v>0</v>
      </c>
      <c r="S68" s="1599">
        <f>IF($K$68=0,0,VLOOKUP($K$68,'SD6'!B8:C101,2,FALSE))*(1+'SDK1'!O11/100)</f>
        <v>0</v>
      </c>
      <c r="T68" s="1912">
        <f>IF($N$68=0,0,VLOOKUP($N$68,'SD6'!B8:C101,2,FALSE))*(1+'SDK1'!O11/100)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8"/>
    </row>
    <row r="70" spans="1:20" s="686" customFormat="1" ht="15" customHeight="1">
      <c r="A70" s="1248"/>
      <c r="B70" s="1310"/>
      <c r="C70" s="1309" t="s">
        <v>840</v>
      </c>
      <c r="D70" s="346"/>
      <c r="E70" s="278"/>
      <c r="F70" s="1930"/>
      <c r="G70" s="1595" t="s">
        <v>171</v>
      </c>
      <c r="H70" s="1591">
        <f>I9+I10</f>
        <v>0</v>
      </c>
      <c r="I70" s="1590"/>
      <c r="J70" s="1589"/>
      <c r="K70" s="1594">
        <f>L9+L10</f>
        <v>0</v>
      </c>
      <c r="L70" s="1593"/>
      <c r="M70" s="1592"/>
      <c r="N70" s="1591">
        <f>O9+O10</f>
        <v>0</v>
      </c>
      <c r="O70" s="1590"/>
      <c r="P70" s="1589"/>
      <c r="Q70" s="38"/>
    </row>
    <row r="71" spans="1:20" ht="18.75" customHeight="1">
      <c r="A71" s="370"/>
      <c r="B71" s="305" t="s">
        <v>1157</v>
      </c>
      <c r="C71" s="370"/>
      <c r="D71" s="370"/>
      <c r="E71" s="229"/>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8"/>
    </row>
    <row r="75" spans="1:20" s="686" customFormat="1" ht="30.4" customHeight="1">
      <c r="A75" s="1248"/>
      <c r="B75" s="4886" t="s">
        <v>1154</v>
      </c>
      <c r="C75" s="4887"/>
      <c r="D75" s="1553" t="s">
        <v>1153</v>
      </c>
      <c r="E75" s="1552">
        <f>'SDK1'!$O$59/100</f>
        <v>0.02</v>
      </c>
      <c r="F75" s="1551" t="s">
        <v>1152</v>
      </c>
      <c r="G75" s="1550">
        <v>5</v>
      </c>
      <c r="H75" s="1548"/>
      <c r="I75" s="1549"/>
      <c r="J75" s="1546">
        <f>(J23+J27+J34+J43+J60+J65+J67+J69+J71)*('SDK1'!$O$59%*$G$75/12)</f>
        <v>1.300558258770308</v>
      </c>
      <c r="K75" s="689"/>
      <c r="L75" s="1034"/>
      <c r="M75" s="1546">
        <f>(M23+M27+M34+M43+M60+M65+M67+M69+M71)*('SDK1'!$O$59%*$G$75/12)</f>
        <v>1.300558258770308</v>
      </c>
      <c r="N75" s="1548"/>
      <c r="O75" s="1547"/>
      <c r="P75" s="1546">
        <f>(P23+P27+P34+P43+P60+P65+P67+P69+P71)*('SDK1'!$O$59%*$G$75/12)</f>
        <v>1.300558258770308</v>
      </c>
      <c r="Q75" s="38"/>
    </row>
    <row r="78" spans="1:20">
      <c r="L78" s="15"/>
    </row>
    <row r="79" spans="1:20">
      <c r="L79" s="15"/>
    </row>
    <row r="80" spans="1:20">
      <c r="L80" s="15"/>
    </row>
    <row r="81" spans="1:12">
      <c r="A81" s="35"/>
      <c r="L81" s="15"/>
    </row>
    <row r="82" spans="1:12">
      <c r="A82" s="35"/>
      <c r="L82" s="15"/>
    </row>
    <row r="83" spans="1:12">
      <c r="A83" s="35"/>
      <c r="L83" s="15"/>
    </row>
    <row r="84" spans="1:12">
      <c r="A84" s="35"/>
      <c r="L84" s="15"/>
    </row>
    <row r="85" spans="1:12">
      <c r="A85" s="35"/>
      <c r="L85" s="15"/>
    </row>
    <row r="86" spans="1:12">
      <c r="A86" s="35"/>
      <c r="L86" s="15"/>
    </row>
    <row r="87" spans="1:12">
      <c r="A87" s="35"/>
      <c r="L87" s="15"/>
    </row>
    <row r="88" spans="1:12">
      <c r="A88" s="35"/>
      <c r="L88" s="15"/>
    </row>
    <row r="89" spans="1:12">
      <c r="A89" s="35"/>
      <c r="L89" s="15"/>
    </row>
    <row r="90" spans="1:12">
      <c r="A90" s="35"/>
      <c r="L90" s="15"/>
    </row>
    <row r="91" spans="1:12">
      <c r="A91" s="35"/>
      <c r="L91" s="15"/>
    </row>
    <row r="92" spans="1:12">
      <c r="A92" s="35"/>
      <c r="L92" s="15"/>
    </row>
    <row r="93" spans="1:12">
      <c r="A93" s="35"/>
      <c r="L93" s="15"/>
    </row>
    <row r="94" spans="1:12">
      <c r="A94" s="35"/>
      <c r="L94" s="15"/>
    </row>
    <row r="95" spans="1:12">
      <c r="A95" s="35"/>
      <c r="L95" s="15"/>
    </row>
    <row r="96" spans="1:12">
      <c r="A96" s="35"/>
      <c r="L96" s="15"/>
    </row>
    <row r="97" spans="1:12">
      <c r="A97" s="35"/>
      <c r="L97" s="15"/>
    </row>
    <row r="98" spans="1:12">
      <c r="A98" s="35"/>
      <c r="L98" s="15"/>
    </row>
    <row r="99" spans="1:12">
      <c r="A99" s="35"/>
      <c r="L99" s="15"/>
    </row>
    <row r="100" spans="1:12">
      <c r="A100" s="35"/>
      <c r="L100" s="15"/>
    </row>
    <row r="101" spans="1:12">
      <c r="A101" s="35"/>
      <c r="B101" s="35"/>
      <c r="L101" s="15"/>
    </row>
    <row r="102" spans="1:12">
      <c r="A102" s="35"/>
      <c r="B102" s="35"/>
      <c r="L102" s="15"/>
    </row>
    <row r="103" spans="1:12">
      <c r="A103" s="35"/>
      <c r="B103" s="35"/>
      <c r="L103" s="15"/>
    </row>
    <row r="104" spans="1:12">
      <c r="A104" s="35"/>
      <c r="B104" s="35"/>
      <c r="L104" s="15"/>
    </row>
    <row r="105" spans="1:12">
      <c r="A105" s="35"/>
      <c r="B105" s="35"/>
      <c r="L105" s="15"/>
    </row>
    <row r="106" spans="1:12">
      <c r="A106" s="35"/>
      <c r="B106" s="35"/>
      <c r="L106" s="15"/>
    </row>
    <row r="107" spans="1:12">
      <c r="A107" s="35"/>
      <c r="B107" s="35"/>
      <c r="L107" s="15"/>
    </row>
    <row r="108" spans="1:12">
      <c r="A108" s="35"/>
      <c r="B108" s="35"/>
      <c r="L108" s="15"/>
    </row>
    <row r="109" spans="1:12">
      <c r="A109" s="35"/>
      <c r="B109" s="35"/>
      <c r="L109" s="15"/>
    </row>
    <row r="110" spans="1:12">
      <c r="A110" s="35"/>
      <c r="B110" s="35"/>
      <c r="L110" s="15"/>
    </row>
    <row r="111" spans="1:12">
      <c r="A111" s="35"/>
      <c r="B111" s="35"/>
      <c r="L111" s="15"/>
    </row>
    <row r="112" spans="1:12">
      <c r="A112" s="35"/>
      <c r="B112" s="35"/>
      <c r="L112" s="15"/>
    </row>
    <row r="113" spans="1:12">
      <c r="A113" s="35"/>
      <c r="L113" s="15"/>
    </row>
    <row r="114" spans="1:12">
      <c r="A114" s="35"/>
      <c r="L114" s="15"/>
    </row>
    <row r="115" spans="1:12">
      <c r="A115" s="35"/>
      <c r="L115" s="15"/>
    </row>
    <row r="116" spans="1:12">
      <c r="A116" s="35"/>
      <c r="L116" s="15"/>
    </row>
    <row r="117" spans="1:12">
      <c r="A117" s="35"/>
      <c r="L117" s="15"/>
    </row>
    <row r="118" spans="1:12">
      <c r="A118" s="35"/>
      <c r="L118" s="15"/>
    </row>
    <row r="119" spans="1:12">
      <c r="A119" s="35"/>
      <c r="L119" s="15"/>
    </row>
    <row r="120" spans="1:12">
      <c r="A120" s="35"/>
      <c r="B120" s="601"/>
      <c r="C120" s="15"/>
      <c r="L120" s="15"/>
    </row>
    <row r="121" spans="1:12">
      <c r="A121" s="35"/>
      <c r="B121" s="601"/>
      <c r="C121" s="15"/>
      <c r="L121" s="15"/>
    </row>
    <row r="122" spans="1:12">
      <c r="A122" s="35"/>
      <c r="B122" s="601"/>
      <c r="C122" s="15"/>
      <c r="L122" s="15"/>
    </row>
    <row r="123" spans="1:12">
      <c r="A123" s="35"/>
      <c r="B123" s="601"/>
      <c r="C123" s="15"/>
      <c r="L123" s="15"/>
    </row>
    <row r="124" spans="1:12">
      <c r="A124" s="35"/>
      <c r="B124" s="601"/>
      <c r="C124" s="15"/>
      <c r="L124" s="15"/>
    </row>
    <row r="125" spans="1:12">
      <c r="A125" s="35"/>
      <c r="B125" s="601"/>
      <c r="C125" s="15"/>
      <c r="L125" s="15"/>
    </row>
    <row r="126" spans="1:12">
      <c r="A126" s="35"/>
      <c r="B126" s="601"/>
      <c r="C126" s="15"/>
      <c r="L126" s="15"/>
    </row>
    <row r="127" spans="1:12">
      <c r="A127" s="35"/>
      <c r="B127" s="601"/>
      <c r="C127" s="15"/>
      <c r="L127" s="15"/>
    </row>
    <row r="128" spans="1:12">
      <c r="A128" s="35"/>
      <c r="B128" s="601"/>
      <c r="C128" s="15"/>
      <c r="L128" s="15"/>
    </row>
    <row r="129" spans="1:12">
      <c r="A129" s="35"/>
      <c r="B129" s="601"/>
      <c r="C129" s="15"/>
      <c r="L129" s="15"/>
    </row>
    <row r="130" spans="1:12">
      <c r="A130" s="35"/>
      <c r="B130" s="601"/>
      <c r="C130" s="15"/>
      <c r="L130" s="15"/>
    </row>
    <row r="131" spans="1:12">
      <c r="A131" s="35"/>
      <c r="B131" s="601"/>
      <c r="C131" s="15"/>
      <c r="L131" s="15"/>
    </row>
    <row r="132" spans="1:12">
      <c r="A132" s="35"/>
      <c r="B132" s="601"/>
      <c r="C132" s="15"/>
      <c r="L132" s="15"/>
    </row>
    <row r="133" spans="1:12">
      <c r="A133" s="35"/>
      <c r="B133" s="601"/>
      <c r="C133" s="15"/>
      <c r="L133" s="15"/>
    </row>
    <row r="134" spans="1:12">
      <c r="A134" s="35"/>
      <c r="B134" s="601"/>
      <c r="C134" s="15"/>
      <c r="L134" s="15"/>
    </row>
    <row r="135" spans="1:12">
      <c r="A135" s="35"/>
      <c r="B135" s="601"/>
      <c r="C135" s="15"/>
      <c r="L135" s="15"/>
    </row>
    <row r="136" spans="1:12">
      <c r="A136" s="35"/>
      <c r="B136" s="601"/>
      <c r="C136" s="15"/>
      <c r="L136" s="15"/>
    </row>
    <row r="137" spans="1:12">
      <c r="A137" s="35"/>
      <c r="B137" s="601"/>
      <c r="C137" s="15"/>
      <c r="L137" s="15"/>
    </row>
    <row r="138" spans="1:12">
      <c r="A138" s="35"/>
      <c r="B138" s="601"/>
      <c r="C138" s="15"/>
      <c r="L138" s="15"/>
    </row>
    <row r="139" spans="1:12">
      <c r="A139" s="35"/>
      <c r="B139" s="601"/>
      <c r="C139" s="15"/>
      <c r="L139" s="15"/>
    </row>
    <row r="140" spans="1:12">
      <c r="A140" s="35"/>
      <c r="B140" s="601"/>
      <c r="C140" s="15"/>
      <c r="L140" s="15"/>
    </row>
    <row r="141" spans="1:12">
      <c r="A141" s="35"/>
      <c r="B141" s="601"/>
      <c r="C141" s="15"/>
      <c r="L141" s="15"/>
    </row>
    <row r="142" spans="1:12">
      <c r="A142" s="35"/>
      <c r="B142" s="601"/>
      <c r="C142" s="15"/>
      <c r="L142" s="15"/>
    </row>
    <row r="143" spans="1:12">
      <c r="A143" s="35"/>
      <c r="B143" s="601"/>
      <c r="C143" s="15"/>
      <c r="L143" s="15"/>
    </row>
    <row r="144" spans="1:12">
      <c r="A144" s="35"/>
      <c r="B144" s="601"/>
      <c r="C144" s="15"/>
      <c r="L144" s="15"/>
    </row>
    <row r="145" spans="1:17">
      <c r="A145" s="35"/>
      <c r="B145" s="601"/>
      <c r="C145" s="15"/>
      <c r="L145" s="15"/>
      <c r="M145" s="35"/>
      <c r="N145" s="35"/>
      <c r="O145" s="35"/>
      <c r="P145" s="35"/>
      <c r="Q145" s="35"/>
    </row>
    <row r="146" spans="1:17">
      <c r="A146" s="35"/>
      <c r="B146" s="601"/>
      <c r="C146" s="15"/>
      <c r="L146" s="15"/>
      <c r="M146" s="35"/>
      <c r="N146" s="35"/>
      <c r="O146" s="35"/>
      <c r="P146" s="35"/>
      <c r="Q146" s="35"/>
    </row>
    <row r="147" spans="1:17">
      <c r="A147" s="35"/>
      <c r="B147" s="601"/>
      <c r="C147" s="15"/>
      <c r="L147" s="15"/>
      <c r="M147" s="35"/>
      <c r="N147" s="35"/>
      <c r="O147" s="35"/>
      <c r="P147" s="35"/>
      <c r="Q147" s="35"/>
    </row>
    <row r="148" spans="1:17">
      <c r="A148" s="35"/>
      <c r="B148" s="601"/>
      <c r="C148" s="15"/>
      <c r="L148" s="15"/>
      <c r="M148" s="35"/>
      <c r="N148" s="35"/>
      <c r="O148" s="35"/>
      <c r="P148" s="35"/>
      <c r="Q148" s="35"/>
    </row>
    <row r="149" spans="1:17">
      <c r="A149" s="35"/>
      <c r="B149" s="601"/>
      <c r="C149" s="15"/>
      <c r="M149" s="35"/>
      <c r="N149" s="35"/>
      <c r="O149" s="35"/>
      <c r="P149" s="35"/>
      <c r="Q149" s="35"/>
    </row>
    <row r="150" spans="1:17">
      <c r="A150" s="35"/>
      <c r="B150" s="601"/>
      <c r="C150" s="15"/>
      <c r="M150" s="35"/>
      <c r="N150" s="35"/>
      <c r="O150" s="35"/>
      <c r="P150" s="35"/>
      <c r="Q150" s="35"/>
    </row>
    <row r="151" spans="1:17">
      <c r="A151" s="35"/>
      <c r="B151" s="601"/>
      <c r="C151" s="15"/>
      <c r="M151" s="35"/>
      <c r="N151" s="35"/>
      <c r="O151" s="35"/>
      <c r="P151" s="35"/>
      <c r="Q151" s="35"/>
    </row>
    <row r="152" spans="1:17">
      <c r="A152" s="35"/>
      <c r="B152" s="601"/>
      <c r="C152" s="15"/>
      <c r="M152" s="35"/>
      <c r="N152" s="35"/>
      <c r="O152" s="35"/>
      <c r="P152" s="35"/>
      <c r="Q152" s="35"/>
    </row>
    <row r="153" spans="1:17">
      <c r="A153" s="35"/>
      <c r="B153" s="601"/>
      <c r="C153" s="15"/>
      <c r="M153" s="35"/>
      <c r="N153" s="35"/>
      <c r="O153" s="35"/>
      <c r="P153" s="35"/>
      <c r="Q153" s="35"/>
    </row>
    <row r="154" spans="1:17">
      <c r="A154" s="35"/>
      <c r="B154" s="601"/>
      <c r="C154" s="15"/>
      <c r="M154" s="35"/>
      <c r="N154" s="35"/>
      <c r="O154" s="35"/>
      <c r="P154" s="35"/>
      <c r="Q154" s="35"/>
    </row>
    <row r="155" spans="1:17">
      <c r="A155" s="35"/>
      <c r="B155" s="601"/>
      <c r="C155" s="15"/>
      <c r="M155" s="35"/>
      <c r="N155" s="35"/>
      <c r="O155" s="35"/>
      <c r="P155" s="35"/>
      <c r="Q155" s="35"/>
    </row>
    <row r="156" spans="1:17">
      <c r="A156" s="35"/>
      <c r="B156" s="601"/>
      <c r="C156" s="15"/>
      <c r="D156" s="15"/>
      <c r="F156" s="15"/>
      <c r="G156" s="15"/>
      <c r="H156" s="15"/>
      <c r="I156" s="15"/>
      <c r="J156" s="15"/>
      <c r="K156" s="15"/>
      <c r="M156" s="35"/>
      <c r="N156" s="35"/>
      <c r="O156" s="35"/>
      <c r="P156" s="35"/>
      <c r="Q156" s="35"/>
    </row>
    <row r="157" spans="1:17">
      <c r="A157" s="35"/>
      <c r="B157" s="601"/>
      <c r="C157" s="15"/>
      <c r="D157" s="15"/>
      <c r="F157" s="15"/>
      <c r="G157" s="15"/>
      <c r="H157" s="15"/>
      <c r="I157" s="15"/>
      <c r="J157" s="15"/>
      <c r="K157" s="15"/>
      <c r="M157" s="35"/>
      <c r="N157" s="35"/>
      <c r="O157" s="35"/>
      <c r="P157" s="35"/>
      <c r="Q157" s="35"/>
    </row>
    <row r="158" spans="1:17">
      <c r="A158" s="35"/>
      <c r="B158" s="601"/>
      <c r="C158" s="15"/>
      <c r="D158" s="15"/>
      <c r="F158" s="15"/>
      <c r="G158" s="15"/>
      <c r="H158" s="15"/>
      <c r="I158" s="15"/>
      <c r="J158" s="15"/>
      <c r="K158" s="15"/>
      <c r="M158" s="35"/>
      <c r="N158" s="35"/>
      <c r="O158" s="35"/>
      <c r="P158" s="35"/>
      <c r="Q158" s="35"/>
    </row>
    <row r="159" spans="1:17">
      <c r="A159" s="35"/>
      <c r="B159" s="601"/>
      <c r="C159" s="15"/>
      <c r="M159" s="35"/>
      <c r="N159" s="35"/>
      <c r="O159" s="35"/>
      <c r="P159" s="35"/>
      <c r="Q159" s="35"/>
    </row>
    <row r="160" spans="1:17">
      <c r="A160" s="35"/>
      <c r="B160" s="601"/>
      <c r="C160" s="15"/>
      <c r="M160" s="35"/>
      <c r="N160" s="35"/>
      <c r="O160" s="35"/>
      <c r="P160" s="35"/>
      <c r="Q160" s="35"/>
    </row>
    <row r="161" spans="1:17">
      <c r="A161" s="35"/>
      <c r="B161" s="601"/>
      <c r="C161" s="15"/>
      <c r="F161" s="35"/>
      <c r="G161" s="35"/>
      <c r="H161" s="35"/>
      <c r="I161" s="35"/>
      <c r="J161" s="35"/>
      <c r="K161" s="35"/>
      <c r="L161" s="35"/>
      <c r="M161" s="35"/>
      <c r="N161" s="35"/>
      <c r="O161" s="35"/>
      <c r="P161" s="35"/>
      <c r="Q161" s="35"/>
    </row>
    <row r="162" spans="1:17">
      <c r="A162" s="35"/>
      <c r="B162" s="601"/>
      <c r="C162" s="15"/>
      <c r="F162" s="35"/>
      <c r="G162" s="35"/>
      <c r="H162" s="35"/>
      <c r="I162" s="35"/>
      <c r="J162" s="35"/>
      <c r="K162" s="35"/>
      <c r="L162" s="35"/>
      <c r="M162" s="35"/>
      <c r="N162" s="35"/>
      <c r="O162" s="35"/>
      <c r="P162" s="35"/>
      <c r="Q162" s="35"/>
    </row>
    <row r="163" spans="1:17">
      <c r="A163" s="35"/>
      <c r="B163" s="601"/>
      <c r="C163" s="15"/>
      <c r="F163" s="35"/>
      <c r="G163" s="35"/>
      <c r="H163" s="35"/>
      <c r="I163" s="35"/>
      <c r="J163" s="35"/>
      <c r="K163" s="35"/>
      <c r="L163" s="35"/>
      <c r="M163" s="35"/>
      <c r="N163" s="35"/>
      <c r="O163" s="35"/>
      <c r="P163" s="35"/>
      <c r="Q163" s="35"/>
    </row>
    <row r="164" spans="1:17">
      <c r="A164" s="35"/>
      <c r="B164" s="601"/>
      <c r="C164" s="15"/>
      <c r="F164" s="35"/>
      <c r="G164" s="35"/>
      <c r="H164" s="35"/>
      <c r="I164" s="35"/>
      <c r="J164" s="35"/>
      <c r="K164" s="35"/>
      <c r="L164" s="35"/>
      <c r="M164" s="35"/>
      <c r="N164" s="35"/>
      <c r="O164" s="35"/>
      <c r="P164" s="35"/>
      <c r="Q164" s="35"/>
    </row>
    <row r="165" spans="1:17">
      <c r="A165" s="35"/>
      <c r="B165" s="601"/>
      <c r="C165" s="15"/>
      <c r="F165" s="35"/>
      <c r="G165" s="35"/>
      <c r="H165" s="35"/>
      <c r="I165" s="35"/>
      <c r="J165" s="35"/>
      <c r="K165" s="35"/>
      <c r="L165" s="35"/>
      <c r="M165" s="35"/>
      <c r="N165" s="35"/>
      <c r="O165" s="35"/>
      <c r="P165" s="35"/>
      <c r="Q165" s="35"/>
    </row>
    <row r="166" spans="1:17">
      <c r="A166" s="35"/>
      <c r="B166" s="601"/>
      <c r="C166" s="15"/>
      <c r="F166" s="35"/>
      <c r="G166" s="35"/>
      <c r="H166" s="35"/>
      <c r="I166" s="35"/>
      <c r="J166" s="35"/>
      <c r="K166" s="35"/>
      <c r="L166" s="35"/>
      <c r="M166" s="35"/>
      <c r="N166" s="35"/>
      <c r="O166" s="35"/>
      <c r="P166" s="35"/>
      <c r="Q166" s="35"/>
    </row>
    <row r="167" spans="1:17">
      <c r="A167" s="35"/>
      <c r="B167" s="601"/>
      <c r="C167" s="15"/>
      <c r="F167" s="35"/>
      <c r="G167" s="35"/>
      <c r="H167" s="35"/>
      <c r="I167" s="35"/>
      <c r="J167" s="35"/>
      <c r="K167" s="35"/>
      <c r="L167" s="35"/>
      <c r="M167" s="35"/>
      <c r="N167" s="35"/>
      <c r="O167" s="35"/>
      <c r="P167" s="35"/>
      <c r="Q167" s="35"/>
    </row>
    <row r="168" spans="1:17">
      <c r="A168" s="35"/>
      <c r="B168" s="601"/>
      <c r="C168" s="15"/>
      <c r="F168" s="35"/>
      <c r="G168" s="35"/>
      <c r="H168" s="35"/>
      <c r="I168" s="35"/>
      <c r="J168" s="35"/>
      <c r="K168" s="35"/>
      <c r="L168" s="35"/>
      <c r="M168" s="35"/>
      <c r="N168" s="35"/>
      <c r="O168" s="35"/>
      <c r="P168" s="35"/>
      <c r="Q168" s="35"/>
    </row>
    <row r="169" spans="1:17">
      <c r="A169" s="35"/>
      <c r="B169" s="601"/>
      <c r="C169" s="15"/>
      <c r="F169" s="35"/>
      <c r="G169" s="35"/>
      <c r="H169" s="35"/>
      <c r="I169" s="35"/>
      <c r="J169" s="35"/>
      <c r="K169" s="35"/>
      <c r="L169" s="35"/>
      <c r="M169" s="35"/>
      <c r="N169" s="35"/>
      <c r="O169" s="35"/>
      <c r="P169" s="35"/>
      <c r="Q169" s="35"/>
    </row>
    <row r="170" spans="1:17">
      <c r="A170" s="35"/>
      <c r="B170" s="601"/>
      <c r="C170" s="15"/>
      <c r="F170" s="35"/>
      <c r="G170" s="35"/>
      <c r="H170" s="35"/>
      <c r="I170" s="35"/>
      <c r="J170" s="35"/>
      <c r="K170" s="35"/>
      <c r="L170" s="35"/>
      <c r="M170" s="35"/>
      <c r="N170" s="35"/>
      <c r="O170" s="35"/>
      <c r="P170" s="35"/>
      <c r="Q170" s="35"/>
    </row>
    <row r="171" spans="1:17">
      <c r="A171" s="35"/>
      <c r="B171" s="601"/>
      <c r="C171" s="15"/>
      <c r="F171" s="35"/>
      <c r="G171" s="35"/>
      <c r="H171" s="35"/>
      <c r="I171" s="35"/>
      <c r="J171" s="35"/>
      <c r="K171" s="35"/>
      <c r="L171" s="35"/>
      <c r="M171" s="35"/>
      <c r="N171" s="35"/>
      <c r="O171" s="35"/>
      <c r="P171" s="35"/>
      <c r="Q171" s="35"/>
    </row>
    <row r="172" spans="1:17">
      <c r="A172" s="35"/>
      <c r="B172" s="601"/>
      <c r="C172" s="15"/>
      <c r="F172" s="35"/>
      <c r="G172" s="35"/>
      <c r="H172" s="35"/>
      <c r="I172" s="35"/>
      <c r="J172" s="35"/>
      <c r="K172" s="35"/>
      <c r="L172" s="35"/>
      <c r="M172" s="35"/>
      <c r="N172" s="35"/>
      <c r="O172" s="35"/>
      <c r="P172" s="35"/>
      <c r="Q172" s="35"/>
    </row>
    <row r="173" spans="1:17">
      <c r="A173" s="35"/>
      <c r="B173" s="601"/>
      <c r="C173" s="15"/>
      <c r="F173" s="35"/>
      <c r="G173" s="35"/>
      <c r="H173" s="35"/>
      <c r="I173" s="35"/>
      <c r="J173" s="35"/>
      <c r="K173" s="35"/>
      <c r="L173" s="35"/>
      <c r="M173" s="35"/>
      <c r="N173" s="35"/>
      <c r="O173" s="35"/>
      <c r="P173" s="35"/>
      <c r="Q173" s="35"/>
    </row>
    <row r="174" spans="1:17">
      <c r="A174" s="35"/>
      <c r="B174" s="601"/>
      <c r="C174" s="15"/>
      <c r="F174" s="35"/>
      <c r="G174" s="35"/>
      <c r="H174" s="35"/>
      <c r="I174" s="35"/>
      <c r="J174" s="35"/>
      <c r="K174" s="35"/>
      <c r="L174" s="35"/>
      <c r="M174" s="35"/>
      <c r="N174" s="35"/>
      <c r="O174" s="35"/>
      <c r="P174" s="35"/>
      <c r="Q174" s="35"/>
    </row>
    <row r="175" spans="1:17">
      <c r="A175" s="35"/>
      <c r="B175" s="601"/>
      <c r="C175" s="15"/>
      <c r="F175" s="35"/>
      <c r="G175" s="35"/>
      <c r="H175" s="35"/>
      <c r="I175" s="35"/>
      <c r="J175" s="35"/>
      <c r="K175" s="35"/>
      <c r="L175" s="35"/>
      <c r="M175" s="35"/>
      <c r="N175" s="35"/>
      <c r="O175" s="35"/>
      <c r="P175" s="35"/>
      <c r="Q175" s="35"/>
    </row>
    <row r="176" spans="1:17">
      <c r="A176" s="35"/>
      <c r="B176" s="601"/>
      <c r="C176" s="15"/>
      <c r="F176" s="35"/>
      <c r="G176" s="35"/>
      <c r="H176" s="35"/>
      <c r="I176" s="35"/>
      <c r="J176" s="35"/>
      <c r="K176" s="35"/>
      <c r="L176" s="35"/>
      <c r="M176" s="35"/>
      <c r="N176" s="35"/>
      <c r="O176" s="35"/>
      <c r="P176" s="35"/>
      <c r="Q176" s="35"/>
    </row>
    <row r="177" spans="1:17">
      <c r="A177" s="35"/>
      <c r="B177" s="601"/>
      <c r="C177" s="15"/>
      <c r="F177" s="35"/>
      <c r="G177" s="35"/>
      <c r="H177" s="35"/>
      <c r="I177" s="35"/>
      <c r="J177" s="35"/>
      <c r="K177" s="35"/>
      <c r="L177" s="35"/>
      <c r="M177" s="35"/>
      <c r="N177" s="35"/>
      <c r="O177" s="35"/>
      <c r="P177" s="35"/>
      <c r="Q177" s="35"/>
    </row>
    <row r="178" spans="1:17">
      <c r="A178" s="35"/>
      <c r="B178" s="601"/>
      <c r="C178" s="15"/>
      <c r="F178" s="35"/>
      <c r="G178" s="35"/>
      <c r="H178" s="35"/>
      <c r="I178" s="35"/>
      <c r="J178" s="35"/>
      <c r="K178" s="35"/>
      <c r="L178" s="35"/>
      <c r="M178" s="35"/>
      <c r="N178" s="35"/>
      <c r="O178" s="35"/>
      <c r="P178" s="35"/>
      <c r="Q178" s="35"/>
    </row>
    <row r="179" spans="1:17">
      <c r="A179" s="35"/>
      <c r="B179" s="601"/>
      <c r="C179" s="15"/>
      <c r="F179" s="35"/>
      <c r="G179" s="35"/>
      <c r="H179" s="35"/>
      <c r="I179" s="35"/>
      <c r="J179" s="35"/>
      <c r="K179" s="35"/>
      <c r="L179" s="35"/>
      <c r="M179" s="35"/>
      <c r="N179" s="35"/>
      <c r="O179" s="35"/>
      <c r="P179" s="35"/>
      <c r="Q179" s="35"/>
    </row>
    <row r="180" spans="1:17">
      <c r="A180" s="35"/>
      <c r="B180" s="601"/>
      <c r="C180" s="15"/>
      <c r="F180" s="35"/>
      <c r="G180" s="35"/>
      <c r="H180" s="35"/>
      <c r="I180" s="35"/>
      <c r="J180" s="35"/>
      <c r="K180" s="35"/>
      <c r="L180" s="35"/>
      <c r="M180" s="35"/>
      <c r="N180" s="35"/>
      <c r="O180" s="35"/>
      <c r="P180" s="35"/>
      <c r="Q180" s="35"/>
    </row>
    <row r="181" spans="1:17">
      <c r="A181" s="35"/>
      <c r="B181" s="601"/>
      <c r="C181" s="15"/>
      <c r="F181" s="35"/>
      <c r="G181" s="35"/>
      <c r="H181" s="35"/>
      <c r="I181" s="35"/>
      <c r="J181" s="35"/>
      <c r="K181" s="35"/>
      <c r="L181" s="35"/>
      <c r="M181" s="35"/>
      <c r="N181" s="35"/>
      <c r="O181" s="35"/>
      <c r="P181" s="35"/>
      <c r="Q181" s="35"/>
    </row>
    <row r="182" spans="1:17">
      <c r="A182" s="35"/>
      <c r="B182" s="601"/>
      <c r="C182" s="15"/>
      <c r="F182" s="35"/>
      <c r="G182" s="35"/>
      <c r="H182" s="35"/>
      <c r="I182" s="35"/>
      <c r="J182" s="35"/>
      <c r="K182" s="35"/>
      <c r="L182" s="35"/>
      <c r="M182" s="35"/>
      <c r="N182" s="35"/>
      <c r="O182" s="35"/>
      <c r="P182" s="35"/>
      <c r="Q182" s="35"/>
    </row>
    <row r="183" spans="1:17">
      <c r="A183" s="35"/>
      <c r="B183" s="601"/>
      <c r="C183" s="15"/>
      <c r="F183" s="35"/>
      <c r="G183" s="35"/>
      <c r="H183" s="35"/>
      <c r="I183" s="35"/>
      <c r="J183" s="35"/>
      <c r="K183" s="35"/>
      <c r="L183" s="35"/>
      <c r="M183" s="35"/>
      <c r="N183" s="35"/>
      <c r="O183" s="35"/>
      <c r="P183" s="35"/>
      <c r="Q183" s="35"/>
    </row>
    <row r="184" spans="1:17">
      <c r="A184" s="35"/>
      <c r="B184" s="601"/>
      <c r="C184" s="15"/>
      <c r="F184" s="35"/>
      <c r="G184" s="35"/>
      <c r="H184" s="35"/>
      <c r="I184" s="35"/>
      <c r="J184" s="35"/>
      <c r="K184" s="35"/>
      <c r="L184" s="35"/>
      <c r="M184" s="35"/>
      <c r="N184" s="35"/>
      <c r="O184" s="35"/>
      <c r="P184" s="35"/>
      <c r="Q184" s="35"/>
    </row>
    <row r="185" spans="1:17">
      <c r="A185" s="35"/>
      <c r="B185" s="601"/>
      <c r="C185" s="15"/>
      <c r="F185" s="35"/>
      <c r="G185" s="35"/>
      <c r="H185" s="35"/>
      <c r="I185" s="35"/>
      <c r="J185" s="35"/>
      <c r="K185" s="35"/>
      <c r="L185" s="35"/>
      <c r="M185" s="35"/>
      <c r="N185" s="35"/>
      <c r="O185" s="35"/>
      <c r="P185" s="35"/>
      <c r="Q185" s="35"/>
    </row>
    <row r="186" spans="1:17">
      <c r="A186" s="35"/>
      <c r="B186" s="601"/>
      <c r="C186" s="15"/>
      <c r="F186" s="35"/>
      <c r="G186" s="35"/>
      <c r="H186" s="35"/>
      <c r="I186" s="35"/>
      <c r="J186" s="35"/>
      <c r="K186" s="35"/>
      <c r="L186" s="35"/>
      <c r="M186" s="35"/>
      <c r="N186" s="35"/>
      <c r="O186" s="35"/>
      <c r="P186" s="35"/>
      <c r="Q186" s="35"/>
    </row>
    <row r="187" spans="1:17">
      <c r="A187" s="35"/>
      <c r="B187" s="601"/>
      <c r="C187" s="15"/>
      <c r="F187" s="35"/>
      <c r="G187" s="35"/>
      <c r="H187" s="35"/>
      <c r="I187" s="35"/>
      <c r="J187" s="35"/>
      <c r="K187" s="35"/>
      <c r="L187" s="35"/>
      <c r="M187" s="35"/>
      <c r="N187" s="35"/>
      <c r="O187" s="35"/>
      <c r="P187" s="35"/>
      <c r="Q187" s="35"/>
    </row>
    <row r="188" spans="1:17">
      <c r="A188" s="35"/>
      <c r="B188" s="601"/>
      <c r="C188" s="15"/>
      <c r="F188" s="35"/>
      <c r="G188" s="35"/>
      <c r="H188" s="35"/>
      <c r="I188" s="35"/>
      <c r="J188" s="35"/>
      <c r="K188" s="35"/>
      <c r="L188" s="35"/>
      <c r="M188" s="35"/>
      <c r="N188" s="35"/>
      <c r="O188" s="35"/>
      <c r="P188" s="35"/>
      <c r="Q188" s="35"/>
    </row>
    <row r="189" spans="1:17">
      <c r="A189" s="35"/>
      <c r="B189" s="601"/>
      <c r="C189" s="15"/>
      <c r="F189" s="35"/>
      <c r="G189" s="35"/>
      <c r="H189" s="35"/>
      <c r="I189" s="35"/>
      <c r="J189" s="35"/>
      <c r="K189" s="35"/>
      <c r="L189" s="35"/>
      <c r="M189" s="35"/>
      <c r="N189" s="35"/>
      <c r="O189" s="35"/>
      <c r="P189" s="35"/>
      <c r="Q189" s="35"/>
    </row>
    <row r="190" spans="1:17">
      <c r="A190" s="35"/>
      <c r="B190" s="601"/>
      <c r="C190" s="15"/>
      <c r="F190" s="35"/>
      <c r="G190" s="35"/>
      <c r="H190" s="35"/>
      <c r="I190" s="35"/>
      <c r="J190" s="35"/>
      <c r="K190" s="35"/>
      <c r="L190" s="35"/>
      <c r="M190" s="35"/>
      <c r="N190" s="35"/>
      <c r="O190" s="35"/>
      <c r="P190" s="35"/>
      <c r="Q190" s="35"/>
    </row>
    <row r="191" spans="1:17">
      <c r="A191" s="35"/>
      <c r="B191" s="601"/>
      <c r="C191" s="15"/>
      <c r="F191" s="35"/>
      <c r="G191" s="35"/>
      <c r="H191" s="35"/>
      <c r="I191" s="35"/>
      <c r="J191" s="35"/>
      <c r="K191" s="35"/>
      <c r="L191" s="35"/>
      <c r="M191" s="35"/>
      <c r="N191" s="35"/>
      <c r="O191" s="35"/>
      <c r="P191" s="35"/>
      <c r="Q191" s="35"/>
    </row>
    <row r="192" spans="1:17">
      <c r="A192" s="35"/>
      <c r="B192" s="601"/>
      <c r="C192" s="15"/>
      <c r="F192" s="35"/>
      <c r="G192" s="35"/>
      <c r="H192" s="35"/>
      <c r="I192" s="35"/>
      <c r="J192" s="35"/>
      <c r="K192" s="35"/>
      <c r="L192" s="35"/>
      <c r="M192" s="35"/>
      <c r="N192" s="35"/>
      <c r="O192" s="35"/>
      <c r="P192" s="35"/>
      <c r="Q192" s="35"/>
    </row>
    <row r="193" spans="1:17">
      <c r="A193" s="35"/>
      <c r="B193" s="601"/>
      <c r="C193" s="15"/>
      <c r="F193" s="35"/>
      <c r="G193" s="35"/>
      <c r="H193" s="35"/>
      <c r="I193" s="35"/>
      <c r="J193" s="35"/>
      <c r="K193" s="35"/>
      <c r="L193" s="35"/>
      <c r="M193" s="35"/>
      <c r="N193" s="35"/>
      <c r="O193" s="35"/>
      <c r="P193" s="35"/>
      <c r="Q193" s="35"/>
    </row>
    <row r="194" spans="1:17">
      <c r="A194" s="35"/>
      <c r="B194" s="601"/>
      <c r="C194" s="15"/>
      <c r="F194" s="35"/>
      <c r="G194" s="35"/>
      <c r="H194" s="35"/>
      <c r="I194" s="35"/>
      <c r="J194" s="35"/>
      <c r="K194" s="35"/>
      <c r="L194" s="35"/>
      <c r="M194" s="35"/>
      <c r="N194" s="35"/>
      <c r="O194" s="35"/>
      <c r="P194" s="35"/>
      <c r="Q194" s="35"/>
    </row>
    <row r="195" spans="1:17">
      <c r="A195" s="35"/>
      <c r="B195" s="601"/>
      <c r="C195" s="15"/>
      <c r="F195" s="35"/>
      <c r="G195" s="35"/>
      <c r="H195" s="35"/>
      <c r="I195" s="35"/>
      <c r="J195" s="35"/>
      <c r="K195" s="35"/>
      <c r="L195" s="35"/>
      <c r="M195" s="35"/>
      <c r="N195" s="35"/>
      <c r="O195" s="35"/>
      <c r="P195" s="35"/>
      <c r="Q195" s="35"/>
    </row>
    <row r="196" spans="1:17">
      <c r="A196" s="35"/>
      <c r="B196" s="601"/>
      <c r="C196" s="15"/>
      <c r="F196" s="35"/>
      <c r="G196" s="35"/>
      <c r="H196" s="35"/>
      <c r="I196" s="35"/>
      <c r="J196" s="35"/>
      <c r="K196" s="35"/>
      <c r="L196" s="35"/>
      <c r="M196" s="35"/>
      <c r="N196" s="35"/>
      <c r="O196" s="35"/>
      <c r="P196" s="35"/>
      <c r="Q196" s="35"/>
    </row>
    <row r="197" spans="1:17">
      <c r="A197" s="35"/>
      <c r="B197" s="601"/>
      <c r="C197" s="15"/>
      <c r="F197" s="35"/>
      <c r="G197" s="35"/>
      <c r="H197" s="35"/>
      <c r="I197" s="35"/>
      <c r="J197" s="35"/>
      <c r="K197" s="35"/>
      <c r="L197" s="35"/>
      <c r="M197" s="35"/>
      <c r="N197" s="35"/>
      <c r="O197" s="35"/>
      <c r="P197" s="35"/>
      <c r="Q197" s="35"/>
    </row>
    <row r="198" spans="1:17">
      <c r="A198" s="35"/>
      <c r="B198" s="601"/>
      <c r="C198" s="15"/>
      <c r="F198" s="35"/>
      <c r="G198" s="35"/>
      <c r="H198" s="35"/>
      <c r="I198" s="35"/>
      <c r="J198" s="35"/>
      <c r="K198" s="35"/>
      <c r="L198" s="35"/>
      <c r="M198" s="35"/>
      <c r="N198" s="35"/>
      <c r="O198" s="35"/>
      <c r="P198" s="35"/>
      <c r="Q198" s="35"/>
    </row>
    <row r="199" spans="1:17">
      <c r="A199" s="35"/>
      <c r="B199" s="601"/>
      <c r="C199" s="15"/>
      <c r="F199" s="35"/>
      <c r="G199" s="35"/>
      <c r="H199" s="35"/>
      <c r="I199" s="35"/>
      <c r="J199" s="35"/>
      <c r="K199" s="35"/>
      <c r="L199" s="35"/>
      <c r="M199" s="35"/>
      <c r="N199" s="35"/>
      <c r="O199" s="35"/>
      <c r="P199" s="35"/>
      <c r="Q199" s="35"/>
    </row>
    <row r="200" spans="1:17">
      <c r="A200" s="35"/>
      <c r="B200" s="601"/>
      <c r="C200" s="15"/>
      <c r="F200" s="35"/>
      <c r="G200" s="35"/>
      <c r="H200" s="35"/>
      <c r="I200" s="35"/>
      <c r="J200" s="35"/>
      <c r="K200" s="35"/>
      <c r="L200" s="35"/>
      <c r="M200" s="35"/>
      <c r="N200" s="35"/>
      <c r="O200" s="35"/>
      <c r="P200" s="35"/>
      <c r="Q200" s="35"/>
    </row>
    <row r="201" spans="1:17">
      <c r="A201" s="35"/>
      <c r="B201" s="601"/>
      <c r="C201" s="15"/>
      <c r="F201" s="35"/>
      <c r="G201" s="35"/>
      <c r="H201" s="35"/>
      <c r="I201" s="35"/>
      <c r="J201" s="35"/>
      <c r="K201" s="35"/>
      <c r="L201" s="35"/>
      <c r="M201" s="35"/>
      <c r="N201" s="35"/>
      <c r="O201" s="35"/>
      <c r="P201" s="35"/>
      <c r="Q201" s="35"/>
    </row>
    <row r="202" spans="1:17">
      <c r="A202" s="35"/>
      <c r="B202" s="601"/>
      <c r="C202" s="15"/>
      <c r="F202" s="35"/>
      <c r="G202" s="35"/>
      <c r="H202" s="35"/>
      <c r="I202" s="35"/>
      <c r="J202" s="35"/>
      <c r="K202" s="35"/>
      <c r="L202" s="35"/>
      <c r="M202" s="35"/>
      <c r="N202" s="35"/>
      <c r="O202" s="35"/>
      <c r="P202" s="35"/>
      <c r="Q202" s="35"/>
    </row>
    <row r="203" spans="1:17">
      <c r="A203" s="35"/>
      <c r="B203" s="601"/>
      <c r="C203" s="15"/>
      <c r="F203" s="35"/>
      <c r="G203" s="35"/>
      <c r="H203" s="35"/>
      <c r="I203" s="35"/>
      <c r="J203" s="35"/>
      <c r="K203" s="35"/>
      <c r="L203" s="35"/>
      <c r="M203" s="35"/>
      <c r="N203" s="35"/>
      <c r="O203" s="35"/>
      <c r="P203" s="35"/>
      <c r="Q203" s="35"/>
    </row>
    <row r="204" spans="1:17">
      <c r="A204" s="35"/>
      <c r="B204" s="601"/>
      <c r="C204" s="15"/>
      <c r="F204" s="35"/>
      <c r="G204" s="35"/>
      <c r="H204" s="35"/>
      <c r="I204" s="35"/>
      <c r="J204" s="35"/>
      <c r="K204" s="35"/>
      <c r="L204" s="35"/>
      <c r="M204" s="35"/>
      <c r="N204" s="35"/>
      <c r="O204" s="35"/>
      <c r="P204" s="35"/>
      <c r="Q204" s="35"/>
    </row>
    <row r="205" spans="1:17">
      <c r="A205" s="35"/>
      <c r="B205" s="601"/>
      <c r="C205" s="15"/>
      <c r="F205" s="35"/>
      <c r="G205" s="35"/>
      <c r="H205" s="35"/>
      <c r="I205" s="35"/>
      <c r="J205" s="35"/>
      <c r="K205" s="35"/>
      <c r="L205" s="35"/>
      <c r="M205" s="35"/>
      <c r="N205" s="35"/>
      <c r="O205" s="35"/>
      <c r="P205" s="35"/>
      <c r="Q205" s="35"/>
    </row>
    <row r="206" spans="1:17">
      <c r="A206" s="35"/>
      <c r="B206" s="601"/>
      <c r="C206" s="15"/>
      <c r="F206" s="35"/>
      <c r="G206" s="35"/>
      <c r="H206" s="35"/>
      <c r="I206" s="35"/>
      <c r="J206" s="35"/>
      <c r="K206" s="35"/>
      <c r="L206" s="35"/>
      <c r="M206" s="35"/>
      <c r="N206" s="35"/>
      <c r="O206" s="35"/>
      <c r="P206" s="35"/>
      <c r="Q206" s="35"/>
    </row>
    <row r="207" spans="1:17">
      <c r="A207" s="35"/>
      <c r="B207" s="601"/>
      <c r="C207" s="15"/>
      <c r="F207" s="35"/>
      <c r="G207" s="35"/>
      <c r="H207" s="35"/>
      <c r="I207" s="35"/>
      <c r="J207" s="35"/>
      <c r="K207" s="35"/>
      <c r="L207" s="35"/>
      <c r="M207" s="35"/>
      <c r="N207" s="35"/>
      <c r="O207" s="35"/>
      <c r="P207" s="35"/>
      <c r="Q207" s="35"/>
    </row>
    <row r="208" spans="1:17">
      <c r="A208" s="35"/>
      <c r="B208" s="601"/>
      <c r="C208" s="15"/>
      <c r="F208" s="35"/>
      <c r="G208" s="35"/>
      <c r="H208" s="35"/>
      <c r="I208" s="35"/>
      <c r="J208" s="35"/>
      <c r="K208" s="35"/>
      <c r="L208" s="35"/>
      <c r="M208" s="35"/>
      <c r="N208" s="35"/>
      <c r="O208" s="35"/>
      <c r="P208" s="35"/>
      <c r="Q208" s="35"/>
    </row>
    <row r="209" spans="1:17">
      <c r="A209" s="35"/>
      <c r="B209" s="601"/>
      <c r="C209" s="15"/>
      <c r="F209" s="35"/>
      <c r="G209" s="35"/>
      <c r="H209" s="35"/>
      <c r="I209" s="35"/>
      <c r="J209" s="35"/>
      <c r="K209" s="35"/>
      <c r="L209" s="35"/>
      <c r="M209" s="35"/>
      <c r="N209" s="35"/>
      <c r="O209" s="35"/>
      <c r="P209" s="35"/>
      <c r="Q209" s="35"/>
    </row>
    <row r="210" spans="1:17">
      <c r="A210" s="35"/>
      <c r="B210" s="601"/>
      <c r="C210" s="15"/>
      <c r="F210" s="35"/>
      <c r="G210" s="35"/>
      <c r="H210" s="35"/>
      <c r="I210" s="35"/>
      <c r="J210" s="35"/>
      <c r="K210" s="35"/>
      <c r="L210" s="35"/>
      <c r="M210" s="35"/>
      <c r="N210" s="35"/>
      <c r="O210" s="35"/>
      <c r="P210" s="35"/>
      <c r="Q210" s="35"/>
    </row>
    <row r="211" spans="1:17">
      <c r="A211" s="35"/>
      <c r="B211" s="601"/>
      <c r="C211" s="15"/>
      <c r="F211" s="35"/>
      <c r="G211" s="35"/>
      <c r="H211" s="35"/>
      <c r="I211" s="35"/>
      <c r="J211" s="35"/>
      <c r="K211" s="35"/>
      <c r="L211" s="35"/>
      <c r="M211" s="35"/>
      <c r="N211" s="35"/>
      <c r="O211" s="35"/>
      <c r="P211" s="35"/>
      <c r="Q211" s="35"/>
    </row>
    <row r="212" spans="1:17">
      <c r="A212" s="35"/>
      <c r="B212" s="601"/>
      <c r="C212" s="15"/>
      <c r="F212" s="35"/>
      <c r="G212" s="35"/>
      <c r="H212" s="35"/>
      <c r="I212" s="35"/>
      <c r="J212" s="35"/>
      <c r="K212" s="35"/>
      <c r="L212" s="35"/>
      <c r="M212" s="35"/>
      <c r="N212" s="35"/>
      <c r="O212" s="35"/>
      <c r="P212" s="35"/>
      <c r="Q212" s="35"/>
    </row>
    <row r="213" spans="1:17">
      <c r="A213" s="35"/>
      <c r="B213" s="601"/>
      <c r="C213" s="15"/>
      <c r="F213" s="35"/>
      <c r="G213" s="35"/>
      <c r="H213" s="35"/>
      <c r="I213" s="35"/>
      <c r="J213" s="35"/>
      <c r="K213" s="35"/>
      <c r="L213" s="35"/>
      <c r="M213" s="35"/>
      <c r="N213" s="35"/>
      <c r="O213" s="35"/>
      <c r="P213" s="35"/>
      <c r="Q213" s="35"/>
    </row>
    <row r="214" spans="1:17">
      <c r="A214" s="35"/>
      <c r="B214" s="601"/>
      <c r="C214" s="15"/>
      <c r="F214" s="35"/>
      <c r="G214" s="35"/>
      <c r="H214" s="35"/>
      <c r="I214" s="35"/>
      <c r="J214" s="35"/>
      <c r="K214" s="35"/>
      <c r="L214" s="35"/>
      <c r="M214" s="35"/>
      <c r="N214" s="35"/>
      <c r="O214" s="35"/>
      <c r="P214" s="35"/>
      <c r="Q214" s="35"/>
    </row>
    <row r="215" spans="1:17">
      <c r="A215" s="35"/>
      <c r="B215" s="601"/>
      <c r="C215" s="15"/>
      <c r="F215" s="35"/>
      <c r="G215" s="35"/>
      <c r="H215" s="35"/>
      <c r="I215" s="35"/>
      <c r="J215" s="35"/>
      <c r="K215" s="35"/>
      <c r="L215" s="35"/>
      <c r="M215" s="35"/>
      <c r="N215" s="35"/>
      <c r="O215" s="35"/>
      <c r="P215" s="35"/>
      <c r="Q215" s="35"/>
    </row>
    <row r="216" spans="1:17">
      <c r="A216" s="35"/>
      <c r="B216" s="601"/>
      <c r="C216" s="15"/>
      <c r="F216" s="35"/>
      <c r="G216" s="35"/>
      <c r="H216" s="35"/>
      <c r="I216" s="35"/>
      <c r="J216" s="35"/>
      <c r="K216" s="35"/>
      <c r="L216" s="35"/>
      <c r="M216" s="35"/>
      <c r="N216" s="35"/>
      <c r="O216" s="35"/>
      <c r="P216" s="35"/>
      <c r="Q216" s="35"/>
    </row>
    <row r="217" spans="1:17">
      <c r="A217" s="35"/>
      <c r="B217" s="601"/>
      <c r="C217" s="15"/>
      <c r="F217" s="35"/>
      <c r="G217" s="35"/>
      <c r="H217" s="35"/>
      <c r="I217" s="35"/>
      <c r="J217" s="35"/>
      <c r="K217" s="35"/>
      <c r="L217" s="35"/>
      <c r="M217" s="35"/>
      <c r="N217" s="35"/>
      <c r="O217" s="35"/>
      <c r="P217" s="35"/>
      <c r="Q217" s="35"/>
    </row>
    <row r="218" spans="1:17">
      <c r="A218" s="35"/>
      <c r="B218" s="601"/>
      <c r="C218" s="15"/>
      <c r="F218" s="35"/>
      <c r="G218" s="35"/>
      <c r="H218" s="35"/>
      <c r="I218" s="35"/>
      <c r="J218" s="35"/>
      <c r="K218" s="35"/>
      <c r="L218" s="35"/>
      <c r="M218" s="35"/>
      <c r="N218" s="35"/>
      <c r="O218" s="35"/>
      <c r="P218" s="35"/>
      <c r="Q218" s="35"/>
    </row>
  </sheetData>
  <sheetProtection sheet="1" objects="1" scenarios="1"/>
  <dataConsolidate link="1"/>
  <mergeCells count="49">
    <mergeCell ref="N6:O6"/>
    <mergeCell ref="N1:O1"/>
    <mergeCell ref="K2:P2"/>
    <mergeCell ref="J3:L3"/>
    <mergeCell ref="N3:O4"/>
    <mergeCell ref="K1:L1"/>
    <mergeCell ref="E4:I4"/>
    <mergeCell ref="J4:L4"/>
    <mergeCell ref="C19:F19"/>
    <mergeCell ref="D25:E25"/>
    <mergeCell ref="E22:G22"/>
    <mergeCell ref="F23:G23"/>
    <mergeCell ref="H6:I6"/>
    <mergeCell ref="K6:L6"/>
    <mergeCell ref="E10:F10"/>
    <mergeCell ref="C14:F14"/>
    <mergeCell ref="C15:F15"/>
    <mergeCell ref="C16:F16"/>
    <mergeCell ref="C17:F17"/>
    <mergeCell ref="C20:F20"/>
    <mergeCell ref="C21:F21"/>
    <mergeCell ref="D26:E26"/>
    <mergeCell ref="C36:E36"/>
    <mergeCell ref="C37:E37"/>
    <mergeCell ref="C38:E38"/>
    <mergeCell ref="C39:E39"/>
    <mergeCell ref="C53:D53"/>
    <mergeCell ref="C54:D54"/>
    <mergeCell ref="C55:D55"/>
    <mergeCell ref="F34:G34"/>
    <mergeCell ref="C73:E73"/>
    <mergeCell ref="C48:D48"/>
    <mergeCell ref="C49:D49"/>
    <mergeCell ref="C50:D50"/>
    <mergeCell ref="C51:D51"/>
    <mergeCell ref="C52:D52"/>
    <mergeCell ref="C40:E40"/>
    <mergeCell ref="C41:E41"/>
    <mergeCell ref="C42:E42"/>
    <mergeCell ref="C46:D46"/>
    <mergeCell ref="C47:D47"/>
    <mergeCell ref="C74:E74"/>
    <mergeCell ref="B75:C75"/>
    <mergeCell ref="C56:D56"/>
    <mergeCell ref="C57:D57"/>
    <mergeCell ref="C62:E62"/>
    <mergeCell ref="C63:E63"/>
    <mergeCell ref="C64:E64"/>
    <mergeCell ref="C68:E68"/>
  </mergeCells>
  <dataValidations count="4">
    <dataValidation type="list" showInputMessage="1" showErrorMessage="1" sqref="H14 K14 N14">
      <formula1>"ja,nein"</formula1>
    </dataValidation>
    <dataValidation type="list" allowBlank="1" showInputMessage="1" showErrorMessage="1" sqref="H15:H17 K15:K17 N15: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76" orientation="portrait" r:id="rId1"/>
  <headerFooter alignWithMargins="0">
    <oddFooter>&amp;L&amp;11LEL Schwäbisch Gmünd&amp;C85&amp;R&amp;11&amp;F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Pflanzenschutzmittel" error="Bitte aus Dropdownliste auswählen.">
          <x14:formula1>
            <xm:f>'SDK5'!$AF$214:$AF$313</xm:f>
          </x14:formula1>
          <xm:sqref>C36:E42</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Arbeitsgänge" error="Bitte aus Dropdownliste auswählen.">
          <x14:formula1>
            <xm:f>'SDK3'!$C$23:$C$85</xm:f>
          </x14:formula1>
          <xm:sqref>C46:D57</xm:sqref>
        </x14:dataValidation>
        <x14:dataValidation type="list" allowBlank="1" showInputMessage="1" showErrorMessage="1" errorTitle="Lohnmaschinen" error="Bitte aus Dropdownliste auswählen.">
          <x14:formula1>
            <xm:f>'SDK3'!$C$91:$C$106</xm:f>
          </x14:formula1>
          <xm:sqref>C62:E64</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O218"/>
  <sheetViews>
    <sheetView showZeros="0" workbookViewId="0"/>
  </sheetViews>
  <sheetFormatPr baseColWidth="10" defaultColWidth="10.5" defaultRowHeight="12.75"/>
  <cols>
    <col min="1" max="1" width="1.5" style="3098" customWidth="1"/>
    <col min="2" max="2" width="3.25" style="3098" customWidth="1"/>
    <col min="3" max="3" width="13.25" style="3098" customWidth="1"/>
    <col min="4" max="5" width="9.25" style="3098" customWidth="1"/>
    <col min="6" max="6" width="9.625" style="3098" customWidth="1"/>
    <col min="7" max="7" width="9.25" style="3099" customWidth="1"/>
    <col min="8" max="8" width="8.125" style="3098" customWidth="1"/>
    <col min="9" max="10" width="7.25" style="3098" customWidth="1"/>
    <col min="11" max="11" width="8" style="3098" customWidth="1"/>
    <col min="12" max="13" width="7.25" style="3098" customWidth="1"/>
    <col min="14" max="14" width="8" style="3098" customWidth="1"/>
    <col min="15" max="16" width="7.25" style="3098" customWidth="1"/>
    <col min="17" max="17" width="19.75" style="3098" hidden="1" customWidth="1"/>
    <col min="18" max="18" width="12" style="3096" hidden="1" customWidth="1"/>
    <col min="19" max="21" width="0" style="3096" hidden="1" customWidth="1"/>
    <col min="22" max="22" width="12.875" style="3096" hidden="1" customWidth="1"/>
    <col min="23" max="29" width="0" style="3096" hidden="1" customWidth="1"/>
    <col min="30" max="16384" width="10.5" style="3096"/>
  </cols>
  <sheetData>
    <row r="1" spans="1:41" s="3094" customFormat="1" ht="30.4" customHeight="1">
      <c r="A1" s="3091"/>
      <c r="B1" s="319"/>
      <c r="C1" s="1876"/>
      <c r="D1" s="3092"/>
      <c r="E1" s="316"/>
      <c r="F1" s="316"/>
      <c r="G1" s="3093"/>
      <c r="H1" s="1870"/>
      <c r="I1" s="1875" t="s">
        <v>1207</v>
      </c>
      <c r="J1" s="1874">
        <f>(J7+J13+J18+J22+I11+I12)-(J23+J27+J34+J43+J60+J65+J67+J69+J71+J75)</f>
        <v>0</v>
      </c>
      <c r="K1" s="4855">
        <f>M1-J1</f>
        <v>0</v>
      </c>
      <c r="L1" s="4855"/>
      <c r="M1" s="1874">
        <f>(M7+M13+M18+M22+L11+L12)-(M23+M27+M34+M43+M60+M65+M67+M69+M71+M75)</f>
        <v>0</v>
      </c>
      <c r="N1" s="4855">
        <f>P1-M1</f>
        <v>0</v>
      </c>
      <c r="O1" s="4855"/>
      <c r="P1" s="1874">
        <f>(P7+P13+P18+P22+O11+O12)-(P23+P27+P34+P43+P60+P65+P67+P69+P71+P75)</f>
        <v>0</v>
      </c>
      <c r="Q1" s="3091"/>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3094" customFormat="1" ht="24.6" customHeight="1">
      <c r="A2" s="3091"/>
      <c r="B2" s="592" t="s">
        <v>1929</v>
      </c>
      <c r="H2" s="1870"/>
      <c r="K2" s="4930" t="s">
        <v>23</v>
      </c>
      <c r="L2" s="4930"/>
      <c r="M2" s="4930"/>
      <c r="N2" s="4930"/>
      <c r="O2" s="4930"/>
      <c r="P2" s="4930"/>
      <c r="Q2" s="3095">
        <v>0</v>
      </c>
    </row>
    <row r="3" spans="1:41" s="3094" customFormat="1" ht="21.75" customHeight="1">
      <c r="A3" s="3091"/>
      <c r="B3" s="1887"/>
      <c r="H3" s="1870"/>
      <c r="J3" s="4863" t="s">
        <v>1205</v>
      </c>
      <c r="K3" s="4929"/>
      <c r="L3" s="4929"/>
      <c r="M3" s="1869"/>
      <c r="N3" s="4868" t="str">
        <f>IF(AND(T3=TRUE,T4=TRUE),"nur 1 Strohnutzung möglich","")</f>
        <v/>
      </c>
      <c r="O3" s="4931"/>
      <c r="P3" s="1868"/>
      <c r="Q3" s="3091"/>
      <c r="T3" s="1886" t="b">
        <v>0</v>
      </c>
    </row>
    <row r="4" spans="1:41" s="3094" customFormat="1" ht="20.25" customHeight="1">
      <c r="A4" s="3091"/>
      <c r="B4" s="370" t="s">
        <v>1098</v>
      </c>
      <c r="C4" s="3096"/>
      <c r="D4" s="3096"/>
      <c r="E4" s="4898" t="s">
        <v>1211</v>
      </c>
      <c r="F4" s="4898"/>
      <c r="G4" s="4898"/>
      <c r="H4" s="4898"/>
      <c r="I4" s="4898"/>
      <c r="J4" s="4863" t="s">
        <v>1194</v>
      </c>
      <c r="K4" s="4929"/>
      <c r="L4" s="4929"/>
      <c r="M4" s="3097"/>
      <c r="N4" s="4931"/>
      <c r="O4" s="4931"/>
      <c r="P4" s="1864">
        <v>2019</v>
      </c>
      <c r="Q4" s="3091"/>
      <c r="T4" s="1886" t="b">
        <v>0</v>
      </c>
    </row>
    <row r="5" spans="1:41" ht="6" customHeight="1"/>
    <row r="6" spans="1:41" s="1853" customFormat="1" ht="24" customHeight="1">
      <c r="A6" s="48"/>
      <c r="B6" s="1858" t="s">
        <v>1151</v>
      </c>
      <c r="C6" s="1857"/>
      <c r="D6" s="1857"/>
      <c r="E6" s="1857"/>
      <c r="F6" s="1857"/>
      <c r="G6" s="1856"/>
      <c r="H6" s="4861" t="s">
        <v>179</v>
      </c>
      <c r="I6" s="4862"/>
      <c r="J6" s="3100"/>
      <c r="K6" s="4874" t="s">
        <v>152</v>
      </c>
      <c r="L6" s="4875"/>
      <c r="M6" s="3100"/>
      <c r="N6" s="4861" t="s">
        <v>178</v>
      </c>
      <c r="O6" s="4862"/>
      <c r="P6" s="3101"/>
      <c r="Q6" s="70"/>
    </row>
    <row r="7" spans="1:41" s="251" customFormat="1" ht="18.75" customHeight="1">
      <c r="A7" s="47"/>
      <c r="B7" s="305" t="s">
        <v>1202</v>
      </c>
      <c r="C7" s="47"/>
      <c r="D7" s="47"/>
      <c r="E7" s="47"/>
      <c r="F7" s="47"/>
      <c r="G7" s="1852"/>
      <c r="H7" s="1849"/>
      <c r="I7" s="1848"/>
      <c r="J7" s="3102">
        <f>SUM(I9:I10)</f>
        <v>0</v>
      </c>
      <c r="K7" s="1851"/>
      <c r="L7" s="1850"/>
      <c r="M7" s="3103">
        <f>SUM(L9:L10)</f>
        <v>0</v>
      </c>
      <c r="N7" s="1849"/>
      <c r="O7" s="1848"/>
      <c r="P7" s="3102">
        <f>SUM(O9:O10)</f>
        <v>0</v>
      </c>
      <c r="Q7" s="3098"/>
    </row>
    <row r="8" spans="1:41" s="251" customFormat="1" ht="13.15" customHeight="1">
      <c r="A8" s="47"/>
      <c r="B8" s="1767"/>
      <c r="C8" s="1847"/>
      <c r="D8" s="1847"/>
      <c r="E8" s="1847"/>
      <c r="F8" s="1847"/>
      <c r="G8" s="3104" t="s">
        <v>228</v>
      </c>
      <c r="H8" s="3105" t="s">
        <v>172</v>
      </c>
      <c r="I8" s="3106" t="s">
        <v>171</v>
      </c>
      <c r="J8" s="3107"/>
      <c r="K8" s="3108" t="s">
        <v>172</v>
      </c>
      <c r="L8" s="3109" t="s">
        <v>171</v>
      </c>
      <c r="M8" s="3110"/>
      <c r="N8" s="3105" t="s">
        <v>172</v>
      </c>
      <c r="O8" s="3106" t="s">
        <v>171</v>
      </c>
      <c r="P8" s="3107"/>
      <c r="Q8" s="3098"/>
    </row>
    <row r="9" spans="1:41" s="251" customFormat="1" ht="16.5" customHeight="1">
      <c r="A9" s="47"/>
      <c r="B9" s="305"/>
      <c r="C9" s="45" t="s">
        <v>1930</v>
      </c>
      <c r="D9" s="47"/>
      <c r="E9" s="47"/>
      <c r="F9" s="1846"/>
      <c r="G9" s="3111"/>
      <c r="H9" s="1845">
        <f>J6-H10</f>
        <v>0</v>
      </c>
      <c r="I9" s="3112">
        <f>H9*G9</f>
        <v>0</v>
      </c>
      <c r="J9" s="43"/>
      <c r="K9" s="1844">
        <f>M6-K10</f>
        <v>0</v>
      </c>
      <c r="L9" s="3113">
        <f>K9*G9</f>
        <v>0</v>
      </c>
      <c r="M9" s="1822"/>
      <c r="N9" s="1842">
        <f>P6-N10</f>
        <v>0</v>
      </c>
      <c r="O9" s="3112">
        <f>N9*G9</f>
        <v>0</v>
      </c>
      <c r="P9" s="43"/>
      <c r="Q9" s="3098"/>
      <c r="R9" s="913"/>
      <c r="S9" s="263" t="s">
        <v>1208</v>
      </c>
      <c r="T9" s="1840"/>
    </row>
    <row r="10" spans="1:41" s="1810" customFormat="1" ht="15" customHeight="1">
      <c r="A10" s="370"/>
      <c r="B10" s="239"/>
      <c r="C10" s="279" t="s">
        <v>1931</v>
      </c>
      <c r="D10" s="1819"/>
      <c r="E10" s="4872"/>
      <c r="F10" s="4873"/>
      <c r="G10" s="1839"/>
      <c r="H10" s="3114"/>
      <c r="I10" s="3115">
        <f>H10*G10</f>
        <v>0</v>
      </c>
      <c r="J10" s="1838"/>
      <c r="K10" s="3116"/>
      <c r="L10" s="3117">
        <f>K10*G10</f>
        <v>0</v>
      </c>
      <c r="M10" s="1835"/>
      <c r="N10" s="3114"/>
      <c r="O10" s="3115">
        <f>N10*G10</f>
        <v>0</v>
      </c>
      <c r="P10" s="1832"/>
      <c r="Q10" s="3098"/>
      <c r="R10" s="1831">
        <f>I10+I11+I12</f>
        <v>0</v>
      </c>
      <c r="S10" s="1830">
        <f>L10+L11+L12</f>
        <v>0</v>
      </c>
      <c r="T10" s="1829">
        <f>O10+O11+O12</f>
        <v>0</v>
      </c>
      <c r="W10" s="251" t="s">
        <v>1198</v>
      </c>
    </row>
    <row r="11" spans="1:41" s="1810" customFormat="1" ht="15" customHeight="1">
      <c r="A11" s="370"/>
      <c r="B11" s="272"/>
      <c r="C11" s="45" t="s">
        <v>1197</v>
      </c>
      <c r="D11" s="370"/>
      <c r="E11" s="1828">
        <v>0.5</v>
      </c>
      <c r="F11" s="45" t="s">
        <v>1196</v>
      </c>
      <c r="G11" s="1827">
        <v>7.5</v>
      </c>
      <c r="H11" s="3118">
        <f>IF($T$3=FALSE,0,J6*$E$11)</f>
        <v>0</v>
      </c>
      <c r="I11" s="3119">
        <f>H11*$G$11</f>
        <v>0</v>
      </c>
      <c r="J11" s="1825"/>
      <c r="K11" s="3120">
        <f>IF($T$3=FALSE,0,M6*$E$11)</f>
        <v>0</v>
      </c>
      <c r="L11" s="3121">
        <f>K11*$G$11</f>
        <v>0</v>
      </c>
      <c r="M11" s="1822"/>
      <c r="N11" s="3122">
        <f>IF($T$3=FALSE,0,P6*$E$11)</f>
        <v>0</v>
      </c>
      <c r="O11" s="3119">
        <f>N11*$G$11</f>
        <v>0</v>
      </c>
      <c r="P11" s="43"/>
      <c r="Q11" s="3098"/>
      <c r="W11" s="1810" t="s">
        <v>1195</v>
      </c>
    </row>
    <row r="12" spans="1:41" s="1810" customFormat="1" ht="15" customHeight="1">
      <c r="A12" s="370"/>
      <c r="B12" s="239"/>
      <c r="C12" s="279" t="s">
        <v>1194</v>
      </c>
      <c r="D12" s="1819"/>
      <c r="E12" s="1818"/>
      <c r="F12" s="279" t="s">
        <v>1193</v>
      </c>
      <c r="G12" s="1817"/>
      <c r="H12" s="3123"/>
      <c r="I12" s="3124">
        <f>IF(T4=TRUE,L12*(J6/M6),0)</f>
        <v>0</v>
      </c>
      <c r="J12" s="1815"/>
      <c r="K12" s="3125"/>
      <c r="L12" s="3126"/>
      <c r="M12" s="1813">
        <f>IF(AND(L12&gt;0,T4=FALSE),"keine Angabe bei M4 ?",0)</f>
        <v>0</v>
      </c>
      <c r="N12" s="3125"/>
      <c r="O12" s="3124">
        <f>IF(T4=TRUE,L12*(P6/M6),0)</f>
        <v>0</v>
      </c>
      <c r="P12" s="43"/>
      <c r="Q12" s="3098"/>
    </row>
    <row r="13" spans="1:41" s="251" customFormat="1" ht="18.75" customHeight="1">
      <c r="A13" s="47"/>
      <c r="B13" s="264" t="s">
        <v>1192</v>
      </c>
      <c r="C13" s="47"/>
      <c r="D13" s="47"/>
      <c r="E13" s="47"/>
      <c r="F13" s="47"/>
      <c r="G13" s="1809"/>
      <c r="H13" s="3127"/>
      <c r="I13" s="3128"/>
      <c r="J13" s="3102">
        <f>SUM(I14:I17)</f>
        <v>0</v>
      </c>
      <c r="K13" s="3129"/>
      <c r="L13" s="3130"/>
      <c r="M13" s="3103">
        <f>SUM(L14:L17)</f>
        <v>0</v>
      </c>
      <c r="N13" s="3127"/>
      <c r="O13" s="3128"/>
      <c r="P13" s="3102">
        <f>SUM(O14:O17)</f>
        <v>0</v>
      </c>
      <c r="Q13" s="3098"/>
      <c r="R13" s="3092"/>
      <c r="W13" s="1808" t="s">
        <v>1191</v>
      </c>
      <c r="X13" s="1806" t="str">
        <f>IF(OR(T3=TRUE,T4=TRUE),J6*$E$11,"0")</f>
        <v>0</v>
      </c>
      <c r="Y13" s="1807" t="str">
        <f>IF(OR(T3=TRUE,T4=TRUE),M6*$E$11,"0")</f>
        <v>0</v>
      </c>
      <c r="Z13" s="1806" t="str">
        <f>IF(OR(T3=TRUE,T4=TRUE),P6*$E$11,"0")</f>
        <v>0</v>
      </c>
    </row>
    <row r="14" spans="1:41" s="42" customFormat="1" ht="15" customHeight="1">
      <c r="A14" s="45"/>
      <c r="B14" s="1789"/>
      <c r="C14" s="4860" t="s">
        <v>2045</v>
      </c>
      <c r="D14" s="4860"/>
      <c r="E14" s="4860"/>
      <c r="F14" s="4860"/>
      <c r="G14" s="1805"/>
      <c r="H14" s="3131" t="s">
        <v>1190</v>
      </c>
      <c r="I14" s="3909">
        <f>IF(H14="ja",Q14,0)</f>
        <v>0</v>
      </c>
      <c r="J14" s="45"/>
      <c r="K14" s="3131" t="s">
        <v>1190</v>
      </c>
      <c r="L14" s="1639">
        <f>IF(K14="ja",Q14,0)</f>
        <v>0</v>
      </c>
      <c r="M14" s="1557"/>
      <c r="N14" s="3131" t="s">
        <v>1190</v>
      </c>
      <c r="O14" s="1785">
        <f>IF(N14="ja",Q14,0)</f>
        <v>0</v>
      </c>
      <c r="P14" s="1554"/>
      <c r="Q14" s="1803">
        <f>IF(C14=0,0,VLOOKUP(C14,'SD2'!$C$11:$N$49,'SD2'!$N$1,FALSE))</f>
        <v>100</v>
      </c>
      <c r="R14" s="3092"/>
      <c r="S14" s="251"/>
      <c r="T14" s="251"/>
      <c r="W14" s="42" t="s">
        <v>246</v>
      </c>
      <c r="X14" s="1802">
        <f>$X$13*F30</f>
        <v>0</v>
      </c>
      <c r="Y14" s="1802">
        <f>$Y$13*F30</f>
        <v>0</v>
      </c>
      <c r="Z14" s="1802">
        <f>$Z$13*F30</f>
        <v>0</v>
      </c>
    </row>
    <row r="15" spans="1:41" s="42" customFormat="1" ht="15" customHeight="1">
      <c r="A15" s="45"/>
      <c r="B15" s="1789"/>
      <c r="C15" s="4860"/>
      <c r="D15" s="4860"/>
      <c r="E15" s="4860"/>
      <c r="F15" s="4860"/>
      <c r="G15" s="1805"/>
      <c r="H15" s="3131" t="s">
        <v>1190</v>
      </c>
      <c r="I15" s="1785">
        <f>IF(H15="ja",Q15,0)</f>
        <v>0</v>
      </c>
      <c r="J15" s="45"/>
      <c r="K15" s="3131" t="s">
        <v>1190</v>
      </c>
      <c r="L15" s="1639">
        <f>IF(K15="ja",Q15,0)</f>
        <v>0</v>
      </c>
      <c r="M15" s="1557"/>
      <c r="N15" s="3131" t="s">
        <v>1190</v>
      </c>
      <c r="O15" s="1785">
        <f>IF(N15="ja",Q15,0)</f>
        <v>0</v>
      </c>
      <c r="P15" s="1554"/>
      <c r="Q15" s="1803">
        <f>IF(C15=0,0,VLOOKUP(C15,'SD2'!$C$11:$N$49,'SD2'!$N$1,FALSE))</f>
        <v>0</v>
      </c>
      <c r="R15" s="3092"/>
      <c r="S15" s="251"/>
      <c r="T15" s="251"/>
      <c r="W15" s="42" t="s">
        <v>998</v>
      </c>
      <c r="X15" s="1802">
        <f>$X$13*F31</f>
        <v>0</v>
      </c>
      <c r="Y15" s="1802">
        <f>$Y$13*F31</f>
        <v>0</v>
      </c>
      <c r="Z15" s="1802">
        <f>$Z$13*F31</f>
        <v>0</v>
      </c>
    </row>
    <row r="16" spans="1:41" s="42" customFormat="1" ht="15" customHeight="1">
      <c r="A16" s="45"/>
      <c r="B16" s="1789"/>
      <c r="C16" s="4860"/>
      <c r="D16" s="4860"/>
      <c r="E16" s="4860"/>
      <c r="F16" s="4860"/>
      <c r="G16" s="1805"/>
      <c r="H16" s="3131" t="s">
        <v>1190</v>
      </c>
      <c r="I16" s="1785">
        <f>IF(H16="ja",Q16,0)</f>
        <v>0</v>
      </c>
      <c r="J16" s="45"/>
      <c r="K16" s="3131" t="s">
        <v>1190</v>
      </c>
      <c r="L16" s="1639">
        <f>IF(K16="ja",Q16,0)</f>
        <v>0</v>
      </c>
      <c r="M16" s="1557"/>
      <c r="N16" s="3131" t="s">
        <v>1190</v>
      </c>
      <c r="O16" s="1785">
        <f>IF(N16="ja",Q16,0)</f>
        <v>0</v>
      </c>
      <c r="P16" s="1554"/>
      <c r="Q16" s="1803">
        <f>IF(C16=0,0,VLOOKUP(C16,'SD2'!$C$11:$N$49,'SD2'!$N$1,FALSE))</f>
        <v>0</v>
      </c>
      <c r="R16" s="3092"/>
      <c r="S16" s="251"/>
      <c r="T16" s="251"/>
      <c r="W16" s="42" t="s">
        <v>997</v>
      </c>
      <c r="X16" s="1802">
        <f>$X$13*F32</f>
        <v>0</v>
      </c>
      <c r="Y16" s="1802">
        <f>$Y$13*F32</f>
        <v>0</v>
      </c>
      <c r="Z16" s="1802">
        <f>$Z$13*F32</f>
        <v>0</v>
      </c>
    </row>
    <row r="17" spans="1:26" s="42" customFormat="1" ht="15" customHeight="1">
      <c r="A17" s="45"/>
      <c r="B17" s="1789"/>
      <c r="C17" s="4860"/>
      <c r="D17" s="4860"/>
      <c r="E17" s="4860"/>
      <c r="F17" s="4860"/>
      <c r="G17" s="1805"/>
      <c r="H17" s="3131" t="s">
        <v>1190</v>
      </c>
      <c r="I17" s="1785">
        <f>IF(H17="ja",Q17,0)</f>
        <v>0</v>
      </c>
      <c r="J17" s="45"/>
      <c r="K17" s="3131" t="s">
        <v>1190</v>
      </c>
      <c r="L17" s="1639">
        <f>IF(K17="ja",Q17,0)</f>
        <v>0</v>
      </c>
      <c r="M17" s="1557"/>
      <c r="N17" s="3131" t="s">
        <v>1190</v>
      </c>
      <c r="O17" s="1785">
        <f>IF(N17="ja",Q17,0)</f>
        <v>0</v>
      </c>
      <c r="P17" s="1554"/>
      <c r="Q17" s="1803">
        <f>IF(C17=0,0,VLOOKUP(C17,'SD2'!$C$11:$N$49,'SD2'!$N$1,FALSE))</f>
        <v>0</v>
      </c>
      <c r="R17" s="3092"/>
      <c r="S17" s="251"/>
      <c r="T17" s="251"/>
      <c r="W17" s="42" t="s">
        <v>240</v>
      </c>
      <c r="X17" s="1802">
        <f>$X$13*F33</f>
        <v>0</v>
      </c>
      <c r="Y17" s="1802">
        <f>$Y$13*F33</f>
        <v>0</v>
      </c>
      <c r="Z17" s="1802">
        <f>$Z$13*F33</f>
        <v>0</v>
      </c>
    </row>
    <row r="18" spans="1:26" s="3077" customFormat="1" ht="18.75" customHeight="1">
      <c r="A18" s="47"/>
      <c r="B18" s="3856" t="s">
        <v>2114</v>
      </c>
      <c r="C18" s="47"/>
      <c r="D18" s="47"/>
      <c r="E18" s="47"/>
      <c r="F18" s="47"/>
      <c r="G18" s="44"/>
      <c r="H18" s="3132"/>
      <c r="I18" s="3128"/>
      <c r="J18" s="3102">
        <f>SUM(I19:I21)</f>
        <v>0</v>
      </c>
      <c r="K18" s="3133"/>
      <c r="L18" s="3130"/>
      <c r="M18" s="3103">
        <f>SUM(L19:L21)</f>
        <v>0</v>
      </c>
      <c r="N18" s="3132"/>
      <c r="O18" s="3128"/>
      <c r="P18" s="3102">
        <f>SUM(O19:O21)</f>
        <v>0</v>
      </c>
      <c r="Q18" s="3098"/>
      <c r="R18" s="693" t="s">
        <v>1189</v>
      </c>
      <c r="S18" s="369"/>
      <c r="T18" s="1790"/>
    </row>
    <row r="19" spans="1:26" s="42" customFormat="1" ht="15.6" customHeight="1">
      <c r="A19" s="45"/>
      <c r="B19" s="1789"/>
      <c r="C19" s="4860" t="s">
        <v>2109</v>
      </c>
      <c r="D19" s="4860"/>
      <c r="E19" s="4860"/>
      <c r="F19" s="4860"/>
      <c r="G19" s="1788"/>
      <c r="H19" s="3134"/>
      <c r="I19" s="3909">
        <f>IF(OR($C19=0,$J$6=0),0,VLOOKUP($C19,'SD2'!C59:N75,12,FALSE))</f>
        <v>0</v>
      </c>
      <c r="J19" s="45"/>
      <c r="K19" s="3135"/>
      <c r="L19" s="3899">
        <f>IF(OR($C19=0,$M$6=0),0,VLOOKUP($C19,'SD2'!$C$59:$N$75,12,FALSE))</f>
        <v>0</v>
      </c>
      <c r="M19" s="1557"/>
      <c r="N19" s="3134"/>
      <c r="O19" s="3909">
        <f>IF(OR($C19=0,$P$6=0),0,VLOOKUP($C19,'SD2'!C59:N75,12,FALSE))</f>
        <v>0</v>
      </c>
      <c r="P19" s="1554"/>
      <c r="Q19" s="3098"/>
      <c r="R19" s="1784">
        <f>J13+J18</f>
        <v>0</v>
      </c>
      <c r="S19" s="1783">
        <f>M13+M18</f>
        <v>0</v>
      </c>
      <c r="T19" s="1782">
        <f>P13+P18</f>
        <v>0</v>
      </c>
    </row>
    <row r="20" spans="1:26" s="42" customFormat="1" ht="15.6" customHeight="1">
      <c r="A20" s="3852"/>
      <c r="B20" s="1789"/>
      <c r="C20" s="4860" t="s">
        <v>2119</v>
      </c>
      <c r="D20" s="4860"/>
      <c r="E20" s="4860"/>
      <c r="F20" s="4860"/>
      <c r="G20" s="1788"/>
      <c r="H20" s="3134"/>
      <c r="I20" s="3909">
        <f>IF(OR($C20=0,$J$6=0),0,VLOOKUP($C20,'SD2'!C60:N76,12,FALSE))</f>
        <v>0</v>
      </c>
      <c r="J20" s="3852"/>
      <c r="K20" s="3135"/>
      <c r="L20" s="3899">
        <f>IF(OR($C20=0,$M$6=0),0,VLOOKUP($C20,'SD2'!$C$59:$N$75,12,FALSE))</f>
        <v>0</v>
      </c>
      <c r="M20" s="3864"/>
      <c r="N20" s="3134"/>
      <c r="O20" s="3909">
        <f>IF(OR($C20=0,$P$6=0),0,VLOOKUP($C20,'SD2'!C60:N76,12,FALSE))</f>
        <v>0</v>
      </c>
      <c r="P20" s="1554"/>
      <c r="Q20" s="3098"/>
      <c r="R20" s="3968"/>
      <c r="S20" s="3968"/>
      <c r="T20" s="3968"/>
    </row>
    <row r="21" spans="1:26" s="42" customFormat="1" ht="15.6" customHeight="1">
      <c r="A21" s="3852"/>
      <c r="B21" s="1789"/>
      <c r="C21" s="4860" t="s">
        <v>2120</v>
      </c>
      <c r="D21" s="4860"/>
      <c r="E21" s="4860"/>
      <c r="F21" s="4860"/>
      <c r="G21" s="1788"/>
      <c r="H21" s="3134"/>
      <c r="I21" s="3909">
        <f>IF(OR($C21=0,$J$6=0),0,VLOOKUP($C21,'SD2'!C61:N77,12,FALSE))</f>
        <v>0</v>
      </c>
      <c r="J21" s="3852"/>
      <c r="K21" s="3135"/>
      <c r="L21" s="3899">
        <f>IF(OR($C21=0,$M$6=0),0,VLOOKUP($C21,'SD2'!$C$59:$N$75,12,FALSE))</f>
        <v>0</v>
      </c>
      <c r="M21" s="3864"/>
      <c r="N21" s="3134"/>
      <c r="O21" s="3909">
        <f>IF(OR($C21=0,$P$6=0),0,VLOOKUP($C21,'SD2'!C61:N77,12,FALSE))</f>
        <v>0</v>
      </c>
      <c r="P21" s="1554"/>
      <c r="Q21" s="3098"/>
      <c r="R21" s="3968"/>
      <c r="S21" s="3968"/>
      <c r="T21" s="3968"/>
    </row>
    <row r="22" spans="1:26" ht="15.6" customHeight="1">
      <c r="A22" s="370"/>
      <c r="B22" s="305" t="s">
        <v>1188</v>
      </c>
      <c r="C22" s="45"/>
      <c r="D22" s="1775"/>
      <c r="E22" s="4865" t="s">
        <v>1187</v>
      </c>
      <c r="F22" s="4865"/>
      <c r="G22" s="4866"/>
      <c r="H22" s="3136"/>
      <c r="I22" s="3137"/>
      <c r="J22" s="3138"/>
      <c r="K22" s="3139"/>
      <c r="L22" s="3140"/>
      <c r="M22" s="3138"/>
      <c r="N22" s="3136"/>
      <c r="O22" s="3137"/>
      <c r="P22" s="3138"/>
      <c r="R22" s="3098"/>
      <c r="S22" s="3098"/>
      <c r="T22" s="3098"/>
    </row>
    <row r="23" spans="1:26" ht="18.75" customHeight="1">
      <c r="A23" s="370"/>
      <c r="B23" s="264" t="s">
        <v>1186</v>
      </c>
      <c r="C23" s="1769"/>
      <c r="D23" s="1769"/>
      <c r="F23" s="4927" t="s">
        <v>1177</v>
      </c>
      <c r="G23" s="4928"/>
      <c r="H23" s="1584"/>
      <c r="I23" s="1583"/>
      <c r="J23" s="3107">
        <f>SUM(I25:I26)</f>
        <v>0</v>
      </c>
      <c r="K23" s="1587"/>
      <c r="L23" s="1586"/>
      <c r="M23" s="3110">
        <f>SUM(L25:L26)</f>
        <v>0</v>
      </c>
      <c r="N23" s="1584"/>
      <c r="O23" s="1583"/>
      <c r="P23" s="3107">
        <f>SUM(O25:O26)</f>
        <v>0</v>
      </c>
    </row>
    <row r="24" spans="1:26" ht="13.15" customHeight="1">
      <c r="A24" s="370"/>
      <c r="B24" s="1767"/>
      <c r="C24" s="1580" t="s">
        <v>1156</v>
      </c>
      <c r="D24" s="1651">
        <v>0</v>
      </c>
      <c r="E24" s="1766"/>
      <c r="F24" s="3104" t="s">
        <v>249</v>
      </c>
      <c r="G24" s="3141" t="s">
        <v>1155</v>
      </c>
      <c r="H24" s="3105" t="s">
        <v>1176</v>
      </c>
      <c r="I24" s="3106" t="s">
        <v>171</v>
      </c>
      <c r="K24" s="3108" t="s">
        <v>1176</v>
      </c>
      <c r="L24" s="3109" t="s">
        <v>171</v>
      </c>
      <c r="M24" s="3142"/>
      <c r="N24" s="3105" t="s">
        <v>1176</v>
      </c>
      <c r="O24" s="3106" t="s">
        <v>171</v>
      </c>
      <c r="P24" s="1726"/>
    </row>
    <row r="25" spans="1:26" s="42" customFormat="1" ht="15" customHeight="1">
      <c r="A25" s="1284"/>
      <c r="B25" s="1764"/>
      <c r="C25" s="1284" t="s">
        <v>1185</v>
      </c>
      <c r="D25" s="4923"/>
      <c r="E25" s="4924"/>
      <c r="F25" s="1763"/>
      <c r="G25" s="1762">
        <f>F25*(100+$D$24)/100</f>
        <v>0</v>
      </c>
      <c r="H25" s="3143"/>
      <c r="I25" s="1722">
        <f>H25*$G25</f>
        <v>0</v>
      </c>
      <c r="J25" s="45"/>
      <c r="K25" s="3143"/>
      <c r="L25" s="1564">
        <f>K25*$G25</f>
        <v>0</v>
      </c>
      <c r="M25" s="1557"/>
      <c r="N25" s="3143"/>
      <c r="O25" s="1722">
        <f>N25*$G25</f>
        <v>0</v>
      </c>
      <c r="P25" s="1686"/>
      <c r="Q25" s="3098"/>
    </row>
    <row r="26" spans="1:26" s="42" customFormat="1" ht="15" customHeight="1">
      <c r="A26" s="1284"/>
      <c r="B26" s="1310"/>
      <c r="C26" s="1760" t="s">
        <v>191</v>
      </c>
      <c r="D26" s="4925"/>
      <c r="E26" s="4926"/>
      <c r="F26" s="1759"/>
      <c r="G26" s="1758">
        <f>F26*(100+$D$24)/100</f>
        <v>0</v>
      </c>
      <c r="H26" s="1903"/>
      <c r="I26" s="1718">
        <f>H26*$G26</f>
        <v>0</v>
      </c>
      <c r="J26" s="45"/>
      <c r="K26" s="1903">
        <f>H26</f>
        <v>0</v>
      </c>
      <c r="L26" s="1558">
        <f>K26*$G26</f>
        <v>0</v>
      </c>
      <c r="M26" s="1557"/>
      <c r="N26" s="1903">
        <f>H26</f>
        <v>0</v>
      </c>
      <c r="O26" s="1718">
        <f>N26*$G26</f>
        <v>0</v>
      </c>
      <c r="P26" s="1717"/>
      <c r="Q26" s="3098"/>
    </row>
    <row r="27" spans="1:26" s="3077" customFormat="1" ht="18.75" customHeight="1">
      <c r="A27" s="1248"/>
      <c r="B27" s="1756" t="s">
        <v>1184</v>
      </c>
      <c r="C27" s="1248"/>
      <c r="D27" s="73"/>
      <c r="E27" s="3098"/>
      <c r="F27" s="3098"/>
      <c r="G27" s="1755"/>
      <c r="H27" s="1714"/>
      <c r="I27" s="1713"/>
      <c r="J27" s="3102">
        <f>SUM(I30:I33)</f>
        <v>0</v>
      </c>
      <c r="K27" s="1716"/>
      <c r="L27" s="1715"/>
      <c r="M27" s="3103">
        <f>SUM(L30:L33)</f>
        <v>0</v>
      </c>
      <c r="N27" s="1714"/>
      <c r="O27" s="1713"/>
      <c r="P27" s="3102">
        <f>SUM(O30:O33)</f>
        <v>0</v>
      </c>
      <c r="Q27" s="3098"/>
    </row>
    <row r="28" spans="1:26" s="3077" customFormat="1" ht="13.7" customHeight="1">
      <c r="A28" s="1248"/>
      <c r="B28" s="1312"/>
      <c r="C28" s="3079"/>
      <c r="D28" s="3144" t="s">
        <v>1019</v>
      </c>
      <c r="E28" s="3144" t="s">
        <v>1183</v>
      </c>
      <c r="F28" s="3144" t="s">
        <v>1183</v>
      </c>
      <c r="G28" s="3145" t="s">
        <v>1182</v>
      </c>
      <c r="H28" s="1713"/>
      <c r="I28" s="3146"/>
      <c r="J28" s="3080"/>
      <c r="K28" s="1716"/>
      <c r="L28" s="3147"/>
      <c r="M28" s="1751"/>
      <c r="N28" s="1714"/>
      <c r="O28" s="3146"/>
      <c r="P28" s="3107"/>
      <c r="Q28" s="3098"/>
    </row>
    <row r="29" spans="1:26" s="3077" customFormat="1" ht="15" customHeight="1">
      <c r="A29" s="1248"/>
      <c r="B29" s="1749"/>
      <c r="C29" s="3148" t="s">
        <v>1181</v>
      </c>
      <c r="D29" s="3149" t="s">
        <v>852</v>
      </c>
      <c r="E29" s="3149" t="s">
        <v>1180</v>
      </c>
      <c r="F29" s="3149" t="s">
        <v>1179</v>
      </c>
      <c r="G29" s="3149" t="s">
        <v>853</v>
      </c>
      <c r="H29" s="3105" t="s">
        <v>853</v>
      </c>
      <c r="I29" s="3106" t="s">
        <v>171</v>
      </c>
      <c r="J29" s="3079"/>
      <c r="K29" s="3108" t="s">
        <v>853</v>
      </c>
      <c r="L29" s="3109" t="s">
        <v>171</v>
      </c>
      <c r="M29" s="1747"/>
      <c r="N29" s="3105" t="s">
        <v>853</v>
      </c>
      <c r="O29" s="3106" t="s">
        <v>171</v>
      </c>
      <c r="P29" s="1745"/>
      <c r="Q29" s="3098"/>
    </row>
    <row r="30" spans="1:26" s="42" customFormat="1" ht="15" customHeight="1">
      <c r="A30" s="1284"/>
      <c r="B30" s="1744"/>
      <c r="C30" s="1743" t="s">
        <v>246</v>
      </c>
      <c r="D30" s="1691">
        <v>1</v>
      </c>
      <c r="E30" s="1742">
        <v>0</v>
      </c>
      <c r="F30" s="1742">
        <v>0</v>
      </c>
      <c r="G30" s="1741"/>
      <c r="H30" s="1739">
        <f>IF(J$6=0,0,(J$6*$E30+$G30+X14))</f>
        <v>0</v>
      </c>
      <c r="I30" s="1722">
        <f>H30*$D30</f>
        <v>0</v>
      </c>
      <c r="J30" s="45"/>
      <c r="K30" s="1740">
        <f>IF(M$6=0,0,(M$6*$E30+$G30+Y14))</f>
        <v>0</v>
      </c>
      <c r="L30" s="1564">
        <f>K30*$D30</f>
        <v>0</v>
      </c>
      <c r="M30" s="1557"/>
      <c r="N30" s="1739">
        <f>IF(P$6=0,0,(P$6*$E30+$G30+Z14))</f>
        <v>0</v>
      </c>
      <c r="O30" s="1722">
        <f>N30*$D30</f>
        <v>0</v>
      </c>
      <c r="P30" s="1686"/>
      <c r="Q30" s="3098"/>
    </row>
    <row r="31" spans="1:26" s="42" customFormat="1" ht="15" customHeight="1">
      <c r="A31" s="1284"/>
      <c r="B31" s="272"/>
      <c r="C31" s="1284" t="s">
        <v>244</v>
      </c>
      <c r="D31" s="1691">
        <v>0.8</v>
      </c>
      <c r="E31" s="1742">
        <v>0</v>
      </c>
      <c r="F31" s="1742">
        <v>0</v>
      </c>
      <c r="G31" s="1741"/>
      <c r="H31" s="1739">
        <f>IF(J$6=0,0,(J$6*$E31+$G31+X15))</f>
        <v>0</v>
      </c>
      <c r="I31" s="1722">
        <f>H31*$D31</f>
        <v>0</v>
      </c>
      <c r="J31" s="45"/>
      <c r="K31" s="1740">
        <f>IF(M$6=0,0,(M$6*$E31+$G31+Y15))</f>
        <v>0</v>
      </c>
      <c r="L31" s="1564">
        <f>K31*$D31</f>
        <v>0</v>
      </c>
      <c r="M31" s="1557"/>
      <c r="N31" s="1739">
        <f>IF(P$6=0,0,(P$6*$E31+$G31+Z15))</f>
        <v>0</v>
      </c>
      <c r="O31" s="1722">
        <f>N31*$D31</f>
        <v>0</v>
      </c>
      <c r="P31" s="1686"/>
      <c r="Q31" s="3098"/>
    </row>
    <row r="32" spans="1:26" s="42" customFormat="1" ht="15" customHeight="1">
      <c r="A32" s="1284"/>
      <c r="B32" s="272"/>
      <c r="C32" s="1284" t="s">
        <v>242</v>
      </c>
      <c r="D32" s="1691">
        <v>0.6</v>
      </c>
      <c r="E32" s="1742">
        <v>0</v>
      </c>
      <c r="F32" s="1742">
        <v>0</v>
      </c>
      <c r="G32" s="1741"/>
      <c r="H32" s="1739">
        <f>IF(J$6=0,0,(J$6*$E32+$G32+X16))</f>
        <v>0</v>
      </c>
      <c r="I32" s="1722">
        <f>H32*$D32</f>
        <v>0</v>
      </c>
      <c r="J32" s="45"/>
      <c r="K32" s="1740">
        <f>IF(M$6=0,0,(M$6*$E32+$G32+Y16))</f>
        <v>0</v>
      </c>
      <c r="L32" s="1564">
        <f>K32*$D32</f>
        <v>0</v>
      </c>
      <c r="M32" s="1557"/>
      <c r="N32" s="1739">
        <f>IF(P$6=0,0,(P$6*$E32+$G32+Z16))</f>
        <v>0</v>
      </c>
      <c r="O32" s="1722">
        <f>N32*$D32</f>
        <v>0</v>
      </c>
      <c r="P32" s="1686"/>
      <c r="Q32" s="3098"/>
    </row>
    <row r="33" spans="1:17" s="42" customFormat="1" ht="15" customHeight="1">
      <c r="A33" s="1284"/>
      <c r="B33" s="239"/>
      <c r="C33" s="1309" t="s">
        <v>240</v>
      </c>
      <c r="D33" s="1674">
        <v>0.5</v>
      </c>
      <c r="E33" s="1738">
        <v>0</v>
      </c>
      <c r="F33" s="1738">
        <v>0</v>
      </c>
      <c r="G33" s="1737"/>
      <c r="H33" s="1735">
        <f>IF(J$6=0,0,(J$6*$E33+$G33+X17))</f>
        <v>0</v>
      </c>
      <c r="I33" s="1718">
        <f>H33*$D33</f>
        <v>0</v>
      </c>
      <c r="J33" s="45"/>
      <c r="K33" s="1736">
        <f>IF(M$6=0,0,(M$6*$E33+$G33+Y17))</f>
        <v>0</v>
      </c>
      <c r="L33" s="1558">
        <f>K33*$D33</f>
        <v>0</v>
      </c>
      <c r="M33" s="1557"/>
      <c r="N33" s="1735">
        <f>IF(P$6=0,0,(P$6*$E33+$G33+Z17))</f>
        <v>0</v>
      </c>
      <c r="O33" s="1718">
        <f>N33*$D33</f>
        <v>0</v>
      </c>
      <c r="P33" s="1717"/>
      <c r="Q33" s="3098"/>
    </row>
    <row r="34" spans="1:17" s="3077" customFormat="1" ht="18.75" customHeight="1">
      <c r="A34" s="1248"/>
      <c r="B34" s="1254" t="s">
        <v>1178</v>
      </c>
      <c r="C34" s="1248"/>
      <c r="D34" s="3079"/>
      <c r="E34" s="3079"/>
      <c r="F34" s="4927" t="s">
        <v>1177</v>
      </c>
      <c r="G34" s="4928"/>
      <c r="H34" s="1732"/>
      <c r="I34" s="1731"/>
      <c r="J34" s="3102">
        <f>SUM(I36:I42)</f>
        <v>0</v>
      </c>
      <c r="K34" s="1734"/>
      <c r="L34" s="1733"/>
      <c r="M34" s="3103">
        <f>SUM(L36:L42)</f>
        <v>0</v>
      </c>
      <c r="N34" s="1732"/>
      <c r="O34" s="1731"/>
      <c r="P34" s="3102">
        <f>SUM(O36:O42)</f>
        <v>0</v>
      </c>
      <c r="Q34" s="3098"/>
    </row>
    <row r="35" spans="1:17" s="3077" customFormat="1" ht="13.15" customHeight="1">
      <c r="A35" s="1248"/>
      <c r="B35" s="1581"/>
      <c r="C35" s="1580" t="s">
        <v>1156</v>
      </c>
      <c r="D35" s="1651">
        <v>0</v>
      </c>
      <c r="E35" s="3150"/>
      <c r="F35" s="3104" t="s">
        <v>249</v>
      </c>
      <c r="G35" s="3141" t="s">
        <v>1155</v>
      </c>
      <c r="H35" s="3151" t="s">
        <v>1176</v>
      </c>
      <c r="I35" s="3106" t="s">
        <v>171</v>
      </c>
      <c r="J35" s="1730"/>
      <c r="K35" s="3152" t="s">
        <v>1176</v>
      </c>
      <c r="L35" s="3109" t="s">
        <v>171</v>
      </c>
      <c r="M35" s="1728"/>
      <c r="N35" s="3151" t="s">
        <v>1176</v>
      </c>
      <c r="O35" s="3106" t="s">
        <v>171</v>
      </c>
      <c r="P35" s="3107"/>
      <c r="Q35" s="3098"/>
    </row>
    <row r="36" spans="1:17" s="42" customFormat="1" ht="15" customHeight="1">
      <c r="A36" s="1284"/>
      <c r="B36" s="1562"/>
      <c r="C36" s="4884"/>
      <c r="D36" s="4884"/>
      <c r="E36" s="4885"/>
      <c r="F36" s="1724">
        <f>IF(C36="",0,VLOOKUP(C36,'SDK5'!C3:AF83,2,FALSE))</f>
        <v>0</v>
      </c>
      <c r="G36" s="1724">
        <f t="shared" ref="G36:G42" si="0">F36*(100+$D$35)/100</f>
        <v>0</v>
      </c>
      <c r="H36" s="3153"/>
      <c r="I36" s="1722">
        <f t="shared" ref="I36:I42" si="1">$G36*H36</f>
        <v>0</v>
      </c>
      <c r="J36" s="45"/>
      <c r="K36" s="3153"/>
      <c r="L36" s="1564">
        <f t="shared" ref="L36:L42" si="2">$G36*K36</f>
        <v>0</v>
      </c>
      <c r="M36" s="1557"/>
      <c r="N36" s="3153"/>
      <c r="O36" s="1722">
        <f t="shared" ref="O36:O42" si="3">$G36*N36</f>
        <v>0</v>
      </c>
      <c r="P36" s="1726"/>
      <c r="Q36" s="3098"/>
    </row>
    <row r="37" spans="1:17" s="42" customFormat="1" ht="15" customHeight="1">
      <c r="A37" s="1284"/>
      <c r="B37" s="1562"/>
      <c r="C37" s="4870"/>
      <c r="D37" s="4870"/>
      <c r="E37" s="4871"/>
      <c r="F37" s="1724">
        <f>IF(C37="",0,VLOOKUP(C37,'SDK5'!C4:AF84,2,FALSE))</f>
        <v>0</v>
      </c>
      <c r="G37" s="1724">
        <f t="shared" si="0"/>
        <v>0</v>
      </c>
      <c r="H37" s="3153"/>
      <c r="I37" s="1722">
        <f t="shared" si="1"/>
        <v>0</v>
      </c>
      <c r="J37" s="45"/>
      <c r="K37" s="3153"/>
      <c r="L37" s="1564">
        <f t="shared" si="2"/>
        <v>0</v>
      </c>
      <c r="M37" s="1557"/>
      <c r="N37" s="3153"/>
      <c r="O37" s="1722">
        <f t="shared" si="3"/>
        <v>0</v>
      </c>
      <c r="P37" s="1686"/>
      <c r="Q37" s="3098"/>
    </row>
    <row r="38" spans="1:17" s="42" customFormat="1" ht="15" customHeight="1">
      <c r="A38" s="1284"/>
      <c r="B38" s="1725"/>
      <c r="C38" s="4870"/>
      <c r="D38" s="4870"/>
      <c r="E38" s="4871"/>
      <c r="F38" s="1724">
        <f>IF(C38="",0,VLOOKUP(C38,'SDK5'!C5:AF85,2,FALSE))</f>
        <v>0</v>
      </c>
      <c r="G38" s="1724">
        <f t="shared" si="0"/>
        <v>0</v>
      </c>
      <c r="H38" s="3153"/>
      <c r="I38" s="1722">
        <f t="shared" si="1"/>
        <v>0</v>
      </c>
      <c r="J38" s="45"/>
      <c r="K38" s="3153"/>
      <c r="L38" s="1564">
        <f t="shared" si="2"/>
        <v>0</v>
      </c>
      <c r="M38" s="1557"/>
      <c r="N38" s="3153"/>
      <c r="O38" s="1722">
        <f t="shared" si="3"/>
        <v>0</v>
      </c>
      <c r="P38" s="1686"/>
      <c r="Q38" s="3098"/>
    </row>
    <row r="39" spans="1:17" s="42" customFormat="1" ht="15" customHeight="1">
      <c r="A39" s="1284"/>
      <c r="B39" s="1562"/>
      <c r="C39" s="4870"/>
      <c r="D39" s="4870"/>
      <c r="E39" s="4871"/>
      <c r="F39" s="1724">
        <f>IF(C39="",0,VLOOKUP(C39,'SDK5'!C6:AF86,2,FALSE))</f>
        <v>0</v>
      </c>
      <c r="G39" s="1724">
        <f t="shared" si="0"/>
        <v>0</v>
      </c>
      <c r="H39" s="3153"/>
      <c r="I39" s="1722">
        <f t="shared" si="1"/>
        <v>0</v>
      </c>
      <c r="J39" s="45"/>
      <c r="K39" s="3153"/>
      <c r="L39" s="1564">
        <f t="shared" si="2"/>
        <v>0</v>
      </c>
      <c r="M39" s="1557"/>
      <c r="N39" s="3153"/>
      <c r="O39" s="1722">
        <f t="shared" si="3"/>
        <v>0</v>
      </c>
      <c r="P39" s="1686"/>
      <c r="Q39" s="3098"/>
    </row>
    <row r="40" spans="1:17" s="42" customFormat="1" ht="15" customHeight="1">
      <c r="A40" s="1284"/>
      <c r="B40" s="1562"/>
      <c r="C40" s="4870"/>
      <c r="D40" s="4870"/>
      <c r="E40" s="4871"/>
      <c r="F40" s="1724">
        <f>IF(C40="",0,VLOOKUP(C40,'SDK5'!C7:AF87,2,FALSE))</f>
        <v>0</v>
      </c>
      <c r="G40" s="1724">
        <f t="shared" si="0"/>
        <v>0</v>
      </c>
      <c r="H40" s="3153"/>
      <c r="I40" s="1722">
        <f t="shared" si="1"/>
        <v>0</v>
      </c>
      <c r="J40" s="45"/>
      <c r="K40" s="3153"/>
      <c r="L40" s="1564">
        <f t="shared" si="2"/>
        <v>0</v>
      </c>
      <c r="M40" s="1557"/>
      <c r="N40" s="3153"/>
      <c r="O40" s="1722">
        <f t="shared" si="3"/>
        <v>0</v>
      </c>
      <c r="P40" s="1686"/>
      <c r="Q40" s="3098"/>
    </row>
    <row r="41" spans="1:17" s="42" customFormat="1" ht="15" customHeight="1">
      <c r="A41" s="1284"/>
      <c r="B41" s="1562"/>
      <c r="C41" s="4870"/>
      <c r="D41" s="4870"/>
      <c r="E41" s="4871"/>
      <c r="F41" s="1724">
        <f>IF(C41="",0,VLOOKUP(C41,'SDK5'!C8:AF88,2,FALSE))</f>
        <v>0</v>
      </c>
      <c r="G41" s="1724">
        <f t="shared" si="0"/>
        <v>0</v>
      </c>
      <c r="H41" s="3153"/>
      <c r="I41" s="1722">
        <f t="shared" si="1"/>
        <v>0</v>
      </c>
      <c r="J41" s="45"/>
      <c r="K41" s="3153"/>
      <c r="L41" s="1564">
        <f t="shared" si="2"/>
        <v>0</v>
      </c>
      <c r="M41" s="1557"/>
      <c r="N41" s="3153"/>
      <c r="O41" s="1722">
        <f t="shared" si="3"/>
        <v>0</v>
      </c>
      <c r="P41" s="1686"/>
      <c r="Q41" s="3098"/>
    </row>
    <row r="42" spans="1:17" s="42" customFormat="1" ht="15" customHeight="1">
      <c r="A42" s="1284"/>
      <c r="B42" s="1721"/>
      <c r="C42" s="4856"/>
      <c r="D42" s="4856"/>
      <c r="E42" s="4857"/>
      <c r="F42" s="1720">
        <f>IF(C42="",0,VLOOKUP(C42,'SDK5'!C9:AF89,2,FALSE))</f>
        <v>0</v>
      </c>
      <c r="G42" s="1720">
        <f t="shared" si="0"/>
        <v>0</v>
      </c>
      <c r="H42" s="3154"/>
      <c r="I42" s="1718">
        <f t="shared" si="1"/>
        <v>0</v>
      </c>
      <c r="J42" s="45"/>
      <c r="K42" s="3154"/>
      <c r="L42" s="1558">
        <f t="shared" si="2"/>
        <v>0</v>
      </c>
      <c r="M42" s="1557"/>
      <c r="N42" s="3154"/>
      <c r="O42" s="1718">
        <f t="shared" si="3"/>
        <v>0</v>
      </c>
      <c r="P42" s="1717"/>
      <c r="Q42" s="3098"/>
    </row>
    <row r="43" spans="1:17" s="3077" customFormat="1" ht="18.75" customHeight="1">
      <c r="A43" s="1248"/>
      <c r="B43" s="1254" t="s">
        <v>1175</v>
      </c>
      <c r="C43" s="1248"/>
      <c r="D43" s="1248"/>
      <c r="E43" s="1248"/>
      <c r="F43" s="1248"/>
      <c r="G43" s="1588"/>
      <c r="H43" s="1714"/>
      <c r="I43" s="1713"/>
      <c r="J43" s="3102">
        <f>SUM(J46:J57)</f>
        <v>0</v>
      </c>
      <c r="K43" s="1716"/>
      <c r="L43" s="1715"/>
      <c r="M43" s="3103">
        <f>SUM(M46:M57)</f>
        <v>0</v>
      </c>
      <c r="N43" s="1714"/>
      <c r="O43" s="1713"/>
      <c r="P43" s="3102">
        <f>SUM(P46:P57)</f>
        <v>0</v>
      </c>
      <c r="Q43" s="3098"/>
    </row>
    <row r="44" spans="1:17" s="42" customFormat="1" ht="15" customHeight="1">
      <c r="A44" s="1284"/>
      <c r="B44" s="1312"/>
      <c r="C44" s="1284" t="s">
        <v>1174</v>
      </c>
      <c r="D44" s="1284"/>
      <c r="E44" s="1712" t="s">
        <v>466</v>
      </c>
      <c r="F44" s="1711" t="s">
        <v>1173</v>
      </c>
      <c r="G44" s="1710"/>
      <c r="H44" s="367" t="s">
        <v>1172</v>
      </c>
      <c r="I44" s="1706" t="s">
        <v>1171</v>
      </c>
      <c r="J44" s="3155"/>
      <c r="K44" s="1709" t="s">
        <v>1172</v>
      </c>
      <c r="L44" s="1708" t="s">
        <v>1171</v>
      </c>
      <c r="M44" s="3156"/>
      <c r="N44" s="367" t="s">
        <v>1172</v>
      </c>
      <c r="O44" s="1706" t="s">
        <v>1171</v>
      </c>
      <c r="P44" s="3155"/>
      <c r="Q44" s="3098"/>
    </row>
    <row r="45" spans="1:17" s="42" customFormat="1" ht="15" customHeight="1">
      <c r="A45" s="1284"/>
      <c r="B45" s="3157"/>
      <c r="C45" s="3158"/>
      <c r="D45" s="1704"/>
      <c r="E45" s="3149" t="s">
        <v>1170</v>
      </c>
      <c r="F45" s="3149" t="s">
        <v>1169</v>
      </c>
      <c r="G45" s="3149" t="s">
        <v>556</v>
      </c>
      <c r="H45" s="1700" t="s">
        <v>1168</v>
      </c>
      <c r="I45" s="3104" t="s">
        <v>114</v>
      </c>
      <c r="J45" s="3159" t="s">
        <v>171</v>
      </c>
      <c r="K45" s="1703" t="s">
        <v>1168</v>
      </c>
      <c r="L45" s="3160" t="s">
        <v>114</v>
      </c>
      <c r="M45" s="3161" t="s">
        <v>171</v>
      </c>
      <c r="N45" s="1700" t="s">
        <v>1168</v>
      </c>
      <c r="O45" s="3104" t="s">
        <v>114</v>
      </c>
      <c r="P45" s="3159" t="s">
        <v>171</v>
      </c>
      <c r="Q45" s="3098"/>
    </row>
    <row r="46" spans="1:17" s="42" customFormat="1" ht="15" customHeight="1">
      <c r="A46" s="1284"/>
      <c r="B46" s="1698"/>
      <c r="C46" s="4858"/>
      <c r="D46" s="4859"/>
      <c r="E46" s="1693">
        <v>0</v>
      </c>
      <c r="F46" s="1692">
        <v>0</v>
      </c>
      <c r="G46" s="1691">
        <v>0</v>
      </c>
      <c r="H46" s="1696"/>
      <c r="I46" s="1695">
        <f t="shared" ref="I46:I56"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098">
        <f>$Q$2*H46</f>
        <v>0</v>
      </c>
    </row>
    <row r="47" spans="1:17" s="42" customFormat="1" ht="15" customHeight="1">
      <c r="A47" s="1284"/>
      <c r="B47" s="1694"/>
      <c r="C47" s="4882"/>
      <c r="D47" s="4883"/>
      <c r="E47" s="1693">
        <v>0</v>
      </c>
      <c r="F47" s="1692">
        <v>0</v>
      </c>
      <c r="G47" s="1691">
        <v>0</v>
      </c>
      <c r="H47" s="1688"/>
      <c r="I47" s="1687">
        <f t="shared" si="4"/>
        <v>0</v>
      </c>
      <c r="J47" s="1686">
        <f t="shared" si="5"/>
        <v>0</v>
      </c>
      <c r="K47" s="1688"/>
      <c r="L47" s="1690">
        <f t="shared" si="6"/>
        <v>0</v>
      </c>
      <c r="M47" s="1689">
        <f t="shared" si="7"/>
        <v>0</v>
      </c>
      <c r="N47" s="1688"/>
      <c r="O47" s="1687">
        <f t="shared" si="8"/>
        <v>0</v>
      </c>
      <c r="P47" s="1686">
        <f t="shared" si="9"/>
        <v>0</v>
      </c>
      <c r="Q47" s="3098"/>
    </row>
    <row r="48" spans="1:17" s="42" customFormat="1" ht="15" customHeight="1">
      <c r="A48" s="1284"/>
      <c r="B48" s="1694"/>
      <c r="C48" s="4882"/>
      <c r="D48" s="4883"/>
      <c r="E48" s="1693">
        <v>0</v>
      </c>
      <c r="F48" s="1692">
        <v>0</v>
      </c>
      <c r="G48" s="1691">
        <v>0</v>
      </c>
      <c r="H48" s="1688"/>
      <c r="I48" s="1687">
        <f t="shared" si="4"/>
        <v>0</v>
      </c>
      <c r="J48" s="1686">
        <f t="shared" si="5"/>
        <v>0</v>
      </c>
      <c r="K48" s="1688"/>
      <c r="L48" s="1690">
        <f t="shared" si="6"/>
        <v>0</v>
      </c>
      <c r="M48" s="1689">
        <f t="shared" si="7"/>
        <v>0</v>
      </c>
      <c r="N48" s="1688"/>
      <c r="O48" s="1687">
        <f t="shared" si="8"/>
        <v>0</v>
      </c>
      <c r="P48" s="1686">
        <f t="shared" si="9"/>
        <v>0</v>
      </c>
      <c r="Q48" s="3098"/>
    </row>
    <row r="49" spans="1:17" s="42" customFormat="1" ht="15" customHeight="1">
      <c r="A49" s="1284"/>
      <c r="B49" s="1694"/>
      <c r="C49" s="4882"/>
      <c r="D49" s="4883"/>
      <c r="E49" s="1693">
        <v>0</v>
      </c>
      <c r="F49" s="1692">
        <v>0</v>
      </c>
      <c r="G49" s="1691">
        <v>0</v>
      </c>
      <c r="H49" s="1688"/>
      <c r="I49" s="1687">
        <f t="shared" si="4"/>
        <v>0</v>
      </c>
      <c r="J49" s="1686">
        <f t="shared" si="5"/>
        <v>0</v>
      </c>
      <c r="K49" s="1688"/>
      <c r="L49" s="1690">
        <f t="shared" si="6"/>
        <v>0</v>
      </c>
      <c r="M49" s="1689">
        <f t="shared" si="7"/>
        <v>0</v>
      </c>
      <c r="N49" s="1688"/>
      <c r="O49" s="1687">
        <f t="shared" si="8"/>
        <v>0</v>
      </c>
      <c r="P49" s="1686">
        <f t="shared" si="9"/>
        <v>0</v>
      </c>
      <c r="Q49" s="3098"/>
    </row>
    <row r="50" spans="1:17" s="42" customFormat="1" ht="15" customHeight="1">
      <c r="A50" s="1284"/>
      <c r="B50" s="1694"/>
      <c r="C50" s="4882"/>
      <c r="D50" s="4883"/>
      <c r="E50" s="1693">
        <v>0</v>
      </c>
      <c r="F50" s="1692">
        <v>0</v>
      </c>
      <c r="G50" s="1691">
        <v>0</v>
      </c>
      <c r="H50" s="1688"/>
      <c r="I50" s="1687">
        <f t="shared" si="4"/>
        <v>0</v>
      </c>
      <c r="J50" s="1686">
        <f t="shared" si="5"/>
        <v>0</v>
      </c>
      <c r="K50" s="1688"/>
      <c r="L50" s="1690">
        <f t="shared" si="6"/>
        <v>0</v>
      </c>
      <c r="M50" s="1689">
        <f t="shared" si="7"/>
        <v>0</v>
      </c>
      <c r="N50" s="1688"/>
      <c r="O50" s="1687">
        <f t="shared" si="8"/>
        <v>0</v>
      </c>
      <c r="P50" s="1686">
        <f t="shared" si="9"/>
        <v>0</v>
      </c>
      <c r="Q50" s="3098"/>
    </row>
    <row r="51" spans="1:17" s="42" customFormat="1" ht="15" customHeight="1">
      <c r="A51" s="1284"/>
      <c r="B51" s="1694"/>
      <c r="C51" s="4882"/>
      <c r="D51" s="4883"/>
      <c r="E51" s="1693">
        <v>0</v>
      </c>
      <c r="F51" s="1692">
        <v>0</v>
      </c>
      <c r="G51" s="1691">
        <v>0</v>
      </c>
      <c r="H51" s="1688"/>
      <c r="I51" s="1687">
        <f t="shared" si="4"/>
        <v>0</v>
      </c>
      <c r="J51" s="1686">
        <f t="shared" si="5"/>
        <v>0</v>
      </c>
      <c r="K51" s="1688"/>
      <c r="L51" s="1690">
        <f t="shared" si="6"/>
        <v>0</v>
      </c>
      <c r="M51" s="1689">
        <f t="shared" si="7"/>
        <v>0</v>
      </c>
      <c r="N51" s="1688"/>
      <c r="O51" s="1687">
        <f t="shared" si="8"/>
        <v>0</v>
      </c>
      <c r="P51" s="1686">
        <f t="shared" si="9"/>
        <v>0</v>
      </c>
      <c r="Q51" s="3098"/>
    </row>
    <row r="52" spans="1:17" s="42" customFormat="1" ht="15" customHeight="1">
      <c r="A52" s="1284"/>
      <c r="B52" s="1694"/>
      <c r="C52" s="4882"/>
      <c r="D52" s="4883"/>
      <c r="E52" s="1693">
        <v>0</v>
      </c>
      <c r="F52" s="1692">
        <v>0</v>
      </c>
      <c r="G52" s="1691">
        <v>0</v>
      </c>
      <c r="H52" s="1688"/>
      <c r="I52" s="1687">
        <f t="shared" si="4"/>
        <v>0</v>
      </c>
      <c r="J52" s="1686">
        <f t="shared" si="5"/>
        <v>0</v>
      </c>
      <c r="K52" s="1688"/>
      <c r="L52" s="1690">
        <f t="shared" si="6"/>
        <v>0</v>
      </c>
      <c r="M52" s="1689">
        <f t="shared" si="7"/>
        <v>0</v>
      </c>
      <c r="N52" s="1688"/>
      <c r="O52" s="1687">
        <f t="shared" si="8"/>
        <v>0</v>
      </c>
      <c r="P52" s="1686">
        <f t="shared" si="9"/>
        <v>0</v>
      </c>
      <c r="Q52" s="3098"/>
    </row>
    <row r="53" spans="1:17" s="42" customFormat="1" ht="15" customHeight="1">
      <c r="A53" s="1284"/>
      <c r="B53" s="1694"/>
      <c r="C53" s="4882"/>
      <c r="D53" s="4883"/>
      <c r="E53" s="1693">
        <v>0</v>
      </c>
      <c r="F53" s="1692">
        <v>0</v>
      </c>
      <c r="G53" s="1691">
        <v>0</v>
      </c>
      <c r="H53" s="1688"/>
      <c r="I53" s="1687">
        <f t="shared" si="4"/>
        <v>0</v>
      </c>
      <c r="J53" s="1686">
        <f t="shared" si="5"/>
        <v>0</v>
      </c>
      <c r="K53" s="1688"/>
      <c r="L53" s="1690">
        <f t="shared" si="6"/>
        <v>0</v>
      </c>
      <c r="M53" s="1689">
        <f t="shared" si="7"/>
        <v>0</v>
      </c>
      <c r="N53" s="1688"/>
      <c r="O53" s="1687">
        <f t="shared" si="8"/>
        <v>0</v>
      </c>
      <c r="P53" s="1686">
        <f t="shared" si="9"/>
        <v>0</v>
      </c>
      <c r="Q53" s="3098"/>
    </row>
    <row r="54" spans="1:17" s="42" customFormat="1" ht="15" customHeight="1">
      <c r="A54" s="1284"/>
      <c r="B54" s="1694"/>
      <c r="C54" s="4882"/>
      <c r="D54" s="4883"/>
      <c r="E54" s="1693">
        <v>0</v>
      </c>
      <c r="F54" s="1692">
        <v>0</v>
      </c>
      <c r="G54" s="1691">
        <v>0</v>
      </c>
      <c r="H54" s="1688"/>
      <c r="I54" s="1687">
        <f t="shared" si="4"/>
        <v>0</v>
      </c>
      <c r="J54" s="1686">
        <f t="shared" si="5"/>
        <v>0</v>
      </c>
      <c r="K54" s="1688"/>
      <c r="L54" s="1690">
        <f t="shared" si="6"/>
        <v>0</v>
      </c>
      <c r="M54" s="1689">
        <f t="shared" si="7"/>
        <v>0</v>
      </c>
      <c r="N54" s="1688"/>
      <c r="O54" s="1687">
        <f t="shared" si="8"/>
        <v>0</v>
      </c>
      <c r="P54" s="1686">
        <f t="shared" si="9"/>
        <v>0</v>
      </c>
      <c r="Q54" s="3098"/>
    </row>
    <row r="55" spans="1:17" s="42" customFormat="1" ht="15" customHeight="1">
      <c r="A55" s="1284"/>
      <c r="B55" s="1694"/>
      <c r="C55" s="4882"/>
      <c r="D55" s="4883"/>
      <c r="E55" s="1693">
        <v>0</v>
      </c>
      <c r="F55" s="1692">
        <v>0</v>
      </c>
      <c r="G55" s="1691">
        <v>0</v>
      </c>
      <c r="H55" s="1688"/>
      <c r="I55" s="1687">
        <f t="shared" si="4"/>
        <v>0</v>
      </c>
      <c r="J55" s="1686">
        <f t="shared" si="5"/>
        <v>0</v>
      </c>
      <c r="K55" s="1688"/>
      <c r="L55" s="1690">
        <f t="shared" si="6"/>
        <v>0</v>
      </c>
      <c r="M55" s="1689">
        <f t="shared" si="7"/>
        <v>0</v>
      </c>
      <c r="N55" s="1688"/>
      <c r="O55" s="1687">
        <f t="shared" si="8"/>
        <v>0</v>
      </c>
      <c r="P55" s="1686">
        <f t="shared" si="9"/>
        <v>0</v>
      </c>
      <c r="Q55" s="3098"/>
    </row>
    <row r="56" spans="1:17" s="42" customFormat="1" ht="15" customHeight="1">
      <c r="A56" s="1284"/>
      <c r="B56" s="1885"/>
      <c r="C56" s="4889"/>
      <c r="D56" s="4890"/>
      <c r="E56" s="1884">
        <v>0</v>
      </c>
      <c r="F56" s="1883">
        <v>0</v>
      </c>
      <c r="G56" s="1882">
        <v>0</v>
      </c>
      <c r="H56" s="1879"/>
      <c r="I56" s="1878">
        <f t="shared" si="4"/>
        <v>0</v>
      </c>
      <c r="J56" s="1877">
        <f t="shared" si="5"/>
        <v>0</v>
      </c>
      <c r="K56" s="1879"/>
      <c r="L56" s="1881">
        <f t="shared" si="6"/>
        <v>0</v>
      </c>
      <c r="M56" s="1880">
        <f t="shared" si="7"/>
        <v>0</v>
      </c>
      <c r="N56" s="1879"/>
      <c r="O56" s="1878">
        <f t="shared" si="8"/>
        <v>0</v>
      </c>
      <c r="P56" s="1877">
        <f t="shared" si="9"/>
        <v>0</v>
      </c>
      <c r="Q56" s="3098"/>
    </row>
    <row r="57" spans="1:17" s="42" customFormat="1" ht="47.25" customHeight="1">
      <c r="A57" s="1284"/>
      <c r="B57" s="1625"/>
      <c r="C57" s="4912" t="s">
        <v>396</v>
      </c>
      <c r="D57" s="4913"/>
      <c r="E57" s="1676">
        <v>83</v>
      </c>
      <c r="F57" s="1675">
        <v>1</v>
      </c>
      <c r="G57" s="1674">
        <v>14.188926823529412</v>
      </c>
      <c r="H57" s="1672">
        <f>H11/50</f>
        <v>0</v>
      </c>
      <c r="I57" s="1671">
        <f>$F57*H57</f>
        <v>0</v>
      </c>
      <c r="J57" s="3162">
        <f t="shared" si="5"/>
        <v>0</v>
      </c>
      <c r="K57" s="1672">
        <f>K11/50</f>
        <v>0</v>
      </c>
      <c r="L57" s="1673">
        <f t="shared" si="6"/>
        <v>0</v>
      </c>
      <c r="M57" s="3163">
        <f t="shared" si="7"/>
        <v>0</v>
      </c>
      <c r="N57" s="1672">
        <f>N11/50</f>
        <v>0</v>
      </c>
      <c r="O57" s="1671">
        <f t="shared" si="8"/>
        <v>0</v>
      </c>
      <c r="P57" s="3162">
        <f t="shared" si="9"/>
        <v>0</v>
      </c>
      <c r="Q57" s="3098"/>
    </row>
    <row r="58" spans="1:17" s="65" customFormat="1" ht="18.75" customHeight="1">
      <c r="A58" s="1351"/>
      <c r="B58" s="1254" t="s">
        <v>1167</v>
      </c>
      <c r="C58" s="1351"/>
      <c r="D58" s="1351"/>
      <c r="E58" s="1351"/>
      <c r="F58" s="3098"/>
      <c r="G58" s="1588"/>
      <c r="H58" s="1665"/>
      <c r="I58" s="3164">
        <f>SUM($I$46:$I$57)</f>
        <v>0</v>
      </c>
      <c r="J58" s="3165"/>
      <c r="K58" s="1668"/>
      <c r="L58" s="3166">
        <f>SUM($L$46:$L$57)</f>
        <v>0</v>
      </c>
      <c r="M58" s="3167"/>
      <c r="N58" s="1665"/>
      <c r="O58" s="3164">
        <f>SUM($O$46:$O$57)</f>
        <v>0</v>
      </c>
      <c r="P58" s="3168"/>
      <c r="Q58" s="3098"/>
    </row>
    <row r="59" spans="1:17" s="65" customFormat="1" ht="15" customHeight="1">
      <c r="A59" s="1351"/>
      <c r="B59" s="1662"/>
      <c r="C59" s="3169"/>
      <c r="D59" s="278" t="s">
        <v>1166</v>
      </c>
      <c r="E59" s="1661">
        <v>80</v>
      </c>
      <c r="F59" s="3169" t="s">
        <v>1165</v>
      </c>
      <c r="G59" s="3170"/>
      <c r="H59" s="1656"/>
      <c r="I59" s="3171">
        <f>IF(I58+SUM($I$46:$I$57)*$E$59%&gt;I58+10,I58+10,I58+SUM($I$46:$I$57)*$E$59%)</f>
        <v>0</v>
      </c>
      <c r="J59" s="1654"/>
      <c r="K59" s="1659"/>
      <c r="L59" s="3172">
        <f>IF(L58+SUM($L$46:$L$57)*$E$59%&gt;L58+10,L58+10,L58+SUM($L$46:$L$57)*$E$59%)</f>
        <v>0</v>
      </c>
      <c r="M59" s="1657"/>
      <c r="N59" s="1656"/>
      <c r="O59" s="3171">
        <f>IF(O58+SUM($O$46:$O$57)*$E$59%&gt;O58+10,O58+10,O58+SUM($O$46:$O$57)*$E$59%)</f>
        <v>0</v>
      </c>
      <c r="P59" s="1654"/>
      <c r="Q59" s="3098"/>
    </row>
    <row r="60" spans="1:17" s="42" customFormat="1" ht="18.75" customHeight="1">
      <c r="A60" s="1284"/>
      <c r="B60" s="1254" t="s">
        <v>1164</v>
      </c>
      <c r="C60" s="1351"/>
      <c r="D60" s="1351"/>
      <c r="E60" s="45"/>
      <c r="F60" s="45"/>
      <c r="G60" s="1653"/>
      <c r="H60" s="1645"/>
      <c r="I60" s="1644"/>
      <c r="J60" s="3173">
        <f>IF(J6=0,0,SUM(I62:I64))</f>
        <v>0</v>
      </c>
      <c r="K60" s="1648"/>
      <c r="L60" s="1647"/>
      <c r="M60" s="3103">
        <f>IF(M6=0,0,SUM(L62:L64))</f>
        <v>0</v>
      </c>
      <c r="N60" s="1645"/>
      <c r="O60" s="1644"/>
      <c r="P60" s="3173">
        <f>IF(P6=0,0,SUM(O62:O64))</f>
        <v>0</v>
      </c>
      <c r="Q60" s="3098"/>
    </row>
    <row r="61" spans="1:17" s="42" customFormat="1" ht="13.15" customHeight="1">
      <c r="A61" s="1284"/>
      <c r="B61" s="1581"/>
      <c r="C61" s="1580" t="s">
        <v>1156</v>
      </c>
      <c r="D61" s="1651">
        <v>0</v>
      </c>
      <c r="E61" s="3150"/>
      <c r="F61" s="3104" t="s">
        <v>249</v>
      </c>
      <c r="G61" s="3141" t="s">
        <v>1155</v>
      </c>
      <c r="H61" s="1645"/>
      <c r="I61" s="1644"/>
      <c r="J61" s="3174"/>
      <c r="K61" s="1648"/>
      <c r="L61" s="1647"/>
      <c r="M61" s="3147"/>
      <c r="N61" s="1645"/>
      <c r="O61" s="1644"/>
      <c r="P61" s="3175"/>
      <c r="Q61" s="3098"/>
    </row>
    <row r="62" spans="1:17" s="42" customFormat="1" ht="15" customHeight="1">
      <c r="A62" s="1284"/>
      <c r="B62" s="1562"/>
      <c r="C62" s="4860"/>
      <c r="D62" s="4860"/>
      <c r="E62" s="4860"/>
      <c r="F62" s="1642">
        <v>0</v>
      </c>
      <c r="G62" s="1641">
        <f>(100+$D$61)/100*F62</f>
        <v>0</v>
      </c>
      <c r="H62" s="227"/>
      <c r="I62" s="1637">
        <f>$G$62</f>
        <v>0</v>
      </c>
      <c r="J62" s="227"/>
      <c r="K62" s="1640"/>
      <c r="L62" s="1639">
        <f>$G$62</f>
        <v>0</v>
      </c>
      <c r="M62" s="1557"/>
      <c r="N62" s="1638"/>
      <c r="O62" s="1637">
        <f>$G$62</f>
        <v>0</v>
      </c>
      <c r="P62" s="1636"/>
      <c r="Q62" s="3098"/>
    </row>
    <row r="63" spans="1:17" s="42" customFormat="1" ht="15" customHeight="1">
      <c r="A63" s="1284"/>
      <c r="B63" s="1635"/>
      <c r="C63" s="4892"/>
      <c r="D63" s="4892"/>
      <c r="E63" s="4893"/>
      <c r="F63" s="1634">
        <v>0</v>
      </c>
      <c r="G63" s="1633">
        <f>(100+$D$61)/100*F63</f>
        <v>0</v>
      </c>
      <c r="H63" s="1632"/>
      <c r="I63" s="1627">
        <f>$G$63</f>
        <v>0</v>
      </c>
      <c r="J63" s="1632"/>
      <c r="K63" s="1631"/>
      <c r="L63" s="1630">
        <f>$G$63</f>
        <v>0</v>
      </c>
      <c r="M63" s="1629"/>
      <c r="N63" s="1628"/>
      <c r="O63" s="1627">
        <f>$G$63</f>
        <v>0</v>
      </c>
      <c r="P63" s="1626"/>
      <c r="Q63" s="3098"/>
    </row>
    <row r="64" spans="1:17" s="42" customFormat="1" ht="15" customHeight="1">
      <c r="A64" s="1284"/>
      <c r="B64" s="1625"/>
      <c r="C64" s="4891"/>
      <c r="D64" s="4891"/>
      <c r="E64" s="4891"/>
      <c r="F64" s="1624">
        <v>0</v>
      </c>
      <c r="G64" s="1623">
        <f>(100+$D$61)/100*F64</f>
        <v>0</v>
      </c>
      <c r="H64" s="1619"/>
      <c r="I64" s="1618">
        <f>H11*$G$64</f>
        <v>0</v>
      </c>
      <c r="J64" s="227"/>
      <c r="K64" s="1622"/>
      <c r="L64" s="1621">
        <f>K11*$G$64</f>
        <v>0</v>
      </c>
      <c r="M64" s="3163"/>
      <c r="N64" s="1619"/>
      <c r="O64" s="1618">
        <f>N11*$G$64</f>
        <v>0</v>
      </c>
      <c r="P64" s="1617"/>
      <c r="Q64" s="3098"/>
    </row>
    <row r="65" spans="1:20" s="3077" customFormat="1" ht="18.75" customHeight="1">
      <c r="A65" s="1248"/>
      <c r="B65" s="1254" t="s">
        <v>1163</v>
      </c>
      <c r="C65" s="1248"/>
      <c r="D65" s="1248"/>
      <c r="E65" s="1248"/>
      <c r="F65" s="3098"/>
      <c r="G65" s="1588"/>
      <c r="H65" s="73"/>
      <c r="I65" s="73"/>
      <c r="J65" s="3102">
        <f>H66*$E66</f>
        <v>0</v>
      </c>
      <c r="K65" s="1597"/>
      <c r="L65" s="1597"/>
      <c r="M65" s="3103">
        <f>K66*$E66</f>
        <v>0</v>
      </c>
      <c r="N65" s="73"/>
      <c r="O65" s="73"/>
      <c r="P65" s="3102">
        <f>N66*$E66</f>
        <v>0</v>
      </c>
      <c r="Q65" s="3098"/>
    </row>
    <row r="66" spans="1:20" s="3077" customFormat="1" ht="15" customHeight="1">
      <c r="A66" s="1248"/>
      <c r="B66" s="1616"/>
      <c r="C66" s="1355"/>
      <c r="D66" s="278" t="s">
        <v>1004</v>
      </c>
      <c r="E66" s="1615"/>
      <c r="F66" s="1590"/>
      <c r="G66" s="1614" t="s">
        <v>463</v>
      </c>
      <c r="H66" s="1612"/>
      <c r="I66" s="1611"/>
      <c r="J66" s="1600"/>
      <c r="K66" s="1612"/>
      <c r="L66" s="1613"/>
      <c r="M66" s="1603"/>
      <c r="N66" s="1612"/>
      <c r="O66" s="1611"/>
      <c r="P66" s="1600"/>
      <c r="Q66" s="3098"/>
    </row>
    <row r="67" spans="1:20" s="3077" customFormat="1" ht="22.9" customHeight="1">
      <c r="A67" s="1248"/>
      <c r="B67" s="1254" t="s">
        <v>1162</v>
      </c>
      <c r="C67" s="1248"/>
      <c r="D67" s="1248"/>
      <c r="E67" s="229"/>
      <c r="F67" s="1610"/>
      <c r="G67" s="1588"/>
      <c r="H67" s="3176" t="s">
        <v>1161</v>
      </c>
      <c r="I67" s="1606" t="s">
        <v>1160</v>
      </c>
      <c r="J67" s="3177">
        <f>R68*(H9+H10)*I68%+F68</f>
        <v>0</v>
      </c>
      <c r="K67" s="3178" t="s">
        <v>1161</v>
      </c>
      <c r="L67" s="1608" t="s">
        <v>1160</v>
      </c>
      <c r="M67" s="3177">
        <f>S68*(K9+K10)*L68%+F68</f>
        <v>0</v>
      </c>
      <c r="N67" s="3176" t="s">
        <v>1161</v>
      </c>
      <c r="O67" s="1606" t="s">
        <v>1160</v>
      </c>
      <c r="P67" s="3177">
        <f>T68*(N9+N10)*O68%+F68</f>
        <v>0</v>
      </c>
      <c r="Q67" s="3098"/>
    </row>
    <row r="68" spans="1:20" s="3077" customFormat="1" ht="15" customHeight="1">
      <c r="A68" s="1248"/>
      <c r="B68" s="3179"/>
      <c r="C68" s="4888" t="s">
        <v>1159</v>
      </c>
      <c r="D68" s="4888"/>
      <c r="E68" s="4922"/>
      <c r="F68" s="1604"/>
      <c r="G68" s="1595" t="s">
        <v>171</v>
      </c>
      <c r="H68" s="1602"/>
      <c r="I68" s="1601"/>
      <c r="J68" s="1600"/>
      <c r="K68" s="1602"/>
      <c r="L68" s="1601"/>
      <c r="M68" s="1603"/>
      <c r="N68" s="1602"/>
      <c r="O68" s="1601"/>
      <c r="P68" s="1600"/>
      <c r="Q68" s="3098"/>
      <c r="R68" s="3180">
        <v>0</v>
      </c>
      <c r="S68" s="3181">
        <v>0</v>
      </c>
      <c r="T68" s="3180">
        <v>0</v>
      </c>
    </row>
    <row r="69" spans="1:20" s="3077" customFormat="1" ht="18.75" customHeight="1">
      <c r="A69" s="1248"/>
      <c r="B69" s="1254" t="s">
        <v>1158</v>
      </c>
      <c r="C69" s="1248"/>
      <c r="D69" s="1248"/>
      <c r="E69" s="3098"/>
      <c r="F69" s="3098"/>
      <c r="G69" s="1588"/>
      <c r="H69" s="44"/>
      <c r="I69" s="73"/>
      <c r="J69" s="3102">
        <f>H70*$F70/1000</f>
        <v>0</v>
      </c>
      <c r="K69" s="1598"/>
      <c r="L69" s="1597"/>
      <c r="M69" s="3103">
        <f>K70*$F70/1000</f>
        <v>0</v>
      </c>
      <c r="N69" s="44"/>
      <c r="O69" s="73"/>
      <c r="P69" s="3102">
        <f>N70*$F70/1000</f>
        <v>0</v>
      </c>
      <c r="Q69" s="3098"/>
    </row>
    <row r="70" spans="1:20" s="3077" customFormat="1" ht="15" customHeight="1">
      <c r="A70" s="1248"/>
      <c r="B70" s="1310"/>
      <c r="C70" s="1309" t="s">
        <v>840</v>
      </c>
      <c r="D70" s="3169"/>
      <c r="E70" s="278"/>
      <c r="F70" s="1930"/>
      <c r="G70" s="1595" t="s">
        <v>171</v>
      </c>
      <c r="H70" s="1591">
        <f>I9+I10</f>
        <v>0</v>
      </c>
      <c r="I70" s="1590"/>
      <c r="J70" s="3182"/>
      <c r="K70" s="1594">
        <f>L9+L10</f>
        <v>0</v>
      </c>
      <c r="L70" s="1593"/>
      <c r="M70" s="3183"/>
      <c r="N70" s="1591">
        <f>O9+O10</f>
        <v>0</v>
      </c>
      <c r="O70" s="1590"/>
      <c r="P70" s="3182"/>
      <c r="Q70" s="3098"/>
    </row>
    <row r="71" spans="1:20" ht="18.75" customHeight="1">
      <c r="A71" s="370"/>
      <c r="B71" s="305" t="s">
        <v>1157</v>
      </c>
      <c r="C71" s="370"/>
      <c r="D71" s="370"/>
      <c r="E71" s="229"/>
      <c r="G71" s="1588"/>
      <c r="H71" s="1584"/>
      <c r="I71" s="1583"/>
      <c r="J71" s="3102">
        <f>SUM(I73:I74)</f>
        <v>0</v>
      </c>
      <c r="K71" s="1587"/>
      <c r="L71" s="1586"/>
      <c r="M71" s="3103">
        <f>SUM(L73:L74)</f>
        <v>0</v>
      </c>
      <c r="N71" s="1584"/>
      <c r="O71" s="1583"/>
      <c r="P71" s="3102">
        <f>SUM(O73:O74)</f>
        <v>0</v>
      </c>
    </row>
    <row r="72" spans="1:20" ht="13.15" customHeight="1">
      <c r="A72" s="370"/>
      <c r="B72" s="1581"/>
      <c r="C72" s="1580" t="s">
        <v>1156</v>
      </c>
      <c r="D72" s="1579">
        <v>0</v>
      </c>
      <c r="E72" s="3150"/>
      <c r="F72" s="1577"/>
      <c r="G72" s="1576"/>
      <c r="H72" s="3149" t="s">
        <v>249</v>
      </c>
      <c r="I72" s="3104" t="s">
        <v>1155</v>
      </c>
      <c r="J72" s="3184"/>
      <c r="K72" s="3185" t="s">
        <v>249</v>
      </c>
      <c r="L72" s="3109" t="s">
        <v>1155</v>
      </c>
      <c r="M72" s="3186"/>
      <c r="N72" s="3187" t="s">
        <v>249</v>
      </c>
      <c r="O72" s="3106" t="s">
        <v>1155</v>
      </c>
      <c r="P72" s="310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098"/>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098"/>
    </row>
    <row r="75" spans="1:20" s="3077" customFormat="1" ht="30.4" customHeight="1">
      <c r="A75" s="1248"/>
      <c r="B75" s="4886" t="s">
        <v>1154</v>
      </c>
      <c r="C75" s="4887"/>
      <c r="D75" s="1553" t="s">
        <v>1153</v>
      </c>
      <c r="E75" s="3188">
        <v>1.4999999999999999E-2</v>
      </c>
      <c r="F75" s="1551" t="s">
        <v>1152</v>
      </c>
      <c r="G75" s="1550">
        <v>7</v>
      </c>
      <c r="H75" s="1548"/>
      <c r="I75" s="1549"/>
      <c r="J75" s="3189">
        <v>0</v>
      </c>
      <c r="K75" s="3078"/>
      <c r="L75" s="3190"/>
      <c r="M75" s="3189">
        <v>0</v>
      </c>
      <c r="N75" s="1548"/>
      <c r="O75" s="1547"/>
      <c r="P75" s="3189">
        <v>0</v>
      </c>
      <c r="Q75" s="3098"/>
    </row>
    <row r="78" spans="1:20">
      <c r="L78" s="3191"/>
    </row>
    <row r="79" spans="1:20">
      <c r="L79" s="3191"/>
    </row>
    <row r="80" spans="1:20">
      <c r="L80" s="3191"/>
    </row>
    <row r="81" spans="1:12">
      <c r="A81" s="3096"/>
      <c r="L81" s="3191"/>
    </row>
    <row r="82" spans="1:12">
      <c r="A82" s="3096"/>
      <c r="L82" s="3191"/>
    </row>
    <row r="83" spans="1:12">
      <c r="A83" s="3096"/>
      <c r="L83" s="3191"/>
    </row>
    <row r="84" spans="1:12">
      <c r="A84" s="3096"/>
      <c r="L84" s="3191"/>
    </row>
    <row r="85" spans="1:12">
      <c r="A85" s="3096"/>
      <c r="L85" s="3191"/>
    </row>
    <row r="86" spans="1:12">
      <c r="A86" s="3096"/>
      <c r="L86" s="3191"/>
    </row>
    <row r="87" spans="1:12">
      <c r="A87" s="3096"/>
      <c r="L87" s="3191"/>
    </row>
    <row r="88" spans="1:12">
      <c r="A88" s="3096"/>
      <c r="L88" s="3191"/>
    </row>
    <row r="89" spans="1:12">
      <c r="A89" s="3096"/>
      <c r="L89" s="3191"/>
    </row>
    <row r="90" spans="1:12">
      <c r="A90" s="3096"/>
      <c r="L90" s="3191"/>
    </row>
    <row r="91" spans="1:12">
      <c r="A91" s="3096"/>
      <c r="L91" s="3191"/>
    </row>
    <row r="92" spans="1:12">
      <c r="A92" s="3096"/>
      <c r="L92" s="3191"/>
    </row>
    <row r="93" spans="1:12">
      <c r="A93" s="3096"/>
      <c r="L93" s="3191"/>
    </row>
    <row r="94" spans="1:12">
      <c r="A94" s="3096"/>
      <c r="L94" s="3191"/>
    </row>
    <row r="95" spans="1:12">
      <c r="A95" s="3096"/>
      <c r="L95" s="3191"/>
    </row>
    <row r="96" spans="1:12">
      <c r="A96" s="3096"/>
      <c r="L96" s="3191"/>
    </row>
    <row r="97" spans="1:12">
      <c r="A97" s="3096"/>
      <c r="L97" s="3191"/>
    </row>
    <row r="98" spans="1:12">
      <c r="A98" s="3096"/>
      <c r="L98" s="3191"/>
    </row>
    <row r="99" spans="1:12">
      <c r="A99" s="3096"/>
      <c r="L99" s="3191"/>
    </row>
    <row r="100" spans="1:12">
      <c r="A100" s="3096"/>
      <c r="L100" s="3191"/>
    </row>
    <row r="101" spans="1:12">
      <c r="A101" s="3096"/>
      <c r="B101" s="3096"/>
      <c r="L101" s="3191"/>
    </row>
    <row r="102" spans="1:12">
      <c r="A102" s="3096"/>
      <c r="B102" s="3096"/>
      <c r="C102" s="3192"/>
      <c r="L102" s="3191"/>
    </row>
    <row r="103" spans="1:12">
      <c r="A103" s="3096"/>
      <c r="B103" s="3096"/>
      <c r="C103" s="3193" t="s">
        <v>1647</v>
      </c>
      <c r="L103" s="3191"/>
    </row>
    <row r="104" spans="1:12">
      <c r="A104" s="3096"/>
      <c r="B104" s="3096"/>
      <c r="C104" s="3193" t="s">
        <v>841</v>
      </c>
      <c r="L104" s="3191"/>
    </row>
    <row r="105" spans="1:12">
      <c r="A105" s="3096"/>
      <c r="B105" s="3096"/>
      <c r="C105" s="3193"/>
      <c r="L105" s="3191"/>
    </row>
    <row r="106" spans="1:12">
      <c r="A106" s="3096"/>
      <c r="B106" s="3096"/>
      <c r="C106" s="3193"/>
      <c r="L106" s="3191"/>
    </row>
    <row r="107" spans="1:12">
      <c r="A107" s="3096"/>
      <c r="B107" s="3096"/>
      <c r="C107" s="3194"/>
      <c r="L107" s="3191"/>
    </row>
    <row r="108" spans="1:12">
      <c r="A108" s="3096"/>
      <c r="B108" s="3096"/>
      <c r="L108" s="3191"/>
    </row>
    <row r="109" spans="1:12">
      <c r="A109" s="3096"/>
      <c r="B109" s="3096"/>
      <c r="L109" s="3191"/>
    </row>
    <row r="110" spans="1:12">
      <c r="A110" s="3096"/>
      <c r="B110" s="3096"/>
      <c r="L110" s="3191"/>
    </row>
    <row r="111" spans="1:12">
      <c r="A111" s="3096"/>
      <c r="B111" s="3096"/>
      <c r="L111" s="3191"/>
    </row>
    <row r="112" spans="1:12">
      <c r="A112" s="3096"/>
      <c r="B112" s="3096"/>
      <c r="L112" s="3191"/>
    </row>
    <row r="113" spans="1:12">
      <c r="A113" s="3096"/>
      <c r="L113" s="3191"/>
    </row>
    <row r="114" spans="1:12">
      <c r="A114" s="3096"/>
      <c r="L114" s="3191"/>
    </row>
    <row r="115" spans="1:12">
      <c r="A115" s="3096"/>
      <c r="L115" s="3191"/>
    </row>
    <row r="116" spans="1:12">
      <c r="A116" s="3096"/>
      <c r="L116" s="3191"/>
    </row>
    <row r="117" spans="1:12">
      <c r="A117" s="3096"/>
      <c r="L117" s="3191"/>
    </row>
    <row r="118" spans="1:12">
      <c r="A118" s="3096"/>
      <c r="L118" s="3191"/>
    </row>
    <row r="119" spans="1:12">
      <c r="A119" s="3096"/>
      <c r="L119" s="3191"/>
    </row>
    <row r="120" spans="1:12">
      <c r="A120" s="3096"/>
      <c r="B120" s="601">
        <v>1</v>
      </c>
      <c r="C120" s="3191" t="s">
        <v>1909</v>
      </c>
      <c r="E120" s="3098" t="s">
        <v>626</v>
      </c>
      <c r="L120" s="3191"/>
    </row>
    <row r="121" spans="1:12">
      <c r="A121" s="3096"/>
      <c r="B121" s="601">
        <v>2</v>
      </c>
      <c r="C121" s="3191" t="s">
        <v>674</v>
      </c>
      <c r="E121" s="3098" t="s">
        <v>601</v>
      </c>
      <c r="L121" s="3191"/>
    </row>
    <row r="122" spans="1:12">
      <c r="A122" s="3096"/>
      <c r="B122" s="601">
        <v>3</v>
      </c>
      <c r="C122" s="3191" t="s">
        <v>672</v>
      </c>
      <c r="E122" s="3098">
        <v>0</v>
      </c>
      <c r="L122" s="3191"/>
    </row>
    <row r="123" spans="1:12">
      <c r="A123" s="3096"/>
      <c r="B123" s="601">
        <v>4</v>
      </c>
      <c r="C123" s="3191" t="s">
        <v>670</v>
      </c>
      <c r="E123" s="3098">
        <v>0</v>
      </c>
      <c r="L123" s="3191"/>
    </row>
    <row r="124" spans="1:12">
      <c r="A124" s="3096"/>
      <c r="B124" s="601">
        <v>5</v>
      </c>
      <c r="C124" s="3191" t="s">
        <v>1910</v>
      </c>
      <c r="E124" s="3098">
        <v>0</v>
      </c>
      <c r="L124" s="3191"/>
    </row>
    <row r="125" spans="1:12">
      <c r="A125" s="3096"/>
      <c r="B125" s="601">
        <v>6</v>
      </c>
      <c r="C125" s="3191" t="s">
        <v>668</v>
      </c>
      <c r="E125" s="3098">
        <v>0</v>
      </c>
      <c r="L125" s="3191"/>
    </row>
    <row r="126" spans="1:12">
      <c r="A126" s="3096"/>
      <c r="B126" s="601">
        <v>7</v>
      </c>
      <c r="C126" s="3191" t="s">
        <v>666</v>
      </c>
      <c r="E126" s="3098">
        <v>0</v>
      </c>
      <c r="L126" s="3191"/>
    </row>
    <row r="127" spans="1:12">
      <c r="A127" s="3096"/>
      <c r="B127" s="601">
        <v>8</v>
      </c>
      <c r="C127" s="3191" t="s">
        <v>663</v>
      </c>
      <c r="E127" s="3098">
        <v>0</v>
      </c>
      <c r="L127" s="3191"/>
    </row>
    <row r="128" spans="1:12">
      <c r="A128" s="3096"/>
      <c r="B128" s="601">
        <v>9</v>
      </c>
      <c r="C128" s="3191" t="s">
        <v>662</v>
      </c>
      <c r="E128" s="3098">
        <v>0</v>
      </c>
      <c r="L128" s="3191"/>
    </row>
    <row r="129" spans="1:12">
      <c r="A129" s="3096"/>
      <c r="B129" s="601">
        <v>10</v>
      </c>
      <c r="C129" s="3191" t="s">
        <v>660</v>
      </c>
      <c r="E129" s="3098">
        <v>0</v>
      </c>
      <c r="L129" s="3191"/>
    </row>
    <row r="130" spans="1:12">
      <c r="A130" s="3096"/>
      <c r="B130" s="601">
        <v>11</v>
      </c>
      <c r="C130" s="3191" t="s">
        <v>659</v>
      </c>
      <c r="E130" s="3098">
        <v>0</v>
      </c>
      <c r="L130" s="3191"/>
    </row>
    <row r="131" spans="1:12">
      <c r="A131" s="3096"/>
      <c r="B131" s="601">
        <v>12</v>
      </c>
      <c r="C131" s="3191" t="s">
        <v>658</v>
      </c>
      <c r="E131" s="3098">
        <v>0</v>
      </c>
      <c r="L131" s="3191"/>
    </row>
    <row r="132" spans="1:12">
      <c r="A132" s="3096"/>
      <c r="B132" s="601">
        <v>13</v>
      </c>
      <c r="C132" s="3191" t="s">
        <v>657</v>
      </c>
      <c r="E132" s="3098">
        <v>0</v>
      </c>
      <c r="L132" s="3191"/>
    </row>
    <row r="133" spans="1:12">
      <c r="A133" s="3096"/>
      <c r="B133" s="601">
        <v>14</v>
      </c>
      <c r="C133" s="3191" t="s">
        <v>656</v>
      </c>
      <c r="E133" s="3098">
        <v>0</v>
      </c>
      <c r="L133" s="3191"/>
    </row>
    <row r="134" spans="1:12">
      <c r="A134" s="3096"/>
      <c r="B134" s="601">
        <v>15</v>
      </c>
      <c r="C134" s="3191" t="s">
        <v>655</v>
      </c>
      <c r="E134" s="3098">
        <v>0</v>
      </c>
      <c r="L134" s="3191"/>
    </row>
    <row r="135" spans="1:12">
      <c r="A135" s="3096"/>
      <c r="B135" s="601">
        <v>16</v>
      </c>
      <c r="C135" s="3191" t="s">
        <v>654</v>
      </c>
      <c r="E135" s="3098">
        <v>0</v>
      </c>
      <c r="L135" s="3191"/>
    </row>
    <row r="136" spans="1:12">
      <c r="A136" s="3096"/>
      <c r="B136" s="601">
        <v>17</v>
      </c>
      <c r="C136" s="3191" t="s">
        <v>653</v>
      </c>
      <c r="E136" s="3098">
        <v>0</v>
      </c>
      <c r="L136" s="3191"/>
    </row>
    <row r="137" spans="1:12">
      <c r="A137" s="3096"/>
      <c r="B137" s="601">
        <v>18</v>
      </c>
      <c r="C137" s="3191" t="s">
        <v>652</v>
      </c>
      <c r="E137" s="3098">
        <v>0</v>
      </c>
      <c r="L137" s="3191"/>
    </row>
    <row r="138" spans="1:12">
      <c r="A138" s="3096"/>
      <c r="B138" s="601">
        <v>19</v>
      </c>
      <c r="C138" s="3191" t="s">
        <v>651</v>
      </c>
      <c r="E138" s="3098">
        <v>0</v>
      </c>
      <c r="L138" s="3191"/>
    </row>
    <row r="139" spans="1:12">
      <c r="A139" s="3096"/>
      <c r="B139" s="601">
        <v>20</v>
      </c>
      <c r="C139" s="3191" t="s">
        <v>1911</v>
      </c>
      <c r="E139" s="3098">
        <v>0</v>
      </c>
      <c r="L139" s="3191"/>
    </row>
    <row r="140" spans="1:12">
      <c r="A140" s="3096"/>
      <c r="B140" s="601">
        <v>21</v>
      </c>
      <c r="C140" s="3191" t="s">
        <v>650</v>
      </c>
      <c r="E140" s="3098">
        <v>0</v>
      </c>
      <c r="L140" s="3191"/>
    </row>
    <row r="141" spans="1:12">
      <c r="A141" s="3096"/>
      <c r="B141" s="601">
        <v>22</v>
      </c>
      <c r="C141" s="3191" t="s">
        <v>649</v>
      </c>
      <c r="E141" s="3098">
        <v>0</v>
      </c>
      <c r="L141" s="3191"/>
    </row>
    <row r="142" spans="1:12">
      <c r="A142" s="3096"/>
      <c r="B142" s="601">
        <v>23</v>
      </c>
      <c r="C142" s="3191" t="s">
        <v>648</v>
      </c>
      <c r="E142" s="3098">
        <v>0</v>
      </c>
      <c r="L142" s="3191"/>
    </row>
    <row r="143" spans="1:12">
      <c r="A143" s="3096"/>
      <c r="B143" s="601">
        <v>24</v>
      </c>
      <c r="C143" s="3191" t="s">
        <v>647</v>
      </c>
      <c r="E143" s="3098">
        <v>0</v>
      </c>
      <c r="L143" s="3191"/>
    </row>
    <row r="144" spans="1:12">
      <c r="A144" s="3096"/>
      <c r="B144" s="601">
        <v>25</v>
      </c>
      <c r="C144" s="3191" t="s">
        <v>646</v>
      </c>
      <c r="E144" s="3098">
        <v>0</v>
      </c>
      <c r="L144" s="3191"/>
    </row>
    <row r="145" spans="1:17">
      <c r="A145" s="3096"/>
      <c r="B145" s="601">
        <v>26</v>
      </c>
      <c r="C145" s="3191" t="s">
        <v>1912</v>
      </c>
      <c r="E145" s="3098">
        <v>0</v>
      </c>
      <c r="L145" s="3191"/>
      <c r="M145" s="3096"/>
      <c r="N145" s="3096"/>
      <c r="O145" s="3096"/>
      <c r="P145" s="3096"/>
      <c r="Q145" s="3096"/>
    </row>
    <row r="146" spans="1:17">
      <c r="A146" s="3096"/>
      <c r="B146" s="601">
        <v>27</v>
      </c>
      <c r="C146" s="3191" t="s">
        <v>645</v>
      </c>
      <c r="E146" s="3098">
        <v>0</v>
      </c>
      <c r="L146" s="3191"/>
      <c r="M146" s="3096"/>
      <c r="N146" s="3096"/>
      <c r="O146" s="3096"/>
      <c r="P146" s="3096"/>
      <c r="Q146" s="3096"/>
    </row>
    <row r="147" spans="1:17">
      <c r="A147" s="3096"/>
      <c r="B147" s="601">
        <v>28</v>
      </c>
      <c r="C147" s="3191" t="s">
        <v>644</v>
      </c>
      <c r="E147" s="3098">
        <v>0</v>
      </c>
      <c r="L147" s="3191"/>
      <c r="M147" s="3096"/>
      <c r="N147" s="3096"/>
      <c r="O147" s="3096"/>
      <c r="P147" s="3096"/>
      <c r="Q147" s="3096"/>
    </row>
    <row r="148" spans="1:17">
      <c r="A148" s="3096"/>
      <c r="B148" s="601">
        <v>29</v>
      </c>
      <c r="C148" s="3191" t="s">
        <v>643</v>
      </c>
      <c r="E148" s="3098">
        <v>0</v>
      </c>
      <c r="L148" s="3191"/>
      <c r="M148" s="3096"/>
      <c r="N148" s="3096"/>
      <c r="O148" s="3096"/>
      <c r="P148" s="3096"/>
      <c r="Q148" s="3096"/>
    </row>
    <row r="149" spans="1:17">
      <c r="A149" s="3096"/>
      <c r="B149" s="601">
        <v>30</v>
      </c>
      <c r="C149" s="3191" t="s">
        <v>642</v>
      </c>
      <c r="E149" s="3098">
        <v>0</v>
      </c>
      <c r="M149" s="3096"/>
      <c r="N149" s="3096"/>
      <c r="O149" s="3096"/>
      <c r="P149" s="3096"/>
      <c r="Q149" s="3096"/>
    </row>
    <row r="150" spans="1:17">
      <c r="A150" s="3096"/>
      <c r="B150" s="601">
        <v>31</v>
      </c>
      <c r="C150" s="3191" t="s">
        <v>1913</v>
      </c>
      <c r="E150" s="3098">
        <v>0</v>
      </c>
      <c r="M150" s="3096"/>
      <c r="N150" s="3096"/>
      <c r="O150" s="3096"/>
      <c r="P150" s="3096"/>
      <c r="Q150" s="3096"/>
    </row>
    <row r="151" spans="1:17">
      <c r="A151" s="3096"/>
      <c r="B151" s="601">
        <v>32</v>
      </c>
      <c r="C151" s="3191" t="s">
        <v>641</v>
      </c>
      <c r="E151" s="3098">
        <v>0</v>
      </c>
      <c r="M151" s="3096"/>
      <c r="N151" s="3096"/>
      <c r="O151" s="3096"/>
      <c r="P151" s="3096"/>
      <c r="Q151" s="3096"/>
    </row>
    <row r="152" spans="1:17">
      <c r="A152" s="3096"/>
      <c r="B152" s="601">
        <v>33</v>
      </c>
      <c r="C152" s="3191" t="s">
        <v>640</v>
      </c>
      <c r="E152" s="3098">
        <v>0</v>
      </c>
      <c r="M152" s="3096"/>
      <c r="N152" s="3096"/>
      <c r="O152" s="3096"/>
      <c r="P152" s="3096"/>
      <c r="Q152" s="3096"/>
    </row>
    <row r="153" spans="1:17">
      <c r="A153" s="3096"/>
      <c r="B153" s="601">
        <v>34</v>
      </c>
      <c r="C153" s="3191" t="s">
        <v>1914</v>
      </c>
      <c r="E153" s="3098">
        <v>0</v>
      </c>
      <c r="M153" s="3096"/>
      <c r="N153" s="3096"/>
      <c r="O153" s="3096"/>
      <c r="P153" s="3096"/>
      <c r="Q153" s="3096"/>
    </row>
    <row r="154" spans="1:17">
      <c r="A154" s="3096"/>
      <c r="B154" s="601">
        <v>35</v>
      </c>
      <c r="C154" s="3191" t="s">
        <v>639</v>
      </c>
      <c r="E154" s="3098">
        <v>0</v>
      </c>
      <c r="M154" s="3096"/>
      <c r="N154" s="3096"/>
      <c r="O154" s="3096"/>
      <c r="P154" s="3096"/>
      <c r="Q154" s="3096"/>
    </row>
    <row r="155" spans="1:17">
      <c r="A155" s="3096"/>
      <c r="B155" s="601">
        <v>36</v>
      </c>
      <c r="C155" s="3191" t="s">
        <v>1915</v>
      </c>
      <c r="E155" s="3098">
        <v>0</v>
      </c>
      <c r="M155" s="3096"/>
      <c r="N155" s="3096"/>
      <c r="O155" s="3096"/>
      <c r="P155" s="3096"/>
      <c r="Q155" s="3096"/>
    </row>
    <row r="156" spans="1:17">
      <c r="A156" s="3096"/>
      <c r="B156" s="601">
        <v>37</v>
      </c>
      <c r="C156" s="3191" t="s">
        <v>638</v>
      </c>
      <c r="D156" s="3191"/>
      <c r="E156" s="3098">
        <v>0</v>
      </c>
      <c r="F156" s="3191"/>
      <c r="G156" s="3191"/>
      <c r="H156" s="3191"/>
      <c r="I156" s="3191"/>
      <c r="J156" s="3191"/>
      <c r="K156" s="3191"/>
      <c r="M156" s="3096"/>
      <c r="N156" s="3096"/>
      <c r="O156" s="3096"/>
      <c r="P156" s="3096"/>
      <c r="Q156" s="3096"/>
    </row>
    <row r="157" spans="1:17">
      <c r="A157" s="3096"/>
      <c r="B157" s="601">
        <v>38</v>
      </c>
      <c r="C157" s="3191" t="s">
        <v>1916</v>
      </c>
      <c r="D157" s="3191"/>
      <c r="E157" s="3098">
        <v>0</v>
      </c>
      <c r="F157" s="3191"/>
      <c r="G157" s="3191"/>
      <c r="H157" s="3191"/>
      <c r="I157" s="3191"/>
      <c r="J157" s="3191"/>
      <c r="K157" s="3191"/>
      <c r="M157" s="3096"/>
      <c r="N157" s="3096"/>
      <c r="O157" s="3096"/>
      <c r="P157" s="3096"/>
      <c r="Q157" s="3096"/>
    </row>
    <row r="158" spans="1:17">
      <c r="A158" s="3096"/>
      <c r="B158" s="601">
        <v>39</v>
      </c>
      <c r="C158" s="3191" t="s">
        <v>1917</v>
      </c>
      <c r="D158" s="3191"/>
      <c r="E158" s="3098">
        <v>0</v>
      </c>
      <c r="F158" s="3191"/>
      <c r="G158" s="3191"/>
      <c r="H158" s="3191"/>
      <c r="I158" s="3191"/>
      <c r="J158" s="3191"/>
      <c r="K158" s="3191"/>
      <c r="M158" s="3096"/>
      <c r="N158" s="3096"/>
      <c r="O158" s="3096"/>
      <c r="P158" s="3096"/>
      <c r="Q158" s="3096"/>
    </row>
    <row r="159" spans="1:17">
      <c r="A159" s="3096"/>
      <c r="B159" s="601">
        <v>40</v>
      </c>
      <c r="C159" s="3191" t="s">
        <v>1918</v>
      </c>
      <c r="E159" s="3098">
        <v>0</v>
      </c>
      <c r="M159" s="3096"/>
      <c r="N159" s="3096"/>
      <c r="O159" s="3096"/>
      <c r="P159" s="3096"/>
      <c r="Q159" s="3096"/>
    </row>
    <row r="160" spans="1:17">
      <c r="A160" s="3096"/>
      <c r="B160" s="601">
        <v>41</v>
      </c>
      <c r="C160" s="3191" t="s">
        <v>637</v>
      </c>
      <c r="E160" s="3098">
        <v>0</v>
      </c>
      <c r="M160" s="3096"/>
      <c r="N160" s="3096"/>
      <c r="O160" s="3096"/>
      <c r="P160" s="3096"/>
      <c r="Q160" s="3096"/>
    </row>
    <row r="161" spans="1:17">
      <c r="A161" s="3096"/>
      <c r="B161" s="601">
        <v>42</v>
      </c>
      <c r="C161" s="3191" t="s">
        <v>636</v>
      </c>
      <c r="E161" s="3098">
        <v>0</v>
      </c>
      <c r="F161" s="3096"/>
      <c r="G161" s="3096"/>
      <c r="H161" s="3096"/>
      <c r="I161" s="3096"/>
      <c r="J161" s="3096"/>
      <c r="K161" s="3096"/>
      <c r="L161" s="3096"/>
      <c r="M161" s="3096"/>
      <c r="N161" s="3096"/>
      <c r="O161" s="3096"/>
      <c r="P161" s="3096"/>
      <c r="Q161" s="3096"/>
    </row>
    <row r="162" spans="1:17">
      <c r="A162" s="3096"/>
      <c r="B162" s="601">
        <v>43</v>
      </c>
      <c r="C162" s="3191" t="s">
        <v>635</v>
      </c>
      <c r="E162" s="3098">
        <v>0</v>
      </c>
      <c r="F162" s="3096"/>
      <c r="G162" s="3096"/>
      <c r="H162" s="3096"/>
      <c r="I162" s="3096"/>
      <c r="J162" s="3096"/>
      <c r="K162" s="3096"/>
      <c r="L162" s="3096"/>
      <c r="M162" s="3096"/>
      <c r="N162" s="3096"/>
      <c r="O162" s="3096"/>
      <c r="P162" s="3096"/>
      <c r="Q162" s="3096"/>
    </row>
    <row r="163" spans="1:17">
      <c r="A163" s="3096"/>
      <c r="B163" s="601">
        <v>44</v>
      </c>
      <c r="C163" s="3191" t="s">
        <v>1919</v>
      </c>
      <c r="E163" s="3098">
        <v>0</v>
      </c>
      <c r="F163" s="3096"/>
      <c r="G163" s="3096"/>
      <c r="H163" s="3096"/>
      <c r="I163" s="3096"/>
      <c r="J163" s="3096"/>
      <c r="K163" s="3096"/>
      <c r="L163" s="3096"/>
      <c r="M163" s="3096"/>
      <c r="N163" s="3096"/>
      <c r="O163" s="3096"/>
      <c r="P163" s="3096"/>
      <c r="Q163" s="3096"/>
    </row>
    <row r="164" spans="1:17">
      <c r="A164" s="3096"/>
      <c r="B164" s="601">
        <v>45</v>
      </c>
      <c r="C164" s="3191" t="s">
        <v>634</v>
      </c>
      <c r="E164" s="3098">
        <v>0</v>
      </c>
      <c r="F164" s="3096"/>
      <c r="G164" s="3096"/>
      <c r="H164" s="3096"/>
      <c r="I164" s="3096"/>
      <c r="J164" s="3096"/>
      <c r="K164" s="3096"/>
      <c r="L164" s="3096"/>
      <c r="M164" s="3096"/>
      <c r="N164" s="3096"/>
      <c r="O164" s="3096"/>
      <c r="P164" s="3096"/>
      <c r="Q164" s="3096"/>
    </row>
    <row r="165" spans="1:17">
      <c r="A165" s="3096"/>
      <c r="B165" s="601">
        <v>46</v>
      </c>
      <c r="C165" s="3191" t="s">
        <v>633</v>
      </c>
      <c r="E165" s="3098">
        <v>0</v>
      </c>
      <c r="F165" s="3096"/>
      <c r="G165" s="3096"/>
      <c r="H165" s="3096"/>
      <c r="I165" s="3096"/>
      <c r="J165" s="3096"/>
      <c r="K165" s="3096"/>
      <c r="L165" s="3096"/>
      <c r="M165" s="3096"/>
      <c r="N165" s="3096"/>
      <c r="O165" s="3096"/>
      <c r="P165" s="3096"/>
      <c r="Q165" s="3096"/>
    </row>
    <row r="166" spans="1:17">
      <c r="A166" s="3096"/>
      <c r="B166" s="601">
        <v>47</v>
      </c>
      <c r="C166" s="3191" t="s">
        <v>632</v>
      </c>
      <c r="E166" s="3098">
        <v>0</v>
      </c>
      <c r="F166" s="3096"/>
      <c r="G166" s="3096"/>
      <c r="H166" s="3096"/>
      <c r="I166" s="3096"/>
      <c r="J166" s="3096"/>
      <c r="K166" s="3096"/>
      <c r="L166" s="3096"/>
      <c r="M166" s="3096"/>
      <c r="N166" s="3096"/>
      <c r="O166" s="3096"/>
      <c r="P166" s="3096"/>
      <c r="Q166" s="3096"/>
    </row>
    <row r="167" spans="1:17">
      <c r="A167" s="3096"/>
      <c r="B167" s="601">
        <v>48</v>
      </c>
      <c r="C167" s="3191" t="s">
        <v>631</v>
      </c>
      <c r="E167" s="3098">
        <v>0</v>
      </c>
      <c r="F167" s="3096"/>
      <c r="G167" s="3096"/>
      <c r="H167" s="3096"/>
      <c r="I167" s="3096"/>
      <c r="J167" s="3096"/>
      <c r="K167" s="3096"/>
      <c r="L167" s="3096"/>
      <c r="M167" s="3096"/>
      <c r="N167" s="3096"/>
      <c r="O167" s="3096"/>
      <c r="P167" s="3096"/>
      <c r="Q167" s="3096"/>
    </row>
    <row r="168" spans="1:17">
      <c r="A168" s="3096"/>
      <c r="B168" s="601">
        <v>49</v>
      </c>
      <c r="C168" s="3191" t="s">
        <v>630</v>
      </c>
      <c r="E168" s="3098">
        <v>0</v>
      </c>
      <c r="F168" s="3096"/>
      <c r="G168" s="3096"/>
      <c r="H168" s="3096"/>
      <c r="I168" s="3096"/>
      <c r="J168" s="3096"/>
      <c r="K168" s="3096"/>
      <c r="L168" s="3096"/>
      <c r="M168" s="3096"/>
      <c r="N168" s="3096"/>
      <c r="O168" s="3096"/>
      <c r="P168" s="3096"/>
      <c r="Q168" s="3096"/>
    </row>
    <row r="169" spans="1:17">
      <c r="A169" s="3096"/>
      <c r="B169" s="601">
        <v>50</v>
      </c>
      <c r="C169" s="3191" t="s">
        <v>629</v>
      </c>
      <c r="E169" s="3098">
        <v>0</v>
      </c>
      <c r="F169" s="3096"/>
      <c r="G169" s="3096"/>
      <c r="H169" s="3096"/>
      <c r="I169" s="3096"/>
      <c r="J169" s="3096"/>
      <c r="K169" s="3096"/>
      <c r="L169" s="3096"/>
      <c r="M169" s="3096"/>
      <c r="N169" s="3096"/>
      <c r="O169" s="3096"/>
      <c r="P169" s="3096"/>
      <c r="Q169" s="3096"/>
    </row>
    <row r="170" spans="1:17">
      <c r="A170" s="3096"/>
      <c r="B170" s="601">
        <v>51</v>
      </c>
      <c r="C170" s="3191" t="s">
        <v>628</v>
      </c>
      <c r="E170" s="3098">
        <v>0</v>
      </c>
      <c r="F170" s="3096"/>
      <c r="G170" s="3096"/>
      <c r="H170" s="3096"/>
      <c r="I170" s="3096"/>
      <c r="J170" s="3096"/>
      <c r="K170" s="3096"/>
      <c r="L170" s="3096"/>
      <c r="M170" s="3096"/>
      <c r="N170" s="3096"/>
      <c r="O170" s="3096"/>
      <c r="P170" s="3096"/>
      <c r="Q170" s="3096"/>
    </row>
    <row r="171" spans="1:17">
      <c r="A171" s="3096"/>
      <c r="B171" s="601">
        <v>52</v>
      </c>
      <c r="C171" s="3191" t="s">
        <v>627</v>
      </c>
      <c r="E171" s="3098">
        <v>0</v>
      </c>
      <c r="F171" s="3096"/>
      <c r="G171" s="3096"/>
      <c r="H171" s="3096"/>
      <c r="I171" s="3096"/>
      <c r="J171" s="3096"/>
      <c r="K171" s="3096"/>
      <c r="L171" s="3096"/>
      <c r="M171" s="3096"/>
      <c r="N171" s="3096"/>
      <c r="O171" s="3096"/>
      <c r="P171" s="3096"/>
      <c r="Q171" s="3096"/>
    </row>
    <row r="172" spans="1:17">
      <c r="A172" s="3096"/>
      <c r="B172" s="601">
        <v>53</v>
      </c>
      <c r="C172" s="3191" t="s">
        <v>1920</v>
      </c>
      <c r="E172" s="3098">
        <v>0</v>
      </c>
      <c r="F172" s="3096"/>
      <c r="G172" s="3096"/>
      <c r="H172" s="3096"/>
      <c r="I172" s="3096"/>
      <c r="J172" s="3096"/>
      <c r="K172" s="3096"/>
      <c r="L172" s="3096"/>
      <c r="M172" s="3096"/>
      <c r="N172" s="3096"/>
      <c r="O172" s="3096"/>
      <c r="P172" s="3096"/>
      <c r="Q172" s="3096"/>
    </row>
    <row r="173" spans="1:17">
      <c r="A173" s="3096"/>
      <c r="B173" s="601">
        <v>54</v>
      </c>
      <c r="C173" s="3191" t="s">
        <v>626</v>
      </c>
      <c r="E173" s="3098">
        <v>0</v>
      </c>
      <c r="F173" s="3096"/>
      <c r="G173" s="3096"/>
      <c r="H173" s="3096"/>
      <c r="I173" s="3096"/>
      <c r="J173" s="3096"/>
      <c r="K173" s="3096"/>
      <c r="L173" s="3096"/>
      <c r="M173" s="3096"/>
      <c r="N173" s="3096"/>
      <c r="O173" s="3096"/>
      <c r="P173" s="3096"/>
      <c r="Q173" s="3096"/>
    </row>
    <row r="174" spans="1:17">
      <c r="A174" s="3096"/>
      <c r="B174" s="601">
        <v>55</v>
      </c>
      <c r="C174" s="3191" t="s">
        <v>1921</v>
      </c>
      <c r="E174" s="3098">
        <v>0</v>
      </c>
      <c r="F174" s="3096"/>
      <c r="G174" s="3096"/>
      <c r="H174" s="3096"/>
      <c r="I174" s="3096"/>
      <c r="J174" s="3096"/>
      <c r="K174" s="3096"/>
      <c r="L174" s="3096"/>
      <c r="M174" s="3096"/>
      <c r="N174" s="3096"/>
      <c r="O174" s="3096"/>
      <c r="P174" s="3096"/>
      <c r="Q174" s="3096"/>
    </row>
    <row r="175" spans="1:17">
      <c r="A175" s="3096"/>
      <c r="B175" s="601">
        <v>56</v>
      </c>
      <c r="C175" s="3191" t="s">
        <v>625</v>
      </c>
      <c r="E175" s="3098">
        <v>0</v>
      </c>
      <c r="F175" s="3096"/>
      <c r="G175" s="3096"/>
      <c r="H175" s="3096"/>
      <c r="I175" s="3096"/>
      <c r="J175" s="3096"/>
      <c r="K175" s="3096"/>
      <c r="L175" s="3096"/>
      <c r="M175" s="3096"/>
      <c r="N175" s="3096"/>
      <c r="O175" s="3096"/>
      <c r="P175" s="3096"/>
      <c r="Q175" s="3096"/>
    </row>
    <row r="176" spans="1:17">
      <c r="A176" s="3096"/>
      <c r="B176" s="601">
        <v>57</v>
      </c>
      <c r="C176" s="3191" t="s">
        <v>624</v>
      </c>
      <c r="E176" s="3098">
        <v>0</v>
      </c>
      <c r="F176" s="3096"/>
      <c r="G176" s="3096"/>
      <c r="H176" s="3096"/>
      <c r="I176" s="3096"/>
      <c r="J176" s="3096"/>
      <c r="K176" s="3096"/>
      <c r="L176" s="3096"/>
      <c r="M176" s="3096"/>
      <c r="N176" s="3096"/>
      <c r="O176" s="3096"/>
      <c r="P176" s="3096"/>
      <c r="Q176" s="3096"/>
    </row>
    <row r="177" spans="1:17">
      <c r="A177" s="3096"/>
      <c r="B177" s="601">
        <v>58</v>
      </c>
      <c r="C177" s="3191" t="s">
        <v>623</v>
      </c>
      <c r="E177" s="3098">
        <v>0</v>
      </c>
      <c r="F177" s="3096"/>
      <c r="G177" s="3096"/>
      <c r="H177" s="3096"/>
      <c r="I177" s="3096"/>
      <c r="J177" s="3096"/>
      <c r="K177" s="3096"/>
      <c r="L177" s="3096"/>
      <c r="M177" s="3096"/>
      <c r="N177" s="3096"/>
      <c r="O177" s="3096"/>
      <c r="P177" s="3096"/>
      <c r="Q177" s="3096"/>
    </row>
    <row r="178" spans="1:17">
      <c r="A178" s="3096"/>
      <c r="B178" s="601">
        <v>59</v>
      </c>
      <c r="C178" s="3191" t="s">
        <v>622</v>
      </c>
      <c r="E178" s="3098">
        <v>0</v>
      </c>
      <c r="F178" s="3096"/>
      <c r="G178" s="3096"/>
      <c r="H178" s="3096"/>
      <c r="I178" s="3096"/>
      <c r="J178" s="3096"/>
      <c r="K178" s="3096"/>
      <c r="L178" s="3096"/>
      <c r="M178" s="3096"/>
      <c r="N178" s="3096"/>
      <c r="O178" s="3096"/>
      <c r="P178" s="3096"/>
      <c r="Q178" s="3096"/>
    </row>
    <row r="179" spans="1:17">
      <c r="A179" s="3096"/>
      <c r="B179" s="601">
        <v>60</v>
      </c>
      <c r="C179" s="3191" t="s">
        <v>620</v>
      </c>
      <c r="E179" s="3098">
        <v>0</v>
      </c>
      <c r="F179" s="3096"/>
      <c r="G179" s="3096"/>
      <c r="H179" s="3096"/>
      <c r="I179" s="3096"/>
      <c r="J179" s="3096"/>
      <c r="K179" s="3096"/>
      <c r="L179" s="3096"/>
      <c r="M179" s="3096"/>
      <c r="N179" s="3096"/>
      <c r="O179" s="3096"/>
      <c r="P179" s="3096"/>
      <c r="Q179" s="3096"/>
    </row>
    <row r="180" spans="1:17">
      <c r="A180" s="3096"/>
      <c r="B180" s="601">
        <v>61</v>
      </c>
      <c r="C180" s="3191" t="s">
        <v>619</v>
      </c>
      <c r="E180" s="3098">
        <v>0</v>
      </c>
      <c r="F180" s="3096"/>
      <c r="G180" s="3096"/>
      <c r="H180" s="3096"/>
      <c r="I180" s="3096"/>
      <c r="J180" s="3096"/>
      <c r="K180" s="3096"/>
      <c r="L180" s="3096"/>
      <c r="M180" s="3096"/>
      <c r="N180" s="3096"/>
      <c r="O180" s="3096"/>
      <c r="P180" s="3096"/>
      <c r="Q180" s="3096"/>
    </row>
    <row r="181" spans="1:17">
      <c r="A181" s="3096"/>
      <c r="B181" s="601">
        <v>62</v>
      </c>
      <c r="C181" s="3191" t="s">
        <v>1922</v>
      </c>
      <c r="E181" s="3098">
        <v>0</v>
      </c>
      <c r="F181" s="3096"/>
      <c r="G181" s="3096"/>
      <c r="H181" s="3096"/>
      <c r="I181" s="3096"/>
      <c r="J181" s="3096"/>
      <c r="K181" s="3096"/>
      <c r="L181" s="3096"/>
      <c r="M181" s="3096"/>
      <c r="N181" s="3096"/>
      <c r="O181" s="3096"/>
      <c r="P181" s="3096"/>
      <c r="Q181" s="3096"/>
    </row>
    <row r="182" spans="1:17">
      <c r="A182" s="3096"/>
      <c r="B182" s="601">
        <v>63</v>
      </c>
      <c r="C182" s="3191" t="s">
        <v>618</v>
      </c>
      <c r="E182" s="3098">
        <v>0</v>
      </c>
      <c r="F182" s="3096"/>
      <c r="G182" s="3096"/>
      <c r="H182" s="3096"/>
      <c r="I182" s="3096"/>
      <c r="J182" s="3096"/>
      <c r="K182" s="3096"/>
      <c r="L182" s="3096"/>
      <c r="M182" s="3096"/>
      <c r="N182" s="3096"/>
      <c r="O182" s="3096"/>
      <c r="P182" s="3096"/>
      <c r="Q182" s="3096"/>
    </row>
    <row r="183" spans="1:17">
      <c r="A183" s="3096"/>
      <c r="B183" s="601">
        <v>64</v>
      </c>
      <c r="C183" s="3191" t="s">
        <v>617</v>
      </c>
      <c r="E183" s="3098">
        <v>0</v>
      </c>
      <c r="F183" s="3096"/>
      <c r="G183" s="3096"/>
      <c r="H183" s="3096"/>
      <c r="I183" s="3096"/>
      <c r="J183" s="3096"/>
      <c r="K183" s="3096"/>
      <c r="L183" s="3096"/>
      <c r="M183" s="3096"/>
      <c r="N183" s="3096"/>
      <c r="O183" s="3096"/>
      <c r="P183" s="3096"/>
      <c r="Q183" s="3096"/>
    </row>
    <row r="184" spans="1:17">
      <c r="A184" s="3096"/>
      <c r="B184" s="601">
        <v>65</v>
      </c>
      <c r="C184" s="3191" t="s">
        <v>1923</v>
      </c>
      <c r="E184" s="3098">
        <v>0</v>
      </c>
      <c r="F184" s="3096"/>
      <c r="G184" s="3096"/>
      <c r="H184" s="3096"/>
      <c r="I184" s="3096"/>
      <c r="J184" s="3096"/>
      <c r="K184" s="3096"/>
      <c r="L184" s="3096"/>
      <c r="M184" s="3096"/>
      <c r="N184" s="3096"/>
      <c r="O184" s="3096"/>
      <c r="P184" s="3096"/>
      <c r="Q184" s="3096"/>
    </row>
    <row r="185" spans="1:17">
      <c r="A185" s="3096"/>
      <c r="B185" s="601">
        <v>66</v>
      </c>
      <c r="C185" s="3191" t="s">
        <v>616</v>
      </c>
      <c r="E185" s="3098">
        <v>0</v>
      </c>
      <c r="F185" s="3096"/>
      <c r="G185" s="3096"/>
      <c r="H185" s="3096"/>
      <c r="I185" s="3096"/>
      <c r="J185" s="3096"/>
      <c r="K185" s="3096"/>
      <c r="L185" s="3096"/>
      <c r="M185" s="3096"/>
      <c r="N185" s="3096"/>
      <c r="O185" s="3096"/>
      <c r="P185" s="3096"/>
      <c r="Q185" s="3096"/>
    </row>
    <row r="186" spans="1:17">
      <c r="A186" s="3096"/>
      <c r="B186" s="601">
        <v>67</v>
      </c>
      <c r="C186" s="3191" t="s">
        <v>615</v>
      </c>
      <c r="E186" s="3098">
        <v>0</v>
      </c>
      <c r="F186" s="3096"/>
      <c r="G186" s="3096"/>
      <c r="H186" s="3096"/>
      <c r="I186" s="3096"/>
      <c r="J186" s="3096"/>
      <c r="K186" s="3096"/>
      <c r="L186" s="3096"/>
      <c r="M186" s="3096"/>
      <c r="N186" s="3096"/>
      <c r="O186" s="3096"/>
      <c r="P186" s="3096"/>
      <c r="Q186" s="3096"/>
    </row>
    <row r="187" spans="1:17">
      <c r="A187" s="3096"/>
      <c r="B187" s="601">
        <v>68</v>
      </c>
      <c r="C187" s="3191" t="s">
        <v>614</v>
      </c>
      <c r="E187" s="3098">
        <v>0</v>
      </c>
      <c r="F187" s="3096"/>
      <c r="G187" s="3096"/>
      <c r="H187" s="3096"/>
      <c r="I187" s="3096"/>
      <c r="J187" s="3096"/>
      <c r="K187" s="3096"/>
      <c r="L187" s="3096"/>
      <c r="M187" s="3096"/>
      <c r="N187" s="3096"/>
      <c r="O187" s="3096"/>
      <c r="P187" s="3096"/>
      <c r="Q187" s="3096"/>
    </row>
    <row r="188" spans="1:17">
      <c r="A188" s="3096"/>
      <c r="B188" s="601">
        <v>69</v>
      </c>
      <c r="C188" s="3191" t="s">
        <v>613</v>
      </c>
      <c r="E188" s="3098">
        <v>0</v>
      </c>
      <c r="F188" s="3096"/>
      <c r="G188" s="3096"/>
      <c r="H188" s="3096"/>
      <c r="I188" s="3096"/>
      <c r="J188" s="3096"/>
      <c r="K188" s="3096"/>
      <c r="L188" s="3096"/>
      <c r="M188" s="3096"/>
      <c r="N188" s="3096"/>
      <c r="O188" s="3096"/>
      <c r="P188" s="3096"/>
      <c r="Q188" s="3096"/>
    </row>
    <row r="189" spans="1:17">
      <c r="A189" s="3096"/>
      <c r="B189" s="601">
        <v>70</v>
      </c>
      <c r="C189" s="3191" t="s">
        <v>612</v>
      </c>
      <c r="E189" s="3098">
        <v>0</v>
      </c>
      <c r="F189" s="3096"/>
      <c r="G189" s="3096"/>
      <c r="H189" s="3096"/>
      <c r="I189" s="3096"/>
      <c r="J189" s="3096"/>
      <c r="K189" s="3096"/>
      <c r="L189" s="3096"/>
      <c r="M189" s="3096"/>
      <c r="N189" s="3096"/>
      <c r="O189" s="3096"/>
      <c r="P189" s="3096"/>
      <c r="Q189" s="3096"/>
    </row>
    <row r="190" spans="1:17">
      <c r="A190" s="3096"/>
      <c r="B190" s="601">
        <v>71</v>
      </c>
      <c r="C190" s="3191" t="s">
        <v>1924</v>
      </c>
      <c r="E190" s="3098">
        <v>0</v>
      </c>
      <c r="F190" s="3096"/>
      <c r="G190" s="3096"/>
      <c r="H190" s="3096"/>
      <c r="I190" s="3096"/>
      <c r="J190" s="3096"/>
      <c r="K190" s="3096"/>
      <c r="L190" s="3096"/>
      <c r="M190" s="3096"/>
      <c r="N190" s="3096"/>
      <c r="O190" s="3096"/>
      <c r="P190" s="3096"/>
      <c r="Q190" s="3096"/>
    </row>
    <row r="191" spans="1:17">
      <c r="A191" s="3096"/>
      <c r="B191" s="601">
        <v>72</v>
      </c>
      <c r="C191" s="3191" t="s">
        <v>611</v>
      </c>
      <c r="E191" s="3098">
        <v>0</v>
      </c>
      <c r="F191" s="3096"/>
      <c r="G191" s="3096"/>
      <c r="H191" s="3096"/>
      <c r="I191" s="3096"/>
      <c r="J191" s="3096"/>
      <c r="K191" s="3096"/>
      <c r="L191" s="3096"/>
      <c r="M191" s="3096"/>
      <c r="N191" s="3096"/>
      <c r="O191" s="3096"/>
      <c r="P191" s="3096"/>
      <c r="Q191" s="3096"/>
    </row>
    <row r="192" spans="1:17">
      <c r="A192" s="3096"/>
      <c r="B192" s="601">
        <v>73</v>
      </c>
      <c r="C192" s="3191" t="s">
        <v>610</v>
      </c>
      <c r="E192" s="3098">
        <v>0</v>
      </c>
      <c r="F192" s="3096"/>
      <c r="G192" s="3096"/>
      <c r="H192" s="3096"/>
      <c r="I192" s="3096"/>
      <c r="J192" s="3096"/>
      <c r="K192" s="3096"/>
      <c r="L192" s="3096"/>
      <c r="M192" s="3096"/>
      <c r="N192" s="3096"/>
      <c r="O192" s="3096"/>
      <c r="P192" s="3096"/>
      <c r="Q192" s="3096"/>
    </row>
    <row r="193" spans="1:17">
      <c r="A193" s="3096"/>
      <c r="B193" s="601">
        <v>74</v>
      </c>
      <c r="C193" s="3191" t="s">
        <v>609</v>
      </c>
      <c r="E193" s="3098">
        <v>0</v>
      </c>
      <c r="F193" s="3096"/>
      <c r="G193" s="3096"/>
      <c r="H193" s="3096"/>
      <c r="I193" s="3096"/>
      <c r="J193" s="3096"/>
      <c r="K193" s="3096"/>
      <c r="L193" s="3096"/>
      <c r="M193" s="3096"/>
      <c r="N193" s="3096"/>
      <c r="O193" s="3096"/>
      <c r="P193" s="3096"/>
      <c r="Q193" s="3096"/>
    </row>
    <row r="194" spans="1:17">
      <c r="A194" s="3096"/>
      <c r="B194" s="601">
        <v>75</v>
      </c>
      <c r="C194" s="3191" t="s">
        <v>608</v>
      </c>
      <c r="E194" s="3098">
        <v>0</v>
      </c>
      <c r="F194" s="3096"/>
      <c r="G194" s="3096"/>
      <c r="H194" s="3096"/>
      <c r="I194" s="3096"/>
      <c r="J194" s="3096"/>
      <c r="K194" s="3096"/>
      <c r="L194" s="3096"/>
      <c r="M194" s="3096"/>
      <c r="N194" s="3096"/>
      <c r="O194" s="3096"/>
      <c r="P194" s="3096"/>
      <c r="Q194" s="3096"/>
    </row>
    <row r="195" spans="1:17">
      <c r="A195" s="3096"/>
      <c r="B195" s="601">
        <v>76</v>
      </c>
      <c r="C195" s="3191" t="s">
        <v>607</v>
      </c>
      <c r="E195" s="3098">
        <v>0</v>
      </c>
      <c r="F195" s="3096"/>
      <c r="G195" s="3096"/>
      <c r="H195" s="3096"/>
      <c r="I195" s="3096"/>
      <c r="J195" s="3096"/>
      <c r="K195" s="3096"/>
      <c r="L195" s="3096"/>
      <c r="M195" s="3096"/>
      <c r="N195" s="3096"/>
      <c r="O195" s="3096"/>
      <c r="P195" s="3096"/>
      <c r="Q195" s="3096"/>
    </row>
    <row r="196" spans="1:17">
      <c r="A196" s="3096"/>
      <c r="B196" s="601">
        <v>77</v>
      </c>
      <c r="C196" s="3191" t="s">
        <v>606</v>
      </c>
      <c r="E196" s="3098">
        <v>0</v>
      </c>
      <c r="F196" s="3096"/>
      <c r="G196" s="3096"/>
      <c r="H196" s="3096"/>
      <c r="I196" s="3096"/>
      <c r="J196" s="3096"/>
      <c r="K196" s="3096"/>
      <c r="L196" s="3096"/>
      <c r="M196" s="3096"/>
      <c r="N196" s="3096"/>
      <c r="O196" s="3096"/>
      <c r="P196" s="3096"/>
      <c r="Q196" s="3096"/>
    </row>
    <row r="197" spans="1:17">
      <c r="A197" s="3096"/>
      <c r="B197" s="601">
        <v>78</v>
      </c>
      <c r="C197" s="3191" t="s">
        <v>605</v>
      </c>
      <c r="E197" s="3098">
        <v>0</v>
      </c>
      <c r="F197" s="3096"/>
      <c r="G197" s="3096"/>
      <c r="H197" s="3096"/>
      <c r="I197" s="3096"/>
      <c r="J197" s="3096"/>
      <c r="K197" s="3096"/>
      <c r="L197" s="3096"/>
      <c r="M197" s="3096"/>
      <c r="N197" s="3096"/>
      <c r="O197" s="3096"/>
      <c r="P197" s="3096"/>
      <c r="Q197" s="3096"/>
    </row>
    <row r="198" spans="1:17">
      <c r="A198" s="3096"/>
      <c r="B198" s="601">
        <v>79</v>
      </c>
      <c r="C198" s="3191" t="s">
        <v>604</v>
      </c>
      <c r="E198" s="3098">
        <v>0</v>
      </c>
      <c r="F198" s="3096"/>
      <c r="G198" s="3096"/>
      <c r="H198" s="3096"/>
      <c r="I198" s="3096"/>
      <c r="J198" s="3096"/>
      <c r="K198" s="3096"/>
      <c r="L198" s="3096"/>
      <c r="M198" s="3096"/>
      <c r="N198" s="3096"/>
      <c r="O198" s="3096"/>
      <c r="P198" s="3096"/>
      <c r="Q198" s="3096"/>
    </row>
    <row r="199" spans="1:17">
      <c r="A199" s="3096"/>
      <c r="B199" s="601">
        <v>80</v>
      </c>
      <c r="C199" s="3191" t="s">
        <v>1925</v>
      </c>
      <c r="E199" s="3098">
        <v>0</v>
      </c>
      <c r="F199" s="3096"/>
      <c r="G199" s="3096"/>
      <c r="H199" s="3096"/>
      <c r="I199" s="3096"/>
      <c r="J199" s="3096"/>
      <c r="K199" s="3096"/>
      <c r="L199" s="3096"/>
      <c r="M199" s="3096"/>
      <c r="N199" s="3096"/>
      <c r="O199" s="3096"/>
      <c r="P199" s="3096"/>
      <c r="Q199" s="3096"/>
    </row>
    <row r="200" spans="1:17">
      <c r="A200" s="3096"/>
      <c r="B200" s="601">
        <v>81</v>
      </c>
      <c r="C200" s="3191" t="s">
        <v>1926</v>
      </c>
      <c r="E200" s="3098">
        <v>0</v>
      </c>
      <c r="F200" s="3096"/>
      <c r="G200" s="3096"/>
      <c r="H200" s="3096"/>
      <c r="I200" s="3096"/>
      <c r="J200" s="3096"/>
      <c r="K200" s="3096"/>
      <c r="L200" s="3096"/>
      <c r="M200" s="3096"/>
      <c r="N200" s="3096"/>
      <c r="O200" s="3096"/>
      <c r="P200" s="3096"/>
      <c r="Q200" s="3096"/>
    </row>
    <row r="201" spans="1:17">
      <c r="A201" s="3096"/>
      <c r="B201" s="601">
        <v>82</v>
      </c>
      <c r="C201" s="3191" t="s">
        <v>603</v>
      </c>
      <c r="E201" s="3098">
        <v>0</v>
      </c>
      <c r="F201" s="3096"/>
      <c r="G201" s="3096"/>
      <c r="H201" s="3096"/>
      <c r="I201" s="3096"/>
      <c r="J201" s="3096"/>
      <c r="K201" s="3096"/>
      <c r="L201" s="3096"/>
      <c r="M201" s="3096"/>
      <c r="N201" s="3096"/>
      <c r="O201" s="3096"/>
      <c r="P201" s="3096"/>
      <c r="Q201" s="3096"/>
    </row>
    <row r="202" spans="1:17">
      <c r="A202" s="3096"/>
      <c r="B202" s="601">
        <v>83</v>
      </c>
      <c r="C202" s="3191" t="s">
        <v>602</v>
      </c>
      <c r="E202" s="3098">
        <v>0</v>
      </c>
      <c r="F202" s="3096"/>
      <c r="G202" s="3096"/>
      <c r="H202" s="3096"/>
      <c r="I202" s="3096"/>
      <c r="J202" s="3096"/>
      <c r="K202" s="3096"/>
      <c r="L202" s="3096"/>
      <c r="M202" s="3096"/>
      <c r="N202" s="3096"/>
      <c r="O202" s="3096"/>
      <c r="P202" s="3096"/>
      <c r="Q202" s="3096"/>
    </row>
    <row r="203" spans="1:17">
      <c r="A203" s="3096"/>
      <c r="B203" s="601">
        <v>84</v>
      </c>
      <c r="C203" s="3191" t="s">
        <v>601</v>
      </c>
      <c r="E203" s="3098">
        <v>0</v>
      </c>
      <c r="F203" s="3096"/>
      <c r="G203" s="3096"/>
      <c r="H203" s="3096"/>
      <c r="I203" s="3096"/>
      <c r="J203" s="3096"/>
      <c r="K203" s="3096"/>
      <c r="L203" s="3096"/>
      <c r="M203" s="3096"/>
      <c r="N203" s="3096"/>
      <c r="O203" s="3096"/>
      <c r="P203" s="3096"/>
      <c r="Q203" s="3096"/>
    </row>
    <row r="204" spans="1:17">
      <c r="A204" s="3096"/>
      <c r="B204" s="601">
        <v>85</v>
      </c>
      <c r="C204" s="3191" t="s">
        <v>600</v>
      </c>
      <c r="E204" s="3098">
        <v>0</v>
      </c>
      <c r="F204" s="3096"/>
      <c r="G204" s="3096"/>
      <c r="H204" s="3096"/>
      <c r="I204" s="3096"/>
      <c r="J204" s="3096"/>
      <c r="K204" s="3096"/>
      <c r="L204" s="3096"/>
      <c r="M204" s="3096"/>
      <c r="N204" s="3096"/>
      <c r="O204" s="3096"/>
      <c r="P204" s="3096"/>
      <c r="Q204" s="3096"/>
    </row>
    <row r="205" spans="1:17">
      <c r="A205" s="3096"/>
      <c r="B205" s="601">
        <v>86</v>
      </c>
      <c r="C205" s="3191" t="s">
        <v>599</v>
      </c>
      <c r="E205" s="3098">
        <v>0</v>
      </c>
      <c r="F205" s="3096"/>
      <c r="G205" s="3096"/>
      <c r="H205" s="3096"/>
      <c r="I205" s="3096"/>
      <c r="J205" s="3096"/>
      <c r="K205" s="3096"/>
      <c r="L205" s="3096"/>
      <c r="M205" s="3096"/>
      <c r="N205" s="3096"/>
      <c r="O205" s="3096"/>
      <c r="P205" s="3096"/>
      <c r="Q205" s="3096"/>
    </row>
    <row r="206" spans="1:17">
      <c r="A206" s="3096"/>
      <c r="B206" s="601">
        <v>87</v>
      </c>
      <c r="C206" s="3191" t="s">
        <v>597</v>
      </c>
      <c r="E206" s="3098">
        <v>0</v>
      </c>
      <c r="F206" s="3096"/>
      <c r="G206" s="3096"/>
      <c r="H206" s="3096"/>
      <c r="I206" s="3096"/>
      <c r="J206" s="3096"/>
      <c r="K206" s="3096"/>
      <c r="L206" s="3096"/>
      <c r="M206" s="3096"/>
      <c r="N206" s="3096"/>
      <c r="O206" s="3096"/>
      <c r="P206" s="3096"/>
      <c r="Q206" s="3096"/>
    </row>
    <row r="207" spans="1:17">
      <c r="A207" s="3096"/>
      <c r="B207" s="601">
        <v>88</v>
      </c>
      <c r="C207" s="3191" t="s">
        <v>595</v>
      </c>
      <c r="E207" s="3098">
        <v>0</v>
      </c>
      <c r="F207" s="3096"/>
      <c r="G207" s="3096"/>
      <c r="H207" s="3096"/>
      <c r="I207" s="3096"/>
      <c r="J207" s="3096"/>
      <c r="K207" s="3096"/>
      <c r="L207" s="3096"/>
      <c r="M207" s="3096"/>
      <c r="N207" s="3096"/>
      <c r="O207" s="3096"/>
      <c r="P207" s="3096"/>
      <c r="Q207" s="3096"/>
    </row>
    <row r="208" spans="1:17">
      <c r="A208" s="3096"/>
      <c r="B208" s="601">
        <v>89</v>
      </c>
      <c r="C208" s="3191" t="s">
        <v>594</v>
      </c>
      <c r="E208" s="3098">
        <v>0</v>
      </c>
      <c r="F208" s="3096"/>
      <c r="G208" s="3096"/>
      <c r="H208" s="3096"/>
      <c r="I208" s="3096"/>
      <c r="J208" s="3096"/>
      <c r="K208" s="3096"/>
      <c r="L208" s="3096"/>
      <c r="M208" s="3096"/>
      <c r="N208" s="3096"/>
      <c r="O208" s="3096"/>
      <c r="P208" s="3096"/>
      <c r="Q208" s="3096"/>
    </row>
    <row r="209" spans="1:17">
      <c r="A209" s="3096"/>
      <c r="B209" s="601">
        <v>90</v>
      </c>
      <c r="C209" s="3191">
        <v>0</v>
      </c>
      <c r="E209" s="3098">
        <v>0</v>
      </c>
      <c r="F209" s="3096"/>
      <c r="G209" s="3096"/>
      <c r="H209" s="3096"/>
      <c r="I209" s="3096"/>
      <c r="J209" s="3096"/>
      <c r="K209" s="3096"/>
      <c r="L209" s="3096"/>
      <c r="M209" s="3096"/>
      <c r="N209" s="3096"/>
      <c r="O209" s="3096"/>
      <c r="P209" s="3096"/>
      <c r="Q209" s="3096"/>
    </row>
    <row r="210" spans="1:17">
      <c r="A210" s="3096"/>
      <c r="B210" s="601">
        <v>91</v>
      </c>
      <c r="C210" s="3191">
        <v>0</v>
      </c>
      <c r="E210" s="3098">
        <v>0</v>
      </c>
      <c r="F210" s="3096"/>
      <c r="G210" s="3096"/>
      <c r="H210" s="3096"/>
      <c r="I210" s="3096"/>
      <c r="J210" s="3096"/>
      <c r="K210" s="3096"/>
      <c r="L210" s="3096"/>
      <c r="M210" s="3096"/>
      <c r="N210" s="3096"/>
      <c r="O210" s="3096"/>
      <c r="P210" s="3096"/>
      <c r="Q210" s="3096"/>
    </row>
    <row r="211" spans="1:17">
      <c r="A211" s="3096"/>
      <c r="B211" s="601">
        <v>92</v>
      </c>
      <c r="C211" s="3191">
        <v>0</v>
      </c>
      <c r="E211" s="3098">
        <v>0</v>
      </c>
      <c r="F211" s="3096"/>
      <c r="G211" s="3096"/>
      <c r="H211" s="3096"/>
      <c r="I211" s="3096"/>
      <c r="J211" s="3096"/>
      <c r="K211" s="3096"/>
      <c r="L211" s="3096"/>
      <c r="M211" s="3096"/>
      <c r="N211" s="3096"/>
      <c r="O211" s="3096"/>
      <c r="P211" s="3096"/>
      <c r="Q211" s="3096"/>
    </row>
    <row r="212" spans="1:17">
      <c r="A212" s="3096"/>
      <c r="B212" s="601">
        <v>93</v>
      </c>
      <c r="C212" s="3191">
        <v>0</v>
      </c>
      <c r="E212" s="3098">
        <v>0</v>
      </c>
      <c r="F212" s="3096"/>
      <c r="G212" s="3096"/>
      <c r="H212" s="3096"/>
      <c r="I212" s="3096"/>
      <c r="J212" s="3096"/>
      <c r="K212" s="3096"/>
      <c r="L212" s="3096"/>
      <c r="M212" s="3096"/>
      <c r="N212" s="3096"/>
      <c r="O212" s="3096"/>
      <c r="P212" s="3096"/>
      <c r="Q212" s="3096"/>
    </row>
    <row r="213" spans="1:17">
      <c r="A213" s="3096"/>
      <c r="B213" s="601">
        <v>94</v>
      </c>
      <c r="C213" s="3191">
        <v>0</v>
      </c>
      <c r="E213" s="3098">
        <v>0</v>
      </c>
      <c r="F213" s="3096"/>
      <c r="G213" s="3096"/>
      <c r="H213" s="3096"/>
      <c r="I213" s="3096"/>
      <c r="J213" s="3096"/>
      <c r="K213" s="3096"/>
      <c r="L213" s="3096"/>
      <c r="M213" s="3096"/>
      <c r="N213" s="3096"/>
      <c r="O213" s="3096"/>
      <c r="P213" s="3096"/>
      <c r="Q213" s="3096"/>
    </row>
    <row r="214" spans="1:17">
      <c r="A214" s="3096"/>
      <c r="B214" s="601">
        <v>95</v>
      </c>
      <c r="C214" s="3191">
        <v>0</v>
      </c>
      <c r="E214" s="3098">
        <v>0</v>
      </c>
      <c r="F214" s="3096"/>
      <c r="G214" s="3096"/>
      <c r="H214" s="3096"/>
      <c r="I214" s="3096"/>
      <c r="J214" s="3096"/>
      <c r="K214" s="3096"/>
      <c r="L214" s="3096"/>
      <c r="M214" s="3096"/>
      <c r="N214" s="3096"/>
      <c r="O214" s="3096"/>
      <c r="P214" s="3096"/>
      <c r="Q214" s="3096"/>
    </row>
    <row r="215" spans="1:17">
      <c r="A215" s="3096"/>
      <c r="B215" s="601">
        <v>96</v>
      </c>
      <c r="C215" s="3191">
        <v>0</v>
      </c>
      <c r="E215" s="3098">
        <v>0</v>
      </c>
      <c r="F215" s="3096"/>
      <c r="G215" s="3096"/>
      <c r="H215" s="3096"/>
      <c r="I215" s="3096"/>
      <c r="J215" s="3096"/>
      <c r="K215" s="3096"/>
      <c r="L215" s="3096"/>
      <c r="M215" s="3096"/>
      <c r="N215" s="3096"/>
      <c r="O215" s="3096"/>
      <c r="P215" s="3096"/>
      <c r="Q215" s="3096"/>
    </row>
    <row r="216" spans="1:17">
      <c r="A216" s="3096"/>
      <c r="B216" s="601">
        <v>97</v>
      </c>
      <c r="C216" s="3191">
        <v>0</v>
      </c>
      <c r="E216" s="3098">
        <v>0</v>
      </c>
      <c r="F216" s="3096"/>
      <c r="G216" s="3096"/>
      <c r="H216" s="3096"/>
      <c r="I216" s="3096"/>
      <c r="J216" s="3096"/>
      <c r="K216" s="3096"/>
      <c r="L216" s="3096"/>
      <c r="M216" s="3096"/>
      <c r="N216" s="3096"/>
      <c r="O216" s="3096"/>
      <c r="P216" s="3096"/>
      <c r="Q216" s="3096"/>
    </row>
    <row r="217" spans="1:17">
      <c r="A217" s="3096"/>
      <c r="B217" s="601">
        <v>98</v>
      </c>
      <c r="C217" s="3191">
        <v>0</v>
      </c>
      <c r="E217" s="3098">
        <v>0</v>
      </c>
      <c r="F217" s="3096"/>
      <c r="G217" s="3096"/>
      <c r="H217" s="3096"/>
      <c r="I217" s="3096"/>
      <c r="J217" s="3096"/>
      <c r="K217" s="3096"/>
      <c r="L217" s="3096"/>
      <c r="M217" s="3096"/>
      <c r="N217" s="3096"/>
      <c r="O217" s="3096"/>
      <c r="P217" s="3096"/>
      <c r="Q217" s="3096"/>
    </row>
    <row r="218" spans="1:17">
      <c r="A218" s="3096"/>
      <c r="B218" s="601">
        <v>99</v>
      </c>
      <c r="C218" s="3191">
        <v>0</v>
      </c>
      <c r="E218" s="3098">
        <v>0</v>
      </c>
      <c r="F218" s="3096"/>
      <c r="G218" s="3096"/>
      <c r="H218" s="3096"/>
      <c r="I218" s="3096"/>
      <c r="J218" s="3096"/>
      <c r="K218" s="3096"/>
      <c r="L218" s="3096"/>
      <c r="M218" s="3096"/>
      <c r="N218" s="3096"/>
      <c r="O218" s="3096"/>
      <c r="P218" s="3096"/>
      <c r="Q218" s="3096"/>
    </row>
  </sheetData>
  <sheetProtection sheet="1" objects="1" scenarios="1"/>
  <mergeCells count="49">
    <mergeCell ref="E4:I4"/>
    <mergeCell ref="J4:L4"/>
    <mergeCell ref="K1:L1"/>
    <mergeCell ref="N1:O1"/>
    <mergeCell ref="K2:P2"/>
    <mergeCell ref="J3:L3"/>
    <mergeCell ref="N3:O4"/>
    <mergeCell ref="F23:G23"/>
    <mergeCell ref="H6:I6"/>
    <mergeCell ref="K6:L6"/>
    <mergeCell ref="N6:O6"/>
    <mergeCell ref="E10:F10"/>
    <mergeCell ref="C14:F14"/>
    <mergeCell ref="C15:F15"/>
    <mergeCell ref="C16:F16"/>
    <mergeCell ref="C17:F17"/>
    <mergeCell ref="C19:F19"/>
    <mergeCell ref="E22:G22"/>
    <mergeCell ref="C20:F20"/>
    <mergeCell ref="C21:F21"/>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64:E64"/>
    <mergeCell ref="C68:E68"/>
    <mergeCell ref="C73:E73"/>
    <mergeCell ref="C74:E74"/>
    <mergeCell ref="B75:C75"/>
  </mergeCells>
  <dataValidations count="3">
    <dataValidation type="list" showInputMessage="1" showErrorMessage="1" sqref="K14:K17 H14:H17 N14:N17">
      <formula1>"ja,nein"</formula1>
    </dataValidation>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s>
  <printOptions horizontalCentered="1"/>
  <pageMargins left="0.59055118110236227" right="0.59055118110236227" top="0.59055118110236227" bottom="0.59055118110236227" header="0.39370078740157483" footer="0.39370078740157483"/>
  <pageSetup paperSize="9" scale="65" firstPageNumber="82" orientation="portrait" r:id="rId1"/>
  <headerFooter alignWithMargins="0">
    <oddFooter>&amp;L&amp;11LEL Schwäbisch Gmünd&amp;C87&amp;R&amp;11&amp;F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1489" r:id="rId4" name="Check Box 1">
              <controlPr defaultSize="0" print="0" autoFill="0" autoLine="0" autoPict="0">
                <anchor moveWithCells="1">
                  <from>
                    <xdr:col>12</xdr:col>
                    <xdr:colOff>180975</xdr:colOff>
                    <xdr:row>2</xdr:row>
                    <xdr:rowOff>247650</xdr:rowOff>
                  </from>
                  <to>
                    <xdr:col>13</xdr:col>
                    <xdr:colOff>19050</xdr:colOff>
                    <xdr:row>4</xdr:row>
                    <xdr:rowOff>57150</xdr:rowOff>
                  </to>
                </anchor>
              </controlPr>
            </control>
          </mc:Choice>
        </mc:AlternateContent>
        <mc:AlternateContent xmlns:mc="http://schemas.openxmlformats.org/markup-compatibility/2006">
          <mc:Choice Requires="x14">
            <control shapeId="191490" r:id="rId5" name="Check Box 2">
              <controlPr defaultSize="0" print="0" autoFill="0" autoLine="0" autoPict="0">
                <anchor moveWithCells="1">
                  <from>
                    <xdr:col>12</xdr:col>
                    <xdr:colOff>171450</xdr:colOff>
                    <xdr:row>1</xdr:row>
                    <xdr:rowOff>257175</xdr:rowOff>
                  </from>
                  <to>
                    <xdr:col>13</xdr:col>
                    <xdr:colOff>9525</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Lohnmaschinen" error="Bitte aus Dropdownliste auswählen.">
          <x14:formula1>
            <xm:f>'SDK3'!#REF!</xm:f>
          </x14:formula1>
          <xm:sqref>C62:E64</xm:sqref>
        </x14:dataValidation>
        <x14:dataValidation type="list" allowBlank="1" showInputMessage="1" showErrorMessage="1" errorTitle="Arbeitsgänge" error="Bitte aus Dropdownliste auswählen.">
          <x14:formula1>
            <xm:f>'SDK3'!#REF!</xm:f>
          </x14:formula1>
          <xm:sqref>C46:D57</xm:sqref>
        </x14:dataValidation>
        <x14:dataValidation type="list" allowBlank="1" showInputMessage="1" showErrorMessage="1" errorTitle="Pflanzenschutzmittel" error="Bitte aus Dropdownliste auswählen.">
          <x14:formula1>
            <xm:f>'SDK5'!$AD$214:$AD$313</xm:f>
          </x14:formula1>
          <xm:sqref>C36:E42</xm:sqref>
        </x14:dataValidation>
        <x14:dataValidation type="list" allowBlank="1" showInputMessage="1" showErrorMessage="1" errorTitle="Organisationsabh. Ausgleichsl." error="Bitte aus Dropdownliste auswählen.">
          <x14:formula1>
            <xm:f>'SD2'!$C$59:$C$74</xm:f>
          </x14:formula1>
          <xm:sqref>C19:F21</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0">
    <tabColor rgb="FFFF0000"/>
    <pageSetUpPr fitToPage="1"/>
  </sheetPr>
  <dimension ref="A1:L80"/>
  <sheetViews>
    <sheetView workbookViewId="0"/>
  </sheetViews>
  <sheetFormatPr baseColWidth="10" defaultColWidth="11.25" defaultRowHeight="12.75"/>
  <cols>
    <col min="1" max="1" width="1.5" style="33" customWidth="1"/>
    <col min="2" max="2" width="11.25" style="33"/>
    <col min="3" max="3" width="10.5" style="33" bestFit="1" customWidth="1"/>
    <col min="4" max="12" width="11.25" style="33"/>
    <col min="13" max="13" width="4.375" style="33" bestFit="1" customWidth="1"/>
    <col min="14" max="16384" width="11.25" style="33"/>
  </cols>
  <sheetData>
    <row r="1" spans="1:12">
      <c r="A1" s="1937"/>
    </row>
    <row r="2" spans="1:12" ht="24.75" customHeight="1">
      <c r="D2" s="134" t="s">
        <v>1246</v>
      </c>
      <c r="L2" s="2974">
        <f>SDÖ1!O3</f>
        <v>0</v>
      </c>
    </row>
    <row r="3" spans="1:12" ht="2.1" customHeight="1">
      <c r="B3" s="1939"/>
      <c r="C3" s="1938"/>
      <c r="K3" s="128"/>
    </row>
    <row r="4" spans="1:12" ht="13.7" customHeight="1"/>
    <row r="30" spans="1:1">
      <c r="A30" s="1937"/>
    </row>
    <row r="55" spans="1:1">
      <c r="A55" s="1937"/>
    </row>
    <row r="80" spans="1:1">
      <c r="A80" s="1937"/>
    </row>
  </sheetData>
  <sheetProtection selectLockedCells="1"/>
  <printOptions horizontalCentered="1"/>
  <pageMargins left="0.59055118110236227" right="0.57999999999999996" top="0.59055118110236227" bottom="0.59055118110236227" header="0.39370078740157483" footer="0.39370078740157483"/>
  <pageSetup paperSize="9" scale="75" firstPageNumber="85" orientation="portrait" r:id="rId1"/>
  <headerFooter alignWithMargins="0">
    <oddFooter>&amp;L&amp;11LEL Schwäbisch Gmünd&amp;R&amp;11&amp;F</oddFooter>
  </headerFooter>
  <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5">
    <tabColor rgb="FF00B050"/>
    <pageSetUpPr fitToPage="1"/>
  </sheetPr>
  <dimension ref="A1:AO208"/>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7.375" style="32" hidden="1" customWidth="1"/>
    <col min="18" max="34" width="7.375" style="31" hidden="1" customWidth="1"/>
    <col min="35" max="16384" width="10.5" style="31"/>
  </cols>
  <sheetData>
    <row r="1" spans="1:41" s="274" customFormat="1" ht="30.2" customHeight="1">
      <c r="A1" s="2475"/>
      <c r="B1" s="319"/>
      <c r="C1" s="1876"/>
      <c r="D1" s="136"/>
      <c r="E1" s="316"/>
      <c r="F1" s="316"/>
      <c r="G1" s="4933" t="s">
        <v>1636</v>
      </c>
      <c r="H1" s="4933"/>
      <c r="I1" s="4933"/>
      <c r="J1" s="1874">
        <f>(J7+J13+J18+J22+I11+I12)-(J23+J27+J34+J43+J60+J65+J67+J69+J71+J75)</f>
        <v>515.46596118125944</v>
      </c>
      <c r="K1" s="4855">
        <f>M1-J1</f>
        <v>176.83933333333334</v>
      </c>
      <c r="L1" s="4855"/>
      <c r="M1" s="1874">
        <f>(M7+M13+M18+M22+L11+L12)-(M23+M27+M34+M43+M60+M65+M67+M69+M71+M75)</f>
        <v>692.30529451459279</v>
      </c>
      <c r="N1" s="4855">
        <f>P1-M1</f>
        <v>176.83933333333334</v>
      </c>
      <c r="O1" s="4855"/>
      <c r="P1" s="1874">
        <f>(P7+P13+P18+P22+O11+O12)-(P23+P27+P34+P43+P60+P65+P67+P69+P71+P75)</f>
        <v>869.14462784792613</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1287</v>
      </c>
      <c r="L2" s="4867"/>
      <c r="M2" s="4867"/>
      <c r="N2" s="4867"/>
      <c r="O2" s="4867"/>
      <c r="P2" s="4867"/>
      <c r="Q2" s="2475"/>
    </row>
    <row r="3" spans="1:41" s="274" customFormat="1" ht="21.75" customHeight="1">
      <c r="A3" s="2475"/>
      <c r="B3" s="1871" t="s">
        <v>1635</v>
      </c>
      <c r="G3" s="1859"/>
      <c r="H3" s="1870"/>
      <c r="J3" s="33"/>
      <c r="K3" s="33"/>
      <c r="L3" s="33"/>
      <c r="M3" s="33"/>
      <c r="O3" s="33"/>
      <c r="P3" s="1868"/>
      <c r="Q3" s="4932"/>
      <c r="R3" s="4932"/>
      <c r="S3" s="4932"/>
      <c r="T3" s="1886" t="b">
        <v>0</v>
      </c>
    </row>
    <row r="4" spans="1:41" s="274" customFormat="1" ht="20.25" customHeight="1">
      <c r="A4" s="2475"/>
      <c r="B4" s="370" t="s">
        <v>1098</v>
      </c>
      <c r="C4" s="31"/>
      <c r="D4" s="31"/>
      <c r="E4" s="4898" t="s">
        <v>1986</v>
      </c>
      <c r="F4" s="4898"/>
      <c r="G4" s="4898"/>
      <c r="H4" s="4898"/>
      <c r="I4" s="4898"/>
      <c r="J4" s="33"/>
      <c r="K4" s="33"/>
      <c r="L4" s="33"/>
      <c r="M4" s="33"/>
      <c r="O4" s="33"/>
      <c r="P4" s="1864">
        <f>SDÖ1!O3</f>
        <v>0</v>
      </c>
      <c r="Q4" s="4932"/>
      <c r="R4" s="4932"/>
      <c r="S4" s="4932"/>
      <c r="T4" s="1886" t="b">
        <v>0</v>
      </c>
    </row>
    <row r="5" spans="1:41" ht="6" customHeight="1">
      <c r="Q5" s="4932"/>
      <c r="R5" s="4932"/>
      <c r="S5" s="4932"/>
    </row>
    <row r="6" spans="1:41" s="1853" customFormat="1" ht="24" customHeight="1">
      <c r="A6" s="48"/>
      <c r="B6" s="1858" t="s">
        <v>1151</v>
      </c>
      <c r="C6" s="1857"/>
      <c r="D6" s="1857"/>
      <c r="E6" s="3067" t="s">
        <v>1634</v>
      </c>
      <c r="F6" s="1857"/>
      <c r="G6" s="1856"/>
      <c r="H6" s="4861" t="s">
        <v>179</v>
      </c>
      <c r="I6" s="4862"/>
      <c r="J6" s="1855">
        <v>300</v>
      </c>
      <c r="K6" s="4874" t="s">
        <v>152</v>
      </c>
      <c r="L6" s="4875"/>
      <c r="M6" s="1855">
        <v>400</v>
      </c>
      <c r="N6" s="4861" t="s">
        <v>178</v>
      </c>
      <c r="O6" s="4862"/>
      <c r="P6" s="1854">
        <v>500</v>
      </c>
      <c r="Q6" s="4932"/>
      <c r="R6" s="4932"/>
      <c r="S6" s="4932"/>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c r="G9" s="1762"/>
      <c r="H9" s="1845">
        <f>J6-H10</f>
        <v>300</v>
      </c>
      <c r="I9" s="1841">
        <f>H9*G9</f>
        <v>0</v>
      </c>
      <c r="J9" s="43"/>
      <c r="K9" s="1844">
        <f>M6-K10</f>
        <v>400</v>
      </c>
      <c r="L9" s="1843">
        <f>K9*G9</f>
        <v>0</v>
      </c>
      <c r="M9" s="1822"/>
      <c r="N9" s="1842">
        <f>P6-N10</f>
        <v>500</v>
      </c>
      <c r="O9" s="1841">
        <f>N9*G9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100</v>
      </c>
      <c r="K13" s="1794"/>
      <c r="L13" s="1793"/>
      <c r="M13" s="1585">
        <f>SUM(L14:L17)</f>
        <v>100</v>
      </c>
      <c r="N13" s="1792"/>
      <c r="O13" s="1791"/>
      <c r="P13" s="1582">
        <f>SUM(O14:O16)</f>
        <v>100</v>
      </c>
      <c r="Q13" s="32"/>
      <c r="R13" s="136"/>
      <c r="U13" s="42"/>
      <c r="V13" s="42"/>
      <c r="W13" s="42" t="s">
        <v>246</v>
      </c>
      <c r="X13" s="1802">
        <f>$X$12*F30</f>
        <v>0</v>
      </c>
      <c r="Y13" s="1802">
        <f>$Y$12*F30</f>
        <v>0</v>
      </c>
      <c r="Z13" s="1802">
        <f>$Z$12*F30</f>
        <v>0</v>
      </c>
      <c r="AI13" s="4009"/>
    </row>
    <row r="14" spans="1:41" s="42" customFormat="1" ht="15" customHeight="1">
      <c r="A14" s="45"/>
      <c r="B14" s="1789"/>
      <c r="C14" s="4860" t="s">
        <v>2045</v>
      </c>
      <c r="D14" s="4860"/>
      <c r="E14" s="4860"/>
      <c r="F14" s="4860"/>
      <c r="G14" s="1805"/>
      <c r="H14" s="1935" t="s">
        <v>1241</v>
      </c>
      <c r="I14" s="1785">
        <f>IF(H14="ja",Q14,0)</f>
        <v>100</v>
      </c>
      <c r="J14" s="45"/>
      <c r="K14" s="1804" t="s">
        <v>1241</v>
      </c>
      <c r="L14" s="1639">
        <f>IF(K14="ja",Q14,0)</f>
        <v>100</v>
      </c>
      <c r="M14" s="1557"/>
      <c r="N14" s="1804" t="s">
        <v>1241</v>
      </c>
      <c r="O14" s="1785">
        <f>IF(N14="ja",Q14,0)</f>
        <v>100</v>
      </c>
      <c r="P14" s="1554"/>
      <c r="Q14" s="1803">
        <f>IF(C14=0,0,VLOOKUP(C14,'SD2'!$C$11:$N$49,'SD2'!$N$1,FALSE))</f>
        <v>100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935" t="s">
        <v>1190</v>
      </c>
      <c r="I15" s="1785">
        <f>IF(H15="ja",Q15,0)</f>
        <v>0</v>
      </c>
      <c r="J15" s="45"/>
      <c r="K15" s="1935" t="s">
        <v>1190</v>
      </c>
      <c r="L15" s="1639">
        <f>IF(K15="ja",Q15,0)</f>
        <v>0</v>
      </c>
      <c r="M15" s="1557"/>
      <c r="N15" s="1935"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401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455.4</v>
      </c>
      <c r="S19" s="1784">
        <f>M13+M18</f>
        <v>455.4</v>
      </c>
      <c r="T19" s="1784">
        <f>P13+P18</f>
        <v>455.4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200</v>
      </c>
      <c r="K23" s="1587"/>
      <c r="L23" s="1586"/>
      <c r="M23" s="1768">
        <f>SUM(L25:L26)</f>
        <v>200</v>
      </c>
      <c r="N23" s="1584"/>
      <c r="O23" s="1583"/>
      <c r="P23" s="1567">
        <f>SUM(O25:O26)</f>
        <v>200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5</v>
      </c>
      <c r="G25" s="1762">
        <f>F25*(100+$D$24)/100</f>
        <v>5</v>
      </c>
      <c r="H25" s="1761">
        <v>40</v>
      </c>
      <c r="I25" s="1722">
        <f>H25*$G25</f>
        <v>200</v>
      </c>
      <c r="J25" s="45"/>
      <c r="K25" s="1761">
        <f>H25</f>
        <v>40</v>
      </c>
      <c r="L25" s="1564">
        <f>K25*$G25</f>
        <v>200</v>
      </c>
      <c r="M25" s="1557"/>
      <c r="N25" s="1761">
        <f>H25</f>
        <v>40</v>
      </c>
      <c r="O25" s="1722">
        <f>N25*$G25</f>
        <v>200</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-437</v>
      </c>
      <c r="K27" s="1716"/>
      <c r="L27" s="1715"/>
      <c r="M27" s="1585">
        <f>SUM(L30:L33)</f>
        <v>-611.80000000000007</v>
      </c>
      <c r="N27" s="1714"/>
      <c r="O27" s="1713"/>
      <c r="P27" s="1582">
        <f>SUM(O30:O33)</f>
        <v>-786.6</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-2</v>
      </c>
      <c r="F30" s="1742"/>
      <c r="G30" s="1741">
        <v>20</v>
      </c>
      <c r="H30" s="1739">
        <f>IF(J$6=0,0,(J$6*0.2*$E30+$G30+X13))</f>
        <v>-100</v>
      </c>
      <c r="I30" s="1722">
        <f>H30*$D30</f>
        <v>-437</v>
      </c>
      <c r="J30" s="45"/>
      <c r="K30" s="1740">
        <f>IF(M$6=0,0,(M$6*0.2*$E30+$G30+AA13))</f>
        <v>-140</v>
      </c>
      <c r="L30" s="1564">
        <f>K30*$D30</f>
        <v>-611.80000000000007</v>
      </c>
      <c r="M30" s="1557"/>
      <c r="N30" s="1739">
        <f>IF(P$6=0,0,(P$6*0.2*$E30+$G30+AD13))</f>
        <v>-180</v>
      </c>
      <c r="O30" s="1722">
        <f>N30*$D30</f>
        <v>-786.6</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5">
        <f>IF(J$6=0,0,(J$6*0.2*$E33+$G33+X16))</f>
        <v>0</v>
      </c>
      <c r="I33" s="1718">
        <f>H33*$D33</f>
        <v>0</v>
      </c>
      <c r="J33" s="45"/>
      <c r="K33" s="1736">
        <f>IF(M$6=0,0,(M$6*0.2*$E33+$G33+AA16))</f>
        <v>0</v>
      </c>
      <c r="L33" s="1558">
        <f>K33*$D33</f>
        <v>0</v>
      </c>
      <c r="M33" s="1557"/>
      <c r="N33" s="1735">
        <f>IF(P$6=0,0,(P$6*0.2*$E33+$G33+AD16))</f>
        <v>0</v>
      </c>
      <c r="O33" s="1718">
        <f>N33*$D33</f>
        <v>0</v>
      </c>
      <c r="P33" s="1717"/>
      <c r="Q33" s="32"/>
    </row>
    <row r="34" spans="1:17" s="42" customFormat="1" ht="15" customHeight="1">
      <c r="A34" s="1284"/>
      <c r="B34" s="1254" t="s">
        <v>1627</v>
      </c>
      <c r="C34" s="1248"/>
      <c r="D34" s="3032"/>
      <c r="E34" s="3032"/>
      <c r="F34" s="4876"/>
      <c r="G34" s="4877" t="s">
        <v>171</v>
      </c>
      <c r="H34" s="1732"/>
      <c r="I34" s="1731"/>
      <c r="J34" s="1582">
        <f>SUM(I36:I42)</f>
        <v>0</v>
      </c>
      <c r="K34" s="1734"/>
      <c r="L34" s="1733"/>
      <c r="M34" s="1585">
        <f>SUM(L36:L42)</f>
        <v>0</v>
      </c>
      <c r="N34" s="1732"/>
      <c r="O34" s="1731"/>
      <c r="P34" s="1582">
        <f>SUM(O36:O42)</f>
        <v>0</v>
      </c>
      <c r="Q34" s="38"/>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177.62672700369745</v>
      </c>
      <c r="K43" s="1716"/>
      <c r="L43" s="1715"/>
      <c r="M43" s="1585">
        <f>SUM(M46:M57)</f>
        <v>177.62672700369745</v>
      </c>
      <c r="N43" s="1714"/>
      <c r="O43" s="1713"/>
      <c r="P43" s="1582">
        <f>SUM(P46:P57)</f>
        <v>177.62672700369745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t="s">
        <v>462</v>
      </c>
      <c r="D46" s="4859"/>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8"/>
    </row>
    <row r="47" spans="1:17" s="42" customFormat="1" ht="15" customHeight="1">
      <c r="A47" s="1284"/>
      <c r="B47" s="1694"/>
      <c r="C47" s="4882" t="s">
        <v>459</v>
      </c>
      <c r="D47" s="4883"/>
      <c r="E47" s="1693">
        <f>IF($C47=0,0,VLOOKUP($C47,SDÖ3!$C$24:$O$99,4,FALSE))</f>
        <v>102</v>
      </c>
      <c r="F47" s="1692">
        <f>IF($C47=0,0,VLOOKUP($C47,SDÖ3!$C$24:$O$99,12,FALSE))</f>
        <v>0.79</v>
      </c>
      <c r="G47" s="1691">
        <f>IF($C47=0,0,VLOOKUP($C47,SDÖ3!$C$24:$O$99,13,FALSE))</f>
        <v>21.737240200000002</v>
      </c>
      <c r="H47" s="1688">
        <v>1</v>
      </c>
      <c r="I47" s="1687">
        <f t="shared" si="4"/>
        <v>0.79</v>
      </c>
      <c r="J47" s="1686">
        <f t="shared" si="5"/>
        <v>21.737240200000002</v>
      </c>
      <c r="K47" s="1688">
        <v>1</v>
      </c>
      <c r="L47" s="1690">
        <f t="shared" si="6"/>
        <v>0.79</v>
      </c>
      <c r="M47" s="1689">
        <f t="shared" si="7"/>
        <v>21.737240200000002</v>
      </c>
      <c r="N47" s="1688">
        <v>1</v>
      </c>
      <c r="O47" s="1687">
        <f t="shared" si="8"/>
        <v>0.79</v>
      </c>
      <c r="P47" s="1686">
        <f t="shared" si="9"/>
        <v>21.737240200000002</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82" t="s">
        <v>449</v>
      </c>
      <c r="D49" s="4883"/>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414</v>
      </c>
      <c r="D51" s="4883"/>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96"/>
      <c r="D57" s="4897"/>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6.24</v>
      </c>
      <c r="J58" s="1669"/>
      <c r="K58" s="1668"/>
      <c r="L58" s="1667">
        <f>SUM($L$46:$L$57)</f>
        <v>6.24</v>
      </c>
      <c r="M58" s="1666"/>
      <c r="N58" s="1665"/>
      <c r="O58" s="1664">
        <f>SUM($O$46:$O$57)</f>
        <v>6.24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11.232000000000001</v>
      </c>
      <c r="J59" s="1654"/>
      <c r="K59" s="1659"/>
      <c r="L59" s="1658">
        <f>IF(L58+SUM($L$46:$L$57)*$E$59%&gt;L58+10,L58+10,L58+SUM($L$46:$L$57)*$E$59%)</f>
        <v>11.232000000000001</v>
      </c>
      <c r="M59" s="1657"/>
      <c r="N59" s="1656"/>
      <c r="O59" s="1655">
        <f>IF(O58+SUM($O$46:$O$57)*$E$59%&gt;O58+10,O58+10,O58+SUM($O$46:$O$57)*$E$59%)</f>
        <v>11.232000000000001</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IF($C62=0,0,VLOOKUP($C62,SDÖ3!$C$137:$D$162,2,FALSE))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2399">
        <f>IF($C63=0,0,VLOOKUP($C63,SDÖ3!$C$137:$D$162,2,FALSE))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3589">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88" t="s">
        <v>1159</v>
      </c>
      <c r="D68" s="4888"/>
      <c r="E68" s="4888"/>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3.9"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3.9"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4.9" customHeight="1">
      <c r="A75" s="1248"/>
      <c r="B75" s="4886" t="s">
        <v>1154</v>
      </c>
      <c r="C75" s="4887"/>
      <c r="D75" s="1553" t="s">
        <v>1153</v>
      </c>
      <c r="E75" s="1552">
        <f>'SDK1'!$O$59/100</f>
        <v>0.02</v>
      </c>
      <c r="F75" s="1551" t="s">
        <v>1152</v>
      </c>
      <c r="G75" s="1550">
        <v>7</v>
      </c>
      <c r="H75" s="1548"/>
      <c r="I75" s="1549"/>
      <c r="J75" s="1546">
        <f>(J23+J27+J34+J43+J60+J65+J67+J69+J71)*('SDK1'!$O$59%*$G$75/12)</f>
        <v>-0.69268818495686302</v>
      </c>
      <c r="K75" s="3031"/>
      <c r="L75" s="1034"/>
      <c r="M75" s="1546">
        <f>(M23+M27+M34+M43+M60+M65+M67+M69+M71)*('SDK1'!$O$59%*$G$75/12)</f>
        <v>-2.7320215182901975</v>
      </c>
      <c r="N75" s="1548"/>
      <c r="O75" s="1547"/>
      <c r="P75" s="1546">
        <f>(P23+P27+P34+P43+P60+P65+P67+P69+P71)*('SDK1'!$O$59%*$G$75/12)</f>
        <v>-4.7713548516235305</v>
      </c>
      <c r="Q75" s="32"/>
    </row>
    <row r="77" spans="1:20" ht="15.6" customHeight="1">
      <c r="F77" s="32" t="s">
        <v>1213</v>
      </c>
    </row>
    <row r="78" spans="1:20" ht="13.9" customHeight="1">
      <c r="C78" s="3063" t="s">
        <v>1888</v>
      </c>
      <c r="D78" s="3064"/>
      <c r="E78" s="3064"/>
      <c r="F78" s="3065"/>
      <c r="G78" s="3584"/>
      <c r="H78" s="3584"/>
      <c r="I78" s="3584"/>
      <c r="J78" s="3584"/>
      <c r="K78" s="3584"/>
      <c r="L78" s="3584"/>
      <c r="M78" s="3584"/>
      <c r="N78" s="3584"/>
      <c r="O78" s="3584"/>
      <c r="P78" s="3584"/>
    </row>
    <row r="79" spans="1:20">
      <c r="C79" s="3056" t="s">
        <v>295</v>
      </c>
      <c r="D79" s="3045"/>
      <c r="E79" s="3045"/>
      <c r="F79" s="3047"/>
      <c r="G79" s="3584"/>
      <c r="H79" s="3584"/>
      <c r="I79" s="3584"/>
      <c r="J79" s="3584"/>
      <c r="K79" s="3584"/>
      <c r="L79" s="3584"/>
      <c r="M79" s="3584"/>
      <c r="N79" s="3584"/>
      <c r="O79" s="3584"/>
      <c r="P79" s="3584"/>
    </row>
    <row r="80" spans="1:20" ht="13.9" customHeight="1">
      <c r="C80" s="3053" t="s">
        <v>1884</v>
      </c>
      <c r="D80" s="3054"/>
      <c r="E80" s="3054"/>
      <c r="F80" s="3055"/>
      <c r="G80" s="3584"/>
      <c r="H80" s="3584"/>
      <c r="I80" s="3584"/>
      <c r="J80" s="3584"/>
      <c r="K80" s="3584"/>
      <c r="L80" s="3584"/>
      <c r="M80" s="3584"/>
      <c r="N80" s="3584"/>
      <c r="O80" s="3584"/>
      <c r="P80" s="3584"/>
    </row>
    <row r="81" spans="3:16" ht="13.9" customHeight="1">
      <c r="C81" s="3053" t="s">
        <v>1885</v>
      </c>
      <c r="D81" s="3054"/>
      <c r="E81" s="3054"/>
      <c r="F81" s="3055"/>
      <c r="G81" s="3584"/>
      <c r="H81" s="3584"/>
      <c r="I81" s="3584"/>
      <c r="J81" s="3584"/>
      <c r="K81" s="3584"/>
      <c r="L81" s="3584"/>
      <c r="M81" s="3584"/>
      <c r="N81" s="3584"/>
      <c r="O81" s="3584"/>
      <c r="P81" s="3584"/>
    </row>
    <row r="82" spans="3:16">
      <c r="C82" s="3056" t="s">
        <v>294</v>
      </c>
      <c r="D82" s="3057"/>
      <c r="E82" s="3057"/>
      <c r="F82" s="3058"/>
      <c r="G82" s="3584"/>
      <c r="H82" s="3584"/>
      <c r="I82" s="3584"/>
      <c r="J82" s="3584"/>
      <c r="K82" s="3584"/>
      <c r="L82" s="3584"/>
      <c r="M82" s="3584"/>
      <c r="N82" s="3584"/>
      <c r="O82" s="3584"/>
      <c r="P82" s="3584"/>
    </row>
    <row r="83" spans="3:16" ht="13.9" customHeight="1">
      <c r="C83" s="3042" t="s">
        <v>1886</v>
      </c>
      <c r="D83" s="3043"/>
      <c r="E83" s="3043"/>
      <c r="F83" s="3044"/>
      <c r="G83" s="3584"/>
      <c r="H83" s="3584"/>
      <c r="I83" s="3584"/>
      <c r="J83" s="3584"/>
      <c r="K83" s="3584"/>
      <c r="L83" s="3584"/>
      <c r="M83" s="3584"/>
      <c r="N83" s="3584"/>
      <c r="O83" s="3584"/>
      <c r="P83" s="3584"/>
    </row>
    <row r="84" spans="3:16" ht="13.9" customHeight="1">
      <c r="C84" s="3042" t="s">
        <v>1887</v>
      </c>
      <c r="D84" s="3043"/>
      <c r="E84" s="3043"/>
      <c r="F84" s="3044"/>
      <c r="G84" s="3584"/>
      <c r="H84" s="3584"/>
      <c r="I84" s="3584"/>
      <c r="J84" s="3584"/>
      <c r="K84" s="3584"/>
      <c r="L84" s="3584"/>
      <c r="M84" s="3584"/>
      <c r="N84" s="3584"/>
      <c r="O84" s="3584"/>
      <c r="P84" s="3584"/>
    </row>
    <row r="85" spans="3:16">
      <c r="C85" s="3056" t="s">
        <v>293</v>
      </c>
      <c r="D85" s="3057"/>
      <c r="E85" s="3057"/>
      <c r="F85" s="3058"/>
      <c r="G85" s="3584"/>
      <c r="H85" s="3584"/>
      <c r="I85" s="3584"/>
      <c r="J85" s="3584"/>
      <c r="K85" s="3584"/>
      <c r="L85" s="3584"/>
      <c r="M85" s="3584"/>
      <c r="N85" s="3584"/>
      <c r="O85" s="3584"/>
      <c r="P85" s="3584"/>
    </row>
    <row r="86" spans="3:16">
      <c r="C86" s="3056" t="s">
        <v>292</v>
      </c>
      <c r="D86" s="3057"/>
      <c r="E86" s="3057"/>
      <c r="F86" s="3058"/>
      <c r="G86" s="3584"/>
      <c r="H86" s="3584"/>
      <c r="I86" s="3584"/>
      <c r="J86" s="3584"/>
      <c r="K86" s="3584"/>
      <c r="L86" s="3584"/>
      <c r="M86" s="3584"/>
      <c r="N86" s="3584"/>
      <c r="O86" s="3584"/>
      <c r="P86" s="3584"/>
    </row>
    <row r="87" spans="3:16" ht="15.6" customHeight="1">
      <c r="C87" s="3056" t="s">
        <v>291</v>
      </c>
      <c r="D87" s="3057"/>
      <c r="E87" s="3057"/>
      <c r="F87" s="3058"/>
      <c r="G87" s="3584"/>
      <c r="H87" s="3584"/>
      <c r="I87" s="3584"/>
      <c r="J87" s="3584"/>
      <c r="K87" s="3584"/>
      <c r="L87" s="3584"/>
      <c r="M87" s="3584"/>
      <c r="N87" s="3584"/>
      <c r="O87" s="3584"/>
      <c r="P87" s="3584"/>
    </row>
    <row r="88" spans="3:16">
      <c r="C88" s="3056" t="s">
        <v>290</v>
      </c>
      <c r="D88" s="3045"/>
      <c r="E88" s="3045"/>
      <c r="F88" s="3047"/>
      <c r="G88" s="3584"/>
      <c r="H88" s="3584"/>
      <c r="I88" s="3584"/>
      <c r="J88" s="3584"/>
      <c r="K88" s="3584"/>
      <c r="L88" s="3584"/>
      <c r="M88" s="3584"/>
      <c r="N88" s="3584"/>
      <c r="O88" s="3584"/>
      <c r="P88" s="3584"/>
    </row>
    <row r="89" spans="3:16">
      <c r="C89" s="3056" t="s">
        <v>289</v>
      </c>
      <c r="D89" s="3045"/>
      <c r="E89" s="3045"/>
      <c r="F89" s="3047"/>
      <c r="G89" s="3584"/>
      <c r="H89" s="3584"/>
      <c r="I89" s="3584"/>
      <c r="J89" s="3584"/>
      <c r="K89" s="3584"/>
      <c r="L89" s="3584"/>
      <c r="M89" s="3584"/>
      <c r="N89" s="3584"/>
      <c r="O89" s="3584"/>
      <c r="P89" s="3584"/>
    </row>
    <row r="90" spans="3:16" ht="13.15" customHeight="1">
      <c r="C90" s="3060" t="s">
        <v>288</v>
      </c>
      <c r="D90" s="3061"/>
      <c r="E90" s="3061"/>
      <c r="F90" s="3062"/>
      <c r="G90" s="3584"/>
      <c r="H90" s="3584"/>
      <c r="I90" s="3584"/>
      <c r="J90" s="3584"/>
      <c r="K90" s="3584"/>
      <c r="L90" s="3584"/>
      <c r="M90" s="3584"/>
      <c r="N90" s="3584"/>
      <c r="O90" s="3584"/>
      <c r="P90" s="3584"/>
    </row>
    <row r="91" spans="3:16">
      <c r="C91" s="270"/>
      <c r="D91" s="270"/>
      <c r="E91" s="270"/>
      <c r="F91" s="3046"/>
      <c r="G91" s="3584"/>
      <c r="H91" s="3584"/>
      <c r="I91" s="3584"/>
      <c r="J91" s="3584"/>
      <c r="K91" s="3584"/>
      <c r="L91" s="3584"/>
      <c r="M91" s="3584"/>
      <c r="N91" s="3584"/>
      <c r="O91" s="3584"/>
      <c r="P91" s="3584"/>
    </row>
    <row r="92" spans="3:16">
      <c r="C92" s="3046"/>
      <c r="D92" s="3046"/>
      <c r="E92" s="3046"/>
      <c r="F92" s="3046"/>
      <c r="G92" s="3584"/>
      <c r="H92" s="3584"/>
      <c r="I92" s="3584"/>
      <c r="J92" s="3584"/>
      <c r="K92" s="3584"/>
      <c r="L92" s="3584"/>
      <c r="M92" s="3584"/>
      <c r="N92" s="3584"/>
      <c r="O92" s="3584"/>
      <c r="P92" s="3584"/>
    </row>
    <row r="93" spans="3:16">
      <c r="C93" s="2506"/>
      <c r="D93" s="2506"/>
      <c r="E93" s="2506"/>
      <c r="G93" s="3584"/>
      <c r="H93" s="3584"/>
      <c r="I93" s="3584"/>
      <c r="J93" s="3584"/>
      <c r="K93" s="3584"/>
      <c r="L93" s="3584"/>
      <c r="M93" s="3584"/>
      <c r="N93" s="3584"/>
      <c r="O93" s="3584"/>
      <c r="P93" s="3584"/>
    </row>
    <row r="94" spans="3:16">
      <c r="C94" s="2506"/>
      <c r="D94" s="2506"/>
      <c r="E94" s="2506"/>
      <c r="G94" s="3584"/>
      <c r="H94" s="3584"/>
      <c r="I94" s="3584"/>
      <c r="J94" s="3584"/>
      <c r="K94" s="3584"/>
      <c r="L94" s="3584"/>
      <c r="M94" s="3584"/>
      <c r="N94" s="3584"/>
      <c r="O94" s="3584"/>
      <c r="P94" s="3584"/>
    </row>
    <row r="95" spans="3:16">
      <c r="C95" s="2506"/>
      <c r="D95" s="2506"/>
      <c r="E95" s="2506"/>
      <c r="G95" s="3584"/>
      <c r="H95" s="3584"/>
      <c r="I95" s="3584"/>
      <c r="J95" s="3584"/>
      <c r="K95" s="3584"/>
      <c r="L95" s="3584"/>
      <c r="M95" s="3584"/>
      <c r="N95" s="3584"/>
      <c r="O95" s="3584"/>
      <c r="P95" s="3584"/>
    </row>
    <row r="96" spans="3:16">
      <c r="C96" s="2506"/>
      <c r="D96" s="2506"/>
      <c r="E96" s="2506"/>
      <c r="G96" s="3584"/>
      <c r="H96" s="3584"/>
      <c r="I96" s="3584"/>
      <c r="J96" s="3584"/>
      <c r="K96" s="3584"/>
      <c r="L96" s="3584"/>
      <c r="M96" s="3584"/>
      <c r="N96" s="3584"/>
      <c r="O96" s="3584"/>
      <c r="P96" s="3584"/>
    </row>
    <row r="97" spans="2:16">
      <c r="B97" s="33"/>
      <c r="C97" s="609"/>
      <c r="D97" s="609"/>
      <c r="E97" s="609"/>
      <c r="F97" s="33"/>
      <c r="G97" s="3584"/>
      <c r="H97" s="3584"/>
      <c r="I97" s="3584"/>
      <c r="J97" s="3584"/>
      <c r="K97" s="3584"/>
      <c r="L97" s="3584"/>
      <c r="M97" s="3584"/>
      <c r="N97" s="3584"/>
      <c r="O97" s="3584"/>
      <c r="P97" s="3584"/>
    </row>
    <row r="98" spans="2:16">
      <c r="B98" s="33"/>
      <c r="C98" s="609"/>
      <c r="D98" s="609"/>
      <c r="E98" s="609"/>
      <c r="F98" s="33"/>
      <c r="G98" s="3584"/>
      <c r="H98" s="3584"/>
      <c r="I98" s="3584"/>
      <c r="J98" s="3584"/>
      <c r="K98" s="3584"/>
      <c r="L98" s="3584"/>
      <c r="M98" s="3584"/>
      <c r="N98" s="3584"/>
      <c r="O98" s="3584"/>
      <c r="P98" s="3584"/>
    </row>
    <row r="99" spans="2:16">
      <c r="B99" s="33"/>
      <c r="C99" s="33"/>
      <c r="D99" s="33"/>
      <c r="E99" s="33"/>
      <c r="F99" s="33"/>
      <c r="G99" s="3584"/>
      <c r="H99" s="3584"/>
      <c r="I99" s="3584"/>
      <c r="J99" s="3584"/>
      <c r="K99" s="3584"/>
      <c r="L99" s="3584"/>
      <c r="M99" s="3584"/>
      <c r="N99" s="3584"/>
      <c r="O99" s="3584"/>
      <c r="P99" s="3584"/>
    </row>
    <row r="100" spans="2:16">
      <c r="G100" s="3584"/>
      <c r="H100" s="3584"/>
      <c r="I100" s="3584"/>
      <c r="J100" s="3584"/>
      <c r="K100" s="3584"/>
      <c r="L100" s="3584"/>
      <c r="M100" s="3584"/>
      <c r="N100" s="3584"/>
      <c r="O100" s="3584"/>
      <c r="P100" s="3584"/>
    </row>
    <row r="101" spans="2:16">
      <c r="B101" s="33"/>
      <c r="C101" s="33"/>
      <c r="D101" s="33"/>
      <c r="G101" s="3584"/>
      <c r="H101" s="3584"/>
      <c r="I101" s="3584"/>
      <c r="J101" s="3584"/>
      <c r="K101" s="3584"/>
      <c r="L101" s="3584"/>
      <c r="M101" s="3584"/>
      <c r="N101" s="3584"/>
      <c r="O101" s="3584"/>
      <c r="P101" s="3584"/>
    </row>
    <row r="102" spans="2:16">
      <c r="B102" s="33"/>
      <c r="C102" s="33"/>
      <c r="D102" s="33"/>
      <c r="G102" s="3584"/>
      <c r="H102" s="3584"/>
      <c r="I102" s="3584"/>
      <c r="J102" s="3584"/>
      <c r="K102" s="3584"/>
      <c r="L102" s="3584"/>
      <c r="M102" s="3584"/>
      <c r="N102" s="3584"/>
      <c r="O102" s="3584"/>
      <c r="P102" s="3584"/>
    </row>
    <row r="103" spans="2:16">
      <c r="B103" s="33"/>
      <c r="C103" s="33"/>
      <c r="D103" s="33"/>
      <c r="G103" s="3584"/>
      <c r="H103" s="3584"/>
      <c r="I103" s="3584"/>
      <c r="J103" s="3584"/>
      <c r="K103" s="3584"/>
      <c r="L103" s="3584"/>
      <c r="M103" s="3584"/>
      <c r="N103" s="3584"/>
      <c r="O103" s="3584"/>
      <c r="P103" s="3584"/>
    </row>
    <row r="104" spans="2:16">
      <c r="B104" s="33"/>
      <c r="C104" s="33"/>
      <c r="D104" s="33"/>
      <c r="G104" s="3584"/>
      <c r="H104" s="3584"/>
      <c r="I104" s="3584"/>
      <c r="J104" s="3584"/>
      <c r="K104" s="3584"/>
      <c r="L104" s="3584"/>
      <c r="M104" s="3584"/>
      <c r="N104" s="3584"/>
      <c r="O104" s="3584"/>
      <c r="P104" s="3584"/>
    </row>
    <row r="105" spans="2:16">
      <c r="B105" s="33"/>
      <c r="C105" s="33"/>
      <c r="D105" s="33"/>
      <c r="G105" s="3584"/>
      <c r="H105" s="3584"/>
      <c r="I105" s="3584"/>
      <c r="J105" s="3584"/>
      <c r="K105" s="3584"/>
      <c r="L105" s="3584"/>
      <c r="M105" s="3584"/>
      <c r="N105" s="3584"/>
      <c r="O105" s="3584"/>
      <c r="P105" s="3584"/>
    </row>
    <row r="106" spans="2:16">
      <c r="B106" s="33"/>
      <c r="C106" s="33"/>
      <c r="D106" s="33"/>
      <c r="G106" s="3584"/>
      <c r="H106" s="3584"/>
      <c r="I106" s="3584"/>
      <c r="J106" s="3584"/>
      <c r="K106" s="3584"/>
      <c r="L106" s="3584"/>
      <c r="M106" s="3584"/>
      <c r="N106" s="3584"/>
      <c r="O106" s="3584"/>
      <c r="P106" s="3584"/>
    </row>
    <row r="107" spans="2:16">
      <c r="B107" s="33"/>
      <c r="C107" s="33"/>
      <c r="D107" s="33"/>
      <c r="G107" s="3584"/>
      <c r="H107" s="3584"/>
      <c r="I107" s="3584"/>
      <c r="J107" s="3584"/>
      <c r="K107" s="3584"/>
      <c r="L107" s="3584"/>
      <c r="M107" s="3584"/>
      <c r="N107" s="3584"/>
      <c r="O107" s="3584"/>
      <c r="P107" s="3584"/>
    </row>
    <row r="108" spans="2:16">
      <c r="B108" s="33"/>
      <c r="C108" s="33"/>
      <c r="D108" s="33"/>
      <c r="G108" s="3584"/>
      <c r="H108" s="3584"/>
      <c r="I108" s="3584"/>
      <c r="J108" s="3584"/>
      <c r="K108" s="3584"/>
      <c r="L108" s="3584"/>
      <c r="M108" s="3584"/>
      <c r="N108" s="3584"/>
      <c r="O108" s="3584"/>
      <c r="P108" s="3584"/>
    </row>
    <row r="109" spans="2:16">
      <c r="B109" s="33"/>
      <c r="C109" s="33"/>
      <c r="D109" s="33"/>
      <c r="G109" s="3584"/>
      <c r="H109" s="3584"/>
      <c r="I109" s="3584"/>
      <c r="J109" s="3584"/>
      <c r="K109" s="3584"/>
      <c r="L109" s="3584"/>
      <c r="M109" s="3584"/>
      <c r="N109" s="3584"/>
      <c r="O109" s="3584"/>
      <c r="P109" s="3584"/>
    </row>
    <row r="110" spans="2:16">
      <c r="G110" s="3584"/>
      <c r="H110" s="3584"/>
      <c r="I110" s="3584"/>
      <c r="J110" s="3584"/>
      <c r="K110" s="3584"/>
      <c r="L110" s="3584"/>
      <c r="M110" s="3584"/>
      <c r="N110" s="3584"/>
      <c r="O110" s="3584"/>
      <c r="P110" s="3584"/>
    </row>
    <row r="111" spans="2:16">
      <c r="G111" s="3584"/>
      <c r="H111" s="3584"/>
      <c r="I111" s="3584"/>
      <c r="J111" s="3584"/>
      <c r="K111" s="3584"/>
      <c r="L111" s="3584"/>
      <c r="M111" s="3584"/>
      <c r="N111" s="3584"/>
      <c r="O111" s="3584"/>
      <c r="P111" s="3584"/>
    </row>
    <row r="112" spans="2:16">
      <c r="G112" s="3584"/>
      <c r="H112" s="3584"/>
      <c r="I112" s="3584"/>
      <c r="J112" s="3584"/>
      <c r="K112" s="3584"/>
      <c r="L112" s="3584"/>
      <c r="M112" s="3584"/>
      <c r="N112" s="3584"/>
      <c r="O112" s="3584"/>
      <c r="P112" s="3584"/>
    </row>
    <row r="113" spans="2:17">
      <c r="G113" s="3584"/>
      <c r="H113" s="3584"/>
      <c r="I113" s="3584"/>
      <c r="J113" s="3584"/>
      <c r="K113" s="3584"/>
      <c r="L113" s="3584"/>
      <c r="M113" s="3584"/>
      <c r="N113" s="3584"/>
      <c r="O113" s="3584"/>
      <c r="P113" s="3584"/>
    </row>
    <row r="114" spans="2:17">
      <c r="G114" s="3584"/>
      <c r="H114" s="3584"/>
      <c r="I114" s="3584"/>
      <c r="J114" s="3584"/>
      <c r="K114" s="3584"/>
      <c r="L114" s="3584"/>
      <c r="M114" s="3584"/>
      <c r="N114" s="3584"/>
      <c r="O114" s="3584"/>
      <c r="P114" s="3584"/>
    </row>
    <row r="115" spans="2:17">
      <c r="G115" s="3584"/>
      <c r="H115" s="3584"/>
      <c r="I115" s="3584"/>
      <c r="J115" s="3584"/>
      <c r="K115" s="3584"/>
      <c r="L115" s="3584"/>
      <c r="M115" s="3584"/>
      <c r="N115" s="3584"/>
      <c r="O115" s="3584"/>
      <c r="P115" s="3584"/>
    </row>
    <row r="116" spans="2:17">
      <c r="G116" s="3584"/>
      <c r="H116" s="3584"/>
      <c r="I116" s="3584"/>
      <c r="J116" s="3584"/>
      <c r="K116" s="3584"/>
      <c r="L116" s="3584"/>
      <c r="M116" s="3584"/>
      <c r="N116" s="3584"/>
      <c r="O116" s="3584"/>
      <c r="P116" s="3584"/>
    </row>
    <row r="117" spans="2:17">
      <c r="G117" s="3584"/>
      <c r="H117" s="3584"/>
      <c r="I117" s="3584"/>
      <c r="J117" s="3584"/>
      <c r="K117" s="3584"/>
      <c r="L117" s="3584"/>
      <c r="M117" s="3584"/>
      <c r="N117" s="3584"/>
      <c r="O117" s="3584"/>
      <c r="P117" s="3584"/>
    </row>
    <row r="118" spans="2:17">
      <c r="G118" s="3584"/>
      <c r="H118" s="3584"/>
      <c r="I118" s="3584"/>
      <c r="J118" s="3584"/>
      <c r="K118" s="3584"/>
      <c r="L118" s="3584"/>
      <c r="M118" s="3584"/>
      <c r="N118" s="3584"/>
      <c r="O118" s="3584"/>
      <c r="P118" s="3584"/>
    </row>
    <row r="119" spans="2:17">
      <c r="G119" s="3584"/>
      <c r="H119" s="3584"/>
      <c r="I119" s="3584"/>
      <c r="J119" s="3584"/>
      <c r="K119" s="3584"/>
      <c r="L119" s="3584"/>
      <c r="M119" s="3584"/>
      <c r="N119" s="3584"/>
      <c r="O119" s="3584"/>
      <c r="P119" s="3584"/>
      <c r="Q119" s="31"/>
    </row>
    <row r="120" spans="2:17">
      <c r="B120" s="600"/>
      <c r="C120" s="33"/>
      <c r="G120" s="3584"/>
      <c r="H120" s="3584"/>
      <c r="I120" s="3584"/>
      <c r="J120" s="3584"/>
      <c r="K120" s="3584"/>
      <c r="L120" s="3584"/>
      <c r="M120" s="3584"/>
      <c r="N120" s="3584"/>
      <c r="O120" s="3584"/>
      <c r="P120" s="3584"/>
    </row>
    <row r="121" spans="2:17">
      <c r="B121" s="600"/>
      <c r="C121" s="33"/>
      <c r="G121" s="3584"/>
      <c r="H121" s="3584"/>
      <c r="I121" s="3584"/>
      <c r="J121" s="3584"/>
      <c r="K121" s="3584"/>
      <c r="L121" s="3584"/>
      <c r="M121" s="3584"/>
      <c r="N121" s="3584"/>
      <c r="O121" s="3584"/>
      <c r="P121" s="3584"/>
    </row>
    <row r="122" spans="2:17">
      <c r="B122" s="600"/>
      <c r="C122" s="33"/>
      <c r="G122" s="3584"/>
      <c r="H122" s="3584"/>
      <c r="I122" s="3584"/>
      <c r="J122" s="3584"/>
      <c r="K122" s="3584"/>
      <c r="L122" s="3584"/>
      <c r="M122" s="3584"/>
      <c r="N122" s="3584"/>
      <c r="O122" s="3584"/>
      <c r="P122" s="3584"/>
    </row>
    <row r="123" spans="2:17">
      <c r="B123" s="600"/>
      <c r="C123" s="33"/>
      <c r="G123" s="3584"/>
      <c r="H123" s="3584"/>
      <c r="I123" s="3584"/>
      <c r="J123" s="3584"/>
      <c r="K123" s="3584"/>
      <c r="L123" s="3584"/>
      <c r="M123" s="3584"/>
      <c r="N123" s="3584"/>
      <c r="O123" s="3584"/>
      <c r="P123" s="3584"/>
    </row>
    <row r="124" spans="2:17">
      <c r="B124" s="600"/>
      <c r="C124" s="33"/>
      <c r="G124" s="3584"/>
      <c r="H124" s="3584"/>
      <c r="I124" s="3584"/>
      <c r="J124" s="3584"/>
      <c r="K124" s="3584"/>
      <c r="L124" s="3584"/>
      <c r="M124" s="3584"/>
      <c r="N124" s="3584"/>
      <c r="O124" s="3584"/>
      <c r="P124" s="3584"/>
    </row>
    <row r="125" spans="2:17">
      <c r="B125" s="600"/>
      <c r="C125" s="33"/>
      <c r="G125" s="3584"/>
      <c r="H125" s="3584"/>
      <c r="I125" s="3584"/>
      <c r="J125" s="3584"/>
      <c r="K125" s="3584"/>
      <c r="L125" s="3584"/>
      <c r="M125" s="3584"/>
      <c r="N125" s="3584"/>
      <c r="O125" s="3584"/>
      <c r="P125" s="3584"/>
    </row>
    <row r="126" spans="2:17">
      <c r="B126" s="600"/>
      <c r="C126" s="33"/>
      <c r="G126" s="3584"/>
      <c r="H126" s="3584"/>
      <c r="I126" s="3584"/>
      <c r="J126" s="3584"/>
      <c r="K126" s="3584"/>
      <c r="L126" s="3584"/>
      <c r="M126" s="3584"/>
      <c r="N126" s="3584"/>
      <c r="O126" s="3584"/>
      <c r="P126" s="3584"/>
    </row>
    <row r="127" spans="2:17">
      <c r="B127" s="600"/>
      <c r="C127" s="33"/>
      <c r="G127" s="3584"/>
      <c r="H127" s="3584"/>
      <c r="I127" s="3584"/>
      <c r="J127" s="3584"/>
      <c r="K127" s="3584"/>
      <c r="L127" s="3584"/>
      <c r="M127" s="3584"/>
      <c r="N127" s="3584"/>
      <c r="O127" s="3584"/>
      <c r="P127" s="3584"/>
    </row>
    <row r="128" spans="2:17">
      <c r="B128" s="600"/>
      <c r="C128" s="33"/>
      <c r="G128" s="3584"/>
      <c r="H128" s="3584"/>
      <c r="I128" s="3584"/>
      <c r="J128" s="3584"/>
      <c r="K128" s="3584"/>
      <c r="L128" s="3584"/>
      <c r="M128" s="3584"/>
      <c r="N128" s="3584"/>
      <c r="O128" s="3584"/>
      <c r="P128" s="3584"/>
    </row>
    <row r="129" spans="2:16">
      <c r="B129" s="600"/>
      <c r="C129" s="33"/>
      <c r="G129" s="3584"/>
      <c r="H129" s="3584"/>
      <c r="I129" s="3584"/>
      <c r="J129" s="3584"/>
      <c r="K129" s="3584"/>
      <c r="L129" s="3584"/>
      <c r="M129" s="3584"/>
      <c r="N129" s="3584"/>
      <c r="O129" s="3584"/>
      <c r="P129" s="3584"/>
    </row>
    <row r="130" spans="2:16">
      <c r="B130" s="600"/>
      <c r="C130" s="33"/>
      <c r="G130" s="3584"/>
      <c r="H130" s="3584"/>
      <c r="I130" s="3584"/>
      <c r="J130" s="3584"/>
      <c r="K130" s="3584"/>
      <c r="L130" s="3584"/>
      <c r="M130" s="3584"/>
      <c r="N130" s="3584"/>
      <c r="O130" s="3584"/>
      <c r="P130" s="3584"/>
    </row>
    <row r="131" spans="2:16">
      <c r="B131" s="600"/>
      <c r="C131" s="33"/>
      <c r="G131" s="3584"/>
      <c r="H131" s="3584"/>
      <c r="I131" s="3584"/>
      <c r="J131" s="3584"/>
      <c r="K131" s="3584"/>
      <c r="L131" s="3584"/>
      <c r="M131" s="3584"/>
      <c r="N131" s="3584"/>
      <c r="O131" s="3584"/>
      <c r="P131" s="3584"/>
    </row>
    <row r="132" spans="2:16">
      <c r="B132" s="600"/>
      <c r="C132" s="33"/>
      <c r="G132" s="3584"/>
      <c r="H132" s="3584"/>
      <c r="I132" s="3584"/>
      <c r="J132" s="3584"/>
      <c r="K132" s="3584"/>
      <c r="L132" s="3584"/>
      <c r="M132" s="3584"/>
      <c r="N132" s="3584"/>
      <c r="O132" s="3584"/>
      <c r="P132" s="3584"/>
    </row>
    <row r="133" spans="2:16">
      <c r="B133" s="600"/>
      <c r="C133" s="33"/>
      <c r="G133" s="3584"/>
      <c r="H133" s="3584"/>
      <c r="I133" s="3584"/>
      <c r="J133" s="3584"/>
      <c r="K133" s="3584"/>
      <c r="L133" s="3584"/>
      <c r="M133" s="3584"/>
      <c r="N133" s="3584"/>
      <c r="O133" s="3584"/>
      <c r="P133" s="3584"/>
    </row>
    <row r="134" spans="2:16">
      <c r="B134" s="600"/>
      <c r="C134" s="33"/>
      <c r="G134" s="3584"/>
      <c r="H134" s="3584"/>
      <c r="I134" s="3584"/>
      <c r="J134" s="3584"/>
      <c r="K134" s="3584"/>
      <c r="L134" s="3584"/>
      <c r="M134" s="3584"/>
      <c r="N134" s="3584"/>
      <c r="O134" s="3584"/>
      <c r="P134" s="3584"/>
    </row>
    <row r="135" spans="2:16">
      <c r="B135" s="600"/>
      <c r="C135" s="33"/>
      <c r="G135" s="3584"/>
      <c r="H135" s="3584"/>
      <c r="I135" s="3584"/>
      <c r="J135" s="3584"/>
      <c r="K135" s="3584"/>
      <c r="L135" s="3584"/>
      <c r="M135" s="3584"/>
      <c r="N135" s="3584"/>
      <c r="O135" s="3584"/>
      <c r="P135" s="3584"/>
    </row>
    <row r="136" spans="2:16">
      <c r="B136" s="600"/>
      <c r="C136" s="33"/>
      <c r="G136" s="3584"/>
      <c r="H136" s="3584"/>
      <c r="I136" s="3584"/>
      <c r="J136" s="3584"/>
      <c r="K136" s="3584"/>
      <c r="L136" s="3584"/>
      <c r="M136" s="3584"/>
      <c r="N136" s="3584"/>
      <c r="O136" s="3584"/>
      <c r="P136" s="3584"/>
    </row>
    <row r="137" spans="2:16">
      <c r="B137" s="600"/>
      <c r="C137" s="33"/>
      <c r="G137" s="3584"/>
      <c r="H137" s="3584"/>
      <c r="I137" s="3584"/>
      <c r="J137" s="3584"/>
      <c r="K137" s="3584"/>
      <c r="L137" s="3584"/>
      <c r="M137" s="3584"/>
      <c r="N137" s="3584"/>
      <c r="O137" s="3584"/>
      <c r="P137" s="3584"/>
    </row>
    <row r="138" spans="2:16">
      <c r="B138" s="600"/>
      <c r="C138" s="33"/>
      <c r="G138" s="3584"/>
      <c r="H138" s="3584"/>
      <c r="I138" s="3584"/>
      <c r="J138" s="3584"/>
      <c r="K138" s="3584"/>
      <c r="L138" s="3584"/>
      <c r="M138" s="3584"/>
      <c r="N138" s="3584"/>
      <c r="O138" s="3584"/>
      <c r="P138" s="3584"/>
    </row>
    <row r="139" spans="2:16">
      <c r="B139" s="600"/>
      <c r="C139" s="33"/>
      <c r="G139" s="3584"/>
      <c r="H139" s="3584"/>
      <c r="I139" s="3584"/>
      <c r="J139" s="3584"/>
      <c r="K139" s="3584"/>
      <c r="L139" s="3584"/>
      <c r="M139" s="3584"/>
      <c r="N139" s="3584"/>
      <c r="O139" s="3584"/>
      <c r="P139" s="3584"/>
    </row>
    <row r="140" spans="2:16">
      <c r="B140" s="600"/>
      <c r="C140" s="33"/>
      <c r="G140" s="3584"/>
      <c r="H140" s="3584"/>
      <c r="I140" s="3584"/>
      <c r="J140" s="3584"/>
      <c r="K140" s="3584"/>
      <c r="L140" s="3584"/>
      <c r="M140" s="3584"/>
      <c r="N140" s="3584"/>
      <c r="O140" s="3584"/>
      <c r="P140" s="3584"/>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row>
    <row r="150" spans="2:12">
      <c r="B150" s="600"/>
      <c r="C150" s="33"/>
    </row>
    <row r="151" spans="2:12">
      <c r="B151" s="600"/>
      <c r="C151" s="33"/>
      <c r="I151" s="2357"/>
    </row>
    <row r="152" spans="2:12">
      <c r="B152" s="600"/>
      <c r="C152" s="33"/>
      <c r="I152" s="2357"/>
    </row>
    <row r="153" spans="2:12">
      <c r="B153" s="600"/>
      <c r="C153" s="33"/>
      <c r="I153" s="2357"/>
    </row>
    <row r="154" spans="2:12">
      <c r="B154" s="600"/>
      <c r="C154" s="33"/>
      <c r="I154" s="2357"/>
    </row>
    <row r="155" spans="2:12">
      <c r="B155" s="600"/>
      <c r="C155" s="33"/>
      <c r="I155" s="2357"/>
    </row>
    <row r="156" spans="2:12">
      <c r="B156" s="600"/>
      <c r="C156" s="33"/>
      <c r="D156" s="33"/>
      <c r="F156" s="33"/>
      <c r="G156" s="33"/>
      <c r="H156" s="33"/>
      <c r="I156" s="33"/>
      <c r="J156" s="33"/>
      <c r="K156" s="33"/>
    </row>
    <row r="157" spans="2:12">
      <c r="B157" s="600"/>
      <c r="C157" s="33"/>
      <c r="D157" s="33"/>
      <c r="F157" s="33"/>
      <c r="G157" s="33"/>
      <c r="H157" s="33"/>
      <c r="I157" s="33"/>
      <c r="J157" s="33"/>
      <c r="K157" s="33"/>
    </row>
    <row r="158" spans="2:12">
      <c r="B158" s="600"/>
      <c r="C158" s="33"/>
      <c r="D158" s="33"/>
      <c r="F158" s="33"/>
      <c r="G158" s="33"/>
      <c r="H158" s="33"/>
      <c r="I158" s="33"/>
      <c r="J158" s="33"/>
      <c r="K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sheetData>
  <sheetProtection sheet="1" selectLockedCells="1"/>
  <dataConsolidate link="1"/>
  <mergeCells count="48">
    <mergeCell ref="Q3:S6"/>
    <mergeCell ref="K1:L1"/>
    <mergeCell ref="N1:O1"/>
    <mergeCell ref="C16:F16"/>
    <mergeCell ref="C36:E36"/>
    <mergeCell ref="H6:I6"/>
    <mergeCell ref="G1:I1"/>
    <mergeCell ref="K2:P2"/>
    <mergeCell ref="D25:E25"/>
    <mergeCell ref="D26:E26"/>
    <mergeCell ref="C14:F14"/>
    <mergeCell ref="C15:F15"/>
    <mergeCell ref="N6:O6"/>
    <mergeCell ref="E10:F10"/>
    <mergeCell ref="K6:L6"/>
    <mergeCell ref="E4:I4"/>
    <mergeCell ref="C19:F19"/>
    <mergeCell ref="C17:F17"/>
    <mergeCell ref="F23:G23"/>
    <mergeCell ref="C73:E73"/>
    <mergeCell ref="E22:G22"/>
    <mergeCell ref="C63:E63"/>
    <mergeCell ref="C68:E68"/>
    <mergeCell ref="C50:D50"/>
    <mergeCell ref="C48:D48"/>
    <mergeCell ref="C37:E37"/>
    <mergeCell ref="C39:E39"/>
    <mergeCell ref="C38:E38"/>
    <mergeCell ref="C40:E40"/>
    <mergeCell ref="C46:D46"/>
    <mergeCell ref="C20:F20"/>
    <mergeCell ref="C21:F21"/>
    <mergeCell ref="C74:E74"/>
    <mergeCell ref="B75:C75"/>
    <mergeCell ref="F34:G34"/>
    <mergeCell ref="C41:E41"/>
    <mergeCell ref="C54:D54"/>
    <mergeCell ref="C57:D57"/>
    <mergeCell ref="C51:D51"/>
    <mergeCell ref="C56:D56"/>
    <mergeCell ref="C42:E42"/>
    <mergeCell ref="C64:E64"/>
    <mergeCell ref="C53:D53"/>
    <mergeCell ref="C52:D52"/>
    <mergeCell ref="C49:D49"/>
    <mergeCell ref="C47:D47"/>
    <mergeCell ref="C55:D55"/>
    <mergeCell ref="C62:E62"/>
  </mergeCells>
  <dataValidations count="5">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Organisationsabh. Ausgleichsl." error="Bitte aus Dropdownliste auswählen." sqref="C18:F18">
      <formula1>$G$78:$G$79</formula1>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sqref="K16:K17 H16:H17 N16:N17">
      <formula1>"ja,nein"</formula1>
    </dataValidation>
    <dataValidation type="list" showInputMessage="1" showErrorMessage="1" sqref="H14:H15 K14:K15 N14:N15">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 C5</xm:sqref>
        </x14:dataValidation>
        <x14:dataValidation type="list" allowBlank="1" showInputMessage="1" showErrorMessage="1" errorTitle="Lohnmaschinen" error="Bitte aus Dropdownliste auswählen.">
          <x14:formula1>
            <xm:f>SDÖ3!$C$138:$C$162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6">
    <tabColor rgb="FF00B050"/>
    <pageSetUpPr fitToPage="1"/>
  </sheetPr>
  <dimension ref="A1:AO206"/>
  <sheetViews>
    <sheetView showZeros="0" workbookViewId="0">
      <selection activeCell="E4" sqref="E4:I4"/>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0" width="0" style="31" hidden="1" customWidth="1"/>
    <col min="31" max="16384" width="10.5" style="31"/>
  </cols>
  <sheetData>
    <row r="1" spans="1:41" s="274" customFormat="1" ht="30.2" customHeight="1">
      <c r="A1" s="2475"/>
      <c r="B1" s="319"/>
      <c r="C1" s="1876"/>
      <c r="D1" s="136"/>
      <c r="E1" s="316"/>
      <c r="F1" s="316"/>
      <c r="G1" s="4933" t="s">
        <v>1636</v>
      </c>
      <c r="H1" s="4933"/>
      <c r="I1" s="4933"/>
      <c r="J1" s="1874">
        <f>(J7+J13+J18+J22+I11+I12)-(J23+J27+J34+J43+J60+J65+J67+J69+J71+J75)</f>
        <v>881.81817899477903</v>
      </c>
      <c r="K1" s="4855">
        <f>M1-J1</f>
        <v>121.57704166666667</v>
      </c>
      <c r="L1" s="4855"/>
      <c r="M1" s="1874">
        <f>(M7+M13+M18+M22+L11+L12)-(M23+M27+M34+M43+M60+M65+M67+M69+M71+M75)</f>
        <v>1003.3952206614457</v>
      </c>
      <c r="N1" s="4855">
        <f>P1-M1</f>
        <v>121.57704166666656</v>
      </c>
      <c r="O1" s="4855"/>
      <c r="P1" s="1874">
        <f>(P7+P13+P18+P22+O11+O12)-(P23+P27+P34+P43+P60+P65+P67+P69+P71+P75)</f>
        <v>1124.9722623281123</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1289</v>
      </c>
      <c r="L2" s="4867"/>
      <c r="M2" s="4867"/>
      <c r="N2" s="4867"/>
      <c r="O2" s="4867"/>
      <c r="P2" s="4867"/>
      <c r="Q2" s="2475"/>
    </row>
    <row r="3" spans="1:41" s="274" customFormat="1" ht="21.75" customHeight="1">
      <c r="A3" s="2475"/>
      <c r="B3" s="1871" t="s">
        <v>1635</v>
      </c>
      <c r="G3" s="1859"/>
      <c r="H3" s="1870"/>
      <c r="J3" s="33"/>
      <c r="K3" s="33"/>
      <c r="L3" s="33"/>
      <c r="M3" s="33"/>
      <c r="N3" s="4934" t="str">
        <f>IF(AND(T3=TRUE,T4=TRUE),"nur 1 Strohnutzung möglich","")</f>
        <v/>
      </c>
      <c r="O3" s="4869"/>
      <c r="P3" s="1868"/>
      <c r="Q3" s="2475"/>
      <c r="T3" s="1886"/>
    </row>
    <row r="4" spans="1:41" s="274" customFormat="1" ht="20.25" customHeight="1">
      <c r="A4" s="2475"/>
      <c r="B4" s="370" t="s">
        <v>1098</v>
      </c>
      <c r="C4" s="31"/>
      <c r="D4" s="31"/>
      <c r="E4" s="4898" t="s">
        <v>1637</v>
      </c>
      <c r="F4" s="4898"/>
      <c r="G4" s="4898"/>
      <c r="H4" s="4898"/>
      <c r="I4" s="4898"/>
      <c r="J4" s="33"/>
      <c r="K4" s="33"/>
      <c r="L4" s="33"/>
      <c r="M4" s="33"/>
      <c r="N4" s="4869"/>
      <c r="O4" s="4869"/>
      <c r="P4" s="1864">
        <f>SDÖ1!O3</f>
        <v>0</v>
      </c>
      <c r="Q4" s="2475"/>
      <c r="T4" s="1886"/>
    </row>
    <row r="5" spans="1:41" ht="6" customHeight="1"/>
    <row r="6" spans="1:41" s="1853" customFormat="1" ht="24" customHeight="1">
      <c r="A6" s="48"/>
      <c r="B6" s="1858" t="s">
        <v>1151</v>
      </c>
      <c r="C6" s="1857"/>
      <c r="D6" s="1857"/>
      <c r="E6" s="1857" t="s">
        <v>1634</v>
      </c>
      <c r="F6" s="1857"/>
      <c r="G6" s="1856"/>
      <c r="H6" s="4861" t="s">
        <v>179</v>
      </c>
      <c r="I6" s="4862"/>
      <c r="J6" s="1855">
        <v>400</v>
      </c>
      <c r="K6" s="4874" t="s">
        <v>152</v>
      </c>
      <c r="L6" s="4875"/>
      <c r="M6" s="1855">
        <v>500</v>
      </c>
      <c r="N6" s="4861" t="s">
        <v>178</v>
      </c>
      <c r="O6" s="4862"/>
      <c r="P6" s="1854">
        <v>600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400</v>
      </c>
      <c r="I9" s="1841">
        <f>H9*G9</f>
        <v>0</v>
      </c>
      <c r="J9" s="43"/>
      <c r="K9" s="1844">
        <f>M6-K10</f>
        <v>500</v>
      </c>
      <c r="L9" s="1843">
        <f>K9*G9</f>
        <v>0</v>
      </c>
      <c r="M9" s="1822"/>
      <c r="N9" s="1842">
        <f>P6-N10</f>
        <v>600</v>
      </c>
      <c r="O9" s="1841">
        <f>N9*G9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t="s">
        <v>2045</v>
      </c>
      <c r="D15" s="4860"/>
      <c r="E15" s="4860"/>
      <c r="F15" s="4860"/>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4018"/>
      <c r="H19" s="1786"/>
      <c r="I19" s="3909">
        <f>IF(OR($C19=0,$J$6=0),0,VLOOKUP($C19,'SD2'!C59:N75,12,FALSE))</f>
        <v>158</v>
      </c>
      <c r="J19" s="45"/>
      <c r="K19" s="1787"/>
      <c r="L19" s="1639">
        <f>IF(OR($C19=0,$M$6=0),0,VLOOKUP($C19,'SD2'!$C$59:$N$75,12,FALSE))</f>
        <v>158</v>
      </c>
      <c r="M19" s="1557"/>
      <c r="N19" s="1786"/>
      <c r="O19" s="1785">
        <f>IF(OR($C19=0,$P$6=0),0,VLOOKUP($C19,'SD2'!C59:N75,12,FALSE))</f>
        <v>158</v>
      </c>
      <c r="P19" s="1554"/>
      <c r="Q19" s="2983"/>
      <c r="R19" s="1784">
        <f>J13+J18</f>
        <v>695.4</v>
      </c>
      <c r="S19" s="1784">
        <f>M13+M18</f>
        <v>695.4</v>
      </c>
      <c r="T19" s="1784">
        <f>P13+P18</f>
        <v>695.4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90</v>
      </c>
      <c r="K23" s="1587"/>
      <c r="L23" s="1586"/>
      <c r="M23" s="1768">
        <f>SUM(L25:L26)</f>
        <v>90</v>
      </c>
      <c r="N23" s="1584"/>
      <c r="O23" s="1583"/>
      <c r="P23" s="1567">
        <f>SUM(O25:O26)</f>
        <v>90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4.5</v>
      </c>
      <c r="G25" s="1762">
        <f>F25*(100+$D$24)/100</f>
        <v>4.5</v>
      </c>
      <c r="H25" s="1761">
        <v>20</v>
      </c>
      <c r="I25" s="1722">
        <f>H25*$G25</f>
        <v>90</v>
      </c>
      <c r="J25" s="45"/>
      <c r="K25" s="1761">
        <f>H25</f>
        <v>20</v>
      </c>
      <c r="L25" s="1564">
        <f>K25*$G25</f>
        <v>90</v>
      </c>
      <c r="M25" s="1557"/>
      <c r="N25" s="1761">
        <f>H25</f>
        <v>20</v>
      </c>
      <c r="O25" s="1722">
        <f>N25*$G25</f>
        <v>90</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-393.3</v>
      </c>
      <c r="K27" s="1716"/>
      <c r="L27" s="1715"/>
      <c r="M27" s="1585">
        <f>SUM(L30:L33)</f>
        <v>-513.47500000000002</v>
      </c>
      <c r="N27" s="1714"/>
      <c r="O27" s="1713"/>
      <c r="P27" s="1582">
        <f>SUM(O30:O33)</f>
        <v>-633.65</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-1.375</v>
      </c>
      <c r="F30" s="1742"/>
      <c r="G30" s="1741">
        <v>20</v>
      </c>
      <c r="H30" s="1739">
        <f>IF(J$6=0,0,(J$6*0.2*$E30+$G30+X13))</f>
        <v>-90</v>
      </c>
      <c r="I30" s="1722">
        <f>H30*$D30</f>
        <v>-393.3</v>
      </c>
      <c r="J30" s="45"/>
      <c r="K30" s="1740">
        <f>IF(M$6=0,0,(M$6*0.2*$E30+$G30+AA13))</f>
        <v>-117.5</v>
      </c>
      <c r="L30" s="1564">
        <f>K30*$D30</f>
        <v>-513.47500000000002</v>
      </c>
      <c r="M30" s="1557"/>
      <c r="N30" s="1739">
        <f>IF(P$6=0,0,(P$6*0.2*$E30+$G30+AD13))</f>
        <v>-145</v>
      </c>
      <c r="O30" s="1722">
        <f>N30*$D30</f>
        <v>-633.65</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9">
        <f>IF(J$6=0,0,(J$6*0.2*$E33+$G33+X16))</f>
        <v>0</v>
      </c>
      <c r="I33" s="1722">
        <f>H33*$D33</f>
        <v>0</v>
      </c>
      <c r="J33" s="45"/>
      <c r="K33" s="1736">
        <f>IF(M$6=0,0,(M$6*0.2*$E33+$G33+AA16))</f>
        <v>0</v>
      </c>
      <c r="L33" s="1564">
        <f>K33*$D33</f>
        <v>0</v>
      </c>
      <c r="M33" s="1557"/>
      <c r="N33" s="1735">
        <f>IF(P$6=0,0,(P$6*0.2*$E33+$G33+AD16))</f>
        <v>0</v>
      </c>
      <c r="O33" s="1722">
        <f>N33*$D33</f>
        <v>0</v>
      </c>
      <c r="P33" s="1686"/>
      <c r="Q33" s="32"/>
    </row>
    <row r="34" spans="1:17" s="42" customFormat="1" ht="15" customHeight="1">
      <c r="A34" s="1284"/>
      <c r="B34" s="1254" t="s">
        <v>1627</v>
      </c>
      <c r="C34" s="1248"/>
      <c r="D34" s="3032"/>
      <c r="E34" s="3032"/>
      <c r="F34" s="4876"/>
      <c r="G34" s="4877" t="s">
        <v>171</v>
      </c>
      <c r="H34" s="3073"/>
      <c r="I34" s="3074"/>
      <c r="J34" s="1582">
        <f>SUM(I36:I42)</f>
        <v>0</v>
      </c>
      <c r="K34" s="3075"/>
      <c r="L34" s="3076"/>
      <c r="M34" s="1585">
        <f>SUM(L36:L42)</f>
        <v>0</v>
      </c>
      <c r="N34" s="3073"/>
      <c r="O34" s="3074"/>
      <c r="P34" s="1582">
        <f>SUM(O36:O42)</f>
        <v>0</v>
      </c>
      <c r="Q34" s="38"/>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8"/>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IF(C40=0,0,VLOOKUP(C40,SDÖ5!$C$6:$D$33,2,FALSE))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IF(C41=0,0,VLOOKUP(C41,SDÖ5!$C$6:$D$33,2,FALSE))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IF(C42=0,0,VLOOKUP(C42,SDÖ5!$C$6:$D$33,2,FALSE))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119.03161878605039</v>
      </c>
      <c r="K43" s="1716"/>
      <c r="L43" s="1715"/>
      <c r="M43" s="1585">
        <f>SUM(M46:M57)</f>
        <v>119.03161878605039</v>
      </c>
      <c r="N43" s="1714"/>
      <c r="O43" s="1713"/>
      <c r="P43" s="1582">
        <f>SUM(P46:P57)</f>
        <v>119.03161878605039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t="s">
        <v>462</v>
      </c>
      <c r="D46" s="4859"/>
      <c r="E46" s="1693">
        <f>IF($C46=0,0,VLOOKUP($C46,SDÖ3!$C$24:$O$99,4,FALSE))</f>
        <v>120</v>
      </c>
      <c r="F46" s="1692">
        <f>IF($C46=0,0,VLOOKUP($C46,SDÖ3!$C$24:$O$99,12,FALSE))</f>
        <v>1.44</v>
      </c>
      <c r="G46" s="1691">
        <f>IF($C46=0,0,VLOOKUP($C46,SDÖ3!$C$24:$O$99,13,FALSE))</f>
        <v>59.188918588235289</v>
      </c>
      <c r="H46" s="1696">
        <v>0.5</v>
      </c>
      <c r="I46" s="1695">
        <f t="shared" ref="I46:I57" si="4">$F46*H46</f>
        <v>0.72</v>
      </c>
      <c r="J46" s="1686">
        <f t="shared" ref="J46:J57" si="5">H46*$G46</f>
        <v>29.594459294117645</v>
      </c>
      <c r="K46" s="1696">
        <v>0.5</v>
      </c>
      <c r="L46" s="1697">
        <f t="shared" ref="L46:L57" si="6">$F46*K46</f>
        <v>0.72</v>
      </c>
      <c r="M46" s="1689">
        <f t="shared" ref="M46:M57" si="7">K46*$G46</f>
        <v>29.594459294117645</v>
      </c>
      <c r="N46" s="1696">
        <v>0.5</v>
      </c>
      <c r="O46" s="1695">
        <f t="shared" ref="O46:O57" si="8">$F46*N46</f>
        <v>0.72</v>
      </c>
      <c r="P46" s="1686">
        <f t="shared" ref="P46:P57" si="9">N46*$G46</f>
        <v>29.594459294117645</v>
      </c>
      <c r="Q46" s="38"/>
    </row>
    <row r="47" spans="1:17" s="42" customFormat="1" ht="15" customHeight="1">
      <c r="A47" s="1284"/>
      <c r="B47" s="1694"/>
      <c r="C47" s="4882" t="s">
        <v>459</v>
      </c>
      <c r="D47" s="4883"/>
      <c r="E47" s="1693">
        <f>IF($C47=0,0,VLOOKUP($C47,SDÖ3!$C$24:$O$99,4,FALSE))</f>
        <v>102</v>
      </c>
      <c r="F47" s="1692">
        <f>IF($C47=0,0,VLOOKUP($C47,SDÖ3!$C$24:$O$99,12,FALSE))</f>
        <v>0.79</v>
      </c>
      <c r="G47" s="1691">
        <f>IF($C47=0,0,VLOOKUP($C47,SDÖ3!$C$24:$O$99,13,FALSE))</f>
        <v>21.737240200000002</v>
      </c>
      <c r="H47" s="1688">
        <v>0.5</v>
      </c>
      <c r="I47" s="1687">
        <f t="shared" si="4"/>
        <v>0.39500000000000002</v>
      </c>
      <c r="J47" s="1686">
        <f t="shared" si="5"/>
        <v>10.868620100000001</v>
      </c>
      <c r="K47" s="1688">
        <v>0.5</v>
      </c>
      <c r="L47" s="1690">
        <f t="shared" si="6"/>
        <v>0.39500000000000002</v>
      </c>
      <c r="M47" s="1689">
        <f t="shared" si="7"/>
        <v>10.868620100000001</v>
      </c>
      <c r="N47" s="1688">
        <v>0.5</v>
      </c>
      <c r="O47" s="1687">
        <f t="shared" si="8"/>
        <v>0.39500000000000002</v>
      </c>
      <c r="P47" s="1686">
        <f t="shared" si="9"/>
        <v>10.868620100000001</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0.5</v>
      </c>
      <c r="I48" s="1687">
        <f t="shared" si="4"/>
        <v>0.52500000000000002</v>
      </c>
      <c r="J48" s="1686">
        <f t="shared" si="5"/>
        <v>18.13202882352941</v>
      </c>
      <c r="K48" s="1688">
        <v>0.5</v>
      </c>
      <c r="L48" s="1690">
        <f t="shared" si="6"/>
        <v>0.52500000000000002</v>
      </c>
      <c r="M48" s="1689">
        <f t="shared" si="7"/>
        <v>18.13202882352941</v>
      </c>
      <c r="N48" s="1688">
        <v>0.5</v>
      </c>
      <c r="O48" s="1687">
        <f t="shared" si="8"/>
        <v>0.52500000000000002</v>
      </c>
      <c r="P48" s="1686">
        <f t="shared" si="9"/>
        <v>18.13202882352941</v>
      </c>
      <c r="Q48" s="32"/>
    </row>
    <row r="49" spans="1:17" s="42" customFormat="1" ht="15" customHeight="1">
      <c r="A49" s="1284"/>
      <c r="B49" s="1694"/>
      <c r="C49" s="4882" t="s">
        <v>449</v>
      </c>
      <c r="D49" s="4883"/>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414</v>
      </c>
      <c r="D51" s="4883"/>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96"/>
      <c r="D57" s="4897"/>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4.5999999999999996</v>
      </c>
      <c r="J58" s="1669"/>
      <c r="K58" s="1668"/>
      <c r="L58" s="1667">
        <f>SUM($L$46:$L$57)</f>
        <v>4.5999999999999996</v>
      </c>
      <c r="M58" s="1666"/>
      <c r="N58" s="1665"/>
      <c r="O58" s="1664">
        <f>SUM($O$46:$O$57)</f>
        <v>4.5999999999999996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8.2799999999999994</v>
      </c>
      <c r="J59" s="1654"/>
      <c r="K59" s="1659"/>
      <c r="L59" s="1658">
        <f>IF(L58+SUM($L$46:$L$57)*$E$59%&gt;L58+10,L58+10,L58+SUM($L$46:$L$57)*$E$59%)</f>
        <v>8.2799999999999994</v>
      </c>
      <c r="M59" s="1657"/>
      <c r="N59" s="1656"/>
      <c r="O59" s="1655">
        <f>IF(O58+SUM($O$46:$O$57)*$E$59%&gt;O58+10,O58+10,O58+SUM($O$46:$O$57)*$E$59%)</f>
        <v>8.2799999999999994</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88" t="s">
        <v>1159</v>
      </c>
      <c r="D68" s="4888"/>
      <c r="E68" s="4888"/>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5.75"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7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-2.1497977808294122</v>
      </c>
      <c r="K75" s="3031"/>
      <c r="L75" s="1034"/>
      <c r="M75" s="1546">
        <f>(M23+M27+M34+M43+M60+M65+M67+M69+M71)*('SDK1'!$O$59%*$G$75/12)</f>
        <v>-3.551839447496079</v>
      </c>
      <c r="N75" s="1548"/>
      <c r="O75" s="1547"/>
      <c r="P75" s="1546">
        <f>(P23+P27+P34+P43+P60+P65+P67+P69+P71)*('SDK1'!$O$59%*$G$75/12)</f>
        <v>-4.953881114162745</v>
      </c>
      <c r="Q75" s="32"/>
    </row>
    <row r="78" spans="1:20" ht="14.25">
      <c r="C78" s="3070" t="s">
        <v>1888</v>
      </c>
      <c r="D78" s="3071"/>
      <c r="E78" s="3071"/>
      <c r="F78" s="3072"/>
      <c r="G78" s="3583"/>
      <c r="H78" s="3583"/>
      <c r="I78" s="3583"/>
      <c r="L78" s="33"/>
      <c r="M78" s="3583"/>
      <c r="N78" s="3583"/>
      <c r="O78" s="3583"/>
      <c r="P78" s="3583"/>
      <c r="Q78" s="3583"/>
    </row>
    <row r="79" spans="1:20">
      <c r="C79" s="3056" t="s">
        <v>295</v>
      </c>
      <c r="D79" s="3045"/>
      <c r="E79" s="3045"/>
      <c r="F79" s="3047"/>
      <c r="G79" s="3583"/>
      <c r="H79" s="3583"/>
      <c r="I79" s="3583"/>
      <c r="L79" s="33"/>
      <c r="M79" s="3583"/>
      <c r="N79" s="3583"/>
      <c r="O79" s="3583"/>
      <c r="P79" s="3583"/>
      <c r="Q79" s="3583"/>
    </row>
    <row r="80" spans="1:20" ht="14.25">
      <c r="B80" s="3046"/>
      <c r="C80" s="3042" t="s">
        <v>1884</v>
      </c>
      <c r="D80" s="3043"/>
      <c r="E80" s="3043"/>
      <c r="F80" s="3044"/>
      <c r="G80" s="3583"/>
      <c r="H80" s="3583"/>
      <c r="I80" s="3583"/>
      <c r="J80" s="3046"/>
      <c r="K80" s="3046"/>
      <c r="L80" s="33"/>
      <c r="M80" s="3583"/>
      <c r="N80" s="3583"/>
      <c r="O80" s="3583"/>
      <c r="P80" s="3583"/>
      <c r="Q80" s="3583"/>
    </row>
    <row r="81" spans="2:17" ht="14.25">
      <c r="B81" s="3046"/>
      <c r="C81" s="3042" t="s">
        <v>1885</v>
      </c>
      <c r="D81" s="3043"/>
      <c r="E81" s="3043"/>
      <c r="F81" s="3044"/>
      <c r="G81" s="33"/>
      <c r="H81" s="33"/>
      <c r="I81" s="33"/>
      <c r="J81" s="3046"/>
      <c r="K81" s="3046"/>
      <c r="L81" s="33"/>
      <c r="M81" s="3583"/>
      <c r="N81" s="3583"/>
      <c r="O81" s="3583"/>
      <c r="P81" s="3583"/>
      <c r="Q81" s="3583"/>
    </row>
    <row r="82" spans="2:17">
      <c r="B82" s="3046"/>
      <c r="C82" s="3034" t="s">
        <v>294</v>
      </c>
      <c r="D82" s="3035"/>
      <c r="E82" s="3035"/>
      <c r="F82" s="3036"/>
      <c r="G82" s="33"/>
      <c r="H82" s="33"/>
      <c r="I82" s="33"/>
      <c r="J82" s="3583"/>
      <c r="K82" s="3046"/>
      <c r="L82" s="33"/>
      <c r="M82" s="3583"/>
      <c r="N82" s="3583"/>
      <c r="O82" s="3583"/>
      <c r="P82" s="3583"/>
      <c r="Q82" s="3583"/>
    </row>
    <row r="83" spans="2:17" ht="14.25">
      <c r="B83" s="3046"/>
      <c r="C83" s="3042" t="s">
        <v>1886</v>
      </c>
      <c r="D83" s="3043"/>
      <c r="E83" s="3043"/>
      <c r="F83" s="3044"/>
      <c r="G83" s="33"/>
      <c r="H83" s="33"/>
      <c r="I83" s="33"/>
      <c r="J83" s="3046"/>
      <c r="K83" s="3046"/>
      <c r="L83" s="33"/>
      <c r="M83" s="3583"/>
      <c r="N83" s="3583"/>
      <c r="O83" s="3583"/>
      <c r="P83" s="3583"/>
      <c r="Q83" s="3583"/>
    </row>
    <row r="84" spans="2:17" ht="14.25">
      <c r="B84" s="3046"/>
      <c r="C84" s="3042" t="s">
        <v>1887</v>
      </c>
      <c r="D84" s="3043"/>
      <c r="E84" s="3043"/>
      <c r="F84" s="3044"/>
      <c r="G84" s="33"/>
      <c r="H84" s="33"/>
      <c r="I84" s="33"/>
      <c r="J84" s="3046"/>
      <c r="K84" s="3046"/>
      <c r="L84" s="33"/>
      <c r="M84" s="3583"/>
      <c r="N84" s="3583"/>
      <c r="O84" s="3583"/>
      <c r="P84" s="3583"/>
      <c r="Q84" s="3583"/>
    </row>
    <row r="85" spans="2:17">
      <c r="B85" s="3046"/>
      <c r="C85" s="3034" t="s">
        <v>293</v>
      </c>
      <c r="D85" s="3035"/>
      <c r="E85" s="3035"/>
      <c r="F85" s="3036"/>
      <c r="G85" s="33"/>
      <c r="H85" s="33"/>
      <c r="I85" s="33"/>
      <c r="J85" s="3046"/>
      <c r="K85" s="3046"/>
      <c r="L85" s="33"/>
      <c r="M85" s="3583"/>
      <c r="N85" s="3583"/>
      <c r="O85" s="3583"/>
      <c r="P85" s="3583"/>
      <c r="Q85" s="3583"/>
    </row>
    <row r="86" spans="2:17">
      <c r="B86" s="3046"/>
      <c r="C86" s="3034" t="s">
        <v>292</v>
      </c>
      <c r="D86" s="3035"/>
      <c r="E86" s="3035"/>
      <c r="F86" s="3036"/>
      <c r="G86" s="33"/>
      <c r="H86" s="33"/>
      <c r="I86" s="33"/>
      <c r="J86" s="3046"/>
      <c r="K86" s="3046"/>
      <c r="L86" s="33"/>
      <c r="M86" s="3583"/>
      <c r="N86" s="3583"/>
      <c r="O86" s="3583"/>
      <c r="P86" s="3583"/>
      <c r="Q86" s="3583"/>
    </row>
    <row r="87" spans="2:17" ht="14.25">
      <c r="B87" s="3046"/>
      <c r="C87" s="3034" t="s">
        <v>291</v>
      </c>
      <c r="D87" s="3035"/>
      <c r="E87" s="3035"/>
      <c r="F87" s="3036"/>
      <c r="G87" s="33"/>
      <c r="H87" s="33"/>
      <c r="I87" s="33"/>
      <c r="J87" s="3046"/>
      <c r="K87" s="3046"/>
      <c r="L87" s="33"/>
      <c r="M87" s="3583"/>
      <c r="N87" s="3583"/>
      <c r="O87" s="3583"/>
      <c r="P87" s="3583"/>
      <c r="Q87" s="3583"/>
    </row>
    <row r="88" spans="2:17" ht="13.15" customHeight="1">
      <c r="B88" s="3046"/>
      <c r="C88" s="3034" t="s">
        <v>290</v>
      </c>
      <c r="D88" s="3037"/>
      <c r="E88" s="3037"/>
      <c r="F88" s="3038"/>
      <c r="G88" s="33"/>
      <c r="H88" s="33"/>
      <c r="I88" s="33"/>
      <c r="J88" s="3046"/>
      <c r="K88" s="3046"/>
      <c r="L88" s="33"/>
      <c r="M88" s="3583"/>
      <c r="N88" s="3583"/>
      <c r="O88" s="3583"/>
      <c r="P88" s="3583"/>
      <c r="Q88" s="3583"/>
    </row>
    <row r="89" spans="2:17">
      <c r="B89" s="3046"/>
      <c r="C89" s="3034" t="s">
        <v>289</v>
      </c>
      <c r="D89" s="3037"/>
      <c r="E89" s="3037"/>
      <c r="F89" s="3038"/>
      <c r="G89" s="33"/>
      <c r="H89" s="33"/>
      <c r="I89" s="33"/>
      <c r="J89" s="3046"/>
      <c r="K89" s="3046"/>
      <c r="L89" s="33"/>
      <c r="M89" s="3583"/>
      <c r="N89" s="3583"/>
      <c r="O89" s="3583"/>
      <c r="P89" s="3583"/>
      <c r="Q89" s="3583"/>
    </row>
    <row r="90" spans="2:17" ht="13.9" customHeight="1">
      <c r="B90" s="3046"/>
      <c r="C90" s="3066" t="s">
        <v>288</v>
      </c>
      <c r="D90" s="3040"/>
      <c r="E90" s="3040"/>
      <c r="F90" s="3041"/>
      <c r="H90" s="3046"/>
      <c r="I90" s="3046"/>
      <c r="J90" s="3046"/>
      <c r="K90" s="3046"/>
      <c r="L90" s="33"/>
      <c r="M90" s="3583"/>
      <c r="N90" s="3583"/>
      <c r="O90" s="3583"/>
      <c r="P90" s="3583"/>
      <c r="Q90" s="3583"/>
    </row>
    <row r="91" spans="2:17">
      <c r="B91" s="3046"/>
      <c r="C91" s="33"/>
      <c r="D91" s="33"/>
      <c r="E91" s="33"/>
      <c r="F91" s="3046"/>
      <c r="G91" s="3583"/>
      <c r="H91" s="3583"/>
      <c r="I91" s="3583"/>
      <c r="J91" s="3046"/>
      <c r="K91" s="3046"/>
      <c r="L91" s="33"/>
      <c r="M91" s="3583"/>
      <c r="N91" s="3583"/>
      <c r="O91" s="3583"/>
      <c r="P91" s="3583"/>
      <c r="Q91" s="3583"/>
    </row>
    <row r="92" spans="2:17" ht="13.15" customHeight="1">
      <c r="B92" s="3046"/>
      <c r="C92" s="33"/>
      <c r="D92" s="33"/>
      <c r="E92" s="33"/>
      <c r="F92" s="3046"/>
      <c r="G92" s="3583"/>
      <c r="H92" s="3583"/>
      <c r="I92" s="3583"/>
      <c r="J92" s="3046"/>
      <c r="K92" s="3046"/>
      <c r="L92" s="33"/>
      <c r="M92" s="3583"/>
      <c r="N92" s="3583"/>
      <c r="O92" s="3583"/>
      <c r="P92" s="3583"/>
      <c r="Q92" s="3583"/>
    </row>
    <row r="93" spans="2:17">
      <c r="B93" s="3046"/>
      <c r="C93" s="33"/>
      <c r="D93" s="33"/>
      <c r="E93" s="33"/>
      <c r="F93" s="3046"/>
      <c r="G93" s="3583"/>
      <c r="H93" s="3583"/>
      <c r="I93" s="3583"/>
      <c r="J93" s="3046"/>
      <c r="K93" s="3046"/>
      <c r="L93" s="33"/>
      <c r="M93" s="3583"/>
      <c r="N93" s="3583"/>
      <c r="O93" s="3583"/>
      <c r="P93" s="3583"/>
      <c r="Q93" s="3583"/>
    </row>
    <row r="94" spans="2:17">
      <c r="B94" s="3046"/>
      <c r="C94" s="33"/>
      <c r="D94" s="33"/>
      <c r="E94" s="33"/>
      <c r="F94" s="3046"/>
      <c r="G94" s="3583"/>
      <c r="H94" s="3583"/>
      <c r="I94" s="3583"/>
      <c r="J94" s="3046"/>
      <c r="K94" s="3046"/>
      <c r="L94" s="33"/>
      <c r="M94" s="3583"/>
      <c r="N94" s="3583"/>
      <c r="O94" s="3583"/>
      <c r="P94" s="3583"/>
      <c r="Q94" s="3583"/>
    </row>
    <row r="95" spans="2:17">
      <c r="B95" s="3046"/>
      <c r="C95" s="33"/>
      <c r="D95" s="33"/>
      <c r="E95" s="33"/>
      <c r="F95" s="3046"/>
      <c r="G95" s="3583"/>
      <c r="H95" s="3583"/>
      <c r="I95" s="3583"/>
      <c r="J95" s="3046"/>
      <c r="K95" s="3046"/>
      <c r="L95" s="33"/>
      <c r="M95" s="3583"/>
      <c r="N95" s="3583"/>
      <c r="O95" s="3583"/>
      <c r="P95" s="3583"/>
      <c r="Q95" s="3583"/>
    </row>
    <row r="96" spans="2:17">
      <c r="B96" s="3046"/>
      <c r="C96" s="33"/>
      <c r="D96" s="33"/>
      <c r="E96" s="33"/>
      <c r="F96" s="3046"/>
      <c r="G96" s="3583"/>
      <c r="H96" s="3583"/>
      <c r="I96" s="3583"/>
      <c r="J96" s="3046"/>
      <c r="K96" s="3046"/>
      <c r="L96" s="33"/>
      <c r="M96" s="3583"/>
      <c r="N96" s="3583"/>
      <c r="O96" s="3583"/>
      <c r="P96" s="3583"/>
      <c r="Q96" s="3583"/>
    </row>
    <row r="97" spans="2:17">
      <c r="B97" s="3046"/>
      <c r="C97" s="33"/>
      <c r="D97" s="33"/>
      <c r="E97" s="33"/>
      <c r="F97" s="3046"/>
      <c r="G97" s="3583"/>
      <c r="H97" s="3583"/>
      <c r="I97" s="3583"/>
      <c r="J97" s="3046"/>
      <c r="K97" s="3046"/>
      <c r="L97" s="33"/>
      <c r="M97" s="3583"/>
      <c r="N97" s="3583"/>
      <c r="O97" s="3583"/>
      <c r="P97" s="3583"/>
      <c r="Q97" s="3583"/>
    </row>
    <row r="98" spans="2:17">
      <c r="B98" s="3046"/>
      <c r="C98" s="33"/>
      <c r="D98" s="33"/>
      <c r="E98" s="33"/>
      <c r="F98" s="3046"/>
      <c r="G98" s="3583"/>
      <c r="H98" s="3583"/>
      <c r="I98" s="3583"/>
      <c r="J98" s="3046"/>
      <c r="K98" s="3046"/>
      <c r="L98" s="33"/>
      <c r="M98" s="3583"/>
      <c r="N98" s="3583"/>
      <c r="O98" s="3583"/>
      <c r="P98" s="3583"/>
      <c r="Q98" s="3583"/>
    </row>
    <row r="99" spans="2:17">
      <c r="B99" s="3046"/>
      <c r="C99" s="33"/>
      <c r="D99" s="33"/>
      <c r="E99" s="33"/>
      <c r="F99" s="3046"/>
      <c r="G99" s="3583"/>
      <c r="H99" s="3583"/>
      <c r="I99" s="3583"/>
      <c r="J99" s="3046"/>
      <c r="K99" s="3046"/>
      <c r="L99" s="33"/>
      <c r="M99" s="3583"/>
      <c r="N99" s="3583"/>
      <c r="O99" s="3583"/>
      <c r="P99" s="3583"/>
      <c r="Q99" s="3583"/>
    </row>
    <row r="100" spans="2:17">
      <c r="B100" s="3046"/>
      <c r="C100" s="33"/>
      <c r="D100" s="33"/>
      <c r="E100" s="33"/>
      <c r="F100" s="3046"/>
      <c r="G100" s="3583"/>
      <c r="H100" s="3583"/>
      <c r="I100" s="3583"/>
      <c r="J100" s="3046"/>
      <c r="K100" s="3046"/>
      <c r="L100" s="33"/>
      <c r="M100" s="3583"/>
      <c r="N100" s="3583"/>
      <c r="O100" s="3583"/>
      <c r="P100" s="3583"/>
      <c r="Q100" s="3583"/>
    </row>
    <row r="101" spans="2:17">
      <c r="B101" s="33"/>
      <c r="C101" s="33"/>
      <c r="D101" s="33"/>
      <c r="E101" s="33"/>
      <c r="F101" s="3046"/>
      <c r="G101" s="3583"/>
      <c r="H101" s="3583"/>
      <c r="I101" s="3583"/>
      <c r="J101" s="3046"/>
      <c r="K101" s="3046"/>
      <c r="L101" s="33"/>
      <c r="M101" s="3583"/>
      <c r="N101" s="3583"/>
      <c r="O101" s="3583"/>
      <c r="P101" s="3583"/>
      <c r="Q101" s="3583"/>
    </row>
    <row r="102" spans="2:17">
      <c r="B102" s="33"/>
      <c r="C102" s="33"/>
      <c r="D102" s="33"/>
      <c r="E102" s="33"/>
      <c r="F102" s="3046"/>
      <c r="G102" s="3583"/>
      <c r="H102" s="3583"/>
      <c r="I102" s="3583"/>
      <c r="J102" s="3046"/>
      <c r="K102" s="3046"/>
      <c r="L102" s="33"/>
      <c r="M102" s="3583"/>
      <c r="N102" s="3583"/>
      <c r="O102" s="3583"/>
      <c r="P102" s="3583"/>
      <c r="Q102" s="3583"/>
    </row>
    <row r="103" spans="2:17">
      <c r="B103" s="33"/>
      <c r="C103" s="33"/>
      <c r="D103" s="33"/>
      <c r="E103" s="3046"/>
      <c r="F103" s="3046"/>
      <c r="G103" s="3583"/>
      <c r="H103" s="3583"/>
      <c r="I103" s="3583"/>
      <c r="J103" s="3046"/>
      <c r="K103" s="3046"/>
      <c r="L103" s="33"/>
      <c r="M103" s="3583"/>
      <c r="N103" s="3583"/>
      <c r="O103" s="3583"/>
      <c r="P103" s="3583"/>
      <c r="Q103" s="3583"/>
    </row>
    <row r="104" spans="2:17">
      <c r="B104" s="33"/>
      <c r="C104" s="33"/>
      <c r="D104" s="33"/>
      <c r="E104" s="3046"/>
      <c r="F104" s="3046"/>
      <c r="G104" s="3583"/>
      <c r="H104" s="3583"/>
      <c r="I104" s="3583"/>
      <c r="J104" s="3046"/>
      <c r="K104" s="3046"/>
      <c r="L104" s="33"/>
      <c r="M104" s="3583"/>
      <c r="N104" s="3583"/>
      <c r="O104" s="3583"/>
      <c r="P104" s="3583"/>
      <c r="Q104" s="3583"/>
    </row>
    <row r="105" spans="2:17">
      <c r="B105" s="33"/>
      <c r="C105" s="33"/>
      <c r="D105" s="33"/>
      <c r="E105" s="3046"/>
      <c r="F105" s="3046"/>
      <c r="G105" s="3583"/>
      <c r="H105" s="3583"/>
      <c r="I105" s="3583"/>
      <c r="J105" s="3046"/>
      <c r="K105" s="3046"/>
      <c r="L105" s="33"/>
      <c r="M105" s="3583"/>
      <c r="N105" s="3583"/>
      <c r="O105" s="3583"/>
      <c r="P105" s="3583"/>
      <c r="Q105" s="3583"/>
    </row>
    <row r="106" spans="2:17">
      <c r="B106" s="33"/>
      <c r="C106" s="33"/>
      <c r="D106" s="33"/>
      <c r="E106" s="3046"/>
      <c r="F106" s="3046"/>
      <c r="G106" s="3583"/>
      <c r="H106" s="3583"/>
      <c r="I106" s="3583"/>
      <c r="J106" s="3046"/>
      <c r="K106" s="3046"/>
      <c r="L106" s="33"/>
      <c r="M106" s="3583"/>
      <c r="N106" s="3583"/>
      <c r="O106" s="3583"/>
      <c r="P106" s="3583"/>
      <c r="Q106" s="3583"/>
    </row>
    <row r="107" spans="2:17">
      <c r="B107" s="33"/>
      <c r="C107" s="33"/>
      <c r="D107" s="33"/>
      <c r="E107" s="3046"/>
      <c r="F107" s="3046"/>
      <c r="G107" s="3583"/>
      <c r="H107" s="3583"/>
      <c r="I107" s="3583"/>
      <c r="J107" s="3046"/>
      <c r="K107" s="3046"/>
      <c r="L107" s="33"/>
      <c r="M107" s="3583"/>
      <c r="N107" s="3583"/>
      <c r="O107" s="3583"/>
      <c r="P107" s="3583"/>
      <c r="Q107" s="3583"/>
    </row>
    <row r="108" spans="2:17">
      <c r="B108" s="33"/>
      <c r="C108" s="33"/>
      <c r="D108" s="33"/>
      <c r="E108" s="3046"/>
      <c r="F108" s="3046"/>
      <c r="G108" s="3583"/>
      <c r="H108" s="3583"/>
      <c r="I108" s="3583"/>
      <c r="J108" s="3046"/>
      <c r="K108" s="3046"/>
      <c r="L108" s="33"/>
      <c r="M108" s="3583"/>
      <c r="N108" s="3583"/>
      <c r="O108" s="3583"/>
      <c r="P108" s="3583"/>
      <c r="Q108" s="3583"/>
    </row>
    <row r="109" spans="2:17">
      <c r="B109" s="33"/>
      <c r="C109" s="33"/>
      <c r="D109" s="33"/>
      <c r="E109" s="3046"/>
      <c r="F109" s="3046"/>
      <c r="G109" s="3583"/>
      <c r="H109" s="3583"/>
      <c r="I109" s="3583"/>
      <c r="J109" s="3046"/>
      <c r="K109" s="3046"/>
      <c r="L109" s="33"/>
      <c r="M109" s="3583"/>
      <c r="N109" s="3583"/>
      <c r="O109" s="3583"/>
      <c r="P109" s="3583"/>
      <c r="Q109" s="3583"/>
    </row>
    <row r="110" spans="2:17">
      <c r="B110" s="3046"/>
      <c r="C110" s="3046"/>
      <c r="D110" s="3046"/>
      <c r="E110" s="3046"/>
      <c r="F110" s="3046"/>
      <c r="G110" s="3583"/>
      <c r="H110" s="3583"/>
      <c r="I110" s="3583"/>
      <c r="J110" s="3046"/>
      <c r="K110" s="3046"/>
      <c r="L110" s="33"/>
      <c r="M110" s="3583"/>
      <c r="N110" s="3583"/>
      <c r="O110" s="3583"/>
      <c r="P110" s="3583"/>
      <c r="Q110" s="3583"/>
    </row>
    <row r="111" spans="2:17">
      <c r="B111" s="3046"/>
      <c r="C111" s="3046"/>
      <c r="D111" s="3046"/>
      <c r="E111" s="3046"/>
      <c r="F111" s="3046"/>
      <c r="G111" s="3583"/>
      <c r="H111" s="3583"/>
      <c r="I111" s="3583"/>
      <c r="J111" s="3046"/>
      <c r="K111" s="3046"/>
      <c r="L111" s="33"/>
      <c r="M111" s="3583"/>
      <c r="N111" s="3583"/>
      <c r="O111" s="3583"/>
      <c r="P111" s="3583"/>
      <c r="Q111" s="3583"/>
    </row>
    <row r="112" spans="2:17">
      <c r="B112" s="3046"/>
      <c r="C112" s="3046"/>
      <c r="D112" s="3046"/>
      <c r="E112" s="3046"/>
      <c r="F112" s="3046"/>
      <c r="G112" s="3583"/>
      <c r="H112" s="3583"/>
      <c r="I112" s="3583"/>
      <c r="J112" s="3046"/>
      <c r="K112" s="3046"/>
      <c r="L112" s="33"/>
      <c r="M112" s="3583"/>
      <c r="N112" s="3583"/>
      <c r="O112" s="3583"/>
      <c r="P112" s="3583"/>
      <c r="Q112" s="3583"/>
    </row>
    <row r="113" spans="2:17">
      <c r="B113" s="3046"/>
      <c r="C113" s="3046"/>
      <c r="D113" s="3046"/>
      <c r="E113" s="3046"/>
      <c r="F113" s="3046"/>
      <c r="G113" s="3583"/>
      <c r="H113" s="3583"/>
      <c r="I113" s="3583"/>
      <c r="J113" s="3046"/>
      <c r="K113" s="3046"/>
      <c r="L113" s="33"/>
      <c r="M113" s="3583"/>
      <c r="N113" s="3583"/>
      <c r="O113" s="3583"/>
      <c r="P113" s="3583"/>
      <c r="Q113" s="3583"/>
    </row>
    <row r="114" spans="2:17">
      <c r="B114" s="3046"/>
      <c r="C114" s="3046"/>
      <c r="D114" s="3046"/>
      <c r="E114" s="3046"/>
      <c r="F114" s="3046"/>
      <c r="G114" s="3583"/>
      <c r="H114" s="3583"/>
      <c r="I114" s="3583"/>
      <c r="J114" s="3046"/>
      <c r="K114" s="3046"/>
      <c r="L114" s="33"/>
      <c r="M114" s="3583"/>
      <c r="N114" s="3583"/>
      <c r="O114" s="3583"/>
      <c r="P114" s="3583"/>
      <c r="Q114" s="3583"/>
    </row>
    <row r="115" spans="2:17">
      <c r="B115" s="3046"/>
      <c r="C115" s="3046"/>
      <c r="D115" s="3046"/>
      <c r="E115" s="3046"/>
      <c r="F115" s="3046"/>
      <c r="G115" s="3583"/>
      <c r="H115" s="3583"/>
      <c r="I115" s="3583"/>
      <c r="J115" s="3046"/>
      <c r="K115" s="3046"/>
      <c r="L115" s="33"/>
      <c r="M115" s="3583"/>
      <c r="N115" s="3583"/>
      <c r="O115" s="3583"/>
      <c r="P115" s="3583"/>
      <c r="Q115" s="3583"/>
    </row>
    <row r="116" spans="2:17">
      <c r="B116" s="3046"/>
      <c r="C116" s="3046"/>
      <c r="D116" s="3046"/>
      <c r="E116" s="3046"/>
      <c r="F116" s="3046"/>
      <c r="G116" s="3583"/>
      <c r="H116" s="3583"/>
      <c r="I116" s="3583"/>
      <c r="J116" s="3046"/>
      <c r="K116" s="3046"/>
      <c r="L116" s="33"/>
      <c r="M116" s="3583"/>
      <c r="N116" s="3583"/>
      <c r="O116" s="3583"/>
      <c r="P116" s="3583"/>
      <c r="Q116" s="3583"/>
    </row>
    <row r="117" spans="2:17">
      <c r="B117" s="3046"/>
      <c r="C117" s="3046"/>
      <c r="D117" s="3046"/>
      <c r="E117" s="3046"/>
      <c r="F117" s="3046"/>
      <c r="G117" s="3583"/>
      <c r="H117" s="3583"/>
      <c r="I117" s="3583"/>
      <c r="J117" s="3046"/>
      <c r="K117" s="3046"/>
      <c r="L117" s="33"/>
      <c r="M117" s="3583"/>
      <c r="N117" s="3583"/>
      <c r="O117" s="3583"/>
      <c r="P117" s="3583"/>
      <c r="Q117" s="3583"/>
    </row>
    <row r="118" spans="2:17">
      <c r="B118" s="3046"/>
      <c r="C118" s="3046"/>
      <c r="D118" s="3046"/>
      <c r="E118" s="3046"/>
      <c r="F118" s="3046"/>
      <c r="G118" s="3583"/>
      <c r="H118" s="3583"/>
      <c r="I118" s="3583"/>
      <c r="J118" s="3046"/>
      <c r="K118" s="3046"/>
      <c r="L118" s="33"/>
      <c r="M118" s="3583"/>
      <c r="N118" s="3583"/>
      <c r="O118" s="3583"/>
      <c r="P118" s="3583"/>
      <c r="Q118" s="3583"/>
    </row>
    <row r="119" spans="2:17">
      <c r="B119" s="3046"/>
      <c r="C119" s="3046"/>
      <c r="D119" s="3046"/>
      <c r="E119" s="3046"/>
      <c r="F119" s="3046"/>
      <c r="H119" s="3046"/>
      <c r="I119" s="3046"/>
      <c r="J119" s="3046"/>
      <c r="K119" s="3046"/>
      <c r="L119" s="33"/>
      <c r="M119" s="3583"/>
      <c r="N119" s="3583"/>
      <c r="O119" s="3583"/>
      <c r="P119" s="3583"/>
      <c r="Q119" s="3583"/>
    </row>
    <row r="120" spans="2:17">
      <c r="B120" s="600"/>
      <c r="C120" s="33"/>
      <c r="D120" s="3046"/>
      <c r="E120" s="3046"/>
      <c r="F120" s="3046"/>
      <c r="H120" s="3046"/>
      <c r="I120" s="3046"/>
      <c r="J120" s="3046"/>
      <c r="K120" s="3046"/>
      <c r="L120" s="33"/>
      <c r="M120" s="3583"/>
      <c r="N120" s="3583"/>
      <c r="O120" s="3583"/>
      <c r="P120" s="3583"/>
      <c r="Q120" s="3583"/>
    </row>
    <row r="121" spans="2:17">
      <c r="B121" s="600"/>
      <c r="C121" s="33"/>
      <c r="D121" s="3046"/>
      <c r="E121" s="3046"/>
      <c r="F121" s="3046"/>
      <c r="H121" s="3046"/>
      <c r="I121" s="3046"/>
      <c r="J121" s="3046"/>
      <c r="K121" s="3046"/>
      <c r="L121" s="33"/>
      <c r="M121" s="3583"/>
      <c r="N121" s="3583"/>
      <c r="O121" s="3583"/>
      <c r="P121" s="3583"/>
      <c r="Q121" s="3583"/>
    </row>
    <row r="122" spans="2:17">
      <c r="B122" s="600"/>
      <c r="C122" s="33"/>
      <c r="D122" s="3046"/>
      <c r="E122" s="3046"/>
      <c r="F122" s="3046"/>
      <c r="H122" s="3046"/>
      <c r="I122" s="3046"/>
      <c r="J122" s="3046"/>
      <c r="K122" s="3046"/>
      <c r="L122" s="33"/>
      <c r="M122" s="3583"/>
      <c r="N122" s="3583"/>
      <c r="O122" s="3583"/>
      <c r="P122" s="3583"/>
      <c r="Q122" s="3583"/>
    </row>
    <row r="123" spans="2:17">
      <c r="B123" s="600"/>
      <c r="C123" s="33"/>
      <c r="D123" s="3046"/>
      <c r="E123" s="3046"/>
      <c r="F123" s="3046"/>
      <c r="H123" s="3046"/>
      <c r="I123" s="3046"/>
      <c r="J123" s="3046"/>
      <c r="K123" s="3046"/>
      <c r="L123" s="33"/>
      <c r="M123" s="3583"/>
      <c r="N123" s="3583"/>
      <c r="O123" s="3583"/>
      <c r="P123" s="3583"/>
      <c r="Q123" s="3583"/>
    </row>
    <row r="124" spans="2:17">
      <c r="B124" s="600"/>
      <c r="C124" s="33"/>
      <c r="D124" s="3046"/>
      <c r="E124" s="3046"/>
      <c r="F124" s="3046"/>
      <c r="H124" s="3046"/>
      <c r="I124" s="3046"/>
      <c r="J124" s="3046"/>
      <c r="K124" s="3046"/>
      <c r="L124" s="33"/>
      <c r="M124" s="3583"/>
      <c r="N124" s="3583"/>
      <c r="O124" s="3583"/>
      <c r="P124" s="3583"/>
      <c r="Q124" s="3583"/>
    </row>
    <row r="125" spans="2:17">
      <c r="B125" s="600"/>
      <c r="C125" s="33"/>
      <c r="D125" s="3046"/>
      <c r="E125" s="3046"/>
      <c r="F125" s="3046"/>
      <c r="H125" s="3046"/>
      <c r="I125" s="3046"/>
      <c r="J125" s="3046"/>
      <c r="K125" s="3046"/>
      <c r="L125" s="33"/>
      <c r="M125" s="3583"/>
      <c r="N125" s="3583"/>
      <c r="O125" s="3583"/>
      <c r="P125" s="3583"/>
      <c r="Q125" s="3583"/>
    </row>
    <row r="126" spans="2:17">
      <c r="B126" s="600"/>
      <c r="C126" s="33"/>
      <c r="D126" s="3046"/>
      <c r="E126" s="3046"/>
      <c r="F126" s="3046"/>
      <c r="H126" s="3046"/>
      <c r="I126" s="3046"/>
      <c r="J126" s="3046"/>
      <c r="K126" s="3046"/>
      <c r="L126" s="33"/>
      <c r="M126" s="3583"/>
      <c r="N126" s="3583"/>
      <c r="O126" s="3583"/>
      <c r="P126" s="3583"/>
      <c r="Q126" s="3583"/>
    </row>
    <row r="127" spans="2:17">
      <c r="B127" s="600"/>
      <c r="C127" s="33"/>
      <c r="D127" s="3046"/>
      <c r="E127" s="3046"/>
      <c r="F127" s="3046"/>
      <c r="H127" s="3046"/>
      <c r="I127" s="3046"/>
      <c r="J127" s="3046"/>
      <c r="K127" s="3046"/>
      <c r="L127" s="33"/>
      <c r="M127" s="3583"/>
      <c r="N127" s="3583"/>
      <c r="O127" s="3583"/>
      <c r="P127" s="3583"/>
      <c r="Q127" s="3583"/>
    </row>
    <row r="128" spans="2:17">
      <c r="B128" s="600"/>
      <c r="C128" s="33"/>
      <c r="D128" s="3046"/>
      <c r="E128" s="3046"/>
      <c r="F128" s="3046"/>
      <c r="H128" s="3046"/>
      <c r="I128" s="3046"/>
      <c r="J128" s="3046"/>
      <c r="K128" s="3046"/>
      <c r="L128" s="33"/>
      <c r="M128" s="3583"/>
      <c r="N128" s="3583"/>
      <c r="O128" s="3583"/>
      <c r="P128" s="3583"/>
      <c r="Q128" s="3583"/>
    </row>
    <row r="129" spans="2:17">
      <c r="B129" s="600"/>
      <c r="C129" s="33"/>
      <c r="D129" s="3046"/>
      <c r="E129" s="3046"/>
      <c r="F129" s="3046"/>
      <c r="H129" s="3046"/>
      <c r="I129" s="3046"/>
      <c r="J129" s="3046"/>
      <c r="K129" s="3046"/>
      <c r="L129" s="33"/>
      <c r="M129" s="3583"/>
      <c r="N129" s="3583"/>
      <c r="O129" s="3583"/>
      <c r="P129" s="3583"/>
      <c r="Q129" s="3583"/>
    </row>
    <row r="130" spans="2:17">
      <c r="B130" s="600"/>
      <c r="C130" s="33"/>
      <c r="D130" s="3046"/>
      <c r="E130" s="3046"/>
      <c r="F130" s="3046"/>
      <c r="H130" s="3046"/>
      <c r="I130" s="3046"/>
      <c r="J130" s="3046"/>
      <c r="K130" s="3046"/>
      <c r="L130" s="33"/>
      <c r="M130" s="3583"/>
      <c r="N130" s="3583"/>
      <c r="O130" s="3583"/>
      <c r="P130" s="3583"/>
      <c r="Q130" s="3583"/>
    </row>
    <row r="131" spans="2:17">
      <c r="B131" s="600"/>
      <c r="C131" s="33"/>
      <c r="D131" s="3046"/>
      <c r="E131" s="3046"/>
      <c r="F131" s="3046"/>
      <c r="H131" s="3046"/>
      <c r="I131" s="3046"/>
      <c r="J131" s="3046"/>
      <c r="K131" s="3046"/>
      <c r="L131" s="33"/>
      <c r="M131" s="3583"/>
      <c r="N131" s="3583"/>
      <c r="O131" s="3583"/>
      <c r="P131" s="3583"/>
      <c r="Q131" s="3583"/>
    </row>
    <row r="132" spans="2:17">
      <c r="B132" s="600"/>
      <c r="C132" s="33"/>
      <c r="D132" s="3046"/>
      <c r="E132" s="3046"/>
      <c r="F132" s="3046"/>
      <c r="H132" s="3046"/>
      <c r="I132" s="3046"/>
      <c r="J132" s="3046"/>
      <c r="K132" s="3046"/>
      <c r="L132" s="33"/>
      <c r="M132" s="3583"/>
      <c r="N132" s="3583"/>
      <c r="O132" s="3583"/>
      <c r="P132" s="3583"/>
      <c r="Q132" s="3583"/>
    </row>
    <row r="133" spans="2:17">
      <c r="B133" s="600"/>
      <c r="C133" s="33"/>
      <c r="D133" s="3046"/>
      <c r="E133" s="3046"/>
      <c r="F133" s="3046"/>
      <c r="H133" s="3046"/>
      <c r="I133" s="3046"/>
      <c r="J133" s="3046"/>
      <c r="K133" s="3046"/>
      <c r="L133" s="33"/>
      <c r="M133" s="3583"/>
      <c r="N133" s="3583"/>
      <c r="O133" s="3583"/>
      <c r="P133" s="3583"/>
      <c r="Q133" s="3583"/>
    </row>
    <row r="134" spans="2:17">
      <c r="B134" s="600"/>
      <c r="C134" s="33"/>
      <c r="D134" s="3046"/>
      <c r="E134" s="3046"/>
      <c r="F134" s="3046"/>
      <c r="H134" s="3046"/>
      <c r="I134" s="3046"/>
      <c r="J134" s="3046"/>
      <c r="K134" s="3046"/>
      <c r="L134" s="33"/>
      <c r="M134" s="3583"/>
      <c r="N134" s="3583"/>
      <c r="O134" s="3583"/>
      <c r="P134" s="3583"/>
      <c r="Q134" s="3583"/>
    </row>
    <row r="135" spans="2:17">
      <c r="B135" s="600"/>
      <c r="C135" s="33"/>
      <c r="D135" s="3046"/>
      <c r="E135" s="3046"/>
      <c r="F135" s="3046"/>
      <c r="H135" s="3046"/>
      <c r="I135" s="3046"/>
      <c r="J135" s="3046"/>
      <c r="K135" s="3046"/>
      <c r="L135" s="33"/>
      <c r="M135" s="3583"/>
      <c r="N135" s="3583"/>
      <c r="O135" s="3583"/>
      <c r="P135" s="3583"/>
      <c r="Q135" s="3583"/>
    </row>
    <row r="136" spans="2:17">
      <c r="B136" s="600"/>
      <c r="C136" s="33"/>
      <c r="D136" s="3046"/>
      <c r="E136" s="3046"/>
      <c r="F136" s="3046"/>
      <c r="H136" s="3046"/>
      <c r="I136" s="3046"/>
      <c r="J136" s="3046"/>
      <c r="K136" s="3046"/>
      <c r="L136" s="33"/>
      <c r="M136" s="3583"/>
      <c r="N136" s="3583"/>
      <c r="O136" s="3583"/>
      <c r="P136" s="3583"/>
      <c r="Q136" s="3583"/>
    </row>
    <row r="137" spans="2:17">
      <c r="B137" s="600"/>
      <c r="C137" s="33"/>
      <c r="D137" s="3046"/>
      <c r="E137" s="3046"/>
      <c r="F137" s="3046"/>
      <c r="H137" s="3046"/>
      <c r="I137" s="3046"/>
      <c r="J137" s="3046"/>
      <c r="K137" s="3046"/>
      <c r="L137" s="33"/>
      <c r="M137" s="3583"/>
      <c r="N137" s="3583"/>
      <c r="O137" s="3583"/>
      <c r="P137" s="3583"/>
      <c r="Q137" s="3583"/>
    </row>
    <row r="138" spans="2:17">
      <c r="B138" s="600"/>
      <c r="C138" s="33"/>
      <c r="D138" s="3046"/>
      <c r="E138" s="3046"/>
      <c r="F138" s="3046"/>
      <c r="H138" s="3046"/>
      <c r="I138" s="3046"/>
      <c r="J138" s="3046"/>
      <c r="K138" s="3046"/>
      <c r="L138" s="33"/>
      <c r="M138" s="3583"/>
      <c r="N138" s="3583"/>
      <c r="O138" s="3583"/>
      <c r="P138" s="3583"/>
    </row>
    <row r="139" spans="2:17">
      <c r="B139" s="600"/>
      <c r="C139" s="33"/>
      <c r="D139" s="3046"/>
      <c r="E139" s="3046"/>
      <c r="F139" s="3046"/>
      <c r="H139" s="3046"/>
      <c r="I139" s="3046"/>
      <c r="J139" s="3046"/>
      <c r="K139" s="3046"/>
      <c r="L139" s="33"/>
      <c r="M139" s="3583"/>
      <c r="N139" s="3583"/>
      <c r="O139" s="3583"/>
      <c r="P139" s="3583"/>
    </row>
    <row r="140" spans="2:17">
      <c r="B140" s="600"/>
      <c r="C140" s="33"/>
      <c r="D140" s="3046"/>
      <c r="E140" s="3046"/>
      <c r="F140" s="3046"/>
      <c r="H140" s="3046"/>
      <c r="I140" s="3046"/>
      <c r="J140" s="3046"/>
      <c r="K140" s="3046"/>
      <c r="L140" s="33"/>
      <c r="M140" s="3583"/>
      <c r="N140" s="3583"/>
      <c r="O140" s="3583"/>
      <c r="P140" s="3583"/>
    </row>
    <row r="141" spans="2:17">
      <c r="B141" s="600"/>
      <c r="C141" s="33"/>
      <c r="D141" s="3046"/>
      <c r="E141" s="3046"/>
      <c r="F141" s="3046"/>
      <c r="H141" s="3046"/>
      <c r="I141" s="3046"/>
      <c r="J141" s="3046"/>
      <c r="K141" s="3046"/>
      <c r="L141" s="33"/>
      <c r="M141" s="3583"/>
      <c r="N141" s="3583"/>
      <c r="O141" s="3583"/>
      <c r="P141" s="3583"/>
    </row>
    <row r="142" spans="2:17">
      <c r="B142" s="600"/>
      <c r="C142" s="33"/>
      <c r="D142" s="3046"/>
      <c r="E142" s="3046"/>
      <c r="F142" s="3046"/>
      <c r="H142" s="3046"/>
      <c r="I142" s="3046"/>
      <c r="J142" s="3046"/>
      <c r="K142" s="3046"/>
      <c r="L142" s="33"/>
      <c r="M142" s="3583"/>
      <c r="N142" s="3583"/>
      <c r="O142" s="3583"/>
      <c r="P142" s="3583"/>
    </row>
    <row r="143" spans="2:17">
      <c r="B143" s="600"/>
      <c r="C143" s="33"/>
      <c r="D143" s="3046"/>
      <c r="E143" s="3046"/>
      <c r="F143" s="3046"/>
      <c r="H143" s="3046"/>
      <c r="I143" s="3046"/>
      <c r="J143" s="3046"/>
      <c r="K143" s="3046"/>
      <c r="L143" s="33"/>
      <c r="M143" s="3046"/>
      <c r="N143" s="3046"/>
      <c r="O143" s="3046"/>
      <c r="P143" s="3046"/>
    </row>
    <row r="144" spans="2:17">
      <c r="B144" s="600"/>
      <c r="C144" s="33"/>
      <c r="D144" s="3046"/>
      <c r="E144" s="3046"/>
      <c r="F144" s="3046"/>
      <c r="H144" s="3046"/>
      <c r="I144" s="3046"/>
      <c r="J144" s="3046"/>
      <c r="K144" s="3046"/>
      <c r="L144" s="33"/>
      <c r="M144" s="3046"/>
      <c r="N144" s="3046"/>
      <c r="O144" s="3046"/>
      <c r="P144" s="3046"/>
    </row>
    <row r="145" spans="2:16">
      <c r="B145" s="600"/>
      <c r="C145" s="33"/>
      <c r="D145" s="3046"/>
      <c r="E145" s="3046"/>
      <c r="F145" s="3046"/>
      <c r="H145" s="3046"/>
      <c r="I145" s="3046"/>
      <c r="J145" s="3046"/>
      <c r="K145" s="3046"/>
      <c r="L145" s="33"/>
      <c r="M145" s="3046"/>
      <c r="N145" s="3046"/>
      <c r="O145" s="3046"/>
      <c r="P145" s="3046"/>
    </row>
    <row r="146" spans="2:16">
      <c r="B146" s="600"/>
      <c r="C146" s="33"/>
      <c r="D146" s="3046"/>
      <c r="E146" s="3046"/>
      <c r="F146" s="3046"/>
      <c r="H146" s="3046"/>
      <c r="I146" s="3046"/>
      <c r="J146" s="3046"/>
      <c r="K146" s="3046"/>
      <c r="L146" s="33"/>
      <c r="M146" s="3046"/>
      <c r="N146" s="3046"/>
      <c r="O146" s="3046"/>
      <c r="P146" s="3046"/>
    </row>
    <row r="147" spans="2:16">
      <c r="B147" s="600"/>
      <c r="C147" s="33"/>
      <c r="D147" s="3046"/>
      <c r="E147" s="3046"/>
      <c r="F147" s="3046"/>
      <c r="H147" s="3046"/>
      <c r="I147" s="3046"/>
      <c r="J147" s="3046"/>
      <c r="K147" s="3046"/>
      <c r="L147" s="33"/>
      <c r="M147" s="3046"/>
      <c r="N147" s="3046"/>
      <c r="O147" s="3046"/>
      <c r="P147" s="3046"/>
    </row>
    <row r="148" spans="2:16">
      <c r="B148" s="600"/>
      <c r="C148" s="33"/>
      <c r="D148" s="3046"/>
      <c r="E148" s="3046"/>
      <c r="F148" s="3046"/>
      <c r="H148" s="3046"/>
      <c r="I148" s="3046"/>
      <c r="J148" s="3046"/>
      <c r="K148" s="3046"/>
      <c r="L148" s="33"/>
      <c r="M148" s="3046"/>
      <c r="N148" s="3046"/>
      <c r="O148" s="3046"/>
      <c r="P148" s="3046"/>
    </row>
    <row r="149" spans="2:16">
      <c r="B149" s="600"/>
      <c r="C149" s="33"/>
      <c r="D149" s="3046"/>
      <c r="E149" s="3046"/>
      <c r="F149" s="3046"/>
      <c r="H149" s="3046"/>
      <c r="I149" s="3046"/>
      <c r="J149" s="3046"/>
      <c r="K149" s="3046"/>
      <c r="L149" s="3046"/>
      <c r="M149" s="3046"/>
      <c r="N149" s="3046"/>
      <c r="O149" s="3046"/>
      <c r="P149" s="3046"/>
    </row>
    <row r="150" spans="2:16">
      <c r="B150" s="600"/>
      <c r="C150" s="33"/>
      <c r="I150" s="2357"/>
    </row>
    <row r="151" spans="2:16">
      <c r="B151" s="600"/>
      <c r="C151" s="33"/>
      <c r="I151" s="2357"/>
    </row>
    <row r="152" spans="2:16">
      <c r="B152" s="600"/>
      <c r="C152" s="33"/>
      <c r="I152" s="2357"/>
    </row>
    <row r="153" spans="2:16">
      <c r="B153" s="600"/>
      <c r="C153" s="33"/>
      <c r="I153" s="2357"/>
    </row>
    <row r="154" spans="2:16">
      <c r="B154" s="600"/>
      <c r="C154" s="33"/>
      <c r="D154" s="33"/>
      <c r="F154" s="33"/>
      <c r="G154" s="33"/>
      <c r="H154" s="33"/>
      <c r="I154" s="33"/>
      <c r="J154" s="33"/>
      <c r="K154" s="33"/>
    </row>
    <row r="155" spans="2:16">
      <c r="B155" s="600"/>
      <c r="C155" s="33"/>
      <c r="D155" s="33"/>
      <c r="F155" s="33"/>
      <c r="G155" s="33"/>
      <c r="H155" s="33"/>
      <c r="I155" s="33"/>
      <c r="J155" s="33"/>
      <c r="K155" s="33"/>
    </row>
    <row r="156" spans="2:16">
      <c r="B156" s="600"/>
      <c r="C156" s="33"/>
      <c r="D156" s="33"/>
      <c r="F156" s="33"/>
      <c r="G156" s="33"/>
      <c r="H156" s="33"/>
      <c r="I156" s="33"/>
      <c r="J156" s="33"/>
      <c r="K156" s="33"/>
    </row>
    <row r="157" spans="2:16">
      <c r="B157" s="600"/>
      <c r="C157" s="33"/>
    </row>
    <row r="158" spans="2:16">
      <c r="B158" s="600"/>
      <c r="C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48">
    <mergeCell ref="E10:F10"/>
    <mergeCell ref="C14:F14"/>
    <mergeCell ref="C15:F15"/>
    <mergeCell ref="C16:F16"/>
    <mergeCell ref="C17:F17"/>
    <mergeCell ref="N1:O1"/>
    <mergeCell ref="K2:P2"/>
    <mergeCell ref="N3:O4"/>
    <mergeCell ref="E4:I4"/>
    <mergeCell ref="H6:I6"/>
    <mergeCell ref="K6:L6"/>
    <mergeCell ref="N6:O6"/>
    <mergeCell ref="G1:I1"/>
    <mergeCell ref="K1:L1"/>
    <mergeCell ref="C19:F19"/>
    <mergeCell ref="F23:G23"/>
    <mergeCell ref="D25:E25"/>
    <mergeCell ref="D26:E26"/>
    <mergeCell ref="E22:G22"/>
    <mergeCell ref="C20:F20"/>
    <mergeCell ref="C21:F21"/>
    <mergeCell ref="C73:E73"/>
    <mergeCell ref="C74:E74"/>
    <mergeCell ref="B75:C75"/>
    <mergeCell ref="F34:G34"/>
    <mergeCell ref="C42:E42"/>
    <mergeCell ref="C57:D57"/>
    <mergeCell ref="C53:D53"/>
    <mergeCell ref="C54:D54"/>
    <mergeCell ref="C56:D56"/>
    <mergeCell ref="C64:E64"/>
    <mergeCell ref="C51:D51"/>
    <mergeCell ref="C52:D52"/>
    <mergeCell ref="C40:E40"/>
    <mergeCell ref="C37:E37"/>
    <mergeCell ref="C38:E38"/>
    <mergeCell ref="C41:E41"/>
    <mergeCell ref="C36:E36"/>
    <mergeCell ref="C55:D55"/>
    <mergeCell ref="C62:E62"/>
    <mergeCell ref="C63:E63"/>
    <mergeCell ref="C68:E68"/>
    <mergeCell ref="C39:E39"/>
    <mergeCell ref="C48:D48"/>
    <mergeCell ref="C46:D46"/>
    <mergeCell ref="C49:D49"/>
    <mergeCell ref="C50:D50"/>
    <mergeCell ref="C47:D47"/>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Verfahrensabh. Ausgleichsleist." error="Bitte aus Dropdownliste auswählen." sqref="C16:F17">
      <formula1>$C$77:$C$90</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Gmünd&amp;C14&amp;R&amp;11&amp;F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5" style="32" hidden="1" customWidth="1"/>
    <col min="18" max="35" width="15" style="31" hidden="1" customWidth="1"/>
    <col min="36" max="36" width="10.5" style="31" customWidth="1"/>
    <col min="37" max="16384" width="10.5" style="31"/>
  </cols>
  <sheetData>
    <row r="1" spans="1:41" s="274" customFormat="1" ht="30.2" customHeight="1">
      <c r="A1" s="2475"/>
      <c r="B1" s="319"/>
      <c r="C1" s="1876"/>
      <c r="D1" s="136"/>
      <c r="E1" s="316"/>
      <c r="F1" s="316"/>
      <c r="G1" s="4933" t="s">
        <v>1636</v>
      </c>
      <c r="H1" s="4933"/>
      <c r="I1" s="4933"/>
      <c r="J1" s="1874">
        <f>(J7+J13+J18+J22+I11+I12)-(J23+J27+J34+J43+J60+J65+J67+J69+J71+J75)</f>
        <v>790.87429451459275</v>
      </c>
      <c r="K1" s="4855">
        <f>M1-J1</f>
        <v>176.83933333333334</v>
      </c>
      <c r="L1" s="4855"/>
      <c r="M1" s="1874">
        <f>(M7+M13+M18+M22+L11+L12)-(M23+M27+M34+M43+M60+M65+M67+M69+M71+M75)</f>
        <v>967.71362784792609</v>
      </c>
      <c r="N1" s="4855">
        <f>P1-M1</f>
        <v>176.83933333333334</v>
      </c>
      <c r="O1" s="4855"/>
      <c r="P1" s="1874">
        <f>(P7+P13+P18+P22+O11+O12)-(P23+P27+P34+P43+P60+P65+P67+P69+P71+P75)</f>
        <v>1144.5529611812594</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1290</v>
      </c>
      <c r="L2" s="4867"/>
      <c r="M2" s="4867"/>
      <c r="N2" s="4867"/>
      <c r="O2" s="4867"/>
      <c r="P2" s="4867"/>
      <c r="Q2" s="2475"/>
    </row>
    <row r="3" spans="1:41" s="274" customFormat="1" ht="21.75" customHeight="1">
      <c r="A3" s="2475"/>
      <c r="B3" s="1871" t="s">
        <v>1635</v>
      </c>
      <c r="G3" s="1859"/>
      <c r="H3" s="1870"/>
      <c r="J3" s="4863"/>
      <c r="K3" s="4937"/>
      <c r="L3" s="4937"/>
      <c r="M3" s="33"/>
      <c r="N3" s="4934"/>
      <c r="O3" s="4869"/>
      <c r="P3" s="1868"/>
      <c r="Q3" s="2475"/>
      <c r="T3" s="1886" t="b">
        <v>0</v>
      </c>
    </row>
    <row r="4" spans="1:41" s="274" customFormat="1" ht="20.25" customHeight="1">
      <c r="A4" s="2475"/>
      <c r="B4" s="370" t="s">
        <v>1098</v>
      </c>
      <c r="C4" s="31"/>
      <c r="D4" s="31"/>
      <c r="E4" s="4898" t="s">
        <v>1987</v>
      </c>
      <c r="F4" s="4898"/>
      <c r="G4" s="4898"/>
      <c r="H4" s="4898"/>
      <c r="I4" s="4898"/>
      <c r="J4" s="4863"/>
      <c r="K4" s="4937"/>
      <c r="L4" s="4937"/>
      <c r="M4" s="33"/>
      <c r="N4" s="4869"/>
      <c r="O4" s="4869"/>
      <c r="P4" s="1864">
        <f>SDÖ1!O3</f>
        <v>0</v>
      </c>
      <c r="Q4" s="2475"/>
      <c r="T4" s="1886" t="b">
        <v>1</v>
      </c>
    </row>
    <row r="5" spans="1:41" ht="6" customHeight="1"/>
    <row r="6" spans="1:41" s="1853" customFormat="1" ht="24" customHeight="1">
      <c r="A6" s="48"/>
      <c r="B6" s="1858" t="s">
        <v>1151</v>
      </c>
      <c r="C6" s="1857"/>
      <c r="D6" s="1857"/>
      <c r="E6" s="1857" t="s">
        <v>1634</v>
      </c>
      <c r="F6" s="1857"/>
      <c r="G6" s="1856"/>
      <c r="H6" s="4861" t="s">
        <v>179</v>
      </c>
      <c r="I6" s="4862"/>
      <c r="J6" s="1855">
        <v>300</v>
      </c>
      <c r="K6" s="4874" t="s">
        <v>152</v>
      </c>
      <c r="L6" s="4875"/>
      <c r="M6" s="1855">
        <v>400</v>
      </c>
      <c r="N6" s="4861" t="s">
        <v>178</v>
      </c>
      <c r="O6" s="4862"/>
      <c r="P6" s="1854">
        <v>500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300</v>
      </c>
      <c r="I9" s="1841">
        <f>H9*G9</f>
        <v>0</v>
      </c>
      <c r="J9" s="43"/>
      <c r="K9" s="1844">
        <f>M6-K10</f>
        <v>400</v>
      </c>
      <c r="L9" s="1843">
        <f>K9*G9</f>
        <v>0</v>
      </c>
      <c r="M9" s="1822"/>
      <c r="N9" s="1842">
        <f>P6-N10</f>
        <v>500</v>
      </c>
      <c r="O9" s="1841">
        <f>N9*G9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t="s">
        <v>2045</v>
      </c>
      <c r="D15" s="4860"/>
      <c r="E15" s="4860"/>
      <c r="F15" s="4860"/>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695.4</v>
      </c>
      <c r="S19" s="1784">
        <f>M13+M18</f>
        <v>695.4</v>
      </c>
      <c r="T19" s="1784">
        <f>P13+P18</f>
        <v>695.4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165</v>
      </c>
      <c r="K23" s="1587"/>
      <c r="L23" s="1586"/>
      <c r="M23" s="1768">
        <f>SUM(L25:L26)</f>
        <v>165</v>
      </c>
      <c r="N23" s="1584"/>
      <c r="O23" s="1583"/>
      <c r="P23" s="1567">
        <f>SUM(O25:O26)</f>
        <v>165</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5.5</v>
      </c>
      <c r="G25" s="1762">
        <f>F25*(100+$D$24)/100</f>
        <v>5.5</v>
      </c>
      <c r="H25" s="1761">
        <v>30</v>
      </c>
      <c r="I25" s="1722">
        <f>H25*$G25</f>
        <v>165</v>
      </c>
      <c r="J25" s="45"/>
      <c r="K25" s="1761">
        <f>H25</f>
        <v>30</v>
      </c>
      <c r="L25" s="1564">
        <f>K25*$G25</f>
        <v>165</v>
      </c>
      <c r="M25" s="1557"/>
      <c r="N25" s="1761">
        <f>H25</f>
        <v>30</v>
      </c>
      <c r="O25" s="1722">
        <f>N25*$G25</f>
        <v>165</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-437</v>
      </c>
      <c r="K27" s="1716"/>
      <c r="L27" s="1715"/>
      <c r="M27" s="1585">
        <f>SUM(L30:L33)</f>
        <v>-611.80000000000007</v>
      </c>
      <c r="N27" s="1714"/>
      <c r="O27" s="1713"/>
      <c r="P27" s="1582">
        <f>SUM(O30:O33)</f>
        <v>-786.6</v>
      </c>
      <c r="Q27" s="32"/>
    </row>
    <row r="28" spans="1:20" s="42" customFormat="1" ht="15" customHeight="1">
      <c r="A28" s="1284"/>
      <c r="B28" s="1312"/>
      <c r="C28" s="3032"/>
      <c r="D28" s="1754" t="s">
        <v>1019</v>
      </c>
      <c r="E28" s="1754" t="s">
        <v>1183</v>
      </c>
      <c r="F28" s="1754" t="s">
        <v>1183</v>
      </c>
      <c r="G28" s="1753" t="s">
        <v>1182</v>
      </c>
      <c r="H28" s="1713"/>
      <c r="I28" s="1750"/>
      <c r="J28" s="3033"/>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32"/>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-2</v>
      </c>
      <c r="F30" s="1742"/>
      <c r="G30" s="1741">
        <v>20</v>
      </c>
      <c r="H30" s="1739">
        <f>IF(J$6=0,0,(J$6*0.2*$E30+$G30+X13))</f>
        <v>-100</v>
      </c>
      <c r="I30" s="1722">
        <f>H30*$D30</f>
        <v>-437</v>
      </c>
      <c r="J30" s="45"/>
      <c r="K30" s="1740">
        <f>IF(M$6=0,0,(M$6*0.2*$E30+$G30+AA13))</f>
        <v>-140</v>
      </c>
      <c r="L30" s="1564">
        <f>K30*$D30</f>
        <v>-611.80000000000007</v>
      </c>
      <c r="M30" s="1557"/>
      <c r="N30" s="1739">
        <f>IF(P$6=0,0,(P$6*0.2*$E30+$G30+AD13))</f>
        <v>-180</v>
      </c>
      <c r="O30" s="1722">
        <f>N30*$D30</f>
        <v>-786.6</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42"/>
      <c r="G33" s="1741"/>
      <c r="H33" s="1739">
        <f>IF(J$6=0,0,(J$6*0.2*$E33+$G33+X16))</f>
        <v>0</v>
      </c>
      <c r="I33" s="1722">
        <f>H33*$D33</f>
        <v>0</v>
      </c>
      <c r="J33" s="45"/>
      <c r="K33" s="1736">
        <f>IF(M$6=0,0,(M$6*0.2*$E33+$G33+AA16))</f>
        <v>0</v>
      </c>
      <c r="L33" s="1564">
        <f>K33*$D33</f>
        <v>0</v>
      </c>
      <c r="M33" s="1557"/>
      <c r="N33" s="1735">
        <f>IF(P$6=0,0,(P$6*0.2*$E33+$G33+AD16))</f>
        <v>0</v>
      </c>
      <c r="O33" s="1722">
        <f>N33*$D33</f>
        <v>0</v>
      </c>
      <c r="P33" s="1686"/>
      <c r="Q33" s="32"/>
    </row>
    <row r="34" spans="1:17" s="42" customFormat="1" ht="15" customHeight="1">
      <c r="A34" s="1284"/>
      <c r="B34" s="1254" t="s">
        <v>1627</v>
      </c>
      <c r="C34" s="1248"/>
      <c r="D34" s="3032"/>
      <c r="E34" s="3032"/>
      <c r="F34" s="4876"/>
      <c r="G34" s="4877" t="s">
        <v>171</v>
      </c>
      <c r="H34" s="3073"/>
      <c r="I34" s="3074"/>
      <c r="J34" s="1582">
        <f>SUM(I36:I42)</f>
        <v>0</v>
      </c>
      <c r="K34" s="3075"/>
      <c r="L34" s="3076"/>
      <c r="M34" s="1585">
        <f>SUM(L36:L42)</f>
        <v>0</v>
      </c>
      <c r="N34" s="3073"/>
      <c r="O34" s="3074"/>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IF(C40=0,0,VLOOKUP(C40,SDÖ5!$C$6:$D$33,2,FALSE))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IF(C41=0,0,VLOOKUP(C41,SDÖ5!$C$6:$D$33,2,FALSE))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IF(C42=0,0,VLOOKUP(C42,SDÖ5!$C$6:$D$33,2,FALSE))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177.62672700369745</v>
      </c>
      <c r="K43" s="1716"/>
      <c r="L43" s="1715"/>
      <c r="M43" s="1585">
        <f>SUM(M46:M57)</f>
        <v>177.62672700369745</v>
      </c>
      <c r="N43" s="1714"/>
      <c r="O43" s="1713"/>
      <c r="P43" s="1582">
        <f>SUM(P46:P57)</f>
        <v>177.62672700369745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c r="K45" s="1703" t="s">
        <v>1168</v>
      </c>
      <c r="L45" s="1702" t="s">
        <v>114</v>
      </c>
      <c r="M45" s="1701"/>
      <c r="N45" s="1700" t="s">
        <v>1168</v>
      </c>
      <c r="O45" s="1574" t="s">
        <v>114</v>
      </c>
      <c r="P45" s="1699"/>
      <c r="Q45" s="32"/>
    </row>
    <row r="46" spans="1:17" s="42" customFormat="1" ht="15" customHeight="1">
      <c r="A46" s="1284"/>
      <c r="B46" s="1694"/>
      <c r="C46" s="4858" t="s">
        <v>462</v>
      </c>
      <c r="D46" s="4859"/>
      <c r="E46" s="1693">
        <f>IF($C46=0,0,VLOOKUP($C46,SDÖ3!$C$24:$O$99,4,FALSE))</f>
        <v>120</v>
      </c>
      <c r="F46" s="1692">
        <f>IF($C46=0,0,VLOOKUP($C46,SDÖ3!$C$24:$O$99,12,FALSE))</f>
        <v>1.44</v>
      </c>
      <c r="G46" s="1691">
        <f>IF($C46=0,0,VLOOKUP($C46,SDÖ3!$C$24:$O$99,13,FALSE))</f>
        <v>59.188918588235289</v>
      </c>
      <c r="H46" s="1688">
        <v>1</v>
      </c>
      <c r="I46" s="1687">
        <f t="shared" ref="I46:I56" si="4">$F46*H46</f>
        <v>1.44</v>
      </c>
      <c r="J46" s="1686">
        <f t="shared" ref="J46:J56" si="5">H46*$G46</f>
        <v>59.188918588235289</v>
      </c>
      <c r="K46" s="1688">
        <v>1</v>
      </c>
      <c r="L46" s="1690">
        <f t="shared" ref="L46:L56" si="6">$F46*K46</f>
        <v>1.44</v>
      </c>
      <c r="M46" s="1689">
        <f t="shared" ref="M46:M56" si="7">K46*$G46</f>
        <v>59.188918588235289</v>
      </c>
      <c r="N46" s="1688">
        <v>1</v>
      </c>
      <c r="O46" s="1687">
        <f t="shared" ref="O46:O56" si="8">$F46*N46</f>
        <v>1.44</v>
      </c>
      <c r="P46" s="1686">
        <f t="shared" ref="P46:P56" si="9">N46*$G46</f>
        <v>59.188918588235289</v>
      </c>
      <c r="Q46" s="32"/>
    </row>
    <row r="47" spans="1:17" s="42" customFormat="1" ht="15" customHeight="1">
      <c r="A47" s="1284"/>
      <c r="B47" s="1694"/>
      <c r="C47" s="4882" t="s">
        <v>459</v>
      </c>
      <c r="D47" s="4883"/>
      <c r="E47" s="1693">
        <f>IF($C47=0,0,VLOOKUP($C47,SDÖ3!$C$24:$O$99,4,FALSE))</f>
        <v>102</v>
      </c>
      <c r="F47" s="1692">
        <f>IF($C47=0,0,VLOOKUP($C47,SDÖ3!$C$24:$O$99,12,FALSE))</f>
        <v>0.79</v>
      </c>
      <c r="G47" s="1691">
        <f>IF($C47=0,0,VLOOKUP($C47,SDÖ3!$C$24:$O$99,13,FALSE))</f>
        <v>21.737240200000002</v>
      </c>
      <c r="H47" s="1688">
        <v>1</v>
      </c>
      <c r="I47" s="1687">
        <f t="shared" si="4"/>
        <v>0.79</v>
      </c>
      <c r="J47" s="1686">
        <f t="shared" si="5"/>
        <v>21.737240200000002</v>
      </c>
      <c r="K47" s="1688">
        <v>1</v>
      </c>
      <c r="L47" s="1690">
        <f t="shared" si="6"/>
        <v>0.79</v>
      </c>
      <c r="M47" s="1689">
        <f t="shared" si="7"/>
        <v>21.737240200000002</v>
      </c>
      <c r="N47" s="1688">
        <v>1</v>
      </c>
      <c r="O47" s="1687">
        <f t="shared" si="8"/>
        <v>0.79</v>
      </c>
      <c r="P47" s="1686">
        <f t="shared" si="9"/>
        <v>21.737240200000002</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82" t="s">
        <v>449</v>
      </c>
      <c r="D49" s="4883"/>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414</v>
      </c>
      <c r="D51" s="4883"/>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35"/>
      <c r="D55" s="4936"/>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938"/>
      <c r="D57" s="4939"/>
      <c r="E57" s="3565">
        <f>IF($C57=0,0,VLOOKUP($C57,SDÖ3!$C$24:$O$99,4,FALSE))</f>
        <v>0</v>
      </c>
      <c r="F57" s="3566">
        <f>IF($C57=0,0,VLOOKUP($C57,SDÖ3!$C$24:$O$99,12,FALSE))</f>
        <v>0</v>
      </c>
      <c r="G57" s="3567">
        <f>IF($C57=0,0,VLOOKUP($C57,SDÖ3!$C$24:$O$99,13,FALSE))</f>
        <v>0</v>
      </c>
      <c r="H57" s="3627"/>
      <c r="I57" s="3628">
        <f>$F57*H57</f>
        <v>0</v>
      </c>
      <c r="J57" s="3629">
        <f>H57*$G57</f>
        <v>0</v>
      </c>
      <c r="K57" s="3627"/>
      <c r="L57" s="3630">
        <f>$F57*K57</f>
        <v>0</v>
      </c>
      <c r="M57" s="3631">
        <f>K57*$G57</f>
        <v>0</v>
      </c>
      <c r="N57" s="3627"/>
      <c r="O57" s="3628">
        <f>$F57*N57</f>
        <v>0</v>
      </c>
      <c r="P57" s="3629">
        <f>N57*$G57</f>
        <v>0</v>
      </c>
      <c r="Q57" s="32"/>
    </row>
    <row r="58" spans="1:17" s="686" customFormat="1" ht="18.75" customHeight="1">
      <c r="A58" s="1248"/>
      <c r="B58" s="1254" t="s">
        <v>1167</v>
      </c>
      <c r="C58" s="1351"/>
      <c r="D58" s="1351"/>
      <c r="E58" s="1351"/>
      <c r="F58" s="38"/>
      <c r="G58" s="1588"/>
      <c r="H58" s="1665"/>
      <c r="I58" s="1664">
        <f>SUM($I$46:$I$57)</f>
        <v>6.24</v>
      </c>
      <c r="J58" s="1669"/>
      <c r="K58" s="1668"/>
      <c r="L58" s="1667">
        <f>SUM($L$46:$L$57)</f>
        <v>6.24</v>
      </c>
      <c r="M58" s="1666"/>
      <c r="N58" s="1665"/>
      <c r="O58" s="1664">
        <f>SUM($O$46:$O$57)</f>
        <v>6.24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11.232000000000001</v>
      </c>
      <c r="J59" s="1654"/>
      <c r="K59" s="1659"/>
      <c r="L59" s="1658">
        <f>IF(L58+SUM($L$46:$L$57)*$E$59%&gt;L58+10,L58+10,L58+SUM($L$46:$L$57)*$E$59%)</f>
        <v>11.232000000000001</v>
      </c>
      <c r="M59" s="1657"/>
      <c r="N59" s="1656"/>
      <c r="O59" s="1655">
        <f>IF(O58+SUM($O$46:$O$57)*$E$59%&gt;O58+10,O58+10,O58+SUM($O$46:$O$57)*$E$59%)</f>
        <v>11.232000000000001</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88" t="s">
        <v>1159</v>
      </c>
      <c r="D68" s="4888"/>
      <c r="E68" s="4888"/>
      <c r="F68" s="1604"/>
      <c r="G68" s="1595" t="s">
        <v>171</v>
      </c>
      <c r="H68" s="1602"/>
      <c r="I68" s="1601">
        <v>50</v>
      </c>
      <c r="J68" s="1600"/>
      <c r="K68" s="1602"/>
      <c r="L68" s="1601">
        <v>50</v>
      </c>
      <c r="M68" s="1603"/>
      <c r="N68" s="1602"/>
      <c r="O68" s="1601">
        <v>50</v>
      </c>
      <c r="P68" s="1600"/>
      <c r="Q68" s="32"/>
      <c r="R68" s="1912">
        <f>IF($H$68=0,0,VLOOKUP($H$68,'SD6'!B8:C101,'SD6'!C1,FALSE))*(1+'SDK1'!O11/100)</f>
        <v>0</v>
      </c>
      <c r="S68" s="1599">
        <f>IF($K$64=0,0,VLOOKUP($K$64,#REF!,2,FALSE))</f>
        <v>0</v>
      </c>
      <c r="T68" s="1912">
        <f>IF($N$64=0,0,VLOOKUP($N$64,#REF!,2,FALSE))</f>
        <v>0</v>
      </c>
    </row>
    <row r="69" spans="1:20" s="686" customFormat="1" ht="1.1499999999999999"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-1.1010215182901963</v>
      </c>
      <c r="K75" s="3031"/>
      <c r="L75" s="1034"/>
      <c r="M75" s="1546">
        <f>(M23+M27+M34+M43+M60+M65+M67+M69+M71)*('SDK1'!$O$59%*$G$75/12)</f>
        <v>-3.1403548516235307</v>
      </c>
      <c r="N75" s="1548"/>
      <c r="O75" s="1547"/>
      <c r="P75" s="1546">
        <f>(P23+P27+P34+P43+P60+P65+P67+P69+P71)*('SDK1'!$O$59%*$G$75/12)</f>
        <v>-5.1796881849568637</v>
      </c>
      <c r="Q75" s="32"/>
    </row>
    <row r="78" spans="1:20" ht="14.25">
      <c r="C78" s="4940" t="s">
        <v>1888</v>
      </c>
      <c r="D78" s="4941"/>
      <c r="E78" s="4941"/>
      <c r="F78" s="4942"/>
      <c r="G78" s="33"/>
      <c r="H78" s="33"/>
      <c r="I78" s="33"/>
      <c r="L78" s="33"/>
    </row>
    <row r="79" spans="1:20">
      <c r="C79" s="4943" t="s">
        <v>295</v>
      </c>
      <c r="D79" s="4944"/>
      <c r="E79" s="4944"/>
      <c r="F79" s="4945"/>
      <c r="G79" s="33"/>
      <c r="H79" s="33"/>
      <c r="I79" s="33"/>
      <c r="L79" s="33"/>
      <c r="N79" s="33"/>
      <c r="O79" s="33"/>
      <c r="P79" s="33"/>
    </row>
    <row r="80" spans="1:20" ht="14.25">
      <c r="B80" s="3046"/>
      <c r="C80" s="3042" t="s">
        <v>1884</v>
      </c>
      <c r="D80" s="3043"/>
      <c r="E80" s="3043"/>
      <c r="F80" s="3044"/>
      <c r="G80" s="33"/>
      <c r="H80" s="33"/>
      <c r="I80" s="33"/>
      <c r="J80" s="3046"/>
      <c r="K80" s="3046"/>
      <c r="L80" s="33"/>
      <c r="M80" s="3046"/>
      <c r="N80" s="33"/>
      <c r="O80" s="33"/>
      <c r="P80" s="33"/>
    </row>
    <row r="81" spans="2:16" ht="14.25">
      <c r="B81" s="3046"/>
      <c r="C81" s="3042" t="s">
        <v>1885</v>
      </c>
      <c r="D81" s="3043"/>
      <c r="E81" s="3043"/>
      <c r="F81" s="3044"/>
      <c r="G81" s="33"/>
      <c r="H81" s="33"/>
      <c r="I81" s="33"/>
      <c r="J81" s="3046"/>
      <c r="K81" s="3046"/>
      <c r="L81" s="33"/>
      <c r="M81" s="3046"/>
      <c r="N81" s="33"/>
      <c r="O81" s="33"/>
      <c r="P81" s="33"/>
    </row>
    <row r="82" spans="2:16">
      <c r="B82" s="3046"/>
      <c r="C82" s="3034" t="s">
        <v>294</v>
      </c>
      <c r="D82" s="3035"/>
      <c r="E82" s="3035"/>
      <c r="F82" s="3036"/>
      <c r="G82" s="33"/>
      <c r="H82" s="33"/>
      <c r="I82" s="33"/>
      <c r="J82" s="3046"/>
      <c r="K82" s="3046"/>
      <c r="L82" s="33"/>
      <c r="M82" s="3046"/>
      <c r="N82" s="33"/>
      <c r="O82" s="33"/>
      <c r="P82" s="33"/>
    </row>
    <row r="83" spans="2:16" ht="14.25">
      <c r="B83" s="3046"/>
      <c r="C83" s="3042" t="s">
        <v>1886</v>
      </c>
      <c r="D83" s="3043"/>
      <c r="E83" s="3043"/>
      <c r="F83" s="3044"/>
      <c r="G83" s="33"/>
      <c r="H83" s="33"/>
      <c r="I83" s="33"/>
      <c r="J83" s="3046"/>
      <c r="K83" s="3046"/>
      <c r="L83" s="33"/>
      <c r="M83" s="3046"/>
      <c r="N83" s="33"/>
      <c r="O83" s="33"/>
      <c r="P83" s="33"/>
    </row>
    <row r="84" spans="2:16" ht="14.25">
      <c r="B84" s="3046"/>
      <c r="C84" s="3042" t="s">
        <v>1887</v>
      </c>
      <c r="D84" s="3043"/>
      <c r="E84" s="3043"/>
      <c r="F84" s="3044"/>
      <c r="G84" s="33"/>
      <c r="H84" s="33"/>
      <c r="I84" s="33"/>
      <c r="J84" s="3046"/>
      <c r="K84" s="3046"/>
      <c r="L84" s="33"/>
      <c r="M84" s="3046"/>
      <c r="N84" s="33"/>
      <c r="O84" s="33"/>
      <c r="P84" s="33"/>
    </row>
    <row r="85" spans="2:16">
      <c r="B85" s="3046"/>
      <c r="C85" s="3034" t="s">
        <v>293</v>
      </c>
      <c r="D85" s="3035"/>
      <c r="E85" s="3035"/>
      <c r="F85" s="3036"/>
      <c r="G85" s="33"/>
      <c r="H85" s="33"/>
      <c r="I85" s="33"/>
      <c r="J85" s="3046"/>
      <c r="K85" s="3046"/>
      <c r="L85" s="33"/>
      <c r="M85" s="3046"/>
      <c r="N85" s="33"/>
      <c r="O85" s="33"/>
      <c r="P85" s="33"/>
    </row>
    <row r="86" spans="2:16">
      <c r="B86" s="3046"/>
      <c r="C86" s="3034" t="s">
        <v>292</v>
      </c>
      <c r="D86" s="3035"/>
      <c r="E86" s="3035"/>
      <c r="F86" s="3036"/>
      <c r="G86" s="33"/>
      <c r="H86" s="33"/>
      <c r="I86" s="33"/>
      <c r="J86" s="3046"/>
      <c r="K86" s="3046"/>
      <c r="L86" s="33"/>
      <c r="M86" s="3046"/>
      <c r="N86" s="33"/>
      <c r="O86" s="33"/>
      <c r="P86" s="33"/>
    </row>
    <row r="87" spans="2:16" ht="14.25">
      <c r="B87" s="3046"/>
      <c r="C87" s="3034" t="s">
        <v>291</v>
      </c>
      <c r="D87" s="3035"/>
      <c r="E87" s="3035"/>
      <c r="F87" s="3036"/>
      <c r="G87" s="33"/>
      <c r="H87" s="33"/>
      <c r="I87" s="33"/>
      <c r="J87" s="3046"/>
      <c r="K87" s="3046"/>
      <c r="L87" s="33"/>
      <c r="M87" s="3046"/>
      <c r="N87" s="33"/>
      <c r="O87" s="33"/>
      <c r="P87" s="33"/>
    </row>
    <row r="88" spans="2:16" ht="13.15" customHeight="1">
      <c r="B88" s="3046"/>
      <c r="C88" s="3034" t="s">
        <v>290</v>
      </c>
      <c r="D88" s="3037"/>
      <c r="E88" s="3037"/>
      <c r="F88" s="3038"/>
      <c r="G88" s="33"/>
      <c r="H88" s="33"/>
      <c r="I88" s="33"/>
      <c r="J88" s="3046"/>
      <c r="K88" s="3046"/>
      <c r="L88" s="33"/>
      <c r="M88" s="3046"/>
      <c r="N88" s="33"/>
      <c r="O88" s="33"/>
      <c r="P88" s="33"/>
    </row>
    <row r="89" spans="2:16">
      <c r="B89" s="3046"/>
      <c r="C89" s="3034" t="s">
        <v>289</v>
      </c>
      <c r="D89" s="3037"/>
      <c r="E89" s="3037"/>
      <c r="F89" s="3038"/>
      <c r="G89" s="33"/>
      <c r="H89" s="33"/>
      <c r="I89" s="33"/>
      <c r="J89" s="3046"/>
      <c r="K89" s="3046"/>
      <c r="L89" s="33"/>
      <c r="M89" s="3046"/>
      <c r="N89" s="33"/>
      <c r="O89" s="33"/>
      <c r="P89" s="33"/>
    </row>
    <row r="90" spans="2:16" ht="13.9" customHeight="1">
      <c r="B90" s="3046"/>
      <c r="C90" s="3066" t="s">
        <v>288</v>
      </c>
      <c r="D90" s="3040"/>
      <c r="E90" s="3040"/>
      <c r="F90" s="3041"/>
      <c r="H90" s="3046"/>
      <c r="I90" s="3046"/>
      <c r="J90" s="3046"/>
      <c r="K90" s="3046"/>
      <c r="L90" s="33"/>
      <c r="M90" s="3046"/>
      <c r="N90" s="33"/>
      <c r="O90" s="33"/>
      <c r="P90" s="33"/>
    </row>
    <row r="91" spans="2:16">
      <c r="B91" s="3046"/>
      <c r="C91" s="33"/>
      <c r="D91" s="33"/>
      <c r="E91" s="33"/>
      <c r="F91" s="3046"/>
      <c r="G91" s="33"/>
      <c r="H91" s="33"/>
      <c r="I91" s="33"/>
      <c r="J91" s="3046"/>
      <c r="K91" s="3046"/>
      <c r="L91" s="33"/>
      <c r="M91" s="3046"/>
      <c r="N91" s="33"/>
      <c r="O91" s="33"/>
      <c r="P91" s="33"/>
    </row>
    <row r="92" spans="2:16" ht="13.15" customHeight="1">
      <c r="B92" s="3046"/>
      <c r="C92" s="33"/>
      <c r="D92" s="33"/>
      <c r="E92" s="33"/>
      <c r="F92" s="3046"/>
      <c r="G92" s="33"/>
      <c r="H92" s="33"/>
      <c r="I92" s="33"/>
      <c r="J92" s="3046"/>
      <c r="K92" s="3046"/>
      <c r="L92" s="33"/>
      <c r="M92" s="3046"/>
      <c r="N92" s="33"/>
      <c r="O92" s="33"/>
      <c r="P92" s="33"/>
    </row>
    <row r="93" spans="2:16">
      <c r="B93" s="3046"/>
      <c r="C93" s="33"/>
      <c r="D93" s="33"/>
      <c r="E93" s="33"/>
      <c r="F93" s="3046"/>
      <c r="G93" s="33"/>
      <c r="H93" s="33"/>
      <c r="I93" s="33"/>
      <c r="J93" s="3046"/>
      <c r="K93" s="3046"/>
      <c r="L93" s="33"/>
      <c r="M93" s="3046"/>
      <c r="N93" s="33"/>
      <c r="O93" s="33"/>
      <c r="P93" s="33"/>
    </row>
    <row r="94" spans="2:16">
      <c r="B94" s="3046"/>
      <c r="C94" s="33"/>
      <c r="D94" s="33"/>
      <c r="E94" s="33"/>
      <c r="F94" s="3046"/>
      <c r="G94" s="33"/>
      <c r="H94" s="33"/>
      <c r="I94" s="33"/>
      <c r="J94" s="3046"/>
      <c r="K94" s="3046"/>
      <c r="L94" s="33"/>
      <c r="M94" s="3046"/>
      <c r="N94" s="33"/>
      <c r="O94" s="33"/>
      <c r="P94" s="33"/>
    </row>
    <row r="95" spans="2:16">
      <c r="B95" s="3046"/>
      <c r="C95" s="33"/>
      <c r="D95" s="33"/>
      <c r="E95" s="33"/>
      <c r="F95" s="3046"/>
      <c r="G95" s="33"/>
      <c r="H95" s="33"/>
      <c r="I95" s="33"/>
      <c r="J95" s="3046"/>
      <c r="K95" s="3046"/>
      <c r="L95" s="33"/>
      <c r="M95" s="3046"/>
      <c r="N95" s="33"/>
      <c r="O95" s="33"/>
      <c r="P95" s="33"/>
    </row>
    <row r="96" spans="2:16">
      <c r="B96" s="3046"/>
      <c r="C96" s="33"/>
      <c r="D96" s="33"/>
      <c r="E96" s="33"/>
      <c r="F96" s="3046"/>
      <c r="G96" s="33"/>
      <c r="H96" s="33"/>
      <c r="I96" s="33"/>
      <c r="J96" s="3046"/>
      <c r="K96" s="3046"/>
      <c r="L96" s="33"/>
      <c r="M96" s="3046"/>
      <c r="N96" s="33"/>
      <c r="O96" s="33"/>
      <c r="P96" s="33"/>
    </row>
    <row r="97" spans="2:16">
      <c r="B97" s="3046"/>
      <c r="C97" s="33"/>
      <c r="D97" s="33"/>
      <c r="E97" s="33"/>
      <c r="F97" s="3046"/>
      <c r="G97" s="33"/>
      <c r="H97" s="33"/>
      <c r="I97" s="33"/>
      <c r="J97" s="3046"/>
      <c r="K97" s="3046"/>
      <c r="L97" s="33"/>
      <c r="M97" s="3046"/>
      <c r="N97" s="33"/>
      <c r="O97" s="33"/>
      <c r="P97" s="33"/>
    </row>
    <row r="98" spans="2:16">
      <c r="B98" s="3046"/>
      <c r="C98" s="33"/>
      <c r="D98" s="33"/>
      <c r="E98" s="33"/>
      <c r="F98" s="3046"/>
      <c r="G98" s="33"/>
      <c r="H98" s="33"/>
      <c r="I98" s="33"/>
      <c r="J98" s="3046"/>
      <c r="K98" s="3046"/>
      <c r="L98" s="33"/>
      <c r="M98" s="3046"/>
      <c r="N98" s="33"/>
      <c r="O98" s="33"/>
      <c r="P98" s="33"/>
    </row>
    <row r="99" spans="2:16">
      <c r="B99" s="3046"/>
      <c r="C99" s="33"/>
      <c r="D99" s="33"/>
      <c r="E99" s="33"/>
      <c r="F99" s="3046"/>
      <c r="G99" s="33"/>
      <c r="H99" s="33"/>
      <c r="I99" s="33"/>
      <c r="J99" s="3046"/>
      <c r="K99" s="3046"/>
      <c r="L99" s="33"/>
      <c r="M99" s="3046"/>
      <c r="N99" s="33"/>
      <c r="O99" s="33"/>
      <c r="P99" s="33"/>
    </row>
    <row r="100" spans="2:16">
      <c r="B100" s="3046"/>
      <c r="C100" s="33"/>
      <c r="D100" s="33"/>
      <c r="E100" s="33"/>
      <c r="F100" s="3046"/>
      <c r="G100" s="33"/>
      <c r="H100" s="33"/>
      <c r="I100" s="33"/>
      <c r="J100" s="3046"/>
      <c r="K100" s="3046"/>
      <c r="L100" s="33"/>
      <c r="M100" s="3046"/>
      <c r="N100" s="33"/>
      <c r="O100" s="33"/>
      <c r="P100" s="33"/>
    </row>
    <row r="101" spans="2:16">
      <c r="B101" s="33"/>
      <c r="C101" s="33"/>
      <c r="D101" s="33"/>
      <c r="E101" s="33"/>
      <c r="F101" s="3046"/>
      <c r="G101" s="33"/>
      <c r="H101" s="33"/>
      <c r="I101" s="33"/>
      <c r="J101" s="3046"/>
      <c r="K101" s="3046"/>
      <c r="L101" s="33"/>
      <c r="M101" s="3046"/>
      <c r="N101" s="33"/>
      <c r="O101" s="33"/>
      <c r="P101" s="33"/>
    </row>
    <row r="102" spans="2:16">
      <c r="B102" s="33"/>
      <c r="C102" s="33"/>
      <c r="D102" s="33"/>
      <c r="E102" s="33"/>
      <c r="F102" s="3046"/>
      <c r="G102" s="33"/>
      <c r="H102" s="33"/>
      <c r="I102" s="33"/>
      <c r="J102" s="3046"/>
      <c r="K102" s="3046"/>
      <c r="L102" s="33"/>
      <c r="M102" s="3046"/>
      <c r="N102" s="33"/>
      <c r="O102" s="33"/>
      <c r="P102" s="33"/>
    </row>
    <row r="103" spans="2:16">
      <c r="B103" s="33"/>
      <c r="C103" s="33"/>
      <c r="D103" s="33"/>
      <c r="E103" s="33"/>
      <c r="F103" s="3046"/>
      <c r="G103" s="33"/>
      <c r="H103" s="33"/>
      <c r="I103" s="33"/>
      <c r="J103" s="3046"/>
      <c r="K103" s="3046"/>
      <c r="L103" s="33"/>
      <c r="M103" s="3046"/>
      <c r="N103" s="33"/>
      <c r="O103" s="33"/>
      <c r="P103" s="33"/>
    </row>
    <row r="104" spans="2:16">
      <c r="B104" s="33"/>
      <c r="C104" s="33"/>
      <c r="D104" s="33"/>
      <c r="E104" s="33"/>
      <c r="F104" s="3046"/>
      <c r="G104" s="33"/>
      <c r="H104" s="33"/>
      <c r="I104" s="33"/>
      <c r="J104" s="3046"/>
      <c r="K104" s="3046"/>
      <c r="L104" s="33"/>
      <c r="M104" s="3046"/>
      <c r="N104" s="33"/>
      <c r="O104" s="33"/>
      <c r="P104" s="33"/>
    </row>
    <row r="105" spans="2:16">
      <c r="B105" s="33"/>
      <c r="C105" s="33"/>
      <c r="D105" s="33"/>
      <c r="E105" s="3046"/>
      <c r="F105" s="3046"/>
      <c r="G105" s="33"/>
      <c r="H105" s="33"/>
      <c r="I105" s="33"/>
      <c r="J105" s="3046"/>
      <c r="K105" s="3046"/>
      <c r="L105" s="33"/>
      <c r="M105" s="3046"/>
      <c r="N105" s="33"/>
      <c r="O105" s="33"/>
      <c r="P105" s="33"/>
    </row>
    <row r="106" spans="2:16">
      <c r="B106" s="33"/>
      <c r="C106" s="33"/>
      <c r="D106" s="33"/>
      <c r="E106" s="3046"/>
      <c r="F106" s="3046"/>
      <c r="G106" s="33"/>
      <c r="H106" s="33"/>
      <c r="I106" s="33"/>
      <c r="J106" s="3046"/>
      <c r="K106" s="3046"/>
      <c r="L106" s="33"/>
      <c r="M106" s="3046"/>
      <c r="N106" s="33"/>
      <c r="O106" s="33"/>
      <c r="P106" s="33"/>
    </row>
    <row r="107" spans="2:16">
      <c r="B107" s="33"/>
      <c r="C107" s="33"/>
      <c r="D107" s="33"/>
      <c r="E107" s="3046"/>
      <c r="F107" s="3046"/>
      <c r="G107" s="33"/>
      <c r="H107" s="33"/>
      <c r="I107" s="33"/>
      <c r="J107" s="3046"/>
      <c r="K107" s="3046"/>
      <c r="L107" s="33"/>
      <c r="M107" s="3046"/>
      <c r="N107" s="33"/>
      <c r="O107" s="33"/>
      <c r="P107" s="33"/>
    </row>
    <row r="108" spans="2:16">
      <c r="B108" s="33"/>
      <c r="C108" s="33"/>
      <c r="D108" s="33"/>
      <c r="E108" s="3046"/>
      <c r="F108" s="3046"/>
      <c r="G108" s="33"/>
      <c r="H108" s="33"/>
      <c r="I108" s="33"/>
      <c r="J108" s="3046"/>
      <c r="K108" s="3046"/>
      <c r="L108" s="33"/>
      <c r="M108" s="3046"/>
      <c r="N108" s="33"/>
      <c r="O108" s="33"/>
      <c r="P108" s="33"/>
    </row>
    <row r="109" spans="2:16">
      <c r="B109" s="33"/>
      <c r="C109" s="33"/>
      <c r="D109" s="33"/>
      <c r="E109" s="3046"/>
      <c r="F109" s="3046"/>
      <c r="G109" s="33"/>
      <c r="H109" s="33"/>
      <c r="I109" s="33"/>
      <c r="J109" s="3046"/>
      <c r="K109" s="3046"/>
      <c r="L109" s="33"/>
      <c r="M109" s="3046"/>
      <c r="N109" s="33"/>
      <c r="O109" s="33"/>
      <c r="P109" s="33"/>
    </row>
    <row r="110" spans="2:16">
      <c r="B110" s="3046"/>
      <c r="C110" s="3046"/>
      <c r="D110" s="3046"/>
      <c r="E110" s="3046"/>
      <c r="F110" s="3046"/>
      <c r="G110" s="33"/>
      <c r="H110" s="33"/>
      <c r="I110" s="33"/>
      <c r="J110" s="3046"/>
      <c r="K110" s="3046"/>
      <c r="L110" s="33"/>
      <c r="M110" s="3046"/>
      <c r="N110" s="33"/>
      <c r="O110" s="33"/>
      <c r="P110" s="33"/>
    </row>
    <row r="111" spans="2:16">
      <c r="B111" s="3046"/>
      <c r="C111" s="3046"/>
      <c r="D111" s="3046"/>
      <c r="E111" s="3046"/>
      <c r="F111" s="3046"/>
      <c r="G111" s="33"/>
      <c r="H111" s="33"/>
      <c r="I111" s="33"/>
      <c r="J111" s="3046"/>
      <c r="K111" s="3046"/>
      <c r="L111" s="33"/>
      <c r="M111" s="3046"/>
      <c r="N111" s="33"/>
      <c r="O111" s="33"/>
      <c r="P111" s="33"/>
    </row>
    <row r="112" spans="2:16">
      <c r="B112" s="3046"/>
      <c r="C112" s="3046"/>
      <c r="D112" s="3046"/>
      <c r="E112" s="3046"/>
      <c r="F112" s="3046"/>
      <c r="G112" s="33"/>
      <c r="H112" s="33"/>
      <c r="I112" s="33"/>
      <c r="J112" s="3046"/>
      <c r="K112" s="3046"/>
      <c r="L112" s="33"/>
      <c r="M112" s="3046"/>
      <c r="N112" s="33"/>
      <c r="O112" s="33"/>
      <c r="P112" s="33"/>
    </row>
    <row r="113" spans="2:16">
      <c r="B113" s="3046"/>
      <c r="C113" s="3046"/>
      <c r="D113" s="3046"/>
      <c r="E113" s="3046"/>
      <c r="F113" s="3046"/>
      <c r="G113" s="33"/>
      <c r="H113" s="33"/>
      <c r="I113" s="33"/>
      <c r="J113" s="3046"/>
      <c r="K113" s="3046"/>
      <c r="L113" s="33"/>
      <c r="M113" s="3046"/>
      <c r="N113" s="33"/>
      <c r="O113" s="33"/>
      <c r="P113" s="33"/>
    </row>
    <row r="114" spans="2:16">
      <c r="B114" s="3046"/>
      <c r="C114" s="3046"/>
      <c r="D114" s="3046"/>
      <c r="E114" s="3046"/>
      <c r="F114" s="3046"/>
      <c r="G114" s="33"/>
      <c r="H114" s="33"/>
      <c r="I114" s="33"/>
      <c r="J114" s="3046"/>
      <c r="K114" s="3046"/>
      <c r="L114" s="33"/>
      <c r="M114" s="3046"/>
      <c r="N114" s="33"/>
      <c r="O114" s="33"/>
      <c r="P114" s="33"/>
    </row>
    <row r="115" spans="2:16">
      <c r="B115" s="3046"/>
      <c r="C115" s="3046"/>
      <c r="D115" s="3046"/>
      <c r="E115" s="3046"/>
      <c r="F115" s="3046"/>
      <c r="G115" s="33"/>
      <c r="H115" s="33"/>
      <c r="I115" s="33"/>
      <c r="J115" s="3046"/>
      <c r="K115" s="3046"/>
      <c r="L115" s="33"/>
      <c r="M115" s="3046"/>
      <c r="N115" s="33"/>
      <c r="O115" s="33"/>
      <c r="P115" s="33"/>
    </row>
    <row r="116" spans="2:16">
      <c r="B116" s="3046"/>
      <c r="C116" s="3046"/>
      <c r="D116" s="3046"/>
      <c r="E116" s="3046"/>
      <c r="F116" s="3046"/>
      <c r="G116" s="33"/>
      <c r="H116" s="33"/>
      <c r="I116" s="33"/>
      <c r="J116" s="3046"/>
      <c r="K116" s="3046"/>
      <c r="L116" s="33"/>
      <c r="M116" s="3046"/>
      <c r="N116" s="33"/>
      <c r="O116" s="33"/>
      <c r="P116" s="33"/>
    </row>
    <row r="117" spans="2:16">
      <c r="B117" s="3046"/>
      <c r="C117" s="3046"/>
      <c r="D117" s="3046"/>
      <c r="E117" s="3046"/>
      <c r="F117" s="3046"/>
      <c r="G117" s="33"/>
      <c r="H117" s="33"/>
      <c r="I117" s="33"/>
      <c r="J117" s="3046"/>
      <c r="K117" s="3046"/>
      <c r="L117" s="33"/>
      <c r="M117" s="3046"/>
      <c r="N117" s="33"/>
      <c r="O117" s="33"/>
      <c r="P117" s="33"/>
    </row>
    <row r="118" spans="2:16">
      <c r="B118" s="3046"/>
      <c r="C118" s="3046"/>
      <c r="D118" s="3046"/>
      <c r="E118" s="3046"/>
      <c r="F118" s="3046"/>
      <c r="G118" s="33"/>
      <c r="H118" s="33"/>
      <c r="I118" s="33"/>
      <c r="J118" s="3046"/>
      <c r="K118" s="3046"/>
      <c r="L118" s="33"/>
      <c r="M118" s="3046"/>
      <c r="N118" s="33"/>
      <c r="O118" s="33"/>
      <c r="P118" s="33"/>
    </row>
    <row r="119" spans="2:16">
      <c r="B119" s="3046"/>
      <c r="C119" s="3046"/>
      <c r="D119" s="3046"/>
      <c r="E119" s="3046"/>
      <c r="F119" s="3046"/>
      <c r="G119" s="33"/>
      <c r="H119" s="33"/>
      <c r="I119" s="33"/>
      <c r="J119" s="3046"/>
      <c r="K119" s="3046"/>
      <c r="L119" s="33"/>
      <c r="M119" s="3046"/>
      <c r="N119" s="33"/>
      <c r="O119" s="33"/>
      <c r="P119" s="33"/>
    </row>
    <row r="120" spans="2:16">
      <c r="B120" s="600"/>
      <c r="C120" s="33"/>
      <c r="D120" s="3046"/>
      <c r="E120" s="3046"/>
      <c r="F120" s="3046"/>
      <c r="G120" s="33"/>
      <c r="H120" s="33"/>
      <c r="I120" s="33"/>
      <c r="J120" s="3046"/>
      <c r="K120" s="3046"/>
      <c r="L120" s="33"/>
      <c r="M120" s="3046"/>
      <c r="N120" s="33"/>
      <c r="O120" s="33"/>
      <c r="P120" s="33"/>
    </row>
    <row r="121" spans="2:16">
      <c r="B121" s="600"/>
      <c r="C121" s="33"/>
      <c r="D121" s="3046"/>
      <c r="E121" s="3046"/>
      <c r="F121" s="3046"/>
      <c r="G121" s="33"/>
      <c r="H121" s="33"/>
      <c r="I121" s="33"/>
      <c r="J121" s="3046"/>
      <c r="K121" s="3046"/>
      <c r="L121" s="33"/>
      <c r="M121" s="3046"/>
      <c r="N121" s="33"/>
      <c r="O121" s="33"/>
      <c r="P121" s="33"/>
    </row>
    <row r="122" spans="2:16">
      <c r="B122" s="600"/>
      <c r="C122" s="33"/>
      <c r="D122" s="3046"/>
      <c r="E122" s="3046"/>
      <c r="F122" s="3046"/>
      <c r="G122" s="33"/>
      <c r="H122" s="33"/>
      <c r="I122" s="33"/>
      <c r="J122" s="3046"/>
      <c r="K122" s="3046"/>
      <c r="L122" s="33"/>
      <c r="M122" s="3046"/>
      <c r="N122" s="33"/>
      <c r="O122" s="33"/>
      <c r="P122" s="33"/>
    </row>
    <row r="123" spans="2:16">
      <c r="B123" s="600"/>
      <c r="C123" s="33"/>
      <c r="D123" s="3046"/>
      <c r="E123" s="3046"/>
      <c r="F123" s="3046"/>
      <c r="G123" s="33"/>
      <c r="H123" s="33"/>
      <c r="I123" s="33"/>
      <c r="J123" s="3046"/>
      <c r="K123" s="3046"/>
      <c r="L123" s="33"/>
      <c r="M123" s="3046"/>
      <c r="N123" s="33"/>
      <c r="O123" s="33"/>
      <c r="P123" s="33"/>
    </row>
    <row r="124" spans="2:16">
      <c r="B124" s="600"/>
      <c r="C124" s="33"/>
      <c r="D124" s="3046"/>
      <c r="E124" s="3046"/>
      <c r="F124" s="3046"/>
      <c r="G124" s="33"/>
      <c r="H124" s="33"/>
      <c r="I124" s="33"/>
      <c r="J124" s="3046"/>
      <c r="K124" s="3046"/>
      <c r="L124" s="33"/>
      <c r="M124" s="3046"/>
      <c r="N124" s="33"/>
      <c r="O124" s="33"/>
      <c r="P124" s="33"/>
    </row>
    <row r="125" spans="2:16">
      <c r="B125" s="600"/>
      <c r="C125" s="33"/>
      <c r="D125" s="3046"/>
      <c r="E125" s="3046"/>
      <c r="F125" s="3046"/>
      <c r="G125" s="33"/>
      <c r="H125" s="33"/>
      <c r="I125" s="33"/>
      <c r="J125" s="3046"/>
      <c r="K125" s="3046"/>
      <c r="L125" s="33"/>
      <c r="M125" s="3046"/>
      <c r="N125" s="33"/>
      <c r="O125" s="33"/>
      <c r="P125" s="33"/>
    </row>
    <row r="126" spans="2:16">
      <c r="B126" s="600"/>
      <c r="C126" s="33"/>
      <c r="D126" s="3046"/>
      <c r="E126" s="3046"/>
      <c r="F126" s="3046"/>
      <c r="G126" s="33"/>
      <c r="H126" s="33"/>
      <c r="I126" s="33"/>
      <c r="J126" s="3046"/>
      <c r="K126" s="3046"/>
      <c r="L126" s="33"/>
      <c r="M126" s="3046"/>
      <c r="N126" s="33"/>
      <c r="O126" s="33"/>
      <c r="P126" s="33"/>
    </row>
    <row r="127" spans="2:16">
      <c r="B127" s="600"/>
      <c r="C127" s="33"/>
      <c r="D127" s="3046"/>
      <c r="E127" s="3046"/>
      <c r="F127" s="3046"/>
      <c r="G127" s="33"/>
      <c r="H127" s="33"/>
      <c r="I127" s="33"/>
      <c r="J127" s="3046"/>
      <c r="K127" s="3046"/>
      <c r="L127" s="33"/>
      <c r="M127" s="3046"/>
      <c r="N127" s="33"/>
      <c r="O127" s="33"/>
      <c r="P127" s="33"/>
    </row>
    <row r="128" spans="2:16">
      <c r="B128" s="600"/>
      <c r="C128" s="33"/>
      <c r="D128" s="3046"/>
      <c r="E128" s="3046"/>
      <c r="F128" s="3046"/>
      <c r="G128" s="33"/>
      <c r="H128" s="33"/>
      <c r="I128" s="33"/>
      <c r="J128" s="3046"/>
      <c r="K128" s="3046"/>
      <c r="L128" s="33"/>
      <c r="M128" s="3046"/>
      <c r="N128" s="33"/>
      <c r="O128" s="33"/>
      <c r="P128" s="33"/>
    </row>
    <row r="129" spans="2:16">
      <c r="B129" s="600"/>
      <c r="C129" s="33"/>
      <c r="D129" s="3046"/>
      <c r="E129" s="3046"/>
      <c r="F129" s="3046"/>
      <c r="G129" s="33"/>
      <c r="H129" s="33"/>
      <c r="I129" s="33"/>
      <c r="J129" s="3046"/>
      <c r="K129" s="3046"/>
      <c r="L129" s="33"/>
      <c r="M129" s="3046"/>
      <c r="N129" s="33"/>
      <c r="O129" s="33"/>
      <c r="P129" s="33"/>
    </row>
    <row r="130" spans="2:16">
      <c r="B130" s="600"/>
      <c r="C130" s="33"/>
      <c r="D130" s="3046"/>
      <c r="E130" s="3046"/>
      <c r="F130" s="3046"/>
      <c r="G130" s="33"/>
      <c r="H130" s="33"/>
      <c r="I130" s="33"/>
      <c r="J130" s="3046"/>
      <c r="K130" s="3046"/>
      <c r="L130" s="33"/>
      <c r="M130" s="3046"/>
      <c r="N130" s="33"/>
      <c r="O130" s="33"/>
      <c r="P130" s="33"/>
    </row>
    <row r="131" spans="2:16">
      <c r="B131" s="600"/>
      <c r="C131" s="33"/>
      <c r="D131" s="3046"/>
      <c r="E131" s="3046"/>
      <c r="F131" s="3046"/>
      <c r="G131" s="33"/>
      <c r="H131" s="33"/>
      <c r="I131" s="33"/>
      <c r="J131" s="3046"/>
      <c r="K131" s="3046"/>
      <c r="L131" s="33"/>
      <c r="M131" s="3046"/>
      <c r="N131" s="33"/>
      <c r="O131" s="33"/>
      <c r="P131" s="33"/>
    </row>
    <row r="132" spans="2:16">
      <c r="B132" s="600"/>
      <c r="C132" s="33"/>
      <c r="D132" s="3046"/>
      <c r="E132" s="3046"/>
      <c r="F132" s="3046"/>
      <c r="G132" s="33"/>
      <c r="H132" s="33"/>
      <c r="I132" s="33"/>
      <c r="J132" s="3046"/>
      <c r="K132" s="3046"/>
      <c r="L132" s="33"/>
      <c r="M132" s="3046"/>
      <c r="N132" s="33"/>
      <c r="O132" s="33"/>
      <c r="P132" s="33"/>
    </row>
    <row r="133" spans="2:16">
      <c r="B133" s="600"/>
      <c r="C133" s="33"/>
      <c r="D133" s="3046"/>
      <c r="E133" s="3046"/>
      <c r="F133" s="3046"/>
      <c r="G133" s="33"/>
      <c r="H133" s="33"/>
      <c r="I133" s="33"/>
      <c r="J133" s="3046"/>
      <c r="K133" s="3046"/>
      <c r="L133" s="33"/>
      <c r="M133" s="3046"/>
      <c r="N133" s="33"/>
      <c r="O133" s="33"/>
      <c r="P133" s="33"/>
    </row>
    <row r="134" spans="2:16">
      <c r="B134" s="600"/>
      <c r="C134" s="33"/>
      <c r="D134" s="3046"/>
      <c r="E134" s="3046"/>
      <c r="F134" s="3046"/>
      <c r="G134" s="33"/>
      <c r="H134" s="33"/>
      <c r="I134" s="33"/>
      <c r="J134" s="3046"/>
      <c r="K134" s="3046"/>
      <c r="L134" s="33"/>
      <c r="M134" s="3046"/>
      <c r="N134" s="33"/>
      <c r="O134" s="33"/>
      <c r="P134" s="33"/>
    </row>
    <row r="135" spans="2:16">
      <c r="B135" s="600"/>
      <c r="C135" s="33"/>
      <c r="D135" s="3046"/>
      <c r="E135" s="3046"/>
      <c r="F135" s="3046"/>
      <c r="G135" s="33"/>
      <c r="H135" s="33"/>
      <c r="I135" s="33"/>
      <c r="J135" s="3046"/>
      <c r="K135" s="3046"/>
      <c r="L135" s="33"/>
      <c r="M135" s="3046"/>
      <c r="N135" s="33"/>
      <c r="O135" s="33"/>
      <c r="P135" s="33"/>
    </row>
    <row r="136" spans="2:16">
      <c r="B136" s="600"/>
      <c r="C136" s="33"/>
      <c r="D136" s="3046"/>
      <c r="E136" s="3046"/>
      <c r="F136" s="3046"/>
      <c r="G136" s="33"/>
      <c r="H136" s="33"/>
      <c r="I136" s="33"/>
      <c r="J136" s="3046"/>
      <c r="K136" s="3046"/>
      <c r="L136" s="33"/>
      <c r="M136" s="3046"/>
      <c r="N136" s="33"/>
      <c r="O136" s="33"/>
      <c r="P136" s="33"/>
    </row>
    <row r="137" spans="2:16">
      <c r="B137" s="600"/>
      <c r="C137" s="33"/>
      <c r="D137" s="3046"/>
      <c r="E137" s="3046"/>
      <c r="F137" s="3046"/>
      <c r="G137" s="33"/>
      <c r="H137" s="33"/>
      <c r="I137" s="33"/>
      <c r="J137" s="3046"/>
      <c r="K137" s="3046"/>
      <c r="L137" s="33"/>
      <c r="M137" s="3046"/>
      <c r="N137" s="33"/>
      <c r="O137" s="33"/>
      <c r="P137" s="33"/>
    </row>
    <row r="138" spans="2:16">
      <c r="B138" s="600"/>
      <c r="C138" s="33"/>
      <c r="D138" s="3046"/>
      <c r="E138" s="3046"/>
      <c r="F138" s="3046"/>
      <c r="G138" s="33"/>
      <c r="H138" s="33"/>
      <c r="I138" s="33"/>
      <c r="J138" s="3046"/>
      <c r="K138" s="3046"/>
      <c r="L138" s="33"/>
      <c r="M138" s="3046"/>
      <c r="N138" s="33"/>
      <c r="O138" s="33"/>
      <c r="P138" s="33"/>
    </row>
    <row r="139" spans="2:16">
      <c r="B139" s="600"/>
      <c r="C139" s="33"/>
      <c r="D139" s="3046"/>
      <c r="E139" s="3046"/>
      <c r="F139" s="3046"/>
      <c r="G139" s="33"/>
      <c r="H139" s="33"/>
      <c r="I139" s="33"/>
      <c r="J139" s="3046"/>
      <c r="K139" s="3046"/>
      <c r="L139" s="33"/>
      <c r="M139" s="3046"/>
      <c r="N139" s="33"/>
      <c r="O139" s="33"/>
      <c r="P139" s="33"/>
    </row>
    <row r="140" spans="2:16">
      <c r="B140" s="600"/>
      <c r="C140" s="33"/>
      <c r="D140" s="3046"/>
      <c r="E140" s="3046"/>
      <c r="F140" s="3046"/>
      <c r="G140" s="33"/>
      <c r="H140" s="33"/>
      <c r="I140" s="33"/>
      <c r="J140" s="3046"/>
      <c r="K140" s="3046"/>
      <c r="L140" s="33"/>
      <c r="M140" s="3046"/>
      <c r="N140" s="33"/>
      <c r="O140" s="33"/>
      <c r="P140" s="33"/>
    </row>
    <row r="141" spans="2:16">
      <c r="B141" s="600"/>
      <c r="C141" s="33"/>
      <c r="D141" s="3046"/>
      <c r="E141" s="3046"/>
      <c r="F141" s="3046"/>
      <c r="G141" s="33"/>
      <c r="H141" s="33"/>
      <c r="I141" s="33"/>
      <c r="J141" s="3046"/>
      <c r="K141" s="3046"/>
      <c r="L141" s="33"/>
      <c r="M141" s="3046"/>
      <c r="N141" s="33"/>
      <c r="O141" s="33"/>
      <c r="P141" s="33"/>
    </row>
    <row r="142" spans="2:16">
      <c r="B142" s="600"/>
      <c r="C142" s="33"/>
      <c r="D142" s="3046"/>
      <c r="E142" s="3046"/>
      <c r="F142" s="3046"/>
      <c r="G142" s="33"/>
      <c r="H142" s="33"/>
      <c r="I142" s="33"/>
      <c r="J142" s="3046"/>
      <c r="K142" s="3046"/>
      <c r="L142" s="33"/>
      <c r="M142" s="3046"/>
      <c r="N142" s="33"/>
      <c r="O142" s="33"/>
      <c r="P142" s="33"/>
    </row>
    <row r="143" spans="2:16">
      <c r="B143" s="600"/>
      <c r="C143" s="33"/>
      <c r="D143" s="3046"/>
      <c r="E143" s="3046"/>
      <c r="F143" s="3046"/>
      <c r="G143" s="33"/>
      <c r="H143" s="33"/>
      <c r="I143" s="33"/>
      <c r="J143" s="3046"/>
      <c r="K143" s="3046"/>
      <c r="L143" s="33"/>
      <c r="M143" s="3046"/>
      <c r="N143" s="33"/>
      <c r="O143" s="33"/>
      <c r="P143" s="33"/>
    </row>
    <row r="144" spans="2:16">
      <c r="B144" s="600"/>
      <c r="C144" s="33"/>
      <c r="D144" s="3046"/>
      <c r="E144" s="3046"/>
      <c r="F144" s="3046"/>
      <c r="G144" s="33"/>
      <c r="H144" s="33"/>
      <c r="I144" s="33"/>
      <c r="J144" s="3046"/>
      <c r="K144" s="3046"/>
      <c r="L144" s="33"/>
      <c r="M144" s="3046"/>
      <c r="N144" s="33"/>
      <c r="O144" s="33"/>
      <c r="P144" s="33"/>
    </row>
    <row r="145" spans="2:16">
      <c r="B145" s="600"/>
      <c r="C145" s="33"/>
      <c r="D145" s="3046"/>
      <c r="E145" s="3046"/>
      <c r="F145" s="3046"/>
      <c r="G145" s="33"/>
      <c r="H145" s="33"/>
      <c r="I145" s="33"/>
      <c r="J145" s="3046"/>
      <c r="K145" s="3046"/>
      <c r="L145" s="33"/>
      <c r="M145" s="3046"/>
      <c r="N145" s="33"/>
      <c r="O145" s="33"/>
      <c r="P145" s="33"/>
    </row>
    <row r="146" spans="2:16">
      <c r="B146" s="600"/>
      <c r="C146" s="33"/>
      <c r="D146" s="3046"/>
      <c r="E146" s="3046"/>
      <c r="F146" s="3046"/>
      <c r="G146" s="33"/>
      <c r="H146" s="33"/>
      <c r="I146" s="33"/>
      <c r="J146" s="3046"/>
      <c r="K146" s="3046"/>
      <c r="L146" s="33"/>
      <c r="M146" s="3046"/>
      <c r="N146" s="33"/>
      <c r="O146" s="33"/>
      <c r="P146" s="33"/>
    </row>
    <row r="147" spans="2:16">
      <c r="B147" s="600"/>
      <c r="C147" s="33"/>
      <c r="D147" s="3046"/>
      <c r="E147" s="3046"/>
      <c r="F147" s="3046"/>
      <c r="G147" s="33"/>
      <c r="H147" s="33"/>
      <c r="I147" s="33"/>
      <c r="J147" s="3046"/>
      <c r="K147" s="3046"/>
      <c r="L147" s="33"/>
      <c r="M147" s="3046"/>
      <c r="N147" s="33"/>
      <c r="O147" s="33"/>
      <c r="P147" s="33"/>
    </row>
    <row r="148" spans="2:16">
      <c r="B148" s="600"/>
      <c r="C148" s="33"/>
      <c r="D148" s="3046"/>
      <c r="E148" s="3046"/>
      <c r="F148" s="3046"/>
      <c r="G148" s="33"/>
      <c r="H148" s="33"/>
      <c r="I148" s="33"/>
      <c r="J148" s="3046"/>
      <c r="K148" s="3046"/>
      <c r="L148" s="33"/>
      <c r="M148" s="3046"/>
      <c r="N148" s="33"/>
      <c r="O148" s="33"/>
      <c r="P148" s="33"/>
    </row>
    <row r="149" spans="2:16">
      <c r="B149" s="600"/>
      <c r="C149" s="33"/>
      <c r="D149" s="3046"/>
      <c r="E149" s="3046"/>
      <c r="F149" s="3046"/>
      <c r="G149" s="33"/>
      <c r="H149" s="33"/>
      <c r="I149" s="33"/>
      <c r="J149" s="3046"/>
      <c r="K149" s="3046"/>
      <c r="L149" s="3046"/>
      <c r="M149" s="3046"/>
      <c r="N149" s="33"/>
      <c r="O149" s="33"/>
      <c r="P149" s="33"/>
    </row>
    <row r="150" spans="2:16">
      <c r="B150" s="600"/>
      <c r="C150" s="33"/>
      <c r="G150" s="33"/>
      <c r="H150" s="33"/>
      <c r="I150" s="33"/>
      <c r="N150" s="33"/>
      <c r="O150" s="33"/>
      <c r="P150" s="33"/>
    </row>
    <row r="151" spans="2:16">
      <c r="B151" s="600"/>
      <c r="C151" s="33"/>
      <c r="G151" s="33"/>
      <c r="H151" s="33"/>
      <c r="I151" s="33"/>
      <c r="N151" s="33"/>
      <c r="O151" s="33"/>
      <c r="P151" s="33"/>
    </row>
    <row r="152" spans="2:16">
      <c r="B152" s="600"/>
      <c r="C152" s="33"/>
      <c r="G152" s="33"/>
      <c r="H152" s="33"/>
      <c r="I152" s="33"/>
      <c r="N152" s="33"/>
      <c r="O152" s="33"/>
      <c r="P152" s="33"/>
    </row>
    <row r="153" spans="2:16">
      <c r="B153" s="600"/>
      <c r="C153" s="33"/>
      <c r="G153" s="33"/>
      <c r="H153" s="33"/>
      <c r="I153" s="33"/>
      <c r="N153" s="33"/>
      <c r="O153" s="33"/>
      <c r="P153" s="33"/>
    </row>
    <row r="154" spans="2:16">
      <c r="B154" s="600"/>
      <c r="C154" s="33"/>
      <c r="D154" s="33"/>
      <c r="F154" s="33"/>
      <c r="G154" s="33"/>
      <c r="H154" s="33"/>
      <c r="I154" s="33"/>
      <c r="J154" s="33"/>
      <c r="K154" s="33"/>
      <c r="N154" s="33"/>
      <c r="O154" s="33"/>
      <c r="P154" s="33"/>
    </row>
    <row r="155" spans="2:16">
      <c r="B155" s="600"/>
      <c r="C155" s="33"/>
      <c r="D155" s="33"/>
      <c r="F155" s="33"/>
      <c r="G155" s="33"/>
      <c r="H155" s="33"/>
      <c r="I155" s="33"/>
      <c r="J155" s="33"/>
      <c r="K155" s="33"/>
      <c r="N155" s="33"/>
      <c r="O155" s="33"/>
      <c r="P155" s="33"/>
    </row>
    <row r="156" spans="2:16">
      <c r="B156" s="600"/>
      <c r="C156" s="33"/>
      <c r="D156" s="33"/>
      <c r="F156" s="33"/>
      <c r="G156" s="33"/>
      <c r="H156" s="33"/>
      <c r="I156" s="33"/>
      <c r="J156" s="33"/>
      <c r="K156" s="33"/>
      <c r="N156" s="33"/>
      <c r="O156" s="33"/>
      <c r="P156" s="33"/>
    </row>
    <row r="157" spans="2:16">
      <c r="B157" s="600"/>
      <c r="C157" s="33"/>
      <c r="G157" s="33"/>
      <c r="H157" s="33"/>
      <c r="I157" s="33"/>
      <c r="N157" s="33"/>
      <c r="O157" s="33"/>
      <c r="P157" s="33"/>
    </row>
    <row r="158" spans="2:16">
      <c r="B158" s="600"/>
      <c r="C158" s="33"/>
      <c r="N158" s="33"/>
      <c r="O158" s="33"/>
      <c r="P158" s="33"/>
    </row>
    <row r="159" spans="2:16">
      <c r="B159" s="600"/>
      <c r="C159" s="33"/>
      <c r="N159" s="33"/>
      <c r="O159" s="33"/>
      <c r="P159" s="33"/>
    </row>
    <row r="160" spans="2:16">
      <c r="B160" s="600"/>
      <c r="C160" s="33"/>
      <c r="N160" s="33"/>
      <c r="O160" s="33"/>
      <c r="P160" s="33"/>
    </row>
    <row r="161" spans="2:16">
      <c r="B161" s="600"/>
      <c r="C161" s="33"/>
      <c r="N161" s="33"/>
      <c r="O161" s="33"/>
      <c r="P161" s="33"/>
    </row>
    <row r="162" spans="2:16">
      <c r="B162" s="600"/>
      <c r="C162" s="33"/>
    </row>
    <row r="163" spans="2:16">
      <c r="B163" s="600"/>
      <c r="C163" s="33"/>
    </row>
    <row r="164" spans="2:16">
      <c r="B164" s="600"/>
      <c r="C164" s="33"/>
    </row>
    <row r="165" spans="2:16">
      <c r="B165" s="600"/>
      <c r="C165" s="33"/>
    </row>
    <row r="166" spans="2:16">
      <c r="B166" s="600"/>
      <c r="C166" s="33"/>
    </row>
    <row r="167" spans="2:16">
      <c r="B167" s="600"/>
      <c r="C167" s="33"/>
    </row>
    <row r="168" spans="2:16">
      <c r="B168" s="600"/>
      <c r="C168" s="33"/>
    </row>
    <row r="169" spans="2:16">
      <c r="B169" s="600"/>
      <c r="C169" s="33"/>
    </row>
    <row r="170" spans="2:16">
      <c r="B170" s="600"/>
      <c r="C170" s="33"/>
    </row>
    <row r="171" spans="2:16">
      <c r="B171" s="600"/>
      <c r="C171" s="33"/>
    </row>
    <row r="172" spans="2:16">
      <c r="B172" s="600"/>
      <c r="C172" s="33"/>
    </row>
    <row r="173" spans="2:16">
      <c r="B173" s="600"/>
      <c r="C173" s="33"/>
    </row>
    <row r="174" spans="2:16">
      <c r="B174" s="600"/>
      <c r="C174" s="33"/>
    </row>
    <row r="175" spans="2:16">
      <c r="B175" s="600"/>
      <c r="C175" s="33"/>
    </row>
    <row r="176" spans="2:16">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20:F20"/>
    <mergeCell ref="C21:F21"/>
    <mergeCell ref="C78:F78"/>
    <mergeCell ref="C79:F79"/>
    <mergeCell ref="G1:I1"/>
    <mergeCell ref="H6:I6"/>
    <mergeCell ref="E4:I4"/>
    <mergeCell ref="E10:F10"/>
    <mergeCell ref="C14:F14"/>
    <mergeCell ref="C15:F15"/>
    <mergeCell ref="C16:F16"/>
    <mergeCell ref="C17:F17"/>
    <mergeCell ref="C19:F19"/>
    <mergeCell ref="F23:G23"/>
    <mergeCell ref="D25:E25"/>
    <mergeCell ref="D26:E26"/>
    <mergeCell ref="E22:G22"/>
    <mergeCell ref="C63:E63"/>
    <mergeCell ref="C68:E68"/>
    <mergeCell ref="C40:E40"/>
    <mergeCell ref="C41:E41"/>
    <mergeCell ref="C46:D46"/>
    <mergeCell ref="F34:G34"/>
    <mergeCell ref="C42:E42"/>
    <mergeCell ref="C57:D57"/>
    <mergeCell ref="C54:D54"/>
    <mergeCell ref="C56:D56"/>
    <mergeCell ref="C49:D49"/>
    <mergeCell ref="C50:D50"/>
    <mergeCell ref="C47:D47"/>
    <mergeCell ref="C53:D53"/>
    <mergeCell ref="C51:D51"/>
    <mergeCell ref="N6:O6"/>
    <mergeCell ref="N1:O1"/>
    <mergeCell ref="K2:P2"/>
    <mergeCell ref="J3:L3"/>
    <mergeCell ref="N3:O4"/>
    <mergeCell ref="J4:L4"/>
    <mergeCell ref="K6:L6"/>
    <mergeCell ref="K1:L1"/>
    <mergeCell ref="C36:E36"/>
    <mergeCell ref="C37:E37"/>
    <mergeCell ref="B75:C75"/>
    <mergeCell ref="C64:E64"/>
    <mergeCell ref="C62:E62"/>
    <mergeCell ref="C73:E73"/>
    <mergeCell ref="C74:E74"/>
    <mergeCell ref="C52:D52"/>
    <mergeCell ref="C39:E39"/>
    <mergeCell ref="C55:D55"/>
    <mergeCell ref="C48:D48"/>
    <mergeCell ref="C38:E38"/>
  </mergeCells>
  <dataValidations count="8">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allowBlank="1" showInputMessage="1" showErrorMessage="1" errorTitle="Arbeitsgänge" error="Bitte aus Dropdownliste auswählen." sqref="D44:D45 C45"/>
    <dataValidation type="list" allowBlank="1" showInputMessage="1" showErrorMessage="1" errorTitle="Organisationsabh. Ausgleichsl." error="Bitte aus Dropdownliste auswählen." sqref="C18:F18">
      <formula1>$G$80:$G$81</formula1>
    </dataValidation>
    <dataValidation type="list" allowBlank="1" showInputMessage="1" showErrorMessage="1" errorTitle="Pflanzenschutzmittel" error="Bitte aus Dropdownliste auswählen." sqref="C38:E39">
      <formula1>$C$122:$C$149</formula1>
    </dataValidation>
    <dataValidation type="list" allowBlank="1" showInputMessage="1" showErrorMessage="1" errorTitle="Pflanzenschutzmittel" error="Bitte aus Dropdownliste auswählen." sqref="C40:E41">
      <formula1>$E$121:$E$201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Gmünd&amp;C16&amp;R&amp;11&amp;F</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errorTitle="Pflanzenschutzmittel" error="Bitte aus Dropdownliste auswählen.">
          <x14:formula1>
            <xm:f>SDÖ5!$C$5:$C$33</xm:f>
          </x14:formula1>
          <xm:sqref>C36:E37 C42:E42 C5</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SDÖ3!$C$24:$C$99</xm:f>
          </x14:formula1>
          <xm:sqref>C57:D57</xm:sqref>
        </x14:dataValidation>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32" width="0" style="31" hidden="1" customWidth="1"/>
    <col min="33" max="16384" width="10.5" style="31"/>
  </cols>
  <sheetData>
    <row r="1" spans="1:41" s="274" customFormat="1" ht="30.2" customHeight="1">
      <c r="A1" s="2475">
        <f>IF(OR($C1=0,$J$6=0),0,VLOOKUP($C1,'SD2'!$C$59:$N$74,12,FALSE))</f>
        <v>0</v>
      </c>
      <c r="B1" s="319"/>
      <c r="C1" s="1876"/>
      <c r="D1" s="136"/>
      <c r="E1" s="316"/>
      <c r="F1" s="316"/>
      <c r="G1" s="4933" t="s">
        <v>1636</v>
      </c>
      <c r="H1" s="4933"/>
      <c r="I1" s="4933"/>
      <c r="J1" s="1874">
        <f>(J7+J13+J18+J22+I11+I12)-(J23+J27+J34+J43+J60+J65+J67+J69+J71+J75)</f>
        <v>828.61715816144567</v>
      </c>
      <c r="K1" s="4855">
        <f>M1-J1</f>
        <v>121.57704166666667</v>
      </c>
      <c r="L1" s="4855"/>
      <c r="M1" s="1874">
        <f>(M7+M13+M18+M22+L11+L12)-(M23+M27+M34+M43+M60+M65+M67+M69+M71+M75)</f>
        <v>950.19419982811235</v>
      </c>
      <c r="N1" s="4855">
        <f>P1-M1</f>
        <v>121.57704166666679</v>
      </c>
      <c r="O1" s="4855"/>
      <c r="P1" s="1874">
        <f>(P7+P13+P18+P22+O11+O12)-(P23+P27+P34+P43+P60+P65+P67+P69+P71+P75)</f>
        <v>1071.7712414947791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1638</v>
      </c>
      <c r="L2" s="4867"/>
      <c r="M2" s="4867"/>
      <c r="N2" s="4867"/>
      <c r="O2" s="4867"/>
      <c r="P2" s="4867"/>
      <c r="Q2" s="2475"/>
    </row>
    <row r="3" spans="1:41" s="274" customFormat="1" ht="21.75" customHeight="1">
      <c r="A3" s="2475"/>
      <c r="B3" s="1871" t="s">
        <v>1635</v>
      </c>
      <c r="G3" s="1859"/>
      <c r="H3" s="1870"/>
      <c r="J3" s="4863"/>
      <c r="K3" s="4937"/>
      <c r="L3" s="4937"/>
      <c r="M3" s="33"/>
      <c r="N3" s="4934" t="str">
        <f>IF(AND(T3=TRUE,T4=TRUE),"nur 1 Strohnutzung möglich","")</f>
        <v/>
      </c>
      <c r="O3" s="4869"/>
      <c r="P3" s="1868"/>
      <c r="Q3" s="2475"/>
      <c r="T3" s="1886" t="b">
        <v>0</v>
      </c>
    </row>
    <row r="4" spans="1:41" s="274" customFormat="1" ht="20.25" customHeight="1">
      <c r="A4" s="2475"/>
      <c r="B4" s="370" t="s">
        <v>1098</v>
      </c>
      <c r="C4" s="31"/>
      <c r="D4" s="31"/>
      <c r="E4" s="4898" t="s">
        <v>1988</v>
      </c>
      <c r="F4" s="4898"/>
      <c r="G4" s="4898"/>
      <c r="H4" s="4898"/>
      <c r="I4" s="4898"/>
      <c r="J4" s="4863"/>
      <c r="K4" s="4937"/>
      <c r="L4" s="4937"/>
      <c r="M4" s="33"/>
      <c r="N4" s="4869"/>
      <c r="O4" s="4869"/>
      <c r="P4" s="1864">
        <f>SDÖ1!O3</f>
        <v>0</v>
      </c>
      <c r="Q4" s="2475"/>
      <c r="T4" s="1886" t="b">
        <v>0</v>
      </c>
    </row>
    <row r="5" spans="1:41" ht="6" customHeight="1"/>
    <row r="6" spans="1:41" s="1853" customFormat="1" ht="24" customHeight="1">
      <c r="A6" s="48"/>
      <c r="B6" s="1858" t="s">
        <v>1151</v>
      </c>
      <c r="C6" s="1857"/>
      <c r="D6" s="1857"/>
      <c r="E6" s="1857" t="s">
        <v>1634</v>
      </c>
      <c r="F6" s="1857"/>
      <c r="G6" s="1856"/>
      <c r="H6" s="4861" t="s">
        <v>179</v>
      </c>
      <c r="I6" s="4862"/>
      <c r="J6" s="1855">
        <v>350</v>
      </c>
      <c r="K6" s="4874" t="s">
        <v>152</v>
      </c>
      <c r="L6" s="4875"/>
      <c r="M6" s="1855">
        <v>450</v>
      </c>
      <c r="N6" s="4861" t="s">
        <v>178</v>
      </c>
      <c r="O6" s="4862"/>
      <c r="P6" s="1854">
        <v>550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c r="G9" s="1762"/>
      <c r="H9" s="1845">
        <f>J6-H10</f>
        <v>350</v>
      </c>
      <c r="I9" s="1841">
        <f>H9*G9</f>
        <v>0</v>
      </c>
      <c r="J9" s="43"/>
      <c r="K9" s="1844">
        <f>M6-K10</f>
        <v>450</v>
      </c>
      <c r="L9" s="1843">
        <f>K9*G9</f>
        <v>0</v>
      </c>
      <c r="M9" s="1822"/>
      <c r="N9" s="1842">
        <f>P6-N10</f>
        <v>550</v>
      </c>
      <c r="O9" s="1841">
        <f>N9*G9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t="s">
        <v>2045</v>
      </c>
      <c r="D15" s="4860"/>
      <c r="E15" s="4860"/>
      <c r="F15" s="4860"/>
      <c r="G15" s="1805"/>
      <c r="H15" s="1804" t="s">
        <v>1241</v>
      </c>
      <c r="I15" s="1785">
        <f>IF(H15="ja",Q15,0)</f>
        <v>100</v>
      </c>
      <c r="J15" s="45"/>
      <c r="K15" s="1804" t="s">
        <v>1241</v>
      </c>
      <c r="L15" s="1639">
        <f>IF(K15="ja",Q15,0)</f>
        <v>100</v>
      </c>
      <c r="M15" s="1557"/>
      <c r="N15" s="1804"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c r="H19" s="1786"/>
      <c r="I19" s="3909">
        <f>IF(OR($C19=0,$J$6=0),0,VLOOKUP($C19,'SD2'!C59:N75,12,FALSE))</f>
        <v>158</v>
      </c>
      <c r="J19" s="45"/>
      <c r="K19" s="1787"/>
      <c r="L19" s="1639">
        <f>IF(OR($C19=0,$M$6=0),0,VLOOKUP($C19,'SD2'!$C$59:$N$75,12,FALSE))</f>
        <v>158</v>
      </c>
      <c r="M19" s="1557"/>
      <c r="N19" s="1786"/>
      <c r="O19" s="1785">
        <f>IF(OR($C19=0,$P$6=0),0,VLOOKUP($C19,'SD2'!C59:N75,12,FALSE))</f>
        <v>158</v>
      </c>
      <c r="P19" s="1554"/>
      <c r="R19" s="1784">
        <f>J13+J18</f>
        <v>695.4</v>
      </c>
      <c r="S19" s="1784">
        <f>M13+M18</f>
        <v>695.4</v>
      </c>
      <c r="T19" s="1784">
        <f>P13+P18</f>
        <v>695.4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75"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82.5</v>
      </c>
      <c r="K23" s="1587"/>
      <c r="L23" s="1586"/>
      <c r="M23" s="1768">
        <f>SUM(L25:L26)</f>
        <v>82.5</v>
      </c>
      <c r="N23" s="1584"/>
      <c r="O23" s="1583"/>
      <c r="P23" s="1567">
        <f>SUM(O25:O26)</f>
        <v>82.5</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5.5</v>
      </c>
      <c r="G25" s="1762">
        <f>F25*(100+$D$24)/100</f>
        <v>5.5</v>
      </c>
      <c r="H25" s="1761">
        <v>15</v>
      </c>
      <c r="I25" s="1722">
        <f>H25*$G25</f>
        <v>82.5</v>
      </c>
      <c r="J25" s="45"/>
      <c r="K25" s="1761">
        <f>H25</f>
        <v>15</v>
      </c>
      <c r="L25" s="1564">
        <f>K25*$G25</f>
        <v>82.5</v>
      </c>
      <c r="M25" s="1557"/>
      <c r="N25" s="1761">
        <f>H25</f>
        <v>15</v>
      </c>
      <c r="O25" s="1722">
        <f>N25*$G25</f>
        <v>82.5</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-333.21250000000003</v>
      </c>
      <c r="K27" s="1716"/>
      <c r="L27" s="1715"/>
      <c r="M27" s="1585">
        <f>SUM(L30:L33)</f>
        <v>-453.38749999999999</v>
      </c>
      <c r="N27" s="1714"/>
      <c r="O27" s="1713"/>
      <c r="P27" s="1582">
        <f>SUM(O30:O33)</f>
        <v>-573.5625</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VLOOKUP($K$2,'SD8'!$B$9:$K$44,3,FALSE)</f>
        <v>-1.375</v>
      </c>
      <c r="F30" s="1742"/>
      <c r="G30" s="1741">
        <v>20</v>
      </c>
      <c r="H30" s="1739">
        <f>IF(J$6=0,0,(J$6*0.2*$E30+$G30+X13))</f>
        <v>-76.25</v>
      </c>
      <c r="I30" s="1722">
        <f>H30*$D30</f>
        <v>-333.21250000000003</v>
      </c>
      <c r="J30" s="45"/>
      <c r="K30" s="1740">
        <f>IF(M$6=0,0,(M$6*0.2*$E30+$G30+AA13))</f>
        <v>-103.75</v>
      </c>
      <c r="L30" s="1564">
        <f>K30*$D30</f>
        <v>-453.38749999999999</v>
      </c>
      <c r="M30" s="1557"/>
      <c r="N30" s="1739">
        <f>IF(P$6=0,0,(P$6*0.2*$E30+$G30+AD13))</f>
        <v>-131.25</v>
      </c>
      <c r="O30" s="1722">
        <f>N30*$D30</f>
        <v>-573.5625</v>
      </c>
      <c r="P30" s="1686"/>
      <c r="Q30" s="32"/>
    </row>
    <row r="31" spans="1:20" s="42" customFormat="1" ht="15" customHeight="1">
      <c r="A31" s="1284"/>
      <c r="B31" s="272"/>
      <c r="C31" s="1284" t="s">
        <v>244</v>
      </c>
      <c r="D31" s="1691">
        <f>IF(SDÖ1!$U$17=TRUE,SDÖ1!O56,0)</f>
        <v>1.3740000000000001</v>
      </c>
      <c r="E31" s="1742">
        <v>0</v>
      </c>
      <c r="F31" s="1742"/>
      <c r="G31" s="1741"/>
      <c r="H31" s="1739">
        <f>IF(J$6=0,0,(J$6*0.2*$E31+$G31+X14))</f>
        <v>0</v>
      </c>
      <c r="I31" s="1722">
        <f>H31*$D31</f>
        <v>0</v>
      </c>
      <c r="J31" s="45"/>
      <c r="K31" s="1740">
        <f>IF(M$6=0,0,(M$6*0.2*$E31+$G31+AA14))</f>
        <v>0</v>
      </c>
      <c r="L31" s="1564">
        <f>K31*$D31</f>
        <v>0</v>
      </c>
      <c r="M31" s="1557"/>
      <c r="N31" s="1739">
        <f>IF(P$6=0,0,(P$6*0.2*$E31+$G31+AD14))</f>
        <v>0</v>
      </c>
      <c r="O31" s="1722">
        <f>N31*$D31</f>
        <v>0</v>
      </c>
      <c r="P31" s="1686"/>
      <c r="Q31" s="32"/>
    </row>
    <row r="32" spans="1:20" s="686" customFormat="1" ht="18.75" customHeight="1">
      <c r="A32" s="1248"/>
      <c r="B32" s="272"/>
      <c r="C32" s="1284" t="s">
        <v>242</v>
      </c>
      <c r="D32" s="1691">
        <f>IF(SDÖ1!$U$17=TRUE,SDÖ1!O57,0)</f>
        <v>1.35</v>
      </c>
      <c r="E32" s="1742">
        <v>0</v>
      </c>
      <c r="F32" s="1742"/>
      <c r="G32" s="1741"/>
      <c r="H32" s="1739">
        <f>IF(J$6=0,0,(J$6*0.2*$E32+$G32+X15))</f>
        <v>0</v>
      </c>
      <c r="I32" s="1722">
        <f>H32*$D32</f>
        <v>0</v>
      </c>
      <c r="J32" s="45"/>
      <c r="K32" s="1740">
        <f>IF(M$6=0,0,(M$6*0.2*$E32+$G32+AA15))</f>
        <v>0</v>
      </c>
      <c r="L32" s="1564">
        <f>K32*$D32</f>
        <v>0</v>
      </c>
      <c r="M32" s="1557"/>
      <c r="N32" s="1739">
        <f>IF(P$6=0,0,(P$6*0.2*$E32+$G32+AD15))</f>
        <v>0</v>
      </c>
      <c r="O32" s="1722">
        <f>N32*$D32</f>
        <v>0</v>
      </c>
      <c r="P32" s="1686"/>
      <c r="Q32" s="32"/>
    </row>
    <row r="33" spans="1:17" s="686" customFormat="1" ht="13.15" customHeight="1">
      <c r="A33" s="1248"/>
      <c r="B33" s="239"/>
      <c r="C33" s="1309" t="s">
        <v>240</v>
      </c>
      <c r="D33" s="1674">
        <f>IF(SDÖ1!$U$17=TRUE,SDÖ1!O58,0)</f>
        <v>0.5</v>
      </c>
      <c r="E33" s="3591">
        <v>0</v>
      </c>
      <c r="F33" s="1738"/>
      <c r="G33" s="1737"/>
      <c r="H33" s="1739">
        <f>IF(J$6=0,0,(J$6*0.2*$E33+$G33+X16))</f>
        <v>0</v>
      </c>
      <c r="I33" s="1718">
        <f>H33*$D33</f>
        <v>0</v>
      </c>
      <c r="J33" s="45"/>
      <c r="K33" s="1736">
        <f>IF(M$6=0,0,(M$6*0.2*$E33+$G33+AA16))</f>
        <v>0</v>
      </c>
      <c r="L33" s="1558">
        <f>K33*$D33</f>
        <v>0</v>
      </c>
      <c r="M33" s="1557"/>
      <c r="N33" s="1735">
        <f>IF(P$6=0,0,(P$6*0.2*$E33+$G33+AD16))</f>
        <v>0</v>
      </c>
      <c r="O33" s="1718">
        <f>N33*$D33</f>
        <v>0</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v>0</v>
      </c>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119.03161878605039</v>
      </c>
      <c r="K43" s="1716"/>
      <c r="L43" s="1715"/>
      <c r="M43" s="1585">
        <f>SUM(M46:M57)</f>
        <v>119.03161878605039</v>
      </c>
      <c r="N43" s="1714"/>
      <c r="O43" s="1713"/>
      <c r="P43" s="1582">
        <f>SUM(P46:P57)</f>
        <v>119.03161878605039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t="s">
        <v>462</v>
      </c>
      <c r="D46" s="4859"/>
      <c r="E46" s="1693">
        <f>IF($C46=0,0,VLOOKUP($C46,SDÖ3!$C$24:$O$99,4,FALSE))</f>
        <v>120</v>
      </c>
      <c r="F46" s="1692">
        <f>IF($C46=0,0,VLOOKUP($C46,SDÖ3!$C$24:$O$99,12,FALSE))</f>
        <v>1.44</v>
      </c>
      <c r="G46" s="1691">
        <f>IF($C46=0,0,VLOOKUP($C46,SDÖ3!$C$24:$O$99,13,FALSE))</f>
        <v>59.188918588235289</v>
      </c>
      <c r="H46" s="1696">
        <v>0.5</v>
      </c>
      <c r="I46" s="1695">
        <f t="shared" ref="I46:I57" si="4">$F46*H46</f>
        <v>0.72</v>
      </c>
      <c r="J46" s="1686">
        <f t="shared" ref="J46:J57" si="5">H46*$G46</f>
        <v>29.594459294117645</v>
      </c>
      <c r="K46" s="1696">
        <v>0.5</v>
      </c>
      <c r="L46" s="1697">
        <f t="shared" ref="L46:L57" si="6">$F46*K46</f>
        <v>0.72</v>
      </c>
      <c r="M46" s="1689">
        <f t="shared" ref="M46:M57" si="7">K46*$G46</f>
        <v>29.594459294117645</v>
      </c>
      <c r="N46" s="1696">
        <v>0.5</v>
      </c>
      <c r="O46" s="1695">
        <f t="shared" ref="O46:O57" si="8">$F46*N46</f>
        <v>0.72</v>
      </c>
      <c r="P46" s="1686">
        <f t="shared" ref="P46:P57" si="9">N46*$G46</f>
        <v>29.594459294117645</v>
      </c>
      <c r="Q46" s="32"/>
    </row>
    <row r="47" spans="1:17" s="42" customFormat="1" ht="15" customHeight="1">
      <c r="A47" s="1284"/>
      <c r="B47" s="1694"/>
      <c r="C47" s="4882" t="s">
        <v>459</v>
      </c>
      <c r="D47" s="4883"/>
      <c r="E47" s="1693">
        <f>IF($C47=0,0,VLOOKUP($C47,SDÖ3!$C$24:$O$99,4,FALSE))</f>
        <v>102</v>
      </c>
      <c r="F47" s="1692">
        <f>IF($C47=0,0,VLOOKUP($C47,SDÖ3!$C$24:$O$99,12,FALSE))</f>
        <v>0.79</v>
      </c>
      <c r="G47" s="1691">
        <f>IF($C47=0,0,VLOOKUP($C47,SDÖ3!$C$24:$O$99,13,FALSE))</f>
        <v>21.737240200000002</v>
      </c>
      <c r="H47" s="1688">
        <v>0.5</v>
      </c>
      <c r="I47" s="1687">
        <f t="shared" si="4"/>
        <v>0.39500000000000002</v>
      </c>
      <c r="J47" s="1686">
        <f t="shared" si="5"/>
        <v>10.868620100000001</v>
      </c>
      <c r="K47" s="1688">
        <v>0.5</v>
      </c>
      <c r="L47" s="1690">
        <f t="shared" si="6"/>
        <v>0.39500000000000002</v>
      </c>
      <c r="M47" s="1689">
        <f t="shared" si="7"/>
        <v>10.868620100000001</v>
      </c>
      <c r="N47" s="1688">
        <v>0.5</v>
      </c>
      <c r="O47" s="1687">
        <f t="shared" si="8"/>
        <v>0.39500000000000002</v>
      </c>
      <c r="P47" s="1686">
        <f t="shared" si="9"/>
        <v>10.868620100000001</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0.5</v>
      </c>
      <c r="I48" s="1687">
        <f t="shared" si="4"/>
        <v>0.52500000000000002</v>
      </c>
      <c r="J48" s="1686">
        <f t="shared" si="5"/>
        <v>18.13202882352941</v>
      </c>
      <c r="K48" s="1688">
        <v>0.5</v>
      </c>
      <c r="L48" s="1690">
        <f t="shared" si="6"/>
        <v>0.52500000000000002</v>
      </c>
      <c r="M48" s="1689">
        <f t="shared" si="7"/>
        <v>18.13202882352941</v>
      </c>
      <c r="N48" s="1688">
        <v>0.5</v>
      </c>
      <c r="O48" s="1687">
        <f t="shared" si="8"/>
        <v>0.52500000000000002</v>
      </c>
      <c r="P48" s="1686">
        <f t="shared" si="9"/>
        <v>18.13202882352941</v>
      </c>
      <c r="Q48" s="32"/>
    </row>
    <row r="49" spans="1:17" s="42" customFormat="1" ht="15" customHeight="1">
      <c r="A49" s="1284"/>
      <c r="B49" s="1694"/>
      <c r="C49" s="4882" t="s">
        <v>411</v>
      </c>
      <c r="D49" s="4883"/>
      <c r="E49" s="1693">
        <f>IF($C49=0,0,VLOOKUP($C49,SDÖ3!$C$24:$O$99,4,FALSE))</f>
        <v>54</v>
      </c>
      <c r="F49" s="1692">
        <f>IF($C49=0,0,VLOOKUP($C49,SDÖ3!$C$24:$O$99,12,FALSE))</f>
        <v>0.39</v>
      </c>
      <c r="G49" s="1691">
        <f>IF($C49=0,0,VLOOKUP($C49,SDÖ3!$C$24:$O$99,13,FALSE))</f>
        <v>4.8958197447058831</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82" t="s">
        <v>449</v>
      </c>
      <c r="D50" s="4883"/>
      <c r="E50" s="1693">
        <f>IF($C50=0,0,VLOOKUP($C50,SDÖ3!$C$24:$O$99,4,FALSE))</f>
        <v>83</v>
      </c>
      <c r="F50" s="1692">
        <f>IF($C50=0,0,VLOOKUP($C50,SDÖ3!$C$24:$O$99,12,FALSE))</f>
        <v>0.62</v>
      </c>
      <c r="G50" s="1691">
        <f>IF($C50=0,0,VLOOKUP($C50,SDÖ3!$C$24:$O$99,13,FALSE))</f>
        <v>11.934875842352939</v>
      </c>
      <c r="H50" s="1688">
        <v>1</v>
      </c>
      <c r="I50" s="1687">
        <f t="shared" si="4"/>
        <v>0.62</v>
      </c>
      <c r="J50" s="1686">
        <f t="shared" si="5"/>
        <v>11.934875842352939</v>
      </c>
      <c r="K50" s="1688">
        <v>1</v>
      </c>
      <c r="L50" s="1690">
        <f t="shared" si="6"/>
        <v>0.62</v>
      </c>
      <c r="M50" s="1689">
        <f t="shared" si="7"/>
        <v>11.934875842352939</v>
      </c>
      <c r="N50" s="1688">
        <v>1</v>
      </c>
      <c r="O50" s="1687">
        <f t="shared" si="8"/>
        <v>0.62</v>
      </c>
      <c r="P50" s="1686">
        <f t="shared" si="9"/>
        <v>11.934875842352939</v>
      </c>
      <c r="Q50" s="32"/>
    </row>
    <row r="51" spans="1:17" s="42" customFormat="1" ht="15" customHeight="1">
      <c r="A51" s="1284"/>
      <c r="B51" s="1694"/>
      <c r="C51" s="4882" t="s">
        <v>414</v>
      </c>
      <c r="D51" s="4883"/>
      <c r="E51" s="1693">
        <f>IF($C51=0,0,VLOOKUP($C51,SDÖ3!$C$24:$O$99,4,FALSE))</f>
        <v>83</v>
      </c>
      <c r="F51" s="1692">
        <f>IF($C51=0,0,VLOOKUP($C51,SDÖ3!$C$24:$O$99,12,FALSE))</f>
        <v>1.17</v>
      </c>
      <c r="G51" s="1691">
        <f>IF($C51=0,0,VLOOKUP($C51,SDÖ3!$C$24:$O$99,13,FALSE))</f>
        <v>24.250817363025202</v>
      </c>
      <c r="H51" s="1688">
        <v>2</v>
      </c>
      <c r="I51" s="1687">
        <f t="shared" si="4"/>
        <v>2.34</v>
      </c>
      <c r="J51" s="1686">
        <f t="shared" si="5"/>
        <v>48.501634726050405</v>
      </c>
      <c r="K51" s="1688">
        <v>2</v>
      </c>
      <c r="L51" s="1690">
        <f t="shared" si="6"/>
        <v>2.34</v>
      </c>
      <c r="M51" s="1689">
        <f t="shared" si="7"/>
        <v>48.501634726050405</v>
      </c>
      <c r="N51" s="1688">
        <v>2</v>
      </c>
      <c r="O51" s="1687">
        <f t="shared" si="8"/>
        <v>2.34</v>
      </c>
      <c r="P51" s="1686">
        <f t="shared" si="9"/>
        <v>48.501634726050405</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35.450000000000003" customHeight="1">
      <c r="A57" s="1284"/>
      <c r="B57" s="1625"/>
      <c r="C57" s="4896"/>
      <c r="D57" s="4897"/>
      <c r="E57" s="3565">
        <f>IF($C57=0,0,VLOOKUP($C57,SDÖ3!$C$24:$O$99,4,FALSE))</f>
        <v>0</v>
      </c>
      <c r="F57" s="3566">
        <f>IF($C57=0,0,VLOOKUP($C57,SDÖ3!$C$24:$O$99,12,FALSE))</f>
        <v>0</v>
      </c>
      <c r="G57" s="3567">
        <f>IF($C57=0,0,VLOOKUP($C57,SDÖ3!$C$24:$O$99,13,FALSE))</f>
        <v>0</v>
      </c>
      <c r="H57" s="1672"/>
      <c r="I57" s="1671">
        <f t="shared" si="4"/>
        <v>0</v>
      </c>
      <c r="J57" s="1670">
        <f t="shared" si="5"/>
        <v>0</v>
      </c>
      <c r="K57" s="1672"/>
      <c r="L57" s="1673">
        <f t="shared" si="6"/>
        <v>0</v>
      </c>
      <c r="M57" s="1620">
        <f t="shared" si="7"/>
        <v>0</v>
      </c>
      <c r="N57" s="1672"/>
      <c r="O57" s="1671">
        <f t="shared" si="8"/>
        <v>0</v>
      </c>
      <c r="P57" s="1670">
        <f t="shared" si="9"/>
        <v>0</v>
      </c>
      <c r="Q57" s="32"/>
    </row>
    <row r="58" spans="1:17" s="686" customFormat="1" ht="18.75" customHeight="1">
      <c r="A58" s="1248"/>
      <c r="B58" s="1254" t="s">
        <v>1167</v>
      </c>
      <c r="C58" s="1351"/>
      <c r="D58" s="1351"/>
      <c r="E58" s="1351"/>
      <c r="F58" s="38"/>
      <c r="G58" s="1588"/>
      <c r="H58" s="1665"/>
      <c r="I58" s="1664">
        <f>SUM($I$46:$I$57)</f>
        <v>4.5999999999999996</v>
      </c>
      <c r="J58" s="1669"/>
      <c r="K58" s="1668"/>
      <c r="L58" s="1667">
        <f>SUM($L$46:$L$57)</f>
        <v>4.5999999999999996</v>
      </c>
      <c r="M58" s="1666"/>
      <c r="N58" s="1665"/>
      <c r="O58" s="1664">
        <f>SUM($O$46:$O$57)</f>
        <v>4.5999999999999996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8.2799999999999994</v>
      </c>
      <c r="J59" s="1654"/>
      <c r="K59" s="1659"/>
      <c r="L59" s="1658">
        <f>IF(L58+SUM($L$46:$L$57)*$E$59%&gt;L58+10,L58+10,L58+SUM($L$46:$L$57)*$E$59%)</f>
        <v>8.2799999999999994</v>
      </c>
      <c r="M59" s="1657"/>
      <c r="N59" s="1656"/>
      <c r="O59" s="1655">
        <f>IF(O58+SUM($O$46:$O$57)*$E$59%&gt;O58+10,O58+10,O58+SUM($O$46:$O$57)*$E$59%)</f>
        <v>8.2799999999999994</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4.4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15.6"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6" customHeight="1">
      <c r="A68" s="1248"/>
      <c r="B68" s="1605"/>
      <c r="C68" s="4888" t="s">
        <v>1159</v>
      </c>
      <c r="D68" s="4888"/>
      <c r="E68" s="4888"/>
      <c r="F68" s="1604"/>
      <c r="G68" s="1595" t="s">
        <v>171</v>
      </c>
      <c r="H68" s="1602"/>
      <c r="I68" s="1601">
        <v>50</v>
      </c>
      <c r="J68" s="1600"/>
      <c r="K68" s="1602"/>
      <c r="L68" s="1601">
        <v>50</v>
      </c>
      <c r="M68" s="1603"/>
      <c r="N68" s="1602"/>
      <c r="O68" s="1601">
        <v>50</v>
      </c>
      <c r="P68" s="1600"/>
      <c r="Q68" s="32"/>
      <c r="R68" s="1912">
        <f>IF($H$68=0,0,VLOOKUP($H$68,'SD6'!B8:C101,'SD6'!C1,FALSE))*(1+'SDK1'!O11/100)</f>
        <v>0</v>
      </c>
      <c r="S68" s="1912">
        <f>IF($H$68=0,0,VLOOKUP($H$68,'SD6'!C8:D101,'SD6'!D1,FALSE))*(1+'SDK1'!P11/100)</f>
        <v>0</v>
      </c>
      <c r="T68" s="1912">
        <f>IF($H$68=0,0,VLOOKUP($H$68,'SD6'!D8:E101,'SD6'!E1,FALSE))*(1+'SDK1'!Q11/100)</f>
        <v>0</v>
      </c>
    </row>
    <row r="69" spans="1:20" s="686" customFormat="1" ht="1.1499999999999999" hidden="1"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hidden="1"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-1.5362769474960793</v>
      </c>
      <c r="K75" s="3031"/>
      <c r="L75" s="1034"/>
      <c r="M75" s="1546">
        <f>(M23+M27+M34+M43+M60+M65+M67+M69+M71)*('SDK1'!$O$59%*$G$75/12)</f>
        <v>-2.9383186141627453</v>
      </c>
      <c r="N75" s="1548"/>
      <c r="O75" s="1547"/>
      <c r="P75" s="1546">
        <f>(P23+P27+P34+P43+P60+P65+P67+P69+P71)*('SDK1'!$O$59%*$G$75/12)</f>
        <v>-4.3403602808294126</v>
      </c>
      <c r="Q75" s="32"/>
    </row>
    <row r="78" spans="1:20" ht="14.25">
      <c r="C78" s="4940" t="s">
        <v>1888</v>
      </c>
      <c r="D78" s="4941"/>
      <c r="E78" s="4941"/>
      <c r="F78" s="4942"/>
      <c r="G78" s="3583"/>
      <c r="H78" s="3583"/>
      <c r="I78" s="3583"/>
      <c r="L78" s="33"/>
    </row>
    <row r="79" spans="1:20">
      <c r="C79" s="4943" t="s">
        <v>295</v>
      </c>
      <c r="D79" s="4944"/>
      <c r="E79" s="4944"/>
      <c r="F79" s="4945"/>
      <c r="G79" s="3583"/>
      <c r="H79" s="3583"/>
      <c r="I79" s="3583"/>
      <c r="L79" s="33"/>
      <c r="N79" s="3583"/>
      <c r="O79" s="3583"/>
      <c r="P79" s="3583"/>
    </row>
    <row r="80" spans="1:20" ht="14.25">
      <c r="B80" s="3046"/>
      <c r="C80" s="3042" t="s">
        <v>1884</v>
      </c>
      <c r="D80" s="3043"/>
      <c r="E80" s="3043"/>
      <c r="F80" s="3044"/>
      <c r="G80" s="3583"/>
      <c r="H80" s="3583"/>
      <c r="I80" s="3583"/>
      <c r="J80" s="3046"/>
      <c r="K80" s="3046"/>
      <c r="L80" s="33"/>
      <c r="M80" s="3046"/>
      <c r="N80" s="3583"/>
      <c r="O80" s="3583"/>
      <c r="P80" s="3583"/>
    </row>
    <row r="81" spans="2:16" ht="14.25">
      <c r="B81" s="3046"/>
      <c r="C81" s="3042" t="s">
        <v>1885</v>
      </c>
      <c r="D81" s="3043"/>
      <c r="E81" s="3043"/>
      <c r="F81" s="3044"/>
      <c r="G81" s="3583"/>
      <c r="H81" s="3583"/>
      <c r="I81" s="3583"/>
      <c r="J81" s="3046"/>
      <c r="K81" s="3046"/>
      <c r="L81" s="33"/>
      <c r="M81" s="3046"/>
      <c r="N81" s="3583"/>
      <c r="O81" s="3583"/>
      <c r="P81" s="3583"/>
    </row>
    <row r="82" spans="2:16">
      <c r="B82" s="3046"/>
      <c r="C82" s="3034" t="s">
        <v>294</v>
      </c>
      <c r="D82" s="3035"/>
      <c r="E82" s="3035"/>
      <c r="F82" s="3036"/>
      <c r="G82" s="3583"/>
      <c r="H82" s="3583"/>
      <c r="I82" s="3583"/>
      <c r="J82" s="3046"/>
      <c r="K82" s="3046"/>
      <c r="L82" s="33"/>
      <c r="M82" s="3046"/>
      <c r="N82" s="3583"/>
      <c r="O82" s="3583"/>
      <c r="P82" s="3583"/>
    </row>
    <row r="83" spans="2:16" ht="14.25">
      <c r="B83" s="3046"/>
      <c r="C83" s="3042" t="s">
        <v>1886</v>
      </c>
      <c r="D83" s="3043"/>
      <c r="E83" s="3043"/>
      <c r="F83" s="3044"/>
      <c r="G83" s="3583"/>
      <c r="H83" s="3583"/>
      <c r="I83" s="3583"/>
      <c r="J83" s="3046"/>
      <c r="K83" s="3046"/>
      <c r="L83" s="33"/>
      <c r="M83" s="3046"/>
      <c r="N83" s="3583"/>
      <c r="O83" s="3583"/>
      <c r="P83" s="3583"/>
    </row>
    <row r="84" spans="2:16" ht="14.25">
      <c r="B84" s="3046"/>
      <c r="C84" s="3042" t="s">
        <v>1887</v>
      </c>
      <c r="D84" s="3043"/>
      <c r="E84" s="3043"/>
      <c r="F84" s="3044"/>
      <c r="G84" s="3583"/>
      <c r="H84" s="3583"/>
      <c r="I84" s="3583"/>
      <c r="J84" s="3046"/>
      <c r="K84" s="3046"/>
      <c r="L84" s="33"/>
      <c r="M84" s="3046"/>
      <c r="N84" s="3583"/>
      <c r="O84" s="3583"/>
      <c r="P84" s="3583"/>
    </row>
    <row r="85" spans="2:16">
      <c r="B85" s="3046"/>
      <c r="C85" s="3034" t="s">
        <v>293</v>
      </c>
      <c r="D85" s="3035"/>
      <c r="E85" s="3035"/>
      <c r="F85" s="3036"/>
      <c r="G85" s="3583"/>
      <c r="H85" s="3583"/>
      <c r="I85" s="3583"/>
      <c r="J85" s="3046"/>
      <c r="K85" s="3046"/>
      <c r="L85" s="33"/>
      <c r="M85" s="3046"/>
      <c r="N85" s="3583"/>
      <c r="O85" s="3583"/>
      <c r="P85" s="3583"/>
    </row>
    <row r="86" spans="2:16">
      <c r="B86" s="3046"/>
      <c r="C86" s="3034" t="s">
        <v>292</v>
      </c>
      <c r="D86" s="3035"/>
      <c r="E86" s="3035"/>
      <c r="F86" s="3036"/>
      <c r="G86" s="3583"/>
      <c r="H86" s="3583"/>
      <c r="I86" s="3583"/>
      <c r="J86" s="3046"/>
      <c r="K86" s="3046"/>
      <c r="L86" s="33"/>
      <c r="M86" s="3046"/>
      <c r="N86" s="3583"/>
      <c r="O86" s="3583"/>
      <c r="P86" s="3583"/>
    </row>
    <row r="87" spans="2:16" ht="14.25">
      <c r="B87" s="3046"/>
      <c r="C87" s="3034" t="s">
        <v>291</v>
      </c>
      <c r="D87" s="3035"/>
      <c r="E87" s="3035"/>
      <c r="F87" s="3036"/>
      <c r="G87" s="3583"/>
      <c r="H87" s="3583"/>
      <c r="I87" s="3583"/>
      <c r="J87" s="3046"/>
      <c r="K87" s="3046"/>
      <c r="L87" s="33"/>
      <c r="M87" s="3046"/>
      <c r="N87" s="3583"/>
      <c r="O87" s="3583"/>
      <c r="P87" s="3583"/>
    </row>
    <row r="88" spans="2:16" ht="13.15" customHeight="1">
      <c r="B88" s="3046"/>
      <c r="C88" s="3034" t="s">
        <v>290</v>
      </c>
      <c r="D88" s="3037"/>
      <c r="E88" s="3037"/>
      <c r="F88" s="3038"/>
      <c r="G88" s="3583"/>
      <c r="H88" s="3583"/>
      <c r="I88" s="3583"/>
      <c r="J88" s="3046"/>
      <c r="K88" s="3046"/>
      <c r="L88" s="33"/>
      <c r="M88" s="3046"/>
      <c r="N88" s="3583"/>
      <c r="O88" s="3583"/>
      <c r="P88" s="3583"/>
    </row>
    <row r="89" spans="2:16">
      <c r="B89" s="3046"/>
      <c r="C89" s="3034" t="s">
        <v>289</v>
      </c>
      <c r="D89" s="3037"/>
      <c r="E89" s="3037"/>
      <c r="F89" s="3038"/>
      <c r="G89" s="3583"/>
      <c r="H89" s="3583"/>
      <c r="I89" s="3583"/>
      <c r="J89" s="3046"/>
      <c r="K89" s="3046"/>
      <c r="L89" s="33"/>
      <c r="M89" s="3046"/>
      <c r="N89" s="3583"/>
      <c r="O89" s="3583"/>
      <c r="P89" s="3583"/>
    </row>
    <row r="90" spans="2:16" ht="13.9" customHeight="1">
      <c r="B90" s="3046"/>
      <c r="C90" s="3066" t="s">
        <v>288</v>
      </c>
      <c r="D90" s="3040"/>
      <c r="E90" s="3040"/>
      <c r="F90" s="3041"/>
      <c r="G90" s="3583"/>
      <c r="H90" s="3583"/>
      <c r="I90" s="3583"/>
      <c r="J90" s="3046"/>
      <c r="K90" s="3046"/>
      <c r="L90" s="33"/>
      <c r="M90" s="3046"/>
      <c r="N90" s="3583"/>
      <c r="O90" s="3583"/>
      <c r="P90" s="3583"/>
    </row>
    <row r="91" spans="2:16">
      <c r="B91" s="3046"/>
      <c r="C91" s="33"/>
      <c r="D91" s="33"/>
      <c r="E91" s="33"/>
      <c r="F91" s="3046"/>
      <c r="G91" s="3583"/>
      <c r="H91" s="3583"/>
      <c r="I91" s="3583"/>
      <c r="J91" s="3046"/>
      <c r="K91" s="3046"/>
      <c r="L91" s="33"/>
      <c r="M91" s="3046"/>
      <c r="N91" s="3583"/>
      <c r="O91" s="3583"/>
      <c r="P91" s="3583"/>
    </row>
    <row r="92" spans="2:16">
      <c r="B92" s="3046"/>
      <c r="C92" s="33"/>
      <c r="D92" s="33"/>
      <c r="E92" s="33"/>
      <c r="F92" s="3046"/>
      <c r="G92" s="3583"/>
      <c r="H92" s="3583"/>
      <c r="I92" s="3583"/>
      <c r="J92" s="3046"/>
      <c r="K92" s="3046"/>
      <c r="L92" s="33"/>
      <c r="M92" s="3046"/>
      <c r="N92" s="3583"/>
      <c r="O92" s="3583"/>
      <c r="P92" s="3583"/>
    </row>
    <row r="93" spans="2:16">
      <c r="B93" s="3046"/>
      <c r="C93" s="33"/>
      <c r="D93" s="33"/>
      <c r="E93" s="33"/>
      <c r="F93" s="3046"/>
      <c r="G93" s="3583"/>
      <c r="H93" s="3583"/>
      <c r="I93" s="3583"/>
      <c r="J93" s="3046"/>
      <c r="K93" s="3046"/>
      <c r="L93" s="33"/>
      <c r="M93" s="3046"/>
      <c r="N93" s="3583"/>
      <c r="O93" s="3583"/>
      <c r="P93" s="3583"/>
    </row>
    <row r="94" spans="2:16">
      <c r="B94" s="3046"/>
      <c r="C94" s="33"/>
      <c r="D94" s="33"/>
      <c r="E94" s="33"/>
      <c r="F94" s="3046"/>
      <c r="G94" s="3583"/>
      <c r="H94" s="3583"/>
      <c r="I94" s="3583"/>
      <c r="J94" s="3046"/>
      <c r="K94" s="3046"/>
      <c r="L94" s="33"/>
      <c r="M94" s="3046"/>
      <c r="N94" s="3583"/>
      <c r="O94" s="3583"/>
      <c r="P94" s="3583"/>
    </row>
    <row r="95" spans="2:16">
      <c r="B95" s="3046"/>
      <c r="C95" s="33"/>
      <c r="D95" s="33"/>
      <c r="E95" s="33"/>
      <c r="F95" s="3046"/>
      <c r="G95" s="3583"/>
      <c r="H95" s="3583"/>
      <c r="I95" s="3583"/>
      <c r="J95" s="3046"/>
      <c r="K95" s="3046"/>
      <c r="L95" s="33"/>
      <c r="M95" s="3046"/>
      <c r="N95" s="3583"/>
      <c r="O95" s="3583"/>
      <c r="P95" s="3583"/>
    </row>
    <row r="96" spans="2:16">
      <c r="B96" s="3046"/>
      <c r="C96" s="33"/>
      <c r="D96" s="33"/>
      <c r="E96" s="33"/>
      <c r="F96" s="3046"/>
      <c r="G96" s="3583"/>
      <c r="H96" s="3583"/>
      <c r="I96" s="3583"/>
      <c r="J96" s="3046"/>
      <c r="K96" s="3046"/>
      <c r="L96" s="33"/>
      <c r="M96" s="3046"/>
      <c r="N96" s="3583"/>
      <c r="O96" s="3583"/>
      <c r="P96" s="3583"/>
    </row>
    <row r="97" spans="2:16">
      <c r="B97" s="3046"/>
      <c r="C97" s="33"/>
      <c r="D97" s="33"/>
      <c r="E97" s="33"/>
      <c r="F97" s="3046"/>
      <c r="G97" s="3583"/>
      <c r="H97" s="3583"/>
      <c r="I97" s="3583"/>
      <c r="J97" s="3046"/>
      <c r="K97" s="3046"/>
      <c r="L97" s="33"/>
      <c r="M97" s="3046"/>
      <c r="N97" s="3583"/>
      <c r="O97" s="3583"/>
      <c r="P97" s="3583"/>
    </row>
    <row r="98" spans="2:16">
      <c r="B98" s="3046"/>
      <c r="C98" s="33"/>
      <c r="D98" s="33"/>
      <c r="E98" s="33"/>
      <c r="F98" s="3046"/>
      <c r="G98" s="3583"/>
      <c r="H98" s="3583"/>
      <c r="I98" s="3583"/>
      <c r="J98" s="3046"/>
      <c r="K98" s="3046"/>
      <c r="L98" s="33"/>
      <c r="M98" s="3046"/>
      <c r="N98" s="3583"/>
      <c r="O98" s="3583"/>
      <c r="P98" s="3583"/>
    </row>
    <row r="99" spans="2:16">
      <c r="B99" s="3046"/>
      <c r="C99" s="33"/>
      <c r="D99" s="33"/>
      <c r="E99" s="33"/>
      <c r="F99" s="3046"/>
      <c r="G99" s="3583"/>
      <c r="H99" s="3583"/>
      <c r="I99" s="3583"/>
      <c r="J99" s="3046"/>
      <c r="K99" s="3046"/>
      <c r="L99" s="33"/>
      <c r="M99" s="3046"/>
      <c r="N99" s="3583"/>
      <c r="O99" s="3583"/>
      <c r="P99" s="3583"/>
    </row>
    <row r="100" spans="2:16">
      <c r="B100" s="3046"/>
      <c r="C100" s="33"/>
      <c r="D100" s="33"/>
      <c r="E100" s="33"/>
      <c r="F100" s="3046"/>
      <c r="G100" s="3583"/>
      <c r="H100" s="3583"/>
      <c r="I100" s="3583"/>
      <c r="J100" s="3046"/>
      <c r="K100" s="3046"/>
      <c r="L100" s="33"/>
      <c r="M100" s="3046"/>
      <c r="N100" s="3583"/>
      <c r="O100" s="3583"/>
      <c r="P100" s="3583"/>
    </row>
    <row r="101" spans="2:16">
      <c r="B101" s="33"/>
      <c r="C101" s="33"/>
      <c r="D101" s="33"/>
      <c r="E101" s="33"/>
      <c r="F101" s="3046"/>
      <c r="G101" s="3583"/>
      <c r="H101" s="3583"/>
      <c r="I101" s="3583"/>
      <c r="J101" s="3046"/>
      <c r="K101" s="3046"/>
      <c r="L101" s="33"/>
      <c r="M101" s="3046"/>
      <c r="N101" s="3583"/>
      <c r="O101" s="3583"/>
      <c r="P101" s="3583"/>
    </row>
    <row r="102" spans="2:16">
      <c r="B102" s="33"/>
      <c r="C102" s="33"/>
      <c r="D102" s="33"/>
      <c r="E102" s="33"/>
      <c r="F102" s="3046"/>
      <c r="G102" s="3583"/>
      <c r="H102" s="3583"/>
      <c r="I102" s="3583"/>
      <c r="J102" s="3046"/>
      <c r="K102" s="3046"/>
      <c r="L102" s="33"/>
      <c r="M102" s="3046"/>
      <c r="N102" s="3583"/>
      <c r="O102" s="3583"/>
      <c r="P102" s="3583"/>
    </row>
    <row r="103" spans="2:16">
      <c r="B103" s="33"/>
      <c r="C103" s="33"/>
      <c r="D103" s="33"/>
      <c r="E103" s="3046"/>
      <c r="F103" s="3046"/>
      <c r="G103" s="3583"/>
      <c r="H103" s="3583"/>
      <c r="I103" s="3583"/>
      <c r="J103" s="3046"/>
      <c r="K103" s="3046"/>
      <c r="L103" s="33"/>
      <c r="M103" s="3046"/>
      <c r="N103" s="3583"/>
      <c r="O103" s="3583"/>
      <c r="P103" s="3583"/>
    </row>
    <row r="104" spans="2:16">
      <c r="B104" s="33"/>
      <c r="C104" s="33"/>
      <c r="D104" s="33"/>
      <c r="E104" s="3046"/>
      <c r="F104" s="3046"/>
      <c r="G104" s="3583"/>
      <c r="H104" s="3583"/>
      <c r="I104" s="3583"/>
      <c r="J104" s="3046"/>
      <c r="K104" s="3046"/>
      <c r="L104" s="33"/>
      <c r="M104" s="3046"/>
      <c r="N104" s="3583"/>
      <c r="O104" s="3583"/>
      <c r="P104" s="3583"/>
    </row>
    <row r="105" spans="2:16">
      <c r="B105" s="33"/>
      <c r="C105" s="33"/>
      <c r="D105" s="33"/>
      <c r="E105" s="3046"/>
      <c r="F105" s="3046"/>
      <c r="G105" s="3583"/>
      <c r="H105" s="3583"/>
      <c r="I105" s="3583"/>
      <c r="J105" s="3046"/>
      <c r="K105" s="3046"/>
      <c r="L105" s="33"/>
      <c r="M105" s="3046"/>
      <c r="N105" s="3583"/>
      <c r="O105" s="3583"/>
      <c r="P105" s="3583"/>
    </row>
    <row r="106" spans="2:16">
      <c r="B106" s="33"/>
      <c r="C106" s="33"/>
      <c r="D106" s="33"/>
      <c r="E106" s="3046"/>
      <c r="F106" s="3046"/>
      <c r="G106" s="3583"/>
      <c r="H106" s="3583"/>
      <c r="I106" s="3583"/>
      <c r="J106" s="3046"/>
      <c r="K106" s="3046"/>
      <c r="L106" s="33"/>
      <c r="M106" s="3046"/>
      <c r="N106" s="3583"/>
      <c r="O106" s="3583"/>
      <c r="P106" s="3583"/>
    </row>
    <row r="107" spans="2:16">
      <c r="B107" s="33"/>
      <c r="C107" s="33"/>
      <c r="D107" s="33"/>
      <c r="E107" s="3046"/>
      <c r="F107" s="3046"/>
      <c r="G107" s="3583"/>
      <c r="H107" s="3583"/>
      <c r="I107" s="3583"/>
      <c r="J107" s="3046"/>
      <c r="K107" s="3046"/>
      <c r="L107" s="33"/>
      <c r="M107" s="3046"/>
      <c r="N107" s="3583"/>
      <c r="O107" s="3583"/>
      <c r="P107" s="3583"/>
    </row>
    <row r="108" spans="2:16">
      <c r="B108" s="33"/>
      <c r="C108" s="33"/>
      <c r="D108" s="33"/>
      <c r="E108" s="3046"/>
      <c r="F108" s="3046"/>
      <c r="G108" s="3583"/>
      <c r="H108" s="3583"/>
      <c r="I108" s="3583"/>
      <c r="J108" s="3046"/>
      <c r="K108" s="3046"/>
      <c r="L108" s="33"/>
      <c r="M108" s="3046"/>
      <c r="N108" s="3583"/>
      <c r="O108" s="3583"/>
      <c r="P108" s="3583"/>
    </row>
    <row r="109" spans="2:16">
      <c r="B109" s="33"/>
      <c r="C109" s="33"/>
      <c r="D109" s="33"/>
      <c r="E109" s="3046"/>
      <c r="F109" s="3046"/>
      <c r="G109" s="3583"/>
      <c r="H109" s="3583"/>
      <c r="I109" s="3583"/>
      <c r="J109" s="3046"/>
      <c r="K109" s="3046"/>
      <c r="L109" s="33"/>
      <c r="M109" s="3046"/>
      <c r="N109" s="3583"/>
      <c r="O109" s="3583"/>
      <c r="P109" s="3583"/>
    </row>
    <row r="110" spans="2:16">
      <c r="B110" s="3046"/>
      <c r="C110" s="3046"/>
      <c r="D110" s="3046"/>
      <c r="E110" s="3046"/>
      <c r="F110" s="3046"/>
      <c r="G110" s="3583"/>
      <c r="H110" s="3583"/>
      <c r="I110" s="3583"/>
      <c r="J110" s="3046"/>
      <c r="K110" s="3046"/>
      <c r="L110" s="33"/>
      <c r="M110" s="3046"/>
      <c r="N110" s="3583"/>
      <c r="O110" s="3583"/>
      <c r="P110" s="3583"/>
    </row>
    <row r="111" spans="2:16">
      <c r="B111" s="3046"/>
      <c r="C111" s="3046"/>
      <c r="D111" s="3046"/>
      <c r="E111" s="3046"/>
      <c r="F111" s="3046"/>
      <c r="G111" s="3583"/>
      <c r="H111" s="3583"/>
      <c r="I111" s="3583"/>
      <c r="J111" s="3046"/>
      <c r="K111" s="3046"/>
      <c r="L111" s="33"/>
      <c r="M111" s="3046"/>
      <c r="N111" s="3583"/>
      <c r="O111" s="3583"/>
      <c r="P111" s="3583"/>
    </row>
    <row r="112" spans="2:16">
      <c r="B112" s="3046"/>
      <c r="C112" s="3046"/>
      <c r="D112" s="3046"/>
      <c r="E112" s="3046"/>
      <c r="F112" s="3046"/>
      <c r="G112" s="3583"/>
      <c r="H112" s="3583"/>
      <c r="I112" s="3583"/>
      <c r="J112" s="3046"/>
      <c r="K112" s="3046"/>
      <c r="L112" s="33"/>
      <c r="M112" s="3046"/>
      <c r="N112" s="3583"/>
      <c r="O112" s="3583"/>
      <c r="P112" s="3583"/>
    </row>
    <row r="113" spans="2:16">
      <c r="B113" s="3046"/>
      <c r="C113" s="3046"/>
      <c r="D113" s="3046"/>
      <c r="E113" s="3046"/>
      <c r="F113" s="3046"/>
      <c r="G113" s="3583"/>
      <c r="H113" s="3583"/>
      <c r="I113" s="3583"/>
      <c r="J113" s="3046"/>
      <c r="K113" s="3046"/>
      <c r="L113" s="33"/>
      <c r="M113" s="3046"/>
      <c r="N113" s="3583"/>
      <c r="O113" s="3583"/>
      <c r="P113" s="3583"/>
    </row>
    <row r="114" spans="2:16">
      <c r="B114" s="3046"/>
      <c r="C114" s="3046"/>
      <c r="D114" s="3046"/>
      <c r="E114" s="3046"/>
      <c r="F114" s="3046"/>
      <c r="G114" s="3583"/>
      <c r="H114" s="3583"/>
      <c r="I114" s="3583"/>
      <c r="J114" s="3046"/>
      <c r="K114" s="3046"/>
      <c r="L114" s="33"/>
      <c r="M114" s="3046"/>
      <c r="N114" s="3583"/>
      <c r="O114" s="3583"/>
      <c r="P114" s="3583"/>
    </row>
    <row r="115" spans="2:16">
      <c r="B115" s="3046"/>
      <c r="C115" s="3046"/>
      <c r="D115" s="3046"/>
      <c r="E115" s="3046"/>
      <c r="F115" s="3046"/>
      <c r="G115" s="3583"/>
      <c r="H115" s="3583"/>
      <c r="I115" s="3583"/>
      <c r="J115" s="3046"/>
      <c r="K115" s="3046"/>
      <c r="L115" s="33"/>
      <c r="M115" s="3046"/>
      <c r="N115" s="3583"/>
      <c r="O115" s="3583"/>
      <c r="P115" s="3583"/>
    </row>
    <row r="116" spans="2:16">
      <c r="B116" s="3046"/>
      <c r="C116" s="3046"/>
      <c r="D116" s="3046"/>
      <c r="E116" s="3046"/>
      <c r="F116" s="3046"/>
      <c r="G116" s="3583"/>
      <c r="H116" s="3583"/>
      <c r="I116" s="3583"/>
      <c r="J116" s="3046"/>
      <c r="K116" s="3046"/>
      <c r="L116" s="33"/>
      <c r="M116" s="3046"/>
      <c r="N116" s="3583"/>
      <c r="O116" s="3583"/>
      <c r="P116" s="3583"/>
    </row>
    <row r="117" spans="2:16">
      <c r="B117" s="3046"/>
      <c r="C117" s="3046"/>
      <c r="D117" s="3046"/>
      <c r="E117" s="3046"/>
      <c r="F117" s="3046"/>
      <c r="G117" s="3583"/>
      <c r="H117" s="3583"/>
      <c r="I117" s="3583"/>
      <c r="J117" s="3046"/>
      <c r="K117" s="3046"/>
      <c r="L117" s="33"/>
      <c r="M117" s="3046"/>
      <c r="N117" s="3583"/>
      <c r="O117" s="3583"/>
      <c r="P117" s="3583"/>
    </row>
    <row r="118" spans="2:16">
      <c r="B118" s="3046"/>
      <c r="C118" s="3046"/>
      <c r="D118" s="3046"/>
      <c r="E118" s="3046"/>
      <c r="F118" s="3046"/>
      <c r="G118" s="3583"/>
      <c r="H118" s="3583"/>
      <c r="I118" s="3583"/>
      <c r="J118" s="3046"/>
      <c r="K118" s="3046"/>
      <c r="L118" s="33"/>
      <c r="M118" s="3046"/>
      <c r="N118" s="3583"/>
      <c r="O118" s="3583"/>
      <c r="P118" s="3583"/>
    </row>
    <row r="119" spans="2:16">
      <c r="B119" s="3046"/>
      <c r="C119" s="3046"/>
      <c r="D119" s="3046"/>
      <c r="E119" s="3046"/>
      <c r="F119" s="3046"/>
      <c r="G119" s="3583"/>
      <c r="H119" s="3583"/>
      <c r="I119" s="3583"/>
      <c r="J119" s="3046"/>
      <c r="K119" s="3046"/>
      <c r="L119" s="33"/>
      <c r="M119" s="3046"/>
      <c r="N119" s="3583"/>
      <c r="O119" s="3583"/>
      <c r="P119" s="3583"/>
    </row>
    <row r="120" spans="2:16">
      <c r="B120" s="600"/>
      <c r="C120" s="33"/>
      <c r="D120" s="3046"/>
      <c r="E120" s="3046"/>
      <c r="F120" s="3046"/>
      <c r="H120" s="3046"/>
      <c r="I120" s="3046"/>
      <c r="J120" s="3046"/>
      <c r="K120" s="3046"/>
      <c r="L120" s="33"/>
      <c r="M120" s="3046"/>
      <c r="N120" s="3583"/>
      <c r="O120" s="3583"/>
      <c r="P120" s="3583"/>
    </row>
    <row r="121" spans="2:16">
      <c r="B121" s="600"/>
      <c r="C121" s="33"/>
      <c r="D121" s="3046"/>
      <c r="E121" s="3046"/>
      <c r="F121" s="3046"/>
      <c r="H121" s="3046"/>
      <c r="I121" s="3046"/>
      <c r="J121" s="3046"/>
      <c r="K121" s="3046"/>
      <c r="L121" s="33"/>
      <c r="M121" s="3046"/>
      <c r="N121" s="3583"/>
      <c r="O121" s="3583"/>
      <c r="P121" s="3583"/>
    </row>
    <row r="122" spans="2:16">
      <c r="B122" s="600"/>
      <c r="C122" s="33"/>
      <c r="D122" s="3046"/>
      <c r="E122" s="3046"/>
      <c r="F122" s="3046"/>
      <c r="H122" s="3046"/>
      <c r="I122" s="3046"/>
      <c r="J122" s="3046"/>
      <c r="K122" s="3046"/>
      <c r="L122" s="33"/>
      <c r="M122" s="3046"/>
      <c r="N122" s="3583"/>
      <c r="O122" s="3583"/>
      <c r="P122" s="3583"/>
    </row>
    <row r="123" spans="2:16">
      <c r="B123" s="600"/>
      <c r="C123" s="33"/>
      <c r="D123" s="3046"/>
      <c r="E123" s="3046"/>
      <c r="F123" s="3046"/>
      <c r="H123" s="3046"/>
      <c r="I123" s="3046"/>
      <c r="J123" s="3046"/>
      <c r="K123" s="3046"/>
      <c r="L123" s="33"/>
      <c r="M123" s="3046"/>
      <c r="N123" s="3583"/>
      <c r="O123" s="3583"/>
      <c r="P123" s="3583"/>
    </row>
    <row r="124" spans="2:16">
      <c r="B124" s="600"/>
      <c r="C124" s="33"/>
      <c r="D124" s="3046"/>
      <c r="E124" s="3046"/>
      <c r="F124" s="3046"/>
      <c r="H124" s="3046"/>
      <c r="I124" s="3046"/>
      <c r="J124" s="3046"/>
      <c r="K124" s="3046"/>
      <c r="L124" s="33"/>
      <c r="M124" s="3046"/>
      <c r="N124" s="3583"/>
      <c r="O124" s="3583"/>
      <c r="P124" s="3583"/>
    </row>
    <row r="125" spans="2:16">
      <c r="B125" s="600"/>
      <c r="C125" s="33"/>
      <c r="D125" s="3046"/>
      <c r="E125" s="3046"/>
      <c r="F125" s="3046"/>
      <c r="H125" s="3046"/>
      <c r="I125" s="3046"/>
      <c r="J125" s="3046"/>
      <c r="K125" s="3046"/>
      <c r="L125" s="33"/>
      <c r="M125" s="3046"/>
      <c r="N125" s="3583"/>
      <c r="O125" s="3583"/>
      <c r="P125" s="3583"/>
    </row>
    <row r="126" spans="2:16">
      <c r="B126" s="600"/>
      <c r="C126" s="33"/>
      <c r="D126" s="3046"/>
      <c r="E126" s="3046"/>
      <c r="F126" s="3046"/>
      <c r="H126" s="3046"/>
      <c r="I126" s="3046"/>
      <c r="J126" s="3046"/>
      <c r="K126" s="3046"/>
      <c r="L126" s="33"/>
      <c r="M126" s="3046"/>
      <c r="N126" s="3583"/>
      <c r="O126" s="3583"/>
      <c r="P126" s="3583"/>
    </row>
    <row r="127" spans="2:16">
      <c r="B127" s="600"/>
      <c r="C127" s="33"/>
      <c r="D127" s="3046"/>
      <c r="E127" s="3046"/>
      <c r="F127" s="3046"/>
      <c r="H127" s="3046"/>
      <c r="I127" s="3046"/>
      <c r="J127" s="3046"/>
      <c r="K127" s="3046"/>
      <c r="L127" s="33"/>
      <c r="M127" s="3046"/>
      <c r="N127" s="3583"/>
      <c r="O127" s="3583"/>
      <c r="P127" s="3583"/>
    </row>
    <row r="128" spans="2:16">
      <c r="B128" s="600"/>
      <c r="C128" s="33"/>
      <c r="D128" s="3046"/>
      <c r="E128" s="3046"/>
      <c r="F128" s="3046"/>
      <c r="H128" s="3046"/>
      <c r="I128" s="3046"/>
      <c r="J128" s="3046"/>
      <c r="K128" s="3046"/>
      <c r="L128" s="33"/>
      <c r="M128" s="3046"/>
      <c r="N128" s="3583"/>
      <c r="O128" s="3583"/>
      <c r="P128" s="3583"/>
    </row>
    <row r="129" spans="2:16">
      <c r="B129" s="600"/>
      <c r="C129" s="33"/>
      <c r="D129" s="3046"/>
      <c r="E129" s="3046"/>
      <c r="F129" s="3046"/>
      <c r="H129" s="3046"/>
      <c r="I129" s="3046"/>
      <c r="J129" s="3046"/>
      <c r="K129" s="3046"/>
      <c r="L129" s="33"/>
      <c r="M129" s="3046"/>
      <c r="N129" s="3583"/>
      <c r="O129" s="3583"/>
      <c r="P129" s="3583"/>
    </row>
    <row r="130" spans="2:16">
      <c r="B130" s="600"/>
      <c r="C130" s="33"/>
      <c r="D130" s="3046"/>
      <c r="E130" s="3046"/>
      <c r="F130" s="3046"/>
      <c r="H130" s="3046"/>
      <c r="I130" s="3046"/>
      <c r="J130" s="3046"/>
      <c r="K130" s="3046"/>
      <c r="L130" s="33"/>
      <c r="M130" s="3046"/>
      <c r="N130" s="3583"/>
      <c r="O130" s="3583"/>
      <c r="P130" s="3583"/>
    </row>
    <row r="131" spans="2:16">
      <c r="B131" s="600"/>
      <c r="C131" s="33"/>
      <c r="D131" s="3046"/>
      <c r="E131" s="3046"/>
      <c r="F131" s="3046"/>
      <c r="H131" s="3046"/>
      <c r="I131" s="3046"/>
      <c r="J131" s="3046"/>
      <c r="K131" s="3046"/>
      <c r="L131" s="33"/>
      <c r="M131" s="3046"/>
      <c r="N131" s="3583"/>
      <c r="O131" s="3583"/>
      <c r="P131" s="3583"/>
    </row>
    <row r="132" spans="2:16">
      <c r="B132" s="600"/>
      <c r="C132" s="33"/>
      <c r="D132" s="3046"/>
      <c r="E132" s="3046"/>
      <c r="F132" s="3046"/>
      <c r="H132" s="3046"/>
      <c r="I132" s="3046"/>
      <c r="J132" s="3046"/>
      <c r="K132" s="3046"/>
      <c r="L132" s="33"/>
      <c r="M132" s="3046"/>
      <c r="N132" s="3583"/>
      <c r="O132" s="3583"/>
      <c r="P132" s="3583"/>
    </row>
    <row r="133" spans="2:16">
      <c r="B133" s="600"/>
      <c r="C133" s="33"/>
      <c r="D133" s="3046"/>
      <c r="E133" s="3046"/>
      <c r="F133" s="3046"/>
      <c r="H133" s="3046"/>
      <c r="I133" s="3046"/>
      <c r="J133" s="3046"/>
      <c r="K133" s="3046"/>
      <c r="L133" s="33"/>
      <c r="M133" s="3046"/>
      <c r="N133" s="3583"/>
      <c r="O133" s="3583"/>
      <c r="P133" s="3583"/>
    </row>
    <row r="134" spans="2:16">
      <c r="B134" s="600"/>
      <c r="C134" s="33"/>
      <c r="D134" s="3046"/>
      <c r="E134" s="3046"/>
      <c r="F134" s="3046"/>
      <c r="H134" s="3046"/>
      <c r="I134" s="3046"/>
      <c r="J134" s="3046"/>
      <c r="K134" s="3046"/>
      <c r="L134" s="33"/>
      <c r="M134" s="3046"/>
      <c r="N134" s="3583"/>
      <c r="O134" s="3583"/>
      <c r="P134" s="3583"/>
    </row>
    <row r="135" spans="2:16">
      <c r="B135" s="600"/>
      <c r="C135" s="33"/>
      <c r="D135" s="3046"/>
      <c r="E135" s="3046"/>
      <c r="F135" s="3046"/>
      <c r="H135" s="3046"/>
      <c r="I135" s="3046"/>
      <c r="J135" s="3046"/>
      <c r="K135" s="3046"/>
      <c r="L135" s="33"/>
      <c r="M135" s="3046"/>
      <c r="N135" s="3583"/>
      <c r="O135" s="3583"/>
      <c r="P135" s="3583"/>
    </row>
    <row r="136" spans="2:16">
      <c r="B136" s="600"/>
      <c r="C136" s="33"/>
      <c r="D136" s="3046"/>
      <c r="E136" s="3046"/>
      <c r="F136" s="3046"/>
      <c r="H136" s="3046"/>
      <c r="I136" s="3046"/>
      <c r="J136" s="3046"/>
      <c r="K136" s="3046"/>
      <c r="L136" s="33"/>
      <c r="M136" s="3046"/>
      <c r="N136" s="3583"/>
      <c r="O136" s="3583"/>
      <c r="P136" s="3583"/>
    </row>
    <row r="137" spans="2:16">
      <c r="B137" s="600"/>
      <c r="C137" s="33"/>
      <c r="D137" s="3046"/>
      <c r="E137" s="3046"/>
      <c r="F137" s="3046"/>
      <c r="H137" s="3046"/>
      <c r="I137" s="3046"/>
      <c r="J137" s="3046"/>
      <c r="K137" s="3046"/>
      <c r="L137" s="33"/>
      <c r="M137" s="3046"/>
      <c r="N137" s="3583"/>
      <c r="O137" s="3583"/>
      <c r="P137" s="3583"/>
    </row>
    <row r="138" spans="2:16">
      <c r="B138" s="600"/>
      <c r="C138" s="33"/>
      <c r="D138" s="3046"/>
      <c r="E138" s="3046"/>
      <c r="F138" s="3046"/>
      <c r="H138" s="3046"/>
      <c r="I138" s="3046"/>
      <c r="J138" s="3046"/>
      <c r="K138" s="3046"/>
      <c r="L138" s="33"/>
      <c r="M138" s="3046"/>
      <c r="N138" s="3583"/>
      <c r="O138" s="3583"/>
      <c r="P138" s="3583"/>
    </row>
    <row r="139" spans="2:16">
      <c r="B139" s="600"/>
      <c r="C139" s="33"/>
      <c r="D139" s="3046"/>
      <c r="E139" s="3046"/>
      <c r="F139" s="3046"/>
      <c r="H139" s="3046"/>
      <c r="I139" s="3046"/>
      <c r="J139" s="3046"/>
      <c r="K139" s="3046"/>
      <c r="L139" s="33"/>
      <c r="M139" s="3046"/>
      <c r="N139" s="3583"/>
      <c r="O139" s="3583"/>
      <c r="P139" s="3583"/>
    </row>
    <row r="140" spans="2:16">
      <c r="B140" s="600"/>
      <c r="C140" s="33"/>
      <c r="D140" s="3046"/>
      <c r="E140" s="3046"/>
      <c r="F140" s="3046"/>
      <c r="H140" s="3046"/>
      <c r="I140" s="3046"/>
      <c r="J140" s="3046"/>
      <c r="K140" s="3046"/>
      <c r="L140" s="33"/>
      <c r="M140" s="3046"/>
      <c r="N140" s="3583"/>
      <c r="O140" s="3583"/>
      <c r="P140" s="3583"/>
    </row>
    <row r="141" spans="2:16">
      <c r="B141" s="600"/>
      <c r="C141" s="33"/>
      <c r="D141" s="3046"/>
      <c r="E141" s="3046"/>
      <c r="F141" s="3046"/>
      <c r="H141" s="3046"/>
      <c r="I141" s="3046"/>
      <c r="J141" s="3046"/>
      <c r="K141" s="3046"/>
      <c r="L141" s="33"/>
      <c r="M141" s="3046"/>
      <c r="N141" s="3583"/>
      <c r="O141" s="3583"/>
      <c r="P141" s="3583"/>
    </row>
    <row r="142" spans="2:16">
      <c r="B142" s="600"/>
      <c r="C142" s="33"/>
      <c r="D142" s="3046"/>
      <c r="E142" s="3046"/>
      <c r="F142" s="3046"/>
      <c r="H142" s="3046"/>
      <c r="I142" s="3046"/>
      <c r="J142" s="3046"/>
      <c r="K142" s="3046"/>
      <c r="L142" s="33"/>
      <c r="M142" s="3046"/>
      <c r="N142" s="3046"/>
      <c r="O142" s="3046"/>
      <c r="P142" s="3046"/>
    </row>
    <row r="143" spans="2:16">
      <c r="B143" s="600"/>
      <c r="C143" s="33"/>
      <c r="D143" s="3046"/>
      <c r="E143" s="3046"/>
      <c r="F143" s="3046"/>
      <c r="H143" s="3046"/>
      <c r="I143" s="3046"/>
      <c r="J143" s="3046"/>
      <c r="K143" s="3046"/>
      <c r="L143" s="33"/>
      <c r="M143" s="3046"/>
      <c r="N143" s="3046"/>
      <c r="O143" s="3046"/>
      <c r="P143" s="3046"/>
    </row>
    <row r="144" spans="2:16">
      <c r="B144" s="600"/>
      <c r="C144" s="33"/>
      <c r="D144" s="3046"/>
      <c r="E144" s="3046"/>
      <c r="F144" s="3046"/>
      <c r="H144" s="3046"/>
      <c r="I144" s="3046"/>
      <c r="J144" s="3046"/>
      <c r="K144" s="3046"/>
      <c r="L144" s="33"/>
      <c r="M144" s="3046"/>
      <c r="N144" s="3046"/>
      <c r="O144" s="3046"/>
      <c r="P144" s="3046"/>
    </row>
    <row r="145" spans="2:16">
      <c r="B145" s="600"/>
      <c r="C145" s="33"/>
      <c r="D145" s="3046"/>
      <c r="E145" s="3046"/>
      <c r="F145" s="3046"/>
      <c r="H145" s="3046"/>
      <c r="I145" s="3046"/>
      <c r="J145" s="3046"/>
      <c r="K145" s="3046"/>
      <c r="L145" s="33"/>
      <c r="M145" s="3046"/>
      <c r="N145" s="3046"/>
      <c r="O145" s="3046"/>
      <c r="P145" s="3046"/>
    </row>
    <row r="146" spans="2:16">
      <c r="B146" s="600"/>
      <c r="C146" s="33"/>
      <c r="D146" s="3046"/>
      <c r="E146" s="3046"/>
      <c r="F146" s="3046"/>
      <c r="H146" s="3046"/>
      <c r="I146" s="3046"/>
      <c r="J146" s="3046"/>
      <c r="K146" s="3046"/>
      <c r="L146" s="33"/>
      <c r="M146" s="3046"/>
      <c r="N146" s="3046"/>
      <c r="O146" s="3046"/>
      <c r="P146" s="3046"/>
    </row>
    <row r="147" spans="2:16">
      <c r="B147" s="600"/>
      <c r="C147" s="33"/>
      <c r="D147" s="3046"/>
      <c r="E147" s="3046"/>
      <c r="F147" s="3046"/>
      <c r="H147" s="3046"/>
      <c r="I147" s="3046"/>
      <c r="J147" s="3046"/>
      <c r="K147" s="3046"/>
      <c r="L147" s="33"/>
      <c r="M147" s="3046"/>
      <c r="N147" s="3046"/>
      <c r="O147" s="3046"/>
      <c r="P147" s="3046"/>
    </row>
    <row r="148" spans="2:16">
      <c r="B148" s="600"/>
      <c r="C148" s="33"/>
      <c r="D148" s="3046"/>
      <c r="E148" s="3046"/>
      <c r="F148" s="3046"/>
      <c r="H148" s="3046"/>
      <c r="I148" s="3046"/>
      <c r="J148" s="3046"/>
      <c r="K148" s="3046"/>
      <c r="L148" s="33"/>
      <c r="M148" s="3046"/>
      <c r="N148" s="3046"/>
      <c r="O148" s="3046"/>
      <c r="P148" s="3046"/>
    </row>
    <row r="149" spans="2:16">
      <c r="B149" s="600"/>
      <c r="C149" s="33"/>
      <c r="D149" s="3046"/>
      <c r="E149" s="3046"/>
      <c r="F149" s="3046"/>
      <c r="H149" s="3046"/>
      <c r="I149" s="3046"/>
      <c r="J149" s="3046"/>
      <c r="K149" s="3046"/>
      <c r="L149" s="3046"/>
      <c r="M149" s="3046"/>
      <c r="N149" s="3046"/>
      <c r="O149" s="3046"/>
      <c r="P149" s="3046"/>
    </row>
    <row r="150" spans="2:16">
      <c r="B150" s="600"/>
      <c r="C150" s="33"/>
      <c r="I150" s="2357"/>
    </row>
    <row r="151" spans="2:16">
      <c r="B151" s="600"/>
      <c r="C151" s="33"/>
      <c r="I151" s="2357"/>
    </row>
    <row r="152" spans="2:16">
      <c r="B152" s="600"/>
      <c r="C152" s="33"/>
      <c r="I152" s="2357"/>
    </row>
    <row r="153" spans="2:16">
      <c r="B153" s="600"/>
      <c r="C153" s="33"/>
      <c r="I153" s="2357"/>
    </row>
    <row r="154" spans="2:16">
      <c r="B154" s="600"/>
      <c r="C154" s="33"/>
      <c r="D154" s="33"/>
      <c r="F154" s="33"/>
      <c r="G154" s="33"/>
      <c r="H154" s="33"/>
      <c r="I154" s="33"/>
      <c r="J154" s="33"/>
      <c r="K154" s="33"/>
    </row>
    <row r="155" spans="2:16">
      <c r="B155" s="600"/>
      <c r="C155" s="33"/>
      <c r="D155" s="33"/>
      <c r="F155" s="33"/>
      <c r="G155" s="33"/>
      <c r="H155" s="33"/>
      <c r="I155" s="33"/>
      <c r="J155" s="33"/>
      <c r="K155" s="33"/>
    </row>
    <row r="156" spans="2:16">
      <c r="B156" s="600"/>
      <c r="C156" s="33"/>
      <c r="D156" s="33"/>
      <c r="F156" s="33"/>
      <c r="G156" s="33"/>
      <c r="H156" s="33"/>
      <c r="I156" s="33"/>
      <c r="J156" s="33"/>
      <c r="K156" s="33"/>
    </row>
    <row r="157" spans="2:16">
      <c r="B157" s="600"/>
      <c r="C157" s="33"/>
    </row>
    <row r="158" spans="2:16">
      <c r="B158" s="600"/>
      <c r="C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21:F21"/>
    <mergeCell ref="C78:F78"/>
    <mergeCell ref="C79:F79"/>
    <mergeCell ref="C16:F16"/>
    <mergeCell ref="D26:E26"/>
    <mergeCell ref="F34:G34"/>
    <mergeCell ref="C73:E73"/>
    <mergeCell ref="C74:E74"/>
    <mergeCell ref="B75:C75"/>
    <mergeCell ref="E22:G22"/>
    <mergeCell ref="C55:D55"/>
    <mergeCell ref="C63:E63"/>
    <mergeCell ref="C68:E68"/>
    <mergeCell ref="C62:E62"/>
    <mergeCell ref="C48:D48"/>
    <mergeCell ref="C17:F17"/>
    <mergeCell ref="C19:F19"/>
    <mergeCell ref="C52:D52"/>
    <mergeCell ref="C57:D57"/>
    <mergeCell ref="C47:D47"/>
    <mergeCell ref="C36:E36"/>
    <mergeCell ref="C37:E37"/>
    <mergeCell ref="C38:E38"/>
    <mergeCell ref="C40:E40"/>
    <mergeCell ref="C41:E41"/>
    <mergeCell ref="C46:D46"/>
    <mergeCell ref="C39:E39"/>
    <mergeCell ref="C42:E42"/>
    <mergeCell ref="F23:G23"/>
    <mergeCell ref="D25:E25"/>
    <mergeCell ref="C20:F20"/>
    <mergeCell ref="C54:D54"/>
    <mergeCell ref="N1:O1"/>
    <mergeCell ref="K2:P2"/>
    <mergeCell ref="J3:L3"/>
    <mergeCell ref="N3:O4"/>
    <mergeCell ref="E4:I4"/>
    <mergeCell ref="J4:L4"/>
    <mergeCell ref="G1:I1"/>
    <mergeCell ref="K1:L1"/>
    <mergeCell ref="N6:O6"/>
    <mergeCell ref="E10:F10"/>
    <mergeCell ref="C14:F14"/>
    <mergeCell ref="C15:F15"/>
    <mergeCell ref="K6:L6"/>
    <mergeCell ref="H6:I6"/>
    <mergeCell ref="C56:D56"/>
    <mergeCell ref="C64:E64"/>
    <mergeCell ref="C53:D53"/>
    <mergeCell ref="C49:D49"/>
    <mergeCell ref="C50:D50"/>
    <mergeCell ref="C51:D51"/>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allowBlank="1" showInputMessage="1" showErrorMessage="1" errorTitle="Organisationsabh. Ausgleichsl." error="Bitte aus Dropdownliste auswählen." sqref="C18:F18">
      <formula1>$G$80:$G$81</formula1>
    </dataValidation>
    <dataValidation type="list" allowBlank="1" showInputMessage="1" showErrorMessage="1" sqref="H15:H17 K15:K17 N15:N17">
      <formula1>"ja,nein"</formula1>
    </dataValidation>
    <dataValidation type="list" showInputMessage="1" showErrorMessage="1" sqref="H14 K14 N14">
      <formula1>"ja,nein"</formula1>
    </dataValidation>
  </dataValidations>
  <printOptions horizontalCentered="1"/>
  <pageMargins left="0.59055118110236227" right="0.57999999999999996" top="0.59055118110236227" bottom="0.59055118110236227" header="0.39370078740157483" footer="0.39370078740157483"/>
  <pageSetup paperSize="9" scale="70" firstPageNumber="80" orientation="portrait" r:id="rId1"/>
  <headerFooter alignWithMargins="0">
    <oddFooter>&amp;L&amp;11LEL Schwäbisch Gmünd&amp;C18&amp;R&amp;11&amp;F</oddFooter>
  </headerFooter>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Organisationsabh. Ausgleichsl." error="Bitte aus Dropdownliste auswählen.">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0">
    <tabColor rgb="FFFFFF00"/>
    <pageSetUpPr fitToPage="1"/>
  </sheetPr>
  <dimension ref="A1:AO208"/>
  <sheetViews>
    <sheetView showZeros="0" topLeftCell="A2" zoomScaleNormal="100" workbookViewId="0">
      <selection activeCell="A2" sqref="A2"/>
    </sheetView>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2" width="10.5" style="3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1459.2993680744971</v>
      </c>
      <c r="K1" s="4855">
        <f>M1-J1</f>
        <v>440.50909462968343</v>
      </c>
      <c r="L1" s="4855"/>
      <c r="M1" s="1874">
        <f>(M7+M13+M18+M22+L11+L12)-(M23+M27+M34+M43+M60+M65+M67+M69+M71+M75)</f>
        <v>1899.8084627041806</v>
      </c>
      <c r="N1" s="4855">
        <f>P1-M1</f>
        <v>881.01818925936755</v>
      </c>
      <c r="O1" s="4855"/>
      <c r="P1" s="1874">
        <f>(P7+P13+P18+P22+O11+O12)-(P23+P27+P34+P43+P60+P65+P67+P69+P71+P75)</f>
        <v>2780.8266519635481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1890</v>
      </c>
      <c r="L2" s="4867"/>
      <c r="M2" s="4867"/>
      <c r="N2" s="4867"/>
      <c r="O2" s="4867"/>
      <c r="P2" s="4867"/>
      <c r="Q2" s="2475"/>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30</v>
      </c>
      <c r="K6" s="4874" t="s">
        <v>152</v>
      </c>
      <c r="L6" s="4875"/>
      <c r="M6" s="1855">
        <v>40</v>
      </c>
      <c r="N6" s="4861" t="s">
        <v>178</v>
      </c>
      <c r="O6" s="4862"/>
      <c r="P6" s="1854">
        <v>60</v>
      </c>
      <c r="Q6" s="70"/>
    </row>
    <row r="7" spans="1:41" s="251" customFormat="1" ht="18.75" customHeight="1">
      <c r="A7" s="47"/>
      <c r="B7" s="305" t="s">
        <v>1633</v>
      </c>
      <c r="C7" s="47"/>
      <c r="D7" s="47"/>
      <c r="E7" s="47"/>
      <c r="F7" s="47"/>
      <c r="G7" s="1852" t="s">
        <v>171</v>
      </c>
      <c r="H7" s="1849"/>
      <c r="I7" s="1848"/>
      <c r="J7" s="1582">
        <f>SUM(I9:I10)</f>
        <v>1530</v>
      </c>
      <c r="K7" s="1851"/>
      <c r="L7" s="1850"/>
      <c r="M7" s="1585">
        <f>SUM(L9:L10)</f>
        <v>2040</v>
      </c>
      <c r="N7" s="1849"/>
      <c r="O7" s="1848"/>
      <c r="P7" s="1582">
        <f>SUM(O9:O10)</f>
        <v>3060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SDÖ1!O17</f>
        <v>51</v>
      </c>
      <c r="H9" s="1845">
        <f>J6-H10</f>
        <v>30</v>
      </c>
      <c r="I9" s="1841">
        <f>H9*G9</f>
        <v>1530</v>
      </c>
      <c r="J9" s="43"/>
      <c r="K9" s="1844">
        <f>M6-K10</f>
        <v>40</v>
      </c>
      <c r="L9" s="1843">
        <f>K9*G9</f>
        <v>2040</v>
      </c>
      <c r="M9" s="1822"/>
      <c r="N9" s="1842">
        <f>P6-N10</f>
        <v>60</v>
      </c>
      <c r="O9" s="1841">
        <f>N9*G9</f>
        <v>3060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288</v>
      </c>
      <c r="S10" s="1830">
        <f>L10+L11+L12</f>
        <v>384</v>
      </c>
      <c r="T10" s="1829">
        <f>O10+O11+O12</f>
        <v>576</v>
      </c>
      <c r="W10" s="251" t="s">
        <v>1198</v>
      </c>
    </row>
    <row r="11" spans="1:41" s="1810" customFormat="1" ht="15" customHeight="1">
      <c r="A11" s="370"/>
      <c r="B11" s="272"/>
      <c r="C11" s="45" t="s">
        <v>1197</v>
      </c>
      <c r="D11" s="370"/>
      <c r="E11" s="1828">
        <v>0.8</v>
      </c>
      <c r="F11" s="45" t="s">
        <v>1196</v>
      </c>
      <c r="G11" s="1827">
        <f>SDÖ1!$O$51</f>
        <v>12</v>
      </c>
      <c r="H11" s="1826">
        <f>IF($T$3=FALSE,0,J6*$E$11)</f>
        <v>24</v>
      </c>
      <c r="I11" s="1820">
        <f>H11*$G$11</f>
        <v>288</v>
      </c>
      <c r="J11" s="1825"/>
      <c r="K11" s="1824">
        <f>IF($T$3=FALSE,0,M6*$E$11)</f>
        <v>32</v>
      </c>
      <c r="L11" s="1823">
        <f>K11*$G$11</f>
        <v>384</v>
      </c>
      <c r="M11" s="1822"/>
      <c r="N11" s="1821">
        <f>IF($T$3=FALSE,0,P6*$E$11)</f>
        <v>48</v>
      </c>
      <c r="O11" s="1820">
        <f>N11*$G$11</f>
        <v>576</v>
      </c>
      <c r="P11" s="43"/>
      <c r="Q11" s="3641"/>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24</v>
      </c>
      <c r="Y12" s="1807">
        <f>IF(OR(T3=TRUE,T4=TRUE),M6*$E$11,"0")</f>
        <v>32</v>
      </c>
      <c r="Z12" s="1806">
        <f>IF(OR(T3=TRUE,T4=TRUE),P6*$E$11,"0")</f>
        <v>48</v>
      </c>
    </row>
    <row r="13" spans="1:41" s="251" customFormat="1" ht="18.75" customHeight="1">
      <c r="A13" s="47"/>
      <c r="B13" s="264" t="s">
        <v>1630</v>
      </c>
      <c r="C13" s="47"/>
      <c r="D13" s="47"/>
      <c r="E13" s="47"/>
      <c r="F13" s="47"/>
      <c r="G13" s="1809" t="s">
        <v>171</v>
      </c>
      <c r="H13" s="1792"/>
      <c r="I13" s="1791"/>
      <c r="J13" s="1582">
        <f>SUM(I14:I17)</f>
        <v>340</v>
      </c>
      <c r="K13" s="1794"/>
      <c r="L13" s="1793"/>
      <c r="M13" s="1585">
        <f>SUM(L14:L16)</f>
        <v>340</v>
      </c>
      <c r="N13" s="1792"/>
      <c r="O13" s="1791"/>
      <c r="P13" s="1582">
        <f>SUM(O14:O16)</f>
        <v>340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t="s">
        <v>2045</v>
      </c>
      <c r="D15" s="4860"/>
      <c r="E15" s="4860"/>
      <c r="F15" s="4860"/>
      <c r="G15" s="1805"/>
      <c r="H15" s="1935" t="s">
        <v>1241</v>
      </c>
      <c r="I15" s="1785">
        <f>IF(H15="ja",Q15,0)</f>
        <v>100</v>
      </c>
      <c r="J15" s="45"/>
      <c r="K15" s="1935" t="s">
        <v>1241</v>
      </c>
      <c r="L15" s="1639">
        <f>IF(K15="ja",Q15,0)</f>
        <v>100</v>
      </c>
      <c r="M15" s="1557"/>
      <c r="N15" s="1935" t="s">
        <v>1241</v>
      </c>
      <c r="O15" s="1785">
        <f>IF(N15="ja",Q15,0)</f>
        <v>100</v>
      </c>
      <c r="P15" s="1554"/>
      <c r="Q15" s="1803">
        <f>IF(C15=0,0,VLOOKUP(C15,'SD2'!$C$11:$N$49,'SD2'!$N$1,FALSE))</f>
        <v>100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4018"/>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695.4</v>
      </c>
      <c r="S19" s="1784">
        <f>M13+M18</f>
        <v>695.4</v>
      </c>
      <c r="T19" s="1784">
        <f>P13+P18</f>
        <v>695.4</v>
      </c>
    </row>
    <row r="20" spans="1:20" s="3981" customFormat="1" ht="15.6" customHeight="1">
      <c r="A20" s="3857"/>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75"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174.8</v>
      </c>
      <c r="K23" s="1587"/>
      <c r="L23" s="1586"/>
      <c r="M23" s="1768">
        <f>SUM(L25:L26)</f>
        <v>174.8</v>
      </c>
      <c r="N23" s="1584"/>
      <c r="O23" s="1583"/>
      <c r="P23" s="1567">
        <f>SUM(O25:O26)</f>
        <v>174.8</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0.92</v>
      </c>
      <c r="G25" s="1762">
        <f>F25*(100+$D$24)/100</f>
        <v>0.92</v>
      </c>
      <c r="H25" s="1761">
        <v>190</v>
      </c>
      <c r="I25" s="1722">
        <f>H25*$G25</f>
        <v>174.8</v>
      </c>
      <c r="J25" s="45"/>
      <c r="K25" s="1761">
        <f>H25</f>
        <v>190</v>
      </c>
      <c r="L25" s="1564">
        <f>K25*$G25</f>
        <v>174.8</v>
      </c>
      <c r="M25" s="1557"/>
      <c r="N25" s="1761">
        <f>H25</f>
        <v>190</v>
      </c>
      <c r="O25" s="1722">
        <f>N25*$G25</f>
        <v>174.8</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424.29700000000003</v>
      </c>
      <c r="K27" s="1716"/>
      <c r="L27" s="1715"/>
      <c r="M27" s="1585">
        <f>SUM(L30:L33)</f>
        <v>536.596</v>
      </c>
      <c r="N27" s="1714"/>
      <c r="O27" s="1713"/>
      <c r="P27" s="1582">
        <f>SUM(O30:O33)</f>
        <v>761.19399999999996</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VLOOKUP('SD8'!B11,'SD8'!B9:K44,3,FALSE)</f>
        <v>2.11</v>
      </c>
      <c r="F30" s="1742"/>
      <c r="G30" s="1741">
        <v>20</v>
      </c>
      <c r="H30" s="1739">
        <f>IF(J$6=0,0,(J$6*$E30+$G30+X13))</f>
        <v>83.3</v>
      </c>
      <c r="I30" s="1722">
        <f>H30*$D30</f>
        <v>364.02100000000002</v>
      </c>
      <c r="J30" s="45"/>
      <c r="K30" s="1740">
        <f>IF(M$6=0,0,(M$6*$E30+$G30+AA14))</f>
        <v>104.39999999999999</v>
      </c>
      <c r="L30" s="1564">
        <f>K30*$D30</f>
        <v>456.22799999999995</v>
      </c>
      <c r="M30" s="1557"/>
      <c r="N30" s="1739">
        <f>IF(P$6=0,0,(P$6*$E30+$G30+AD14))</f>
        <v>146.6</v>
      </c>
      <c r="O30" s="1722">
        <f>N30*$D30</f>
        <v>640.64199999999994</v>
      </c>
      <c r="P30" s="1686"/>
      <c r="Q30" s="32"/>
    </row>
    <row r="31" spans="1:20" s="42" customFormat="1" ht="15" customHeight="1">
      <c r="A31" s="1284"/>
      <c r="B31" s="272"/>
      <c r="C31" s="1284" t="s">
        <v>244</v>
      </c>
      <c r="D31" s="1691">
        <f>IF(SDÖ1!$U$17=TRUE,SDÖ1!O56,0)</f>
        <v>1.3740000000000001</v>
      </c>
      <c r="E31" s="1742">
        <f>VLOOKUP('SD8'!B11,'SD8'!B9:K44,4,FALSE)</f>
        <v>0.8</v>
      </c>
      <c r="F31" s="1742"/>
      <c r="G31" s="1741"/>
      <c r="H31" s="1739">
        <f>IF(J$6=0,0,(J$6*$E31+$G31+X14))</f>
        <v>24</v>
      </c>
      <c r="I31" s="1722">
        <f>H31*$D31</f>
        <v>32.975999999999999</v>
      </c>
      <c r="J31" s="45"/>
      <c r="K31" s="1740">
        <f>IF(M$6=0,0,(M$6*$E31+$G31+Y14))</f>
        <v>32</v>
      </c>
      <c r="L31" s="1564">
        <f>K31*$D31</f>
        <v>43.968000000000004</v>
      </c>
      <c r="M31" s="1557"/>
      <c r="N31" s="1739">
        <f>IF(P$6=0,0,(P$6*$E31+$G31+Z14))</f>
        <v>48</v>
      </c>
      <c r="O31" s="1722">
        <f>N31*$D31</f>
        <v>65.951999999999998</v>
      </c>
      <c r="P31" s="1686"/>
      <c r="Q31" s="32"/>
    </row>
    <row r="32" spans="1:20" s="686" customFormat="1" ht="18.75" customHeight="1">
      <c r="A32" s="1248"/>
      <c r="B32" s="272"/>
      <c r="C32" s="1284" t="s">
        <v>242</v>
      </c>
      <c r="D32" s="1691">
        <f>IF(SDÖ1!$U$17=TRUE,SDÖ1!O57,0)</f>
        <v>1.35</v>
      </c>
      <c r="E32" s="1742">
        <f>VLOOKUP('SD8'!B11,'SD8'!B9:K44,5,FALSE)</f>
        <v>0.6</v>
      </c>
      <c r="F32" s="1742"/>
      <c r="G32" s="1741"/>
      <c r="H32" s="1739">
        <f>IF(J$6=0,0,(J$6*$E32+$G32+X15))</f>
        <v>18</v>
      </c>
      <c r="I32" s="1722">
        <f>H32*$D32</f>
        <v>24.3</v>
      </c>
      <c r="J32" s="45"/>
      <c r="K32" s="1740">
        <f>IF(M$6=0,0,(M$6*$E32+$G32+Y15))</f>
        <v>24</v>
      </c>
      <c r="L32" s="1564">
        <f>K32*$D32</f>
        <v>32.400000000000006</v>
      </c>
      <c r="M32" s="1557"/>
      <c r="N32" s="1739">
        <f>IF(P$6=0,0,(P$6*$E32+$G32+Z15))</f>
        <v>36</v>
      </c>
      <c r="O32" s="1722">
        <f>N32*$D32</f>
        <v>48.6</v>
      </c>
      <c r="P32" s="1686"/>
      <c r="Q32" s="32"/>
    </row>
    <row r="33" spans="1:17" s="686" customFormat="1" ht="13.15" customHeight="1">
      <c r="A33" s="1248"/>
      <c r="B33" s="239"/>
      <c r="C33" s="1309" t="s">
        <v>240</v>
      </c>
      <c r="D33" s="1674">
        <f>IF(SDÖ1!$U$17=TRUE,SDÖ1!O58,0)</f>
        <v>0.5</v>
      </c>
      <c r="E33" s="3591">
        <f>VLOOKUP('SD8'!B11,'SD8'!B9:K44,6,FALSE)</f>
        <v>0.2</v>
      </c>
      <c r="F33" s="1738"/>
      <c r="G33" s="1737"/>
      <c r="H33" s="1735">
        <f>IF(J$6=0,0,(J$6*$E33+$G33+X16))</f>
        <v>6</v>
      </c>
      <c r="I33" s="1718">
        <f>H33*$D33</f>
        <v>3</v>
      </c>
      <c r="J33" s="45"/>
      <c r="K33" s="1736">
        <f>IF(M$6=0,0,(M$6*$E33+$G33+Y16))</f>
        <v>8</v>
      </c>
      <c r="L33" s="1558">
        <f>K33*$D33</f>
        <v>4</v>
      </c>
      <c r="M33" s="1557"/>
      <c r="N33" s="1735">
        <f>IF(P$6=0,0,(P$6*$E33+$G33+Z16))</f>
        <v>12</v>
      </c>
      <c r="O33" s="1718">
        <f>N33*$D33</f>
        <v>6</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147.41761145848736</v>
      </c>
      <c r="K43" s="1716"/>
      <c r="L43" s="1715"/>
      <c r="M43" s="1585">
        <f>SUM(M46:M57)</f>
        <v>150.09105498763023</v>
      </c>
      <c r="N43" s="1714"/>
      <c r="O43" s="1713"/>
      <c r="P43" s="1582">
        <f>SUM(P46:P57)</f>
        <v>155.43794204591595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t="s">
        <v>462</v>
      </c>
      <c r="D46" s="4859"/>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82" t="s">
        <v>410</v>
      </c>
      <c r="D49" s="4883"/>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 t="shared" si="6"/>
        <v>0.54</v>
      </c>
      <c r="M49" s="1689">
        <f t="shared" si="7"/>
        <v>12.112956378823529</v>
      </c>
      <c r="N49" s="1688">
        <v>2</v>
      </c>
      <c r="O49" s="1687">
        <f t="shared" si="8"/>
        <v>0.54</v>
      </c>
      <c r="P49" s="1686">
        <f t="shared" si="9"/>
        <v>12.112956378823529</v>
      </c>
      <c r="Q49" s="32"/>
    </row>
    <row r="50" spans="1:17" s="42" customFormat="1" ht="15" customHeight="1">
      <c r="A50" s="1284"/>
      <c r="B50" s="1694"/>
      <c r="C50" s="4882" t="s">
        <v>459</v>
      </c>
      <c r="D50" s="4883"/>
      <c r="E50" s="1693">
        <f>IF($C50=0,0,VLOOKUP($C50,SDÖ3!$C$24:$O$99,4,FALSE))</f>
        <v>102</v>
      </c>
      <c r="F50" s="1692">
        <f>IF($C50=0,0,VLOOKUP($C50,SDÖ3!$C$24:$O$99,12,FALSE))</f>
        <v>0.79</v>
      </c>
      <c r="G50" s="1691">
        <f>IF($C50=0,0,VLOOKUP($C50,SDÖ3!$C$24:$O$99,13,FALSE))</f>
        <v>21.737240200000002</v>
      </c>
      <c r="H50" s="1688">
        <v>1</v>
      </c>
      <c r="I50" s="1687">
        <f t="shared" si="4"/>
        <v>0.79</v>
      </c>
      <c r="J50" s="1686">
        <f t="shared" si="5"/>
        <v>21.737240200000002</v>
      </c>
      <c r="K50" s="1688">
        <v>1</v>
      </c>
      <c r="L50" s="1690">
        <f t="shared" si="6"/>
        <v>0.79</v>
      </c>
      <c r="M50" s="1689">
        <f t="shared" si="7"/>
        <v>21.737240200000002</v>
      </c>
      <c r="N50" s="1688">
        <v>1</v>
      </c>
      <c r="O50" s="1687">
        <f t="shared" si="8"/>
        <v>0.79</v>
      </c>
      <c r="P50" s="1686">
        <f t="shared" si="9"/>
        <v>21.737240200000002</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t="s">
        <v>403</v>
      </c>
      <c r="D53" s="4883"/>
      <c r="E53" s="1693">
        <f>IF($C53=0,0,VLOOKUP($C53,SDÖ3!$C$24:$O$99,4,FALSE))</f>
        <v>83</v>
      </c>
      <c r="F53" s="1692">
        <f>IF($C53=0,0,VLOOKUP($C53,SDÖ3!$C$24:$O$99,12,FALSE))</f>
        <v>0.56000000000000005</v>
      </c>
      <c r="G53" s="1691">
        <f>IF($C53=0,0,VLOOKUP($C53,SDÖ3!$C$24:$O$99,13,FALSE))</f>
        <v>9.6134362447058805</v>
      </c>
      <c r="H53" s="1688">
        <f>J6/40+0.3</f>
        <v>1.05</v>
      </c>
      <c r="I53" s="1687">
        <f t="shared" si="4"/>
        <v>0.58800000000000008</v>
      </c>
      <c r="J53" s="1686">
        <f t="shared" si="5"/>
        <v>10.094108056941176</v>
      </c>
      <c r="K53" s="1688">
        <f>J6/40+0.3</f>
        <v>1.05</v>
      </c>
      <c r="L53" s="1690">
        <f t="shared" si="6"/>
        <v>0.58800000000000008</v>
      </c>
      <c r="M53" s="1689">
        <f t="shared" si="7"/>
        <v>10.094108056941176</v>
      </c>
      <c r="N53" s="1688">
        <f>J6/40+0.3</f>
        <v>1.05</v>
      </c>
      <c r="O53" s="1687">
        <f t="shared" si="8"/>
        <v>0.58800000000000008</v>
      </c>
      <c r="P53" s="1686">
        <f t="shared" si="9"/>
        <v>10.094108056941176</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0.68571428571428572</v>
      </c>
      <c r="I57" s="1671">
        <f t="shared" si="4"/>
        <v>0.4662857142857143</v>
      </c>
      <c r="J57" s="1670">
        <f t="shared" si="5"/>
        <v>8.0203305874285711</v>
      </c>
      <c r="K57" s="3635">
        <f>K11/35</f>
        <v>0.91428571428571426</v>
      </c>
      <c r="L57" s="1673">
        <f t="shared" si="6"/>
        <v>0.62171428571428577</v>
      </c>
      <c r="M57" s="1620">
        <f t="shared" si="7"/>
        <v>10.693774116571428</v>
      </c>
      <c r="N57" s="3634">
        <f>N11/35</f>
        <v>1.3714285714285714</v>
      </c>
      <c r="O57" s="1671">
        <f t="shared" si="8"/>
        <v>0.93257142857142861</v>
      </c>
      <c r="P57" s="1670">
        <f t="shared" si="9"/>
        <v>16.040661174857142</v>
      </c>
      <c r="Q57" s="3626"/>
    </row>
    <row r="58" spans="1:17" s="686" customFormat="1" ht="18.75" customHeight="1">
      <c r="A58" s="1248"/>
      <c r="B58" s="1254" t="s">
        <v>1167</v>
      </c>
      <c r="C58" s="1351"/>
      <c r="D58" s="1351"/>
      <c r="E58" s="1351"/>
      <c r="F58" s="38"/>
      <c r="G58" s="1588"/>
      <c r="H58" s="1665"/>
      <c r="I58" s="1664">
        <f>SUM($I$46:$I$57)</f>
        <v>4.8742857142857146</v>
      </c>
      <c r="J58" s="1669"/>
      <c r="K58" s="1668"/>
      <c r="L58" s="1667">
        <f>SUM($L$46:$L$57)</f>
        <v>5.0297142857142862</v>
      </c>
      <c r="M58" s="1666"/>
      <c r="N58" s="1665"/>
      <c r="O58" s="1664">
        <f>SUM($O$46:$O$57)</f>
        <v>5.3405714285714287</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8.773714285714286</v>
      </c>
      <c r="J59" s="1654"/>
      <c r="K59" s="1659"/>
      <c r="L59" s="1658">
        <f>IF(L58+SUM($L$46:$L$57)*$E$59%&gt;L58+10,L58+10,L58+SUM($L$46:$L$57)*$E$59%)</f>
        <v>9.0534857142857152</v>
      </c>
      <c r="M59" s="1657"/>
      <c r="N59" s="1656"/>
      <c r="O59" s="1655">
        <f>IF(O58+SUM($O$46:$O$57)*$E$59%&gt;O58+10,O58+10,O58+SUM($O$46:$O$57)*$E$59%)</f>
        <v>9.6130285714285719</v>
      </c>
      <c r="P59" s="1654"/>
      <c r="Q59" s="32"/>
    </row>
    <row r="60" spans="1:17" s="65" customFormat="1" ht="18.75" customHeight="1">
      <c r="A60" s="1351"/>
      <c r="B60" s="3859" t="s">
        <v>1164</v>
      </c>
      <c r="C60" s="3862"/>
      <c r="D60" s="3862"/>
      <c r="E60" s="3852"/>
      <c r="F60" s="3852"/>
      <c r="G60" s="3908"/>
      <c r="H60" s="3904"/>
      <c r="I60" s="3903"/>
      <c r="J60" s="1652">
        <f>IF(J6=0,0,SUM(I62:I64))</f>
        <v>216.79999999999998</v>
      </c>
      <c r="K60" s="3906"/>
      <c r="L60" s="3905"/>
      <c r="M60" s="1585">
        <f>IF(M6=0,0,SUM(L62:L64))</f>
        <v>239.2</v>
      </c>
      <c r="N60" s="3904"/>
      <c r="O60" s="3903"/>
      <c r="P60" s="1652">
        <f>IF(P6=0,0,SUM(O62:O64))</f>
        <v>284</v>
      </c>
      <c r="Q60" s="32"/>
    </row>
    <row r="61" spans="1:17" s="65" customFormat="1" ht="15" customHeight="1">
      <c r="A61" s="1351"/>
      <c r="B61" s="3871"/>
      <c r="C61" s="3870" t="s">
        <v>1156</v>
      </c>
      <c r="D61" s="3907">
        <f>SDÖ1!$O$11</f>
        <v>0</v>
      </c>
      <c r="E61" s="1578"/>
      <c r="F61" s="1574" t="s">
        <v>249</v>
      </c>
      <c r="G61" s="1650" t="s">
        <v>1155</v>
      </c>
      <c r="H61" s="3904"/>
      <c r="I61" s="3903"/>
      <c r="J61" s="1649"/>
      <c r="K61" s="3906"/>
      <c r="L61" s="3905"/>
      <c r="M61" s="1646"/>
      <c r="N61" s="3904"/>
      <c r="O61" s="3903"/>
      <c r="P61" s="1643"/>
      <c r="Q61" s="32"/>
    </row>
    <row r="62" spans="1:17" s="42" customFormat="1" ht="18.75" customHeight="1">
      <c r="A62" s="1284"/>
      <c r="B62" s="3866"/>
      <c r="C62" s="4917" t="s">
        <v>332</v>
      </c>
      <c r="D62" s="4917"/>
      <c r="E62" s="4918"/>
      <c r="F62" s="3902">
        <f>IF($C62=0,0,VLOOKUP($C62,'SDK3'!$C$92:$D$106,2,FALSE))</f>
        <v>149.6</v>
      </c>
      <c r="G62" s="3901">
        <f>(100+$D$61)/100*F62</f>
        <v>149.6</v>
      </c>
      <c r="H62" s="3853"/>
      <c r="I62" s="3897">
        <f>$G$62</f>
        <v>149.6</v>
      </c>
      <c r="J62" s="3853"/>
      <c r="K62" s="3900"/>
      <c r="L62" s="3899">
        <f>$G$62</f>
        <v>149.6</v>
      </c>
      <c r="M62" s="3864"/>
      <c r="N62" s="3898"/>
      <c r="O62" s="3897">
        <f>$G$62</f>
        <v>149.6</v>
      </c>
      <c r="P62" s="3896"/>
      <c r="Q62" s="32"/>
    </row>
    <row r="63" spans="1:17" s="42" customFormat="1" ht="13.15" customHeight="1">
      <c r="A63" s="1284"/>
      <c r="B63" s="3895"/>
      <c r="C63" s="4892"/>
      <c r="D63" s="4892"/>
      <c r="E63" s="4893"/>
      <c r="F63" s="3894">
        <f>IF($C63=0,0,VLOOKUP($C63,'SDK3'!$C$92:$D$106,2,FALSE))</f>
        <v>0</v>
      </c>
      <c r="G63" s="3893">
        <f>(100+$D$61)/100*F63</f>
        <v>0</v>
      </c>
      <c r="H63" s="3892"/>
      <c r="I63" s="3887">
        <f>$G$63</f>
        <v>0</v>
      </c>
      <c r="J63" s="3892"/>
      <c r="K63" s="3891"/>
      <c r="L63" s="3890">
        <f>$G$63</f>
        <v>0</v>
      </c>
      <c r="M63" s="3889"/>
      <c r="N63" s="3888"/>
      <c r="O63" s="3887">
        <f>$G$63</f>
        <v>0</v>
      </c>
      <c r="P63" s="3886"/>
      <c r="Q63" s="32"/>
    </row>
    <row r="64" spans="1:17" s="42" customFormat="1" ht="15" customHeight="1">
      <c r="A64" s="1284"/>
      <c r="B64" s="3885"/>
      <c r="C64" s="4948" t="s">
        <v>307</v>
      </c>
      <c r="D64" s="4948"/>
      <c r="E64" s="4949"/>
      <c r="F64" s="3884">
        <f>IF($T$3=FALSE,0,VLOOKUP($C64,'SDK3'!$C$92:$D$106,2,FALSE))</f>
        <v>2.8</v>
      </c>
      <c r="G64" s="3883">
        <f>(100+$D$61)/100*F64</f>
        <v>2.8</v>
      </c>
      <c r="H64" s="3880"/>
      <c r="I64" s="3879">
        <f>H11*$G$64</f>
        <v>67.199999999999989</v>
      </c>
      <c r="J64" s="3853"/>
      <c r="K64" s="3882"/>
      <c r="L64" s="3881">
        <f>K11*$G$64</f>
        <v>89.6</v>
      </c>
      <c r="M64" s="1620"/>
      <c r="N64" s="3880"/>
      <c r="O64" s="3879">
        <f>N11*$G$64</f>
        <v>134.39999999999998</v>
      </c>
      <c r="P64" s="3878"/>
      <c r="Q64" s="32"/>
    </row>
    <row r="65" spans="1:20" s="42" customFormat="1" ht="15" customHeight="1">
      <c r="A65" s="1284"/>
      <c r="B65" s="3859" t="s">
        <v>1163</v>
      </c>
      <c r="C65" s="3858"/>
      <c r="D65" s="3858"/>
      <c r="E65" s="3858"/>
      <c r="F65" s="38"/>
      <c r="G65" s="1588"/>
      <c r="H65" s="73"/>
      <c r="I65" s="73"/>
      <c r="J65" s="1582">
        <f>H66*$E66</f>
        <v>0</v>
      </c>
      <c r="K65" s="1597"/>
      <c r="L65" s="1597"/>
      <c r="M65" s="1585">
        <f>K66*$E66</f>
        <v>0</v>
      </c>
      <c r="N65" s="73"/>
      <c r="O65" s="73"/>
      <c r="P65" s="1582">
        <f>N66*$E66</f>
        <v>0</v>
      </c>
      <c r="Q65" s="32"/>
    </row>
    <row r="66" spans="1:20" s="42" customFormat="1" ht="15" customHeight="1">
      <c r="A66" s="1284"/>
      <c r="B66" s="3877"/>
      <c r="C66" s="3863"/>
      <c r="D66" s="3855" t="s">
        <v>1004</v>
      </c>
      <c r="E66" s="3876"/>
      <c r="F66" s="3872"/>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108.30000000000001</v>
      </c>
      <c r="Q67" s="32"/>
    </row>
    <row r="68" spans="1:20" s="686" customFormat="1" ht="15" customHeight="1">
      <c r="A68" s="1248"/>
      <c r="B68" s="1605"/>
      <c r="C68" s="4888" t="s">
        <v>1159</v>
      </c>
      <c r="D68" s="4888"/>
      <c r="E68" s="4922"/>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3859" t="s">
        <v>1158</v>
      </c>
      <c r="C69" s="3858"/>
      <c r="D69" s="3858"/>
      <c r="E69" s="38"/>
      <c r="F69" s="38"/>
      <c r="G69" s="1588"/>
      <c r="H69" s="44"/>
      <c r="I69" s="73"/>
      <c r="J69" s="1582">
        <f>H70*$F70/1000</f>
        <v>24.48</v>
      </c>
      <c r="K69" s="1598"/>
      <c r="L69" s="1597"/>
      <c r="M69" s="1585">
        <f>K70*$F70/1000</f>
        <v>32.64</v>
      </c>
      <c r="N69" s="44"/>
      <c r="O69" s="73"/>
      <c r="P69" s="1582">
        <f>N70*$F70/1000</f>
        <v>48.96</v>
      </c>
      <c r="Q69" s="32"/>
    </row>
    <row r="70" spans="1:20" s="686" customFormat="1" ht="15" customHeight="1">
      <c r="A70" s="1248"/>
      <c r="B70" s="3861"/>
      <c r="C70" s="3860" t="s">
        <v>840</v>
      </c>
      <c r="D70" s="346"/>
      <c r="E70" s="3855"/>
      <c r="F70" s="3873">
        <f>'SDK7'!G101</f>
        <v>16</v>
      </c>
      <c r="G70" s="1595" t="s">
        <v>171</v>
      </c>
      <c r="H70" s="1591">
        <f>I9+I10</f>
        <v>1530</v>
      </c>
      <c r="I70" s="1590"/>
      <c r="J70" s="1589"/>
      <c r="K70" s="1594">
        <f>L9+L10</f>
        <v>2040</v>
      </c>
      <c r="L70" s="1593"/>
      <c r="M70" s="1592"/>
      <c r="N70" s="1591">
        <f>O9+O10</f>
        <v>3060</v>
      </c>
      <c r="O70" s="1590"/>
      <c r="P70" s="1589"/>
      <c r="Q70" s="32"/>
    </row>
    <row r="71" spans="1:20" ht="18.75" customHeight="1">
      <c r="A71" s="370"/>
      <c r="B71" s="3856" t="s">
        <v>1157</v>
      </c>
      <c r="C71" s="3857"/>
      <c r="D71" s="3857"/>
      <c r="E71" s="3854"/>
      <c r="F71" s="38"/>
      <c r="G71" s="1588"/>
      <c r="H71" s="1584"/>
      <c r="I71" s="1583"/>
      <c r="J71" s="1582">
        <f>SUM(I73:I74)</f>
        <v>0</v>
      </c>
      <c r="K71" s="1587"/>
      <c r="L71" s="1586"/>
      <c r="M71" s="1585">
        <f>SUM(L73:L74)</f>
        <v>0</v>
      </c>
      <c r="N71" s="1584"/>
      <c r="O71" s="1583"/>
      <c r="P71" s="1582">
        <f>SUM(O73:O74)</f>
        <v>0</v>
      </c>
    </row>
    <row r="72" spans="1:20" ht="13.15" customHeight="1">
      <c r="A72" s="370"/>
      <c r="B72" s="3871"/>
      <c r="C72" s="3870" t="s">
        <v>1156</v>
      </c>
      <c r="D72" s="3869">
        <f>'SDK1'!$O$12</f>
        <v>0</v>
      </c>
      <c r="E72" s="1578"/>
      <c r="F72" s="3868"/>
      <c r="G72" s="1576"/>
      <c r="H72" s="1575" t="s">
        <v>249</v>
      </c>
      <c r="I72" s="1574" t="s">
        <v>1155</v>
      </c>
      <c r="J72" s="1573"/>
      <c r="K72" s="1572" t="s">
        <v>249</v>
      </c>
      <c r="L72" s="1571" t="s">
        <v>1155</v>
      </c>
      <c r="M72" s="1570"/>
      <c r="N72" s="1569" t="s">
        <v>249</v>
      </c>
      <c r="O72" s="1568" t="s">
        <v>1155</v>
      </c>
      <c r="P72" s="1567"/>
    </row>
    <row r="73" spans="1:20" s="42" customFormat="1" ht="15" customHeight="1">
      <c r="A73" s="1284"/>
      <c r="B73" s="3866"/>
      <c r="C73" s="4946"/>
      <c r="D73" s="4946"/>
      <c r="E73" s="4947"/>
      <c r="F73" s="3867"/>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3866"/>
      <c r="C74" s="4894"/>
      <c r="D74" s="4894"/>
      <c r="E74" s="4953"/>
      <c r="F74" s="3865"/>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12.156020467015686</v>
      </c>
      <c r="K75" s="3031"/>
      <c r="L75" s="1034"/>
      <c r="M75" s="1546">
        <f>(M23+M27+M34+M43+M60+M65+M67+M69+M71)*('SDK1'!$O$59%*$G$75/12)</f>
        <v>14.064482308189023</v>
      </c>
      <c r="N75" s="1548"/>
      <c r="O75" s="1547"/>
      <c r="P75" s="1546">
        <f>(P23+P27+P34+P43+P60+P65+P67+P69+P71)*('SDK1'!$O$59%*$G$75/12)</f>
        <v>17.881405990535686</v>
      </c>
      <c r="Q75" s="32"/>
    </row>
    <row r="76" spans="1:20">
      <c r="L76" s="33"/>
    </row>
    <row r="77" spans="1:20">
      <c r="L77" s="33"/>
      <c r="M77" s="33"/>
      <c r="N77" s="33"/>
      <c r="O77" s="33"/>
      <c r="P77" s="33"/>
    </row>
    <row r="78" spans="1:20" ht="14.25">
      <c r="C78" s="4950" t="s">
        <v>1888</v>
      </c>
      <c r="D78" s="4951"/>
      <c r="E78" s="4951"/>
      <c r="F78" s="4952"/>
      <c r="G78" s="33"/>
      <c r="H78" s="33"/>
      <c r="I78" s="33"/>
      <c r="J78" s="33"/>
      <c r="K78" s="33"/>
      <c r="L78" s="33"/>
      <c r="M78" s="33"/>
      <c r="N78" s="33"/>
      <c r="O78" s="33"/>
      <c r="P78" s="33"/>
    </row>
    <row r="79" spans="1:20">
      <c r="C79" s="4943" t="s">
        <v>295</v>
      </c>
      <c r="D79" s="4944"/>
      <c r="E79" s="4944"/>
      <c r="F79" s="4945"/>
      <c r="G79" s="33"/>
      <c r="H79" s="33"/>
      <c r="I79" s="33"/>
      <c r="J79" s="33"/>
      <c r="K79" s="33"/>
      <c r="L79" s="33"/>
      <c r="M79" s="33"/>
      <c r="N79" s="33"/>
      <c r="O79" s="33"/>
      <c r="P79" s="33"/>
    </row>
    <row r="80" spans="1:20" ht="14.25">
      <c r="B80" s="3046"/>
      <c r="C80" s="3042" t="s">
        <v>1884</v>
      </c>
      <c r="D80" s="3043"/>
      <c r="E80" s="3043"/>
      <c r="F80" s="3044"/>
      <c r="G80" s="33"/>
      <c r="H80" s="33"/>
      <c r="I80" s="33"/>
      <c r="J80" s="33"/>
      <c r="K80" s="33"/>
      <c r="L80" s="33"/>
      <c r="M80" s="33"/>
      <c r="N80" s="33"/>
      <c r="O80" s="33"/>
      <c r="P80" s="33"/>
    </row>
    <row r="81" spans="2:16" ht="14.25">
      <c r="B81" s="3046"/>
      <c r="C81" s="3042" t="s">
        <v>1885</v>
      </c>
      <c r="D81" s="3043"/>
      <c r="E81" s="3043"/>
      <c r="F81" s="3044"/>
      <c r="G81" s="33"/>
      <c r="H81" s="33"/>
      <c r="I81" s="33"/>
      <c r="J81" s="33"/>
      <c r="K81" s="33"/>
      <c r="L81" s="33"/>
      <c r="M81" s="33"/>
      <c r="N81" s="33"/>
      <c r="O81" s="33"/>
      <c r="P81" s="33"/>
    </row>
    <row r="82" spans="2:16">
      <c r="B82" s="3046"/>
      <c r="C82" s="3034" t="s">
        <v>294</v>
      </c>
      <c r="D82" s="3035"/>
      <c r="E82" s="3035"/>
      <c r="F82" s="3036"/>
      <c r="G82" s="33"/>
      <c r="H82" s="33"/>
      <c r="I82" s="33"/>
      <c r="J82" s="33"/>
      <c r="K82" s="33"/>
      <c r="L82" s="33"/>
      <c r="M82" s="33"/>
      <c r="N82" s="33"/>
      <c r="O82" s="33"/>
      <c r="P82" s="33"/>
    </row>
    <row r="83" spans="2:16" ht="14.25">
      <c r="B83" s="3046"/>
      <c r="C83" s="3042" t="s">
        <v>1886</v>
      </c>
      <c r="D83" s="3043"/>
      <c r="E83" s="3043"/>
      <c r="F83" s="3044"/>
      <c r="G83" s="33"/>
      <c r="H83" s="33"/>
      <c r="I83" s="33"/>
      <c r="J83" s="33"/>
      <c r="K83" s="33"/>
      <c r="L83" s="33"/>
      <c r="M83" s="33"/>
      <c r="N83" s="33"/>
      <c r="O83" s="33"/>
      <c r="P83" s="33"/>
    </row>
    <row r="84" spans="2:16" ht="14.25">
      <c r="B84" s="3046"/>
      <c r="C84" s="3042" t="s">
        <v>1887</v>
      </c>
      <c r="D84" s="3043"/>
      <c r="E84" s="3043"/>
      <c r="F84" s="3044"/>
      <c r="G84" s="33"/>
      <c r="H84" s="33"/>
      <c r="I84" s="33"/>
      <c r="J84" s="33"/>
      <c r="K84" s="33"/>
      <c r="L84" s="33"/>
      <c r="M84" s="33"/>
      <c r="N84" s="33"/>
      <c r="O84" s="33"/>
      <c r="P84" s="33"/>
    </row>
    <row r="85" spans="2:16">
      <c r="B85" s="3046"/>
      <c r="C85" s="3034" t="s">
        <v>293</v>
      </c>
      <c r="D85" s="3035"/>
      <c r="E85" s="3035"/>
      <c r="F85" s="3036"/>
      <c r="G85" s="33"/>
      <c r="H85" s="33"/>
      <c r="I85" s="33"/>
      <c r="J85" s="33"/>
      <c r="K85" s="33"/>
      <c r="L85" s="33"/>
      <c r="M85" s="33"/>
      <c r="N85" s="33"/>
      <c r="O85" s="33"/>
      <c r="P85" s="33"/>
    </row>
    <row r="86" spans="2:16">
      <c r="B86" s="3046"/>
      <c r="C86" s="3034" t="s">
        <v>292</v>
      </c>
      <c r="D86" s="3035"/>
      <c r="E86" s="3035"/>
      <c r="F86" s="3036"/>
      <c r="G86" s="33"/>
      <c r="H86" s="33"/>
      <c r="I86" s="33"/>
      <c r="J86" s="33"/>
      <c r="K86" s="33"/>
      <c r="L86" s="33"/>
      <c r="M86" s="33"/>
      <c r="N86" s="33"/>
      <c r="O86" s="33"/>
      <c r="P86" s="33"/>
    </row>
    <row r="87" spans="2:16" ht="14.25">
      <c r="B87" s="3046"/>
      <c r="C87" s="3034" t="s">
        <v>291</v>
      </c>
      <c r="D87" s="3035"/>
      <c r="E87" s="3035"/>
      <c r="F87" s="3036"/>
      <c r="G87" s="33"/>
      <c r="H87" s="33"/>
      <c r="I87" s="33"/>
      <c r="J87" s="33"/>
      <c r="K87" s="33"/>
      <c r="L87" s="33"/>
      <c r="M87" s="33"/>
      <c r="N87" s="33"/>
      <c r="O87" s="33"/>
      <c r="P87" s="33"/>
    </row>
    <row r="88" spans="2:16" ht="13.15" customHeight="1">
      <c r="B88" s="3046"/>
      <c r="C88" s="3034" t="s">
        <v>290</v>
      </c>
      <c r="D88" s="3037"/>
      <c r="E88" s="3037"/>
      <c r="F88" s="3038"/>
      <c r="G88" s="33"/>
      <c r="H88" s="33"/>
      <c r="I88" s="33"/>
      <c r="J88" s="33"/>
      <c r="K88" s="33"/>
      <c r="L88" s="33"/>
      <c r="M88" s="33"/>
      <c r="N88" s="33"/>
      <c r="O88" s="33"/>
      <c r="P88" s="33"/>
    </row>
    <row r="89" spans="2:16">
      <c r="B89" s="3046"/>
      <c r="C89" s="3034" t="s">
        <v>289</v>
      </c>
      <c r="D89" s="3037"/>
      <c r="E89" s="3037"/>
      <c r="F89" s="3038"/>
      <c r="G89" s="33"/>
      <c r="H89" s="33"/>
      <c r="I89" s="33"/>
      <c r="J89" s="33"/>
      <c r="K89" s="33"/>
      <c r="L89" s="33"/>
      <c r="M89" s="33"/>
      <c r="N89" s="33"/>
      <c r="O89" s="33"/>
      <c r="P89" s="33"/>
    </row>
    <row r="90" spans="2:16" ht="25.5">
      <c r="B90" s="3046"/>
      <c r="C90" s="3039" t="s">
        <v>288</v>
      </c>
      <c r="D90" s="3040"/>
      <c r="E90" s="3040"/>
      <c r="F90" s="3041"/>
      <c r="G90" s="33"/>
      <c r="H90" s="33"/>
      <c r="I90" s="33"/>
      <c r="J90" s="33"/>
      <c r="K90" s="33"/>
      <c r="L90" s="33"/>
      <c r="M90" s="33"/>
      <c r="N90" s="33"/>
      <c r="O90" s="33"/>
      <c r="P90" s="33"/>
    </row>
    <row r="91" spans="2:16">
      <c r="C91" s="33"/>
      <c r="D91" s="33"/>
      <c r="E91" s="33"/>
      <c r="F91" s="33"/>
      <c r="G91" s="33"/>
      <c r="H91" s="33"/>
      <c r="I91" s="33"/>
      <c r="J91" s="33"/>
      <c r="K91" s="33"/>
      <c r="L91" s="33"/>
      <c r="M91" s="33"/>
      <c r="N91" s="33"/>
      <c r="O91" s="33"/>
      <c r="P91" s="33"/>
    </row>
    <row r="92" spans="2:16" ht="13.15" customHeight="1">
      <c r="C92" s="33"/>
      <c r="D92" s="33"/>
      <c r="E92" s="33"/>
      <c r="F92" s="33"/>
      <c r="G92" s="33"/>
      <c r="H92" s="33"/>
      <c r="I92" s="33"/>
      <c r="J92" s="33"/>
      <c r="K92" s="33"/>
      <c r="L92" s="33"/>
      <c r="M92" s="33"/>
      <c r="N92" s="33"/>
      <c r="O92" s="33"/>
      <c r="P92" s="33"/>
    </row>
    <row r="93" spans="2:16">
      <c r="C93" s="33"/>
      <c r="D93" s="33"/>
      <c r="E93" s="33"/>
      <c r="F93" s="33"/>
      <c r="G93" s="33"/>
      <c r="H93" s="33"/>
      <c r="I93" s="33"/>
      <c r="J93" s="33"/>
      <c r="K93" s="33"/>
      <c r="L93" s="33"/>
      <c r="M93" s="33"/>
      <c r="N93" s="33"/>
      <c r="O93" s="33"/>
      <c r="P93" s="33"/>
    </row>
    <row r="94" spans="2:16">
      <c r="C94" s="33"/>
      <c r="D94" s="33"/>
      <c r="E94" s="33"/>
      <c r="F94" s="33"/>
      <c r="G94" s="33"/>
      <c r="H94" s="33"/>
      <c r="I94" s="33"/>
      <c r="J94" s="33"/>
      <c r="K94" s="33"/>
      <c r="L94" s="33"/>
      <c r="M94" s="33"/>
      <c r="N94" s="33"/>
      <c r="O94" s="33"/>
      <c r="P94" s="33"/>
    </row>
    <row r="95" spans="2:16">
      <c r="C95" s="33"/>
      <c r="D95" s="33"/>
      <c r="E95" s="33"/>
      <c r="F95" s="33"/>
      <c r="G95" s="33"/>
      <c r="H95" s="33"/>
      <c r="I95" s="33"/>
      <c r="J95" s="33"/>
      <c r="K95" s="33"/>
      <c r="L95" s="33"/>
      <c r="M95" s="33"/>
      <c r="N95" s="33"/>
      <c r="O95" s="33"/>
      <c r="P95" s="33"/>
    </row>
    <row r="96" spans="2:16">
      <c r="C96" s="33"/>
      <c r="D96" s="33"/>
      <c r="E96" s="33"/>
      <c r="F96" s="33"/>
      <c r="G96" s="33"/>
      <c r="H96" s="33"/>
      <c r="I96" s="33"/>
      <c r="J96" s="33"/>
      <c r="K96" s="33"/>
      <c r="L96" s="33"/>
      <c r="M96" s="33"/>
      <c r="N96" s="33"/>
      <c r="O96" s="33"/>
      <c r="P96" s="33"/>
    </row>
    <row r="97" spans="2:16">
      <c r="C97" s="33"/>
      <c r="D97" s="33"/>
      <c r="E97" s="33"/>
      <c r="F97" s="33"/>
      <c r="G97" s="33"/>
      <c r="H97" s="33"/>
      <c r="I97" s="33"/>
      <c r="J97" s="33"/>
      <c r="K97" s="33"/>
      <c r="L97" s="33"/>
      <c r="M97" s="33"/>
      <c r="N97" s="33"/>
      <c r="O97" s="33"/>
      <c r="P97" s="33"/>
    </row>
    <row r="98" spans="2:16">
      <c r="C98" s="33"/>
      <c r="D98" s="33"/>
      <c r="E98" s="33"/>
      <c r="F98" s="33"/>
      <c r="G98" s="33"/>
      <c r="H98" s="33"/>
      <c r="I98" s="33"/>
      <c r="J98" s="33"/>
      <c r="K98" s="33"/>
      <c r="L98" s="33"/>
      <c r="M98" s="33"/>
      <c r="N98" s="33"/>
      <c r="O98" s="33"/>
      <c r="P98" s="33"/>
    </row>
    <row r="99" spans="2:16">
      <c r="B99" s="33"/>
      <c r="C99" s="33"/>
      <c r="D99" s="33"/>
      <c r="G99" s="33"/>
      <c r="H99" s="33"/>
      <c r="I99" s="33"/>
      <c r="J99" s="33"/>
      <c r="K99" s="33"/>
      <c r="L99" s="33"/>
      <c r="M99" s="33"/>
      <c r="N99" s="33"/>
      <c r="O99" s="33"/>
      <c r="P99" s="33"/>
    </row>
    <row r="100" spans="2:16">
      <c r="B100" s="33"/>
      <c r="C100" s="33"/>
      <c r="D100" s="33"/>
      <c r="G100" s="33"/>
      <c r="H100" s="33"/>
      <c r="I100" s="33"/>
      <c r="J100" s="33"/>
      <c r="K100" s="33"/>
      <c r="L100" s="33"/>
      <c r="M100" s="33"/>
      <c r="N100" s="33"/>
      <c r="O100" s="33"/>
      <c r="P100" s="33"/>
    </row>
    <row r="101" spans="2:16">
      <c r="B101" s="33"/>
      <c r="C101" s="33"/>
      <c r="D101" s="33"/>
      <c r="G101" s="33"/>
      <c r="H101" s="33"/>
      <c r="I101" s="33"/>
      <c r="J101" s="33"/>
      <c r="K101" s="33"/>
      <c r="L101" s="33"/>
      <c r="M101" s="33"/>
      <c r="N101" s="33"/>
      <c r="O101" s="33"/>
      <c r="P101" s="33"/>
    </row>
    <row r="102" spans="2:16">
      <c r="B102" s="33"/>
      <c r="C102" s="33"/>
      <c r="D102" s="33"/>
      <c r="G102" s="33"/>
      <c r="H102" s="33"/>
      <c r="I102" s="33"/>
      <c r="J102" s="33"/>
      <c r="K102" s="33"/>
      <c r="L102" s="33"/>
      <c r="M102" s="33"/>
      <c r="N102" s="33"/>
      <c r="O102" s="33"/>
      <c r="P102" s="33"/>
    </row>
    <row r="103" spans="2:16">
      <c r="B103" s="33"/>
      <c r="C103" s="33"/>
      <c r="D103" s="33"/>
      <c r="G103" s="33"/>
      <c r="H103" s="33"/>
      <c r="I103" s="33"/>
      <c r="J103" s="33"/>
      <c r="K103" s="33"/>
      <c r="L103" s="33"/>
      <c r="M103" s="33"/>
      <c r="N103" s="33"/>
      <c r="O103" s="33"/>
      <c r="P103" s="33"/>
    </row>
    <row r="104" spans="2:16">
      <c r="B104" s="33"/>
      <c r="C104" s="33"/>
      <c r="D104" s="33"/>
      <c r="G104" s="33"/>
      <c r="H104" s="33"/>
      <c r="I104" s="33"/>
      <c r="J104" s="33"/>
      <c r="K104" s="33"/>
      <c r="L104" s="33"/>
      <c r="M104" s="33"/>
      <c r="N104" s="33"/>
      <c r="O104" s="33"/>
      <c r="P104" s="33"/>
    </row>
    <row r="105" spans="2:16">
      <c r="B105" s="33"/>
      <c r="C105" s="33"/>
      <c r="D105" s="33"/>
      <c r="G105" s="33"/>
      <c r="H105" s="33"/>
      <c r="I105" s="33"/>
      <c r="J105" s="33"/>
      <c r="K105" s="33"/>
      <c r="L105" s="33"/>
      <c r="M105" s="33"/>
      <c r="N105" s="33"/>
      <c r="O105" s="33"/>
      <c r="P105" s="33"/>
    </row>
    <row r="106" spans="2:16">
      <c r="B106" s="33"/>
      <c r="C106" s="33"/>
      <c r="D106" s="33"/>
      <c r="G106" s="33"/>
      <c r="H106" s="33"/>
      <c r="I106" s="33"/>
      <c r="J106" s="33"/>
      <c r="K106" s="33"/>
      <c r="L106" s="33"/>
      <c r="M106" s="33"/>
      <c r="N106" s="33"/>
      <c r="O106" s="33"/>
      <c r="P106" s="33"/>
    </row>
    <row r="107" spans="2:16">
      <c r="B107" s="33"/>
      <c r="C107" s="33"/>
      <c r="D107" s="33"/>
      <c r="G107" s="33"/>
      <c r="H107" s="33"/>
      <c r="I107" s="33"/>
      <c r="J107" s="33"/>
      <c r="K107" s="33"/>
      <c r="L107" s="33"/>
      <c r="M107" s="33"/>
      <c r="N107" s="33"/>
      <c r="O107" s="33"/>
      <c r="P107" s="33"/>
    </row>
    <row r="108" spans="2:16">
      <c r="G108" s="33"/>
      <c r="H108" s="33"/>
      <c r="I108" s="33"/>
      <c r="J108" s="33"/>
      <c r="K108" s="33"/>
      <c r="L108" s="33"/>
      <c r="M108" s="33"/>
      <c r="N108" s="33"/>
      <c r="O108" s="33"/>
      <c r="P108" s="33"/>
    </row>
    <row r="109" spans="2:16">
      <c r="G109" s="33"/>
      <c r="H109" s="33"/>
      <c r="I109" s="33"/>
      <c r="J109" s="33"/>
      <c r="K109" s="33"/>
      <c r="L109" s="33"/>
      <c r="M109" s="33"/>
      <c r="N109" s="33"/>
      <c r="O109" s="33"/>
      <c r="P109" s="33"/>
    </row>
    <row r="110" spans="2:16">
      <c r="G110" s="33"/>
      <c r="H110" s="33"/>
      <c r="I110" s="33"/>
      <c r="J110" s="33"/>
      <c r="K110" s="33"/>
      <c r="L110" s="33"/>
      <c r="M110" s="33"/>
      <c r="N110" s="33"/>
      <c r="O110" s="33"/>
      <c r="P110" s="33"/>
    </row>
    <row r="111" spans="2:16">
      <c r="G111" s="33"/>
      <c r="H111" s="33"/>
      <c r="I111" s="33"/>
      <c r="J111" s="33"/>
      <c r="K111" s="33"/>
      <c r="L111" s="33"/>
      <c r="M111" s="33"/>
      <c r="N111" s="33"/>
      <c r="O111" s="33"/>
      <c r="P111" s="33"/>
    </row>
    <row r="112" spans="2:16">
      <c r="G112" s="33"/>
      <c r="H112" s="33"/>
      <c r="I112" s="33"/>
      <c r="J112" s="33"/>
      <c r="K112" s="33"/>
      <c r="L112" s="33"/>
      <c r="M112" s="33"/>
      <c r="N112" s="33"/>
      <c r="O112" s="33"/>
      <c r="P112" s="33"/>
    </row>
    <row r="113" spans="2:16">
      <c r="G113" s="33"/>
      <c r="H113" s="33"/>
      <c r="I113" s="33"/>
      <c r="J113" s="33"/>
      <c r="K113" s="33"/>
      <c r="L113" s="33"/>
      <c r="M113" s="33"/>
      <c r="N113" s="33"/>
      <c r="O113" s="33"/>
      <c r="P113" s="33"/>
    </row>
    <row r="114" spans="2:16">
      <c r="G114" s="33"/>
      <c r="H114" s="33"/>
      <c r="I114" s="33"/>
      <c r="J114" s="33"/>
      <c r="K114" s="33"/>
      <c r="L114" s="33"/>
      <c r="M114" s="33"/>
      <c r="N114" s="33"/>
      <c r="O114" s="33"/>
      <c r="P114" s="33"/>
    </row>
    <row r="115" spans="2:16">
      <c r="G115" s="33"/>
      <c r="H115" s="33"/>
      <c r="I115" s="33"/>
      <c r="J115" s="33"/>
      <c r="K115" s="33"/>
      <c r="L115" s="33"/>
      <c r="M115" s="33"/>
      <c r="N115" s="33"/>
      <c r="O115" s="33"/>
      <c r="P115" s="33"/>
    </row>
    <row r="116" spans="2:16">
      <c r="G116" s="33"/>
      <c r="H116" s="33"/>
      <c r="I116" s="33"/>
      <c r="J116" s="33"/>
      <c r="K116" s="33"/>
      <c r="L116" s="33"/>
      <c r="M116" s="33"/>
      <c r="N116" s="33"/>
      <c r="O116" s="33"/>
      <c r="P116" s="33"/>
    </row>
    <row r="117" spans="2:16">
      <c r="G117" s="33"/>
      <c r="H117" s="33"/>
      <c r="I117" s="33"/>
      <c r="J117" s="33"/>
      <c r="K117" s="33"/>
      <c r="L117" s="33"/>
      <c r="M117" s="33"/>
      <c r="N117" s="33"/>
      <c r="O117" s="33"/>
      <c r="P117" s="33"/>
    </row>
    <row r="118" spans="2:16">
      <c r="B118" s="600"/>
      <c r="C118" s="33"/>
      <c r="G118" s="33"/>
      <c r="H118" s="33"/>
      <c r="I118" s="33"/>
      <c r="J118" s="33"/>
      <c r="K118" s="33"/>
      <c r="L118" s="33"/>
      <c r="M118" s="33"/>
      <c r="N118" s="33"/>
      <c r="O118" s="33"/>
      <c r="P118" s="33"/>
    </row>
    <row r="119" spans="2:16">
      <c r="B119" s="600"/>
      <c r="C119" s="33"/>
      <c r="G119" s="33"/>
      <c r="H119" s="33"/>
      <c r="I119" s="33"/>
      <c r="J119" s="33"/>
      <c r="K119" s="33"/>
      <c r="L119" s="33"/>
      <c r="M119" s="33"/>
      <c r="N119" s="33"/>
      <c r="O119" s="33"/>
      <c r="P119" s="33"/>
    </row>
    <row r="120" spans="2:16">
      <c r="B120" s="600"/>
      <c r="C120" s="33"/>
      <c r="G120" s="33"/>
      <c r="H120" s="33"/>
      <c r="I120" s="33"/>
      <c r="J120" s="33"/>
      <c r="K120" s="33"/>
      <c r="L120" s="33"/>
      <c r="M120" s="33"/>
      <c r="N120" s="33"/>
      <c r="O120" s="33"/>
      <c r="P120" s="33"/>
    </row>
    <row r="121" spans="2:16">
      <c r="B121" s="600"/>
      <c r="C121" s="33"/>
      <c r="G121" s="33"/>
      <c r="H121" s="33"/>
      <c r="I121" s="33"/>
      <c r="J121" s="33"/>
      <c r="K121" s="33"/>
      <c r="L121" s="33"/>
      <c r="M121" s="33"/>
      <c r="N121" s="33"/>
      <c r="O121" s="33"/>
      <c r="P121" s="33"/>
    </row>
    <row r="122" spans="2:16">
      <c r="B122" s="600"/>
      <c r="C122" s="33"/>
      <c r="G122" s="33"/>
      <c r="H122" s="33"/>
      <c r="I122" s="33"/>
      <c r="J122" s="33"/>
      <c r="K122" s="33"/>
      <c r="L122" s="33"/>
      <c r="M122" s="33"/>
      <c r="N122" s="33"/>
      <c r="O122" s="33"/>
      <c r="P122" s="33"/>
    </row>
    <row r="123" spans="2:16">
      <c r="B123" s="600"/>
      <c r="C123" s="33"/>
      <c r="G123" s="33"/>
      <c r="H123" s="33"/>
      <c r="I123" s="33"/>
      <c r="J123" s="33"/>
      <c r="K123" s="33"/>
      <c r="L123" s="33"/>
      <c r="M123" s="33"/>
      <c r="N123" s="33"/>
      <c r="O123" s="33"/>
      <c r="P123" s="33"/>
    </row>
    <row r="124" spans="2:16">
      <c r="B124" s="600"/>
      <c r="C124" s="33"/>
      <c r="G124" s="33"/>
      <c r="H124" s="33"/>
      <c r="I124" s="33"/>
      <c r="J124" s="33"/>
      <c r="K124" s="33"/>
      <c r="L124" s="33"/>
      <c r="M124" s="33"/>
      <c r="N124" s="33"/>
      <c r="O124" s="33"/>
      <c r="P124" s="33"/>
    </row>
    <row r="125" spans="2:16">
      <c r="B125" s="600"/>
      <c r="C125" s="33"/>
      <c r="G125" s="33"/>
      <c r="H125" s="33"/>
      <c r="I125" s="33"/>
      <c r="J125" s="33"/>
      <c r="K125" s="33"/>
      <c r="L125" s="33"/>
      <c r="M125" s="33"/>
      <c r="N125" s="33"/>
      <c r="O125" s="33"/>
      <c r="P125" s="33"/>
    </row>
    <row r="126" spans="2:16">
      <c r="B126" s="600"/>
      <c r="C126" s="33"/>
      <c r="G126" s="33"/>
      <c r="H126" s="33"/>
      <c r="I126" s="33"/>
      <c r="J126" s="33"/>
      <c r="K126" s="33"/>
      <c r="L126" s="33"/>
      <c r="M126" s="33"/>
      <c r="N126" s="33"/>
      <c r="O126" s="33"/>
      <c r="P126" s="33"/>
    </row>
    <row r="127" spans="2:16">
      <c r="B127" s="600"/>
      <c r="C127" s="33"/>
      <c r="G127" s="33"/>
      <c r="H127" s="33"/>
      <c r="I127" s="33"/>
      <c r="J127" s="33"/>
      <c r="K127" s="33"/>
      <c r="L127" s="33"/>
      <c r="M127" s="33"/>
      <c r="N127" s="33"/>
      <c r="O127" s="33"/>
      <c r="P127" s="33"/>
    </row>
    <row r="128" spans="2:16">
      <c r="B128" s="600"/>
      <c r="C128" s="33"/>
      <c r="G128" s="33"/>
      <c r="H128" s="33"/>
      <c r="I128" s="33"/>
      <c r="J128" s="33"/>
      <c r="K128" s="33"/>
      <c r="L128" s="33"/>
      <c r="M128" s="33"/>
      <c r="N128" s="33"/>
      <c r="O128" s="33"/>
      <c r="P128" s="33"/>
    </row>
    <row r="129" spans="2:16">
      <c r="B129" s="600"/>
      <c r="C129" s="33"/>
      <c r="G129" s="33"/>
      <c r="H129" s="33"/>
      <c r="I129" s="33"/>
      <c r="J129" s="33"/>
      <c r="K129" s="33"/>
      <c r="L129" s="33"/>
      <c r="M129" s="33"/>
      <c r="N129" s="33"/>
      <c r="O129" s="33"/>
      <c r="P129" s="33"/>
    </row>
    <row r="130" spans="2:16">
      <c r="B130" s="600"/>
      <c r="C130" s="33"/>
      <c r="G130" s="33"/>
      <c r="H130" s="33"/>
      <c r="I130" s="33"/>
      <c r="J130" s="33"/>
      <c r="K130" s="33"/>
      <c r="L130" s="33"/>
      <c r="M130" s="33"/>
      <c r="N130" s="33"/>
      <c r="O130" s="33"/>
      <c r="P130" s="33"/>
    </row>
    <row r="131" spans="2:16">
      <c r="B131" s="600"/>
      <c r="C131" s="33"/>
      <c r="G131" s="33"/>
      <c r="H131" s="33"/>
      <c r="I131" s="33"/>
      <c r="J131" s="33"/>
      <c r="K131" s="33"/>
      <c r="L131" s="33"/>
      <c r="M131" s="33"/>
      <c r="N131" s="33"/>
      <c r="O131" s="33"/>
      <c r="P131" s="33"/>
    </row>
    <row r="132" spans="2:16">
      <c r="B132" s="600"/>
      <c r="C132" s="33"/>
      <c r="G132" s="33"/>
      <c r="H132" s="33"/>
      <c r="I132" s="33"/>
      <c r="J132" s="33"/>
      <c r="K132" s="33"/>
      <c r="L132" s="33"/>
      <c r="M132" s="33"/>
      <c r="N132" s="33"/>
      <c r="O132" s="33"/>
      <c r="P132" s="33"/>
    </row>
    <row r="133" spans="2:16">
      <c r="B133" s="600"/>
      <c r="C133" s="33"/>
      <c r="G133" s="33"/>
      <c r="H133" s="33"/>
      <c r="I133" s="33"/>
      <c r="J133" s="33"/>
      <c r="K133" s="33"/>
      <c r="L133" s="33"/>
      <c r="M133" s="33"/>
      <c r="N133" s="33"/>
      <c r="O133" s="33"/>
      <c r="P133" s="33"/>
    </row>
    <row r="134" spans="2:16">
      <c r="B134" s="600"/>
      <c r="C134" s="33"/>
      <c r="G134" s="33"/>
      <c r="H134" s="33"/>
      <c r="I134" s="33"/>
      <c r="J134" s="33"/>
      <c r="K134" s="33"/>
      <c r="L134" s="33"/>
      <c r="M134" s="33"/>
      <c r="N134" s="33"/>
      <c r="O134" s="33"/>
      <c r="P134" s="33"/>
    </row>
    <row r="135" spans="2:16">
      <c r="B135" s="600"/>
      <c r="C135" s="33"/>
      <c r="G135" s="33"/>
      <c r="H135" s="33"/>
      <c r="I135" s="33"/>
      <c r="J135" s="33"/>
      <c r="K135" s="33"/>
      <c r="L135" s="33"/>
      <c r="M135" s="33"/>
      <c r="N135" s="33"/>
      <c r="O135" s="33"/>
      <c r="P135" s="33"/>
    </row>
    <row r="136" spans="2:16">
      <c r="B136" s="600"/>
      <c r="C136" s="33"/>
      <c r="G136" s="33"/>
      <c r="H136" s="33"/>
      <c r="I136" s="33"/>
      <c r="J136" s="33"/>
      <c r="K136" s="33"/>
      <c r="L136" s="33"/>
      <c r="M136" s="33"/>
      <c r="N136" s="33"/>
      <c r="O136" s="33"/>
      <c r="P136" s="33"/>
    </row>
    <row r="137" spans="2:16">
      <c r="B137" s="600"/>
      <c r="C137" s="33"/>
      <c r="G137" s="33"/>
      <c r="H137" s="33"/>
      <c r="I137" s="33"/>
      <c r="J137" s="33"/>
      <c r="K137" s="33"/>
      <c r="L137" s="33"/>
      <c r="M137" s="33"/>
      <c r="N137" s="33"/>
      <c r="O137" s="33"/>
      <c r="P137" s="33"/>
    </row>
    <row r="138" spans="2:16">
      <c r="B138" s="600"/>
      <c r="C138" s="33"/>
      <c r="G138" s="33"/>
      <c r="H138" s="33"/>
      <c r="I138" s="33"/>
      <c r="J138" s="33"/>
      <c r="K138" s="33"/>
      <c r="L138" s="33"/>
      <c r="M138" s="33"/>
      <c r="N138" s="33"/>
      <c r="O138" s="33"/>
      <c r="P138" s="33"/>
    </row>
    <row r="139" spans="2:16">
      <c r="B139" s="600"/>
      <c r="C139" s="33"/>
      <c r="G139" s="33"/>
      <c r="H139" s="33"/>
      <c r="I139" s="33"/>
      <c r="J139" s="33"/>
      <c r="K139" s="33"/>
      <c r="L139" s="33"/>
      <c r="M139" s="33"/>
      <c r="N139" s="33"/>
      <c r="O139" s="33"/>
      <c r="P139" s="33"/>
    </row>
    <row r="140" spans="2:16">
      <c r="B140" s="600"/>
      <c r="C140" s="33"/>
      <c r="G140" s="33"/>
      <c r="H140" s="33"/>
      <c r="I140" s="33"/>
      <c r="J140" s="33"/>
      <c r="K140" s="33"/>
      <c r="L140" s="33"/>
      <c r="M140" s="33"/>
      <c r="N140" s="33"/>
      <c r="O140" s="33"/>
      <c r="P140" s="33"/>
    </row>
    <row r="141" spans="2:16">
      <c r="B141" s="600"/>
      <c r="C141" s="33"/>
      <c r="G141" s="33"/>
      <c r="H141" s="33"/>
      <c r="I141" s="33"/>
      <c r="J141" s="33"/>
      <c r="K141" s="33"/>
      <c r="L141" s="33"/>
      <c r="M141" s="33"/>
      <c r="N141" s="33"/>
      <c r="O141" s="33"/>
      <c r="P141" s="33"/>
    </row>
    <row r="142" spans="2:16">
      <c r="B142" s="600"/>
      <c r="C142" s="33"/>
      <c r="G142" s="33"/>
      <c r="H142" s="33"/>
      <c r="I142" s="33"/>
      <c r="J142" s="33"/>
      <c r="K142" s="33"/>
      <c r="L142" s="33"/>
      <c r="M142" s="33"/>
      <c r="N142" s="33"/>
      <c r="O142" s="33"/>
      <c r="P142" s="33"/>
    </row>
    <row r="143" spans="2:16">
      <c r="B143" s="600"/>
      <c r="C143" s="33"/>
      <c r="G143" s="33"/>
      <c r="H143" s="33"/>
      <c r="I143" s="33"/>
      <c r="J143" s="33"/>
      <c r="K143" s="33"/>
      <c r="L143" s="33"/>
      <c r="M143" s="33"/>
      <c r="N143" s="33"/>
      <c r="O143" s="33"/>
      <c r="P143" s="33"/>
    </row>
    <row r="144" spans="2:16">
      <c r="B144" s="600"/>
      <c r="C144" s="33"/>
      <c r="G144" s="33"/>
      <c r="H144" s="33"/>
      <c r="I144" s="33"/>
      <c r="J144" s="33"/>
      <c r="K144" s="33"/>
      <c r="L144" s="33"/>
      <c r="M144" s="33"/>
      <c r="N144" s="33"/>
      <c r="O144" s="33"/>
      <c r="P144" s="33"/>
    </row>
    <row r="145" spans="2:16">
      <c r="B145" s="600"/>
      <c r="C145" s="33"/>
      <c r="G145" s="33"/>
      <c r="H145" s="33"/>
      <c r="I145" s="33"/>
      <c r="J145" s="33"/>
      <c r="K145" s="33"/>
      <c r="L145" s="33"/>
      <c r="M145" s="33"/>
      <c r="N145" s="33"/>
      <c r="O145" s="33"/>
      <c r="P145" s="33"/>
    </row>
    <row r="146" spans="2:16">
      <c r="B146" s="600"/>
      <c r="C146" s="33"/>
      <c r="G146" s="33"/>
      <c r="H146" s="33"/>
      <c r="I146" s="33"/>
      <c r="J146" s="33"/>
      <c r="K146" s="33"/>
      <c r="L146" s="33"/>
      <c r="M146" s="33"/>
      <c r="N146" s="33"/>
      <c r="O146" s="33"/>
      <c r="P146" s="33"/>
    </row>
    <row r="147" spans="2:16">
      <c r="B147" s="600"/>
      <c r="C147" s="33"/>
      <c r="F147" s="33"/>
      <c r="G147" s="33"/>
      <c r="H147" s="33"/>
      <c r="I147" s="33"/>
      <c r="J147" s="33"/>
      <c r="K147" s="33"/>
      <c r="L147" s="33"/>
      <c r="M147" s="33"/>
      <c r="N147" s="33"/>
      <c r="O147" s="33"/>
      <c r="P147" s="33"/>
    </row>
    <row r="148" spans="2:16">
      <c r="B148" s="600"/>
      <c r="C148" s="33"/>
      <c r="D148" s="33"/>
      <c r="F148" s="33"/>
      <c r="G148" s="33"/>
      <c r="H148" s="33"/>
      <c r="I148" s="33"/>
      <c r="J148" s="33"/>
      <c r="K148" s="33"/>
      <c r="L148" s="33"/>
      <c r="M148" s="33"/>
      <c r="N148" s="33"/>
      <c r="O148" s="33"/>
      <c r="P148" s="33"/>
    </row>
    <row r="149" spans="2:16">
      <c r="B149" s="600"/>
      <c r="C149" s="33"/>
      <c r="D149" s="33"/>
      <c r="F149" s="33"/>
      <c r="G149" s="33"/>
      <c r="H149" s="33"/>
      <c r="I149" s="33"/>
      <c r="J149" s="33"/>
      <c r="K149" s="33"/>
      <c r="L149" s="33"/>
      <c r="M149" s="33"/>
      <c r="N149" s="33"/>
      <c r="O149" s="33"/>
      <c r="P149" s="33"/>
    </row>
    <row r="150" spans="2:16">
      <c r="B150" s="600"/>
      <c r="C150" s="33"/>
      <c r="D150" s="33"/>
      <c r="F150" s="33"/>
      <c r="G150" s="33"/>
      <c r="H150" s="33"/>
      <c r="I150" s="33"/>
      <c r="J150" s="33"/>
      <c r="K150" s="33"/>
      <c r="L150" s="33"/>
      <c r="M150" s="33"/>
      <c r="N150" s="33"/>
      <c r="O150" s="33"/>
      <c r="P150" s="33"/>
    </row>
    <row r="151" spans="2:16">
      <c r="B151" s="600"/>
      <c r="C151" s="33"/>
      <c r="D151" s="33"/>
      <c r="F151" s="33"/>
      <c r="G151" s="33"/>
      <c r="H151" s="33"/>
      <c r="I151" s="33"/>
      <c r="J151" s="33"/>
      <c r="K151" s="33"/>
      <c r="L151" s="33"/>
      <c r="M151" s="33"/>
      <c r="N151" s="33"/>
      <c r="O151" s="33"/>
      <c r="P151" s="33"/>
    </row>
    <row r="152" spans="2:16">
      <c r="B152" s="600"/>
      <c r="C152" s="33"/>
      <c r="D152" s="33"/>
      <c r="F152" s="33"/>
      <c r="G152" s="33"/>
      <c r="H152" s="33"/>
      <c r="I152" s="33"/>
      <c r="J152" s="33"/>
      <c r="K152" s="33"/>
      <c r="L152" s="33"/>
      <c r="M152" s="33"/>
      <c r="N152" s="33"/>
      <c r="O152" s="33"/>
      <c r="P152" s="33"/>
    </row>
    <row r="153" spans="2:16">
      <c r="B153" s="600"/>
      <c r="C153" s="33"/>
      <c r="D153" s="33"/>
      <c r="F153" s="33"/>
      <c r="G153" s="33"/>
      <c r="H153" s="33"/>
      <c r="I153" s="33"/>
      <c r="J153" s="33"/>
      <c r="K153" s="33"/>
      <c r="L153" s="33"/>
      <c r="M153" s="33"/>
      <c r="N153" s="33"/>
      <c r="O153" s="33"/>
      <c r="P153" s="33"/>
    </row>
    <row r="154" spans="2:16">
      <c r="B154" s="600"/>
      <c r="C154" s="33"/>
      <c r="D154" s="33"/>
      <c r="F154" s="33"/>
      <c r="G154" s="33"/>
      <c r="H154" s="33"/>
      <c r="I154" s="33"/>
      <c r="J154" s="33"/>
      <c r="K154" s="33"/>
      <c r="L154" s="33"/>
      <c r="M154" s="33"/>
      <c r="N154" s="33"/>
      <c r="O154" s="33"/>
      <c r="P154" s="33"/>
    </row>
    <row r="155" spans="2:16">
      <c r="B155" s="600"/>
      <c r="C155" s="33"/>
      <c r="D155" s="33"/>
      <c r="F155" s="33"/>
      <c r="G155" s="33"/>
      <c r="H155" s="33"/>
      <c r="I155" s="33"/>
      <c r="J155" s="33"/>
      <c r="K155" s="33"/>
      <c r="L155" s="33"/>
      <c r="M155" s="33"/>
      <c r="N155" s="33"/>
      <c r="O155" s="33"/>
      <c r="P155" s="33"/>
    </row>
    <row r="156" spans="2:16">
      <c r="B156" s="600"/>
      <c r="C156" s="33"/>
      <c r="G156" s="33"/>
      <c r="H156" s="33"/>
      <c r="I156" s="33"/>
      <c r="J156" s="33"/>
      <c r="K156" s="33"/>
      <c r="L156" s="33"/>
      <c r="M156" s="33"/>
      <c r="N156" s="33"/>
      <c r="O156" s="33"/>
      <c r="P156" s="33"/>
    </row>
    <row r="157" spans="2:16">
      <c r="B157" s="600"/>
      <c r="C157" s="33"/>
      <c r="G157" s="33"/>
      <c r="H157" s="33"/>
      <c r="I157" s="33"/>
      <c r="J157" s="33"/>
      <c r="K157" s="33"/>
      <c r="L157" s="33"/>
      <c r="M157" s="33"/>
      <c r="N157" s="33"/>
      <c r="O157" s="33"/>
      <c r="P157" s="33"/>
    </row>
    <row r="158" spans="2:16">
      <c r="B158" s="600"/>
      <c r="C158" s="33"/>
      <c r="G158" s="33"/>
      <c r="H158" s="33"/>
      <c r="I158" s="33"/>
      <c r="J158" s="33"/>
      <c r="K158" s="33"/>
      <c r="L158" s="33"/>
      <c r="M158" s="33"/>
      <c r="N158" s="33"/>
      <c r="O158" s="33"/>
      <c r="P158" s="33"/>
    </row>
    <row r="159" spans="2:16">
      <c r="B159" s="600"/>
      <c r="C159" s="33"/>
    </row>
    <row r="160" spans="2:16">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row>
    <row r="208" spans="2:3">
      <c r="B208" s="600"/>
    </row>
  </sheetData>
  <sheetProtection sheet="1" objects="1" scenarios="1"/>
  <mergeCells count="52">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 ref="C49:D49"/>
    <mergeCell ref="C56:D56"/>
    <mergeCell ref="K1:L1"/>
    <mergeCell ref="N1:O1"/>
    <mergeCell ref="C41:E41"/>
    <mergeCell ref="H6:I6"/>
    <mergeCell ref="G1:I1"/>
    <mergeCell ref="N6:O6"/>
    <mergeCell ref="C16:F16"/>
    <mergeCell ref="K6:L6"/>
    <mergeCell ref="C17:F17"/>
    <mergeCell ref="C19:F19"/>
    <mergeCell ref="E22:G22"/>
    <mergeCell ref="C36:E36"/>
    <mergeCell ref="F23:G23"/>
    <mergeCell ref="D25:E25"/>
    <mergeCell ref="E10:F10"/>
    <mergeCell ref="K2:P2"/>
    <mergeCell ref="C14:F14"/>
    <mergeCell ref="C15:F15"/>
    <mergeCell ref="C51:D51"/>
    <mergeCell ref="E4:I4"/>
    <mergeCell ref="N3:O4"/>
    <mergeCell ref="J3:L3"/>
    <mergeCell ref="J4:L4"/>
    <mergeCell ref="C20:F20"/>
    <mergeCell ref="C21:F21"/>
    <mergeCell ref="C48:D48"/>
    <mergeCell ref="C55:D55"/>
    <mergeCell ref="C63:E63"/>
    <mergeCell ref="C68:E68"/>
    <mergeCell ref="C73:E73"/>
    <mergeCell ref="C50:D50"/>
    <mergeCell ref="C53:D53"/>
    <mergeCell ref="C64:E64"/>
    <mergeCell ref="C62:E62"/>
    <mergeCell ref="C52:D52"/>
    <mergeCell ref="C54:D54"/>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H15 K14:K15 N14:N15">
      <formula1>"ja,nein"</formula1>
    </dataValidation>
    <dataValidation type="list" allowBlank="1" showInputMessage="1" showErrorMessage="1" sqref="K16:K17 H16:H17 N16: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18" orientation="portrait" r:id="rId1"/>
  <headerFooter alignWithMargins="0">
    <oddFooter>&amp;L&amp;11LEL Schwäbisch Gmünd&amp;C22&amp;R&amp;11&amp;F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0671" r:id="rId4" name="Check Box 15">
              <controlPr defaultSize="0" autoFill="0" autoLine="0" autoPict="0">
                <anchor moveWithCells="1">
                  <from>
                    <xdr:col>12</xdr:col>
                    <xdr:colOff>133350</xdr:colOff>
                    <xdr:row>3</xdr:row>
                    <xdr:rowOff>9525</xdr:rowOff>
                  </from>
                  <to>
                    <xdr:col>12</xdr:col>
                    <xdr:colOff>400050</xdr:colOff>
                    <xdr:row>3</xdr:row>
                    <xdr:rowOff>238125</xdr:rowOff>
                  </to>
                </anchor>
              </controlPr>
            </control>
          </mc:Choice>
        </mc:AlternateContent>
        <mc:AlternateContent xmlns:mc="http://schemas.openxmlformats.org/markup-compatibility/2006">
          <mc:Choice Requires="x14">
            <control shapeId="70672" r:id="rId5" name="Check Box 16">
              <controlPr defaultSize="0" autoFill="0" autoLine="0" autoPict="0">
                <anchor moveWithCells="1">
                  <from>
                    <xdr:col>12</xdr:col>
                    <xdr:colOff>142875</xdr:colOff>
                    <xdr:row>2</xdr:row>
                    <xdr:rowOff>47625</xdr:rowOff>
                  </from>
                  <to>
                    <xdr:col>12</xdr:col>
                    <xdr:colOff>428625</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9">
    <tabColor rgb="FFFFFF00"/>
    <pageSetUpPr fitToPage="1"/>
  </sheetPr>
  <dimension ref="A1:AO212"/>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5.875" style="32" hidden="1" customWidth="1"/>
    <col min="18" max="18" width="12" style="31" hidden="1" customWidth="1"/>
    <col min="19" max="21" width="0" style="31" hidden="1" customWidth="1"/>
    <col min="22" max="22" width="12.875" style="31" hidden="1" customWidth="1"/>
    <col min="23" max="31" width="0" style="31" hidden="1" customWidth="1"/>
    <col min="32" max="32" width="14.375" style="31" hidden="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1338.3656847411639</v>
      </c>
      <c r="K1" s="4855">
        <f>M1-J1</f>
        <v>421.92735749057124</v>
      </c>
      <c r="L1" s="4855"/>
      <c r="M1" s="1874">
        <f>(M7+M13+M18+M22+L11+L12)-(M23+M27+M34+M43+M60+M65+M67+M69+M71+M75)</f>
        <v>1760.2930422317352</v>
      </c>
      <c r="N1" s="4855">
        <f>P1-M1</f>
        <v>1223.589336722657</v>
      </c>
      <c r="O1" s="4855"/>
      <c r="P1" s="1874">
        <f>(P7+P13+P18+P22+O11+O12)-(P23+P27+P34+P43+P60+P65+P67+P69+P71+P75)</f>
        <v>2983.8823789543922</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1889</v>
      </c>
      <c r="L2" s="4867"/>
      <c r="M2" s="4867"/>
      <c r="N2" s="4867"/>
      <c r="O2" s="4867"/>
      <c r="P2" s="4867"/>
      <c r="Q2" s="2475"/>
    </row>
    <row r="3" spans="1:41" s="274" customFormat="1" ht="21.75" customHeight="1">
      <c r="A3" s="2475"/>
      <c r="B3" s="1871" t="s">
        <v>1635</v>
      </c>
      <c r="G3" s="1859"/>
      <c r="H3" s="1870"/>
      <c r="J3" s="4956" t="s">
        <v>1205</v>
      </c>
      <c r="K3" s="4957"/>
      <c r="L3" s="4957"/>
      <c r="M3" s="2483"/>
      <c r="N3" s="4934" t="str">
        <f>IF(AND(T3=TRUE,T4=TRUE),"nur 1 Strohnutzung möglich !","")</f>
        <v/>
      </c>
      <c r="O3" s="4869"/>
      <c r="P3" s="1868"/>
      <c r="R3" s="1867"/>
      <c r="S3" s="283" t="s">
        <v>1204</v>
      </c>
      <c r="T3" s="1866" t="b">
        <v>1</v>
      </c>
    </row>
    <row r="4" spans="1:41" s="274" customFormat="1" ht="20.25" customHeight="1">
      <c r="A4" s="2475"/>
      <c r="B4" s="370" t="s">
        <v>1098</v>
      </c>
      <c r="C4" s="31"/>
      <c r="D4" s="31"/>
      <c r="E4" s="4958" t="s">
        <v>1211</v>
      </c>
      <c r="F4" s="4959"/>
      <c r="G4" s="4959"/>
      <c r="H4" s="4959"/>
      <c r="I4" s="4959"/>
      <c r="J4" s="4956" t="s">
        <v>1194</v>
      </c>
      <c r="K4" s="4957"/>
      <c r="L4" s="4957"/>
      <c r="M4" s="2482"/>
      <c r="N4" s="4869"/>
      <c r="O4" s="4869"/>
      <c r="P4" s="1864">
        <f>SDÖ1!O3</f>
        <v>0</v>
      </c>
      <c r="R4" s="1862"/>
      <c r="S4" s="278" t="s">
        <v>1203</v>
      </c>
      <c r="T4" s="1861" t="b">
        <v>0</v>
      </c>
    </row>
    <row r="5" spans="1:41" ht="6" customHeight="1"/>
    <row r="6" spans="1:41" s="1853" customFormat="1" ht="24" customHeight="1">
      <c r="A6" s="48"/>
      <c r="B6" s="1858" t="s">
        <v>1151</v>
      </c>
      <c r="C6" s="1857"/>
      <c r="D6" s="1857"/>
      <c r="E6" s="1857"/>
      <c r="F6" s="1857"/>
      <c r="G6" s="1856" t="s">
        <v>1642</v>
      </c>
      <c r="H6" s="4861" t="s">
        <v>179</v>
      </c>
      <c r="I6" s="4862"/>
      <c r="J6" s="1855">
        <v>30</v>
      </c>
      <c r="K6" s="4874" t="s">
        <v>152</v>
      </c>
      <c r="L6" s="4875"/>
      <c r="M6" s="1855">
        <v>40</v>
      </c>
      <c r="N6" s="4861" t="s">
        <v>178</v>
      </c>
      <c r="O6" s="4862"/>
      <c r="P6" s="1854">
        <v>69</v>
      </c>
    </row>
    <row r="7" spans="1:41" s="251" customFormat="1" ht="18.75" customHeight="1">
      <c r="A7" s="47"/>
      <c r="B7" s="305" t="s">
        <v>1633</v>
      </c>
      <c r="C7" s="47"/>
      <c r="D7" s="47"/>
      <c r="E7" s="47"/>
      <c r="F7" s="47"/>
      <c r="G7" s="1852" t="s">
        <v>171</v>
      </c>
      <c r="H7" s="1849"/>
      <c r="I7" s="1848"/>
      <c r="J7" s="1582">
        <f>SUM(I9:I12)</f>
        <v>1414.0000000000002</v>
      </c>
      <c r="K7" s="1851"/>
      <c r="L7" s="1850"/>
      <c r="M7" s="1585">
        <f>SUM(L9:L12)</f>
        <v>1885.3333333333335</v>
      </c>
      <c r="N7" s="1849"/>
      <c r="O7" s="1848"/>
      <c r="P7" s="1582">
        <f>SUM(O9:O12)</f>
        <v>3252.2000000000003</v>
      </c>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SDÖ1!O16</f>
        <v>37.533333333333339</v>
      </c>
      <c r="H9" s="1845">
        <f>J6-H10</f>
        <v>30</v>
      </c>
      <c r="I9" s="1841">
        <f>H9*G9</f>
        <v>1126.0000000000002</v>
      </c>
      <c r="J9" s="43"/>
      <c r="K9" s="1844">
        <f>M6-K10</f>
        <v>40</v>
      </c>
      <c r="L9" s="1843">
        <f>K9*G9</f>
        <v>1501.3333333333335</v>
      </c>
      <c r="M9" s="1822"/>
      <c r="N9" s="1842">
        <f>P6-N10</f>
        <v>69</v>
      </c>
      <c r="O9" s="1841">
        <f>N9*G9</f>
        <v>2589.8000000000002</v>
      </c>
      <c r="P9" s="43"/>
      <c r="Q9" s="32"/>
      <c r="R9" s="913"/>
      <c r="S9" s="1848" t="s">
        <v>1200</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2480">
        <f>I10+I11+I12</f>
        <v>288</v>
      </c>
      <c r="S10" s="2479">
        <f>L10+L11+L12</f>
        <v>384</v>
      </c>
      <c r="T10" s="2478">
        <f>O10+O11+O12</f>
        <v>662.40000000000009</v>
      </c>
      <c r="W10" s="251" t="s">
        <v>1198</v>
      </c>
    </row>
    <row r="11" spans="1:41" s="1810" customFormat="1" ht="15" customHeight="1">
      <c r="A11" s="370"/>
      <c r="B11" s="272"/>
      <c r="C11" s="45" t="s">
        <v>1197</v>
      </c>
      <c r="D11" s="370"/>
      <c r="E11" s="1828">
        <v>0.8</v>
      </c>
      <c r="F11" s="45" t="s">
        <v>1196</v>
      </c>
      <c r="G11" s="1827">
        <f>SDÖ1!$O$51</f>
        <v>12</v>
      </c>
      <c r="H11" s="1826">
        <f>IF($T$3=FALSE,0,J6*$E$11)</f>
        <v>24</v>
      </c>
      <c r="I11" s="1820">
        <f>H11*$G$11</f>
        <v>288</v>
      </c>
      <c r="J11" s="1825"/>
      <c r="K11" s="1824">
        <f>IF($T$3=FALSE,0,M6*$E$11)</f>
        <v>32</v>
      </c>
      <c r="L11" s="1823">
        <f>K11*$G$11</f>
        <v>384</v>
      </c>
      <c r="M11" s="1822"/>
      <c r="N11" s="1821">
        <f>IF($T$3=FALSE,0,P6*$E$11)</f>
        <v>55.2</v>
      </c>
      <c r="O11" s="1820">
        <f>N11*$G$11</f>
        <v>662.40000000000009</v>
      </c>
      <c r="P11" s="43"/>
      <c r="Q11" s="38"/>
      <c r="U11" s="1810">
        <f>O6*$E$11</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24</v>
      </c>
      <c r="Y12" s="1807">
        <f>IF(OR(T3=TRUE,T4=TRUE),M6*$E$11,"0")</f>
        <v>32</v>
      </c>
      <c r="Z12" s="1806">
        <f>IF(OR(T3=TRUE,T4=TRUE),P6*$E$11,"0")</f>
        <v>55.2</v>
      </c>
    </row>
    <row r="13" spans="1:41" s="251" customFormat="1" ht="18.600000000000001"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33"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33"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v>0</v>
      </c>
      <c r="R18" s="693" t="s">
        <v>1189</v>
      </c>
      <c r="S18" s="369"/>
      <c r="T18" s="1790"/>
    </row>
    <row r="19" spans="1:33" ht="15.6" customHeight="1">
      <c r="A19" s="370"/>
      <c r="B19" s="1789"/>
      <c r="C19" s="4860" t="s">
        <v>2109</v>
      </c>
      <c r="D19" s="4860"/>
      <c r="E19" s="4860"/>
      <c r="F19" s="4860"/>
      <c r="G19" s="4018" t="s">
        <v>171</v>
      </c>
      <c r="H19" s="1786"/>
      <c r="I19" s="3909">
        <f>IF(OR($C19=0,$J$6=0),0,VLOOKUP($C19,'SD2'!C59:N75,12,FALSE))</f>
        <v>158</v>
      </c>
      <c r="J19" s="45"/>
      <c r="K19" s="1787"/>
      <c r="L19" s="1639">
        <f>IF(OR($C19=0,$M$6=0),0,VLOOKUP($C19,'SD2'!$C$59:$N$75,12,FALSE))</f>
        <v>158</v>
      </c>
      <c r="M19" s="1557"/>
      <c r="N19" s="1786"/>
      <c r="O19" s="1785">
        <f>IF(OR($C19=0,$P$6=0),0,VLOOKUP($C19,'SD2'!C59:N75,12,FALSE))</f>
        <v>158</v>
      </c>
      <c r="P19" s="3852"/>
      <c r="R19" s="1784">
        <f>J13+J18</f>
        <v>595.4</v>
      </c>
      <c r="S19" s="1784">
        <f>M13+M18</f>
        <v>595.4</v>
      </c>
      <c r="T19" s="1784">
        <f>P13+P18</f>
        <v>595.4</v>
      </c>
      <c r="AG19" s="3989"/>
    </row>
    <row r="20" spans="1:33" s="3981" customFormat="1" ht="15.6" customHeight="1">
      <c r="A20" s="3857"/>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3852"/>
      <c r="Q20" s="3982"/>
      <c r="R20" s="3968"/>
      <c r="S20" s="3968"/>
      <c r="T20" s="3968"/>
      <c r="AG20" s="3989"/>
    </row>
    <row r="21" spans="1:33"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3852"/>
      <c r="Q21" s="3982"/>
      <c r="R21" s="3968"/>
      <c r="S21" s="3968"/>
      <c r="T21" s="3968"/>
      <c r="AG21" s="3982"/>
    </row>
    <row r="22" spans="1:33" ht="15.6" customHeight="1">
      <c r="A22" s="370"/>
      <c r="B22" s="305" t="s">
        <v>1188</v>
      </c>
      <c r="C22" s="45"/>
      <c r="D22" s="1775"/>
      <c r="E22" s="4865" t="s">
        <v>1187</v>
      </c>
      <c r="F22" s="4865"/>
      <c r="G22" s="4866"/>
      <c r="H22" s="1772"/>
      <c r="I22" s="1771"/>
      <c r="J22" s="1770"/>
      <c r="K22" s="1774"/>
      <c r="L22" s="1773"/>
      <c r="M22" s="1770"/>
      <c r="N22" s="1772"/>
      <c r="O22" s="1771"/>
      <c r="P22" s="1770"/>
    </row>
    <row r="23" spans="1:33" s="42" customFormat="1" ht="18.75" customHeight="1">
      <c r="A23" s="1284"/>
      <c r="B23" s="264" t="s">
        <v>222</v>
      </c>
      <c r="C23" s="1769"/>
      <c r="D23" s="1769"/>
      <c r="E23" s="38"/>
      <c r="F23" s="4876"/>
      <c r="G23" s="4877" t="s">
        <v>171</v>
      </c>
      <c r="H23" s="1584"/>
      <c r="I23" s="1583"/>
      <c r="J23" s="1567">
        <f>SUM(I25:I26)</f>
        <v>147.6</v>
      </c>
      <c r="K23" s="1587"/>
      <c r="L23" s="1586"/>
      <c r="M23" s="1768">
        <f>SUM(L25:L26)</f>
        <v>147.6</v>
      </c>
      <c r="N23" s="1584"/>
      <c r="O23" s="1583"/>
      <c r="P23" s="1567">
        <f>SUM(O25:O26)</f>
        <v>147.6</v>
      </c>
      <c r="Q23" s="32"/>
      <c r="R23" s="42" t="s">
        <v>1641</v>
      </c>
    </row>
    <row r="24" spans="1:33"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33" s="686" customFormat="1" ht="18.75" customHeight="1">
      <c r="A25" s="1248"/>
      <c r="B25" s="1764"/>
      <c r="C25" s="1284" t="s">
        <v>1185</v>
      </c>
      <c r="D25" s="4878"/>
      <c r="E25" s="4879"/>
      <c r="F25" s="1763">
        <v>0.82</v>
      </c>
      <c r="G25" s="1762">
        <f>F25*(100+$D$24)/100</f>
        <v>0.82</v>
      </c>
      <c r="H25" s="1761">
        <v>180</v>
      </c>
      <c r="I25" s="1722">
        <f>H25*$G25</f>
        <v>147.6</v>
      </c>
      <c r="J25" s="45"/>
      <c r="K25" s="1761">
        <f>H25</f>
        <v>180</v>
      </c>
      <c r="L25" s="1564">
        <f>K25*$G25</f>
        <v>147.6</v>
      </c>
      <c r="M25" s="1557"/>
      <c r="N25" s="1761">
        <f>H25</f>
        <v>180</v>
      </c>
      <c r="O25" s="1722">
        <f>N25*$G25</f>
        <v>147.6</v>
      </c>
      <c r="P25" s="1686"/>
      <c r="Q25" s="32"/>
    </row>
    <row r="26" spans="1:33"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33"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363.99100000000004</v>
      </c>
      <c r="K27" s="1716"/>
      <c r="L27" s="1715"/>
      <c r="M27" s="1585">
        <f>SUM(L30:L33)</f>
        <v>456.18799999999999</v>
      </c>
      <c r="N27" s="1714"/>
      <c r="O27" s="1713"/>
      <c r="P27" s="1582">
        <f>SUM(O30:O33)</f>
        <v>723.55929999999989</v>
      </c>
      <c r="Q27" s="32"/>
    </row>
    <row r="28" spans="1:33"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33"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33" s="42" customFormat="1" ht="15" customHeight="1">
      <c r="A30" s="1284"/>
      <c r="B30" s="1744"/>
      <c r="C30" s="1743" t="s">
        <v>246</v>
      </c>
      <c r="D30" s="1691">
        <f>IF(SDÖ1!$U$17=TRUE,SDÖ1!O55,0)</f>
        <v>4.37</v>
      </c>
      <c r="E30" s="1742">
        <v>1.65</v>
      </c>
      <c r="F30" s="1742"/>
      <c r="G30" s="1741">
        <v>20</v>
      </c>
      <c r="H30" s="1739">
        <f>IF(J$6=0,0,(J$6*$E30+$G30+X13))</f>
        <v>69.5</v>
      </c>
      <c r="I30" s="1722">
        <f>H30*$D30</f>
        <v>303.71500000000003</v>
      </c>
      <c r="J30" s="45"/>
      <c r="K30" s="1740">
        <f>IF(M$6=0,0,(M$6*$E30+$G30+AA14))</f>
        <v>86</v>
      </c>
      <c r="L30" s="1564">
        <f>K30*$D30</f>
        <v>375.82</v>
      </c>
      <c r="M30" s="1557"/>
      <c r="N30" s="1739">
        <f>IF(P$6=0,0,(P$6*$E30+$G30+AD14))</f>
        <v>133.85</v>
      </c>
      <c r="O30" s="1722">
        <f>N30*$D30</f>
        <v>584.92449999999997</v>
      </c>
      <c r="P30" s="1686"/>
      <c r="Q30" s="32"/>
    </row>
    <row r="31" spans="1:33" s="42" customFormat="1" ht="15" customHeight="1">
      <c r="A31" s="1284"/>
      <c r="B31" s="272"/>
      <c r="C31" s="1284" t="s">
        <v>244</v>
      </c>
      <c r="D31" s="1691">
        <f>IF(SDÖ1!$U$17=TRUE,SDÖ1!O56,0)</f>
        <v>1.3740000000000001</v>
      </c>
      <c r="E31" s="1742">
        <f>VLOOKUP('SD8'!B10,'SD8'!$B$9:$K$44,4,FALSE)</f>
        <v>0.8</v>
      </c>
      <c r="F31" s="1742"/>
      <c r="G31" s="1741"/>
      <c r="H31" s="1739">
        <f>IF(J$6=0,0,(J$6*$E31+$G31+X14))</f>
        <v>24</v>
      </c>
      <c r="I31" s="1722">
        <f>H31*$D31</f>
        <v>32.975999999999999</v>
      </c>
      <c r="J31" s="45"/>
      <c r="K31" s="1740">
        <f>IF(M$6=0,0,(M$6*$E31+$G31+Y14))</f>
        <v>32</v>
      </c>
      <c r="L31" s="1564">
        <f>K31*$D31</f>
        <v>43.968000000000004</v>
      </c>
      <c r="M31" s="1557"/>
      <c r="N31" s="1739">
        <f>IF(P$6=0,0,(P$6*$E31+$G31+Z14))</f>
        <v>55.2</v>
      </c>
      <c r="O31" s="1722">
        <f>N31*$D31</f>
        <v>75.844800000000006</v>
      </c>
      <c r="P31" s="1686"/>
      <c r="Q31" s="32"/>
    </row>
    <row r="32" spans="1:33" s="686" customFormat="1" ht="18.75" customHeight="1">
      <c r="A32" s="1248"/>
      <c r="B32" s="272"/>
      <c r="C32" s="1284" t="s">
        <v>242</v>
      </c>
      <c r="D32" s="1691">
        <f>IF(SDÖ1!$U$17=TRUE,SDÖ1!O57,0)</f>
        <v>1.35</v>
      </c>
      <c r="E32" s="1742">
        <f>VLOOKUP('SD8'!B10,'SD8'!$B$9:$K$44,5,FALSE)</f>
        <v>0.6</v>
      </c>
      <c r="F32" s="1742"/>
      <c r="G32" s="1741"/>
      <c r="H32" s="1739">
        <f>IF(J$6=0,0,(J$6*$E32+$G32+X15))</f>
        <v>18</v>
      </c>
      <c r="I32" s="1722">
        <f>H32*$D32</f>
        <v>24.3</v>
      </c>
      <c r="J32" s="45"/>
      <c r="K32" s="1740">
        <f>IF(M$6=0,0,(M$6*$E32+$G32+Y15))</f>
        <v>24</v>
      </c>
      <c r="L32" s="1564">
        <f>K32*$D32</f>
        <v>32.400000000000006</v>
      </c>
      <c r="M32" s="1557"/>
      <c r="N32" s="1739">
        <f>IF(P$6=0,0,(P$6*$E32+$G32+Z15))</f>
        <v>41.4</v>
      </c>
      <c r="O32" s="1722">
        <f>N32*$D32</f>
        <v>55.89</v>
      </c>
      <c r="P32" s="1686"/>
      <c r="Q32" s="32"/>
    </row>
    <row r="33" spans="1:17" s="686" customFormat="1" ht="13.15" customHeight="1">
      <c r="A33" s="1248"/>
      <c r="B33" s="239"/>
      <c r="C33" s="1309" t="s">
        <v>240</v>
      </c>
      <c r="D33" s="1674">
        <f>IF(SDÖ1!$U$17=TRUE,SDÖ1!O58,0)</f>
        <v>0.5</v>
      </c>
      <c r="E33" s="3591">
        <f>VLOOKUP('SD8'!B10,'SD8'!$B$9:$K$44,6,FALSE)</f>
        <v>0.2</v>
      </c>
      <c r="F33" s="1738"/>
      <c r="G33" s="1737"/>
      <c r="H33" s="1735">
        <f>IF(J$6=0,0,(J$6*$E33+$G33+X16))</f>
        <v>6</v>
      </c>
      <c r="I33" s="1718">
        <f>H33*$D33</f>
        <v>3</v>
      </c>
      <c r="J33" s="45"/>
      <c r="K33" s="1736">
        <f>IF(M$6=0,0,(M$6*$E33+$G33+Y16))</f>
        <v>8</v>
      </c>
      <c r="L33" s="1558">
        <f>K33*$D33</f>
        <v>4</v>
      </c>
      <c r="M33" s="1557"/>
      <c r="N33" s="1735">
        <f>IF(P$6=0,0,(P$6*$E33+$G33+Z16))</f>
        <v>13.8</v>
      </c>
      <c r="O33" s="1718">
        <f>N33*$D33</f>
        <v>6.9</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147.41761145848736</v>
      </c>
      <c r="K43" s="1716"/>
      <c r="L43" s="1715"/>
      <c r="M43" s="1585">
        <f>SUM(M46:M57)</f>
        <v>152.4944140488067</v>
      </c>
      <c r="N43" s="1714"/>
      <c r="O43" s="1713"/>
      <c r="P43" s="1582">
        <f>SUM(P46:P57)</f>
        <v>167.21714156073276</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t="s">
        <v>462</v>
      </c>
      <c r="D46" s="4859"/>
      <c r="E46" s="1693">
        <f>IF($C46=0,0,VLOOKUP($C46,SDÖ3!$C$24:$O$99,4,FALSE))</f>
        <v>120</v>
      </c>
      <c r="F46" s="1692">
        <f>IF($C46=0,0,VLOOKUP($C46,SDÖ3!$C$24:$O$99,12,FALSE))</f>
        <v>1.44</v>
      </c>
      <c r="G46" s="1691">
        <f>IF($C46=0,0,VLOOKUP($C46,SDÖ3!$C$24:$O$99,13,FALSE))</f>
        <v>59.188918588235289</v>
      </c>
      <c r="H46" s="1696">
        <v>1</v>
      </c>
      <c r="I46" s="1695">
        <f t="shared" ref="I46:I57" si="4">$F46*H46</f>
        <v>1.44</v>
      </c>
      <c r="J46" s="1686">
        <f t="shared" ref="J46:J57" si="5">H46*$G46</f>
        <v>59.188918588235289</v>
      </c>
      <c r="K46" s="1696">
        <v>1</v>
      </c>
      <c r="L46" s="1697">
        <f t="shared" ref="L46:L57" si="6">$F46*K46</f>
        <v>1.44</v>
      </c>
      <c r="M46" s="1689">
        <f t="shared" ref="M46:M57" si="7">K46*$G46</f>
        <v>59.188918588235289</v>
      </c>
      <c r="N46" s="1696">
        <v>1</v>
      </c>
      <c r="O46" s="1695">
        <f t="shared" ref="O46:O57" si="8">$F46*N46</f>
        <v>1.44</v>
      </c>
      <c r="P46" s="1686">
        <f t="shared" ref="P46:P57" si="9">N46*$G46</f>
        <v>59.188918588235289</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82" t="s">
        <v>410</v>
      </c>
      <c r="D49" s="4883"/>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 t="shared" si="6"/>
        <v>0.54</v>
      </c>
      <c r="M49" s="1689">
        <f t="shared" si="7"/>
        <v>12.112956378823529</v>
      </c>
      <c r="N49" s="1688">
        <v>2</v>
      </c>
      <c r="O49" s="1687">
        <f t="shared" si="8"/>
        <v>0.54</v>
      </c>
      <c r="P49" s="1686">
        <f t="shared" si="9"/>
        <v>12.112956378823529</v>
      </c>
      <c r="Q49" s="32"/>
    </row>
    <row r="50" spans="1:17" s="42" customFormat="1" ht="15" customHeight="1">
      <c r="A50" s="1284"/>
      <c r="B50" s="1694"/>
      <c r="C50" s="4882" t="s">
        <v>459</v>
      </c>
      <c r="D50" s="4883"/>
      <c r="E50" s="1693">
        <f>IF($C50=0,0,VLOOKUP($C50,SDÖ3!$C$24:$O$99,4,FALSE))</f>
        <v>102</v>
      </c>
      <c r="F50" s="1692">
        <f>IF($C50=0,0,VLOOKUP($C50,SDÖ3!$C$24:$O$99,12,FALSE))</f>
        <v>0.79</v>
      </c>
      <c r="G50" s="1691">
        <f>IF($C50=0,0,VLOOKUP($C50,SDÖ3!$C$24:$O$99,13,FALSE))</f>
        <v>21.737240200000002</v>
      </c>
      <c r="H50" s="1688">
        <v>1</v>
      </c>
      <c r="I50" s="1687">
        <f t="shared" si="4"/>
        <v>0.79</v>
      </c>
      <c r="J50" s="1686">
        <f t="shared" si="5"/>
        <v>21.737240200000002</v>
      </c>
      <c r="K50" s="1688">
        <v>1</v>
      </c>
      <c r="L50" s="1690">
        <f t="shared" si="6"/>
        <v>0.79</v>
      </c>
      <c r="M50" s="1689">
        <f t="shared" si="7"/>
        <v>21.737240200000002</v>
      </c>
      <c r="N50" s="1688">
        <v>1</v>
      </c>
      <c r="O50" s="1687">
        <f t="shared" si="8"/>
        <v>0.79</v>
      </c>
      <c r="P50" s="1686">
        <f t="shared" si="9"/>
        <v>21.737240200000002</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t="s">
        <v>403</v>
      </c>
      <c r="D52" s="4883"/>
      <c r="E52" s="1693">
        <f>IF($C52=0,0,VLOOKUP($C52,SDÖ3!$C$24:$O$99,4,FALSE))</f>
        <v>83</v>
      </c>
      <c r="F52" s="1692">
        <f>IF($C52=0,0,VLOOKUP($C52,SDÖ3!$C$24:$O$99,12,FALSE))</f>
        <v>0.56000000000000005</v>
      </c>
      <c r="G52" s="1691">
        <f>IF($C52=0,0,VLOOKUP($C52,SDÖ3!$C$24:$O$99,13,FALSE))</f>
        <v>9.6134362447058805</v>
      </c>
      <c r="H52" s="1688">
        <f>J6/40+0.3</f>
        <v>1.05</v>
      </c>
      <c r="I52" s="1687">
        <f t="shared" si="4"/>
        <v>0.58800000000000008</v>
      </c>
      <c r="J52" s="1686">
        <f t="shared" si="5"/>
        <v>10.094108056941176</v>
      </c>
      <c r="K52" s="1688">
        <f>M6/40+0.3</f>
        <v>1.3</v>
      </c>
      <c r="L52" s="1690">
        <f t="shared" si="6"/>
        <v>0.72800000000000009</v>
      </c>
      <c r="M52" s="1689">
        <f t="shared" si="7"/>
        <v>12.497467118117646</v>
      </c>
      <c r="N52" s="1688">
        <f>P6/40+0.3</f>
        <v>2.0249999999999999</v>
      </c>
      <c r="O52" s="1687">
        <f t="shared" si="8"/>
        <v>1.1340000000000001</v>
      </c>
      <c r="P52" s="1686">
        <f t="shared" si="9"/>
        <v>19.467208395529408</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0.68571428571428572</v>
      </c>
      <c r="I57" s="1671">
        <f t="shared" si="4"/>
        <v>0.4662857142857143</v>
      </c>
      <c r="J57" s="1670">
        <f t="shared" si="5"/>
        <v>8.0203305874285711</v>
      </c>
      <c r="K57" s="3635">
        <f>K11/35</f>
        <v>0.91428571428571426</v>
      </c>
      <c r="L57" s="1673">
        <f t="shared" si="6"/>
        <v>0.62171428571428577</v>
      </c>
      <c r="M57" s="1620">
        <f t="shared" si="7"/>
        <v>10.693774116571428</v>
      </c>
      <c r="N57" s="3634">
        <f>N11/35</f>
        <v>1.5771428571428572</v>
      </c>
      <c r="O57" s="1671">
        <f t="shared" si="8"/>
        <v>1.072457142857143</v>
      </c>
      <c r="P57" s="1670">
        <f t="shared" si="9"/>
        <v>18.446760351085715</v>
      </c>
      <c r="Q57" s="3626"/>
    </row>
    <row r="58" spans="1:17" s="686" customFormat="1" ht="18.75" customHeight="1">
      <c r="A58" s="1248"/>
      <c r="B58" s="1254" t="s">
        <v>1167</v>
      </c>
      <c r="C58" s="1351"/>
      <c r="D58" s="1351"/>
      <c r="E58" s="1351"/>
      <c r="F58" s="38"/>
      <c r="G58" s="1588"/>
      <c r="H58" s="1665"/>
      <c r="I58" s="1664">
        <f>SUM($I$46:$I$57)</f>
        <v>4.8742857142857146</v>
      </c>
      <c r="J58" s="1669"/>
      <c r="K58" s="1668"/>
      <c r="L58" s="1667">
        <f>SUM($L$46:$L$57)</f>
        <v>5.1697142857142859</v>
      </c>
      <c r="M58" s="1666"/>
      <c r="N58" s="1665"/>
      <c r="O58" s="1664">
        <f>SUM($O$46:$O$57)</f>
        <v>6.0264571428571436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8.773714285714286</v>
      </c>
      <c r="J59" s="1654"/>
      <c r="K59" s="1659"/>
      <c r="L59" s="1658">
        <f>IF(L58+SUM($L$46:$L$57)*$E$59%&gt;L58+10,L58+10,L58+SUM($L$46:$L$57)*$E$59%)</f>
        <v>9.3054857142857159</v>
      </c>
      <c r="M59" s="1657"/>
      <c r="N59" s="1656"/>
      <c r="O59" s="1655">
        <f>IF(O58+SUM($O$46:$O$57)*$E$59%&gt;O58+10,O58+10,O58+SUM($O$46:$O$57)*$E$59%)</f>
        <v>10.847622857142859</v>
      </c>
      <c r="P59" s="1654"/>
      <c r="Q59" s="32"/>
    </row>
    <row r="60" spans="1:17" s="65" customFormat="1" ht="18.75" customHeight="1">
      <c r="A60" s="1351"/>
      <c r="B60" s="1254" t="s">
        <v>1164</v>
      </c>
      <c r="C60" s="1351"/>
      <c r="D60" s="1351"/>
      <c r="E60" s="45"/>
      <c r="F60" s="45"/>
      <c r="G60" s="1653"/>
      <c r="H60" s="3904"/>
      <c r="I60" s="3903"/>
      <c r="J60" s="1652">
        <f>IF(J6=0,0,SUM(I62:I64))</f>
        <v>216.79999999999998</v>
      </c>
      <c r="K60" s="3906"/>
      <c r="L60" s="3905"/>
      <c r="M60" s="1585">
        <f>IF(M6=0,0,SUM(L62:L64))</f>
        <v>239.2</v>
      </c>
      <c r="N60" s="3904"/>
      <c r="O60" s="3903"/>
      <c r="P60" s="1652">
        <f>IF(P6=0,0,SUM(O62:O64))</f>
        <v>304.15999999999997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67.199999999999989</v>
      </c>
      <c r="J64" s="227"/>
      <c r="K64" s="1622"/>
      <c r="L64" s="1621">
        <f>K11*$G$64</f>
        <v>89.6</v>
      </c>
      <c r="M64" s="1620"/>
      <c r="N64" s="1619"/>
      <c r="O64" s="1618">
        <f>N11*$G$64</f>
        <v>154.56</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124.54500000000002</v>
      </c>
      <c r="Q67" s="32"/>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18.016000000000005</v>
      </c>
      <c r="K69" s="1598"/>
      <c r="L69" s="1597"/>
      <c r="M69" s="1585">
        <f>K70*$F70/1000</f>
        <v>24.021333333333335</v>
      </c>
      <c r="N69" s="44"/>
      <c r="O69" s="73"/>
      <c r="P69" s="1582">
        <f>N70*$F70/1000</f>
        <v>41.436800000000005</v>
      </c>
      <c r="Q69" s="32"/>
    </row>
    <row r="70" spans="1:20" s="686" customFormat="1" ht="15" customHeight="1">
      <c r="A70" s="1248"/>
      <c r="B70" s="1310"/>
      <c r="C70" s="1309" t="s">
        <v>840</v>
      </c>
      <c r="D70" s="346"/>
      <c r="E70" s="278"/>
      <c r="F70" s="1596">
        <f>'SDK7'!G101</f>
        <v>16</v>
      </c>
      <c r="G70" s="1595" t="s">
        <v>171</v>
      </c>
      <c r="H70" s="1591">
        <f>I9+I10</f>
        <v>1126.0000000000002</v>
      </c>
      <c r="I70" s="1590"/>
      <c r="J70" s="1589"/>
      <c r="K70" s="1594">
        <f>L9+L10</f>
        <v>1501.3333333333335</v>
      </c>
      <c r="L70" s="1593"/>
      <c r="M70" s="1592"/>
      <c r="N70" s="1591">
        <f>O9+O10</f>
        <v>2589.8000000000002</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1.7" customHeight="1">
      <c r="A75" s="1248"/>
      <c r="B75" s="4886" t="s">
        <v>1154</v>
      </c>
      <c r="C75" s="4887"/>
      <c r="D75" s="1553" t="s">
        <v>1153</v>
      </c>
      <c r="E75" s="1552">
        <f>'SDK1'!$O$59/100</f>
        <v>0.02</v>
      </c>
      <c r="F75" s="1551" t="s">
        <v>1152</v>
      </c>
      <c r="G75" s="1550">
        <v>7</v>
      </c>
      <c r="H75" s="1548"/>
      <c r="I75" s="1549"/>
      <c r="J75" s="1546">
        <f>(J23+J27+J34+J43+J60+J65+J67+J69+J71)*('SDK1'!$O$59%*$G$75/12)</f>
        <v>11.059703800349018</v>
      </c>
      <c r="K75" s="3031"/>
      <c r="L75" s="1034"/>
      <c r="M75" s="1546">
        <f>(M23+M27+M34+M43+M60+M65+M67+M69+M71)*('SDK1'!$O$59%*$G$75/12)</f>
        <v>12.736543719458302</v>
      </c>
      <c r="N75" s="1548"/>
      <c r="O75" s="1547"/>
      <c r="P75" s="1546">
        <f>(P23+P27+P34+P43+P60+P65+P67+P69+P71)*('SDK1'!$O$59%*$G$75/12)</f>
        <v>17.599379484875218</v>
      </c>
      <c r="Q75" s="32"/>
    </row>
    <row r="76" spans="1:20">
      <c r="L76" s="33"/>
    </row>
    <row r="77" spans="1:20">
      <c r="L77" s="33"/>
      <c r="N77" s="3584"/>
      <c r="O77" s="3584"/>
      <c r="P77" s="3584"/>
    </row>
    <row r="78" spans="1:20" ht="14.25">
      <c r="C78" s="4950" t="s">
        <v>1888</v>
      </c>
      <c r="D78" s="4951"/>
      <c r="E78" s="4951"/>
      <c r="F78" s="4952"/>
      <c r="G78" s="3584"/>
      <c r="H78" s="3584"/>
      <c r="I78" s="3584"/>
      <c r="J78" s="3584"/>
      <c r="K78" s="3584"/>
      <c r="L78" s="3584"/>
      <c r="M78" s="3584"/>
      <c r="N78" s="3584"/>
      <c r="O78" s="3584"/>
      <c r="P78" s="3584"/>
    </row>
    <row r="79" spans="1:20">
      <c r="C79" s="4943" t="s">
        <v>295</v>
      </c>
      <c r="D79" s="4944"/>
      <c r="E79" s="4944"/>
      <c r="F79" s="4945"/>
      <c r="G79" s="3584"/>
      <c r="H79" s="3584"/>
      <c r="I79" s="3584"/>
      <c r="J79" s="3584"/>
      <c r="K79" s="3584"/>
      <c r="L79" s="3584"/>
      <c r="M79" s="3584"/>
      <c r="N79" s="3584"/>
      <c r="O79" s="3584"/>
      <c r="P79" s="3584"/>
    </row>
    <row r="80" spans="1:20" ht="14.25">
      <c r="B80" s="3046"/>
      <c r="C80" s="3042" t="s">
        <v>1884</v>
      </c>
      <c r="D80" s="3043"/>
      <c r="E80" s="3043"/>
      <c r="F80" s="3044"/>
      <c r="G80" s="3584"/>
      <c r="H80" s="3584"/>
      <c r="I80" s="3584"/>
      <c r="J80" s="3584"/>
      <c r="K80" s="3584"/>
      <c r="L80" s="3584"/>
      <c r="M80" s="3584"/>
      <c r="N80" s="3584"/>
      <c r="O80" s="3584"/>
      <c r="P80" s="3584"/>
    </row>
    <row r="81" spans="2:17" ht="14.25">
      <c r="B81" s="3046"/>
      <c r="C81" s="3042" t="s">
        <v>1885</v>
      </c>
      <c r="D81" s="3043"/>
      <c r="E81" s="3043"/>
      <c r="F81" s="3044"/>
      <c r="G81" s="3584"/>
      <c r="H81" s="3584"/>
      <c r="I81" s="3584"/>
      <c r="J81" s="3584"/>
      <c r="K81" s="3584"/>
      <c r="L81" s="3584"/>
      <c r="M81" s="3584"/>
      <c r="N81" s="3584"/>
      <c r="O81" s="3584"/>
      <c r="P81" s="3584"/>
    </row>
    <row r="82" spans="2:17">
      <c r="B82" s="3046"/>
      <c r="C82" s="3034" t="s">
        <v>294</v>
      </c>
      <c r="D82" s="3035"/>
      <c r="E82" s="3035"/>
      <c r="F82" s="3036"/>
      <c r="G82" s="3584"/>
      <c r="H82" s="3584"/>
      <c r="I82" s="3584"/>
      <c r="J82" s="3584"/>
      <c r="K82" s="3584"/>
      <c r="L82" s="3584"/>
      <c r="M82" s="3584"/>
      <c r="N82" s="3584"/>
      <c r="O82" s="3584"/>
      <c r="P82" s="3584"/>
    </row>
    <row r="83" spans="2:17" ht="14.25">
      <c r="B83" s="3046"/>
      <c r="C83" s="3042" t="s">
        <v>1886</v>
      </c>
      <c r="D83" s="3043"/>
      <c r="E83" s="3043"/>
      <c r="F83" s="3044"/>
      <c r="G83" s="3584"/>
      <c r="H83" s="3584"/>
      <c r="I83" s="3584"/>
      <c r="J83" s="3584"/>
      <c r="K83" s="3584"/>
      <c r="L83" s="3584"/>
      <c r="M83" s="3584"/>
      <c r="N83" s="3584"/>
      <c r="O83" s="3584"/>
      <c r="P83" s="3584"/>
    </row>
    <row r="84" spans="2:17" ht="14.25">
      <c r="B84" s="3046"/>
      <c r="C84" s="3042" t="s">
        <v>1887</v>
      </c>
      <c r="D84" s="3043"/>
      <c r="E84" s="3043"/>
      <c r="F84" s="3044"/>
      <c r="G84" s="3584"/>
      <c r="H84" s="3584"/>
      <c r="I84" s="3584"/>
      <c r="J84" s="3584"/>
      <c r="L84" s="3584"/>
      <c r="M84" s="3584"/>
      <c r="N84" s="3584"/>
      <c r="O84" s="3584"/>
      <c r="P84" s="3584"/>
    </row>
    <row r="85" spans="2:17">
      <c r="B85" s="3046"/>
      <c r="C85" s="3034" t="s">
        <v>293</v>
      </c>
      <c r="D85" s="3035"/>
      <c r="E85" s="3035"/>
      <c r="F85" s="3036"/>
      <c r="G85" s="3584"/>
      <c r="H85" s="3584"/>
      <c r="I85" s="3584"/>
      <c r="J85" s="3584"/>
      <c r="K85" s="3584"/>
      <c r="L85" s="3584"/>
      <c r="M85" s="3584"/>
      <c r="N85" s="3584"/>
      <c r="O85" s="3584"/>
      <c r="P85" s="3584"/>
    </row>
    <row r="86" spans="2:17">
      <c r="B86" s="3046"/>
      <c r="C86" s="3034" t="s">
        <v>292</v>
      </c>
      <c r="D86" s="3035"/>
      <c r="E86" s="3035"/>
      <c r="F86" s="3036"/>
      <c r="G86" s="3584"/>
      <c r="H86" s="3584"/>
      <c r="I86" s="3584"/>
      <c r="J86" s="3584"/>
      <c r="K86" s="3584"/>
      <c r="L86" s="3584"/>
      <c r="M86" s="3584"/>
      <c r="N86" s="3584"/>
      <c r="O86" s="3584"/>
      <c r="P86" s="3584"/>
      <c r="Q86" s="3584"/>
    </row>
    <row r="87" spans="2:17" ht="14.25">
      <c r="B87" s="3046"/>
      <c r="C87" s="3034" t="s">
        <v>291</v>
      </c>
      <c r="D87" s="3035"/>
      <c r="E87" s="3035"/>
      <c r="F87" s="3036"/>
      <c r="G87" s="3584"/>
      <c r="H87" s="3584"/>
      <c r="I87" s="3584"/>
      <c r="J87" s="3584"/>
      <c r="K87" s="3584"/>
      <c r="L87" s="3584"/>
      <c r="M87" s="3584"/>
      <c r="N87" s="3584"/>
      <c r="O87" s="3584"/>
      <c r="P87" s="3584"/>
    </row>
    <row r="88" spans="2:17" ht="13.15" customHeight="1">
      <c r="B88" s="3046"/>
      <c r="C88" s="3034" t="s">
        <v>290</v>
      </c>
      <c r="D88" s="3037"/>
      <c r="E88" s="3037"/>
      <c r="F88" s="3038"/>
      <c r="G88" s="3584"/>
      <c r="H88" s="3584"/>
      <c r="I88" s="3584"/>
      <c r="J88" s="3584"/>
      <c r="K88" s="3584"/>
      <c r="L88" s="3584"/>
      <c r="M88" s="3584"/>
      <c r="N88" s="3584"/>
      <c r="O88" s="3584"/>
      <c r="P88" s="3584"/>
    </row>
    <row r="89" spans="2:17">
      <c r="B89" s="3046"/>
      <c r="C89" s="3034" t="s">
        <v>289</v>
      </c>
      <c r="D89" s="3037"/>
      <c r="E89" s="3037"/>
      <c r="F89" s="3038"/>
      <c r="G89" s="3584"/>
      <c r="H89" s="3584"/>
      <c r="I89" s="3584"/>
      <c r="J89" s="3584"/>
      <c r="K89" s="3584"/>
      <c r="L89" s="3584"/>
      <c r="M89" s="3584"/>
      <c r="N89" s="3584"/>
      <c r="O89" s="3584"/>
      <c r="P89" s="3584"/>
    </row>
    <row r="90" spans="2:17" ht="25.5">
      <c r="B90" s="3046"/>
      <c r="C90" s="3039" t="s">
        <v>288</v>
      </c>
      <c r="D90" s="3040"/>
      <c r="E90" s="3040"/>
      <c r="F90" s="3041"/>
      <c r="G90" s="3584"/>
      <c r="H90" s="3584"/>
      <c r="I90" s="3584"/>
      <c r="J90" s="3584"/>
      <c r="K90" s="3584"/>
      <c r="L90" s="3584"/>
      <c r="M90" s="3584"/>
      <c r="N90" s="3584"/>
      <c r="O90" s="3584"/>
      <c r="P90" s="3584"/>
    </row>
    <row r="91" spans="2:17">
      <c r="C91" s="2506"/>
      <c r="D91" s="2506"/>
      <c r="E91" s="2506"/>
      <c r="G91" s="3584"/>
      <c r="H91" s="3584"/>
      <c r="I91" s="3584"/>
      <c r="J91" s="3584"/>
      <c r="K91" s="3584"/>
      <c r="L91" s="3584"/>
      <c r="M91" s="3584"/>
      <c r="N91" s="3584"/>
      <c r="O91" s="3584"/>
      <c r="P91" s="3584"/>
    </row>
    <row r="92" spans="2:17">
      <c r="C92" s="2506"/>
      <c r="D92" s="2506"/>
      <c r="E92" s="2506"/>
      <c r="G92" s="3584"/>
      <c r="H92" s="3584"/>
      <c r="I92" s="3584"/>
      <c r="J92" s="3584"/>
      <c r="K92" s="3584"/>
      <c r="L92" s="3584"/>
      <c r="M92" s="3584"/>
      <c r="N92" s="3584"/>
      <c r="O92" s="3584"/>
      <c r="P92" s="3584"/>
    </row>
    <row r="93" spans="2:17">
      <c r="C93" s="2506"/>
      <c r="D93" s="2506"/>
      <c r="E93" s="2506"/>
      <c r="G93" s="3584"/>
      <c r="H93" s="3584"/>
      <c r="I93" s="3584"/>
      <c r="J93" s="3584"/>
      <c r="K93" s="3584"/>
      <c r="L93" s="3584"/>
      <c r="M93" s="3584"/>
      <c r="N93" s="3584"/>
      <c r="O93" s="3584"/>
      <c r="P93" s="3584"/>
    </row>
    <row r="94" spans="2:17">
      <c r="C94" s="2506"/>
      <c r="D94" s="2506"/>
      <c r="E94" s="2506"/>
      <c r="G94" s="3584"/>
      <c r="H94" s="3584"/>
      <c r="I94" s="3584"/>
      <c r="J94" s="3584"/>
      <c r="K94" s="3584"/>
      <c r="L94" s="3584"/>
      <c r="M94" s="3584"/>
      <c r="N94" s="3584"/>
      <c r="O94" s="3584"/>
      <c r="P94" s="3584"/>
    </row>
    <row r="95" spans="2:17">
      <c r="C95" s="2506"/>
      <c r="D95" s="2506"/>
      <c r="E95" s="2506"/>
      <c r="G95" s="3584"/>
      <c r="H95" s="3584"/>
      <c r="I95" s="3584"/>
      <c r="J95" s="3584"/>
      <c r="K95" s="3584"/>
      <c r="L95" s="3584"/>
      <c r="M95" s="3584"/>
      <c r="N95" s="3584"/>
      <c r="O95" s="3584"/>
      <c r="P95" s="3584"/>
    </row>
    <row r="96" spans="2:17">
      <c r="C96" s="2506"/>
      <c r="D96" s="2506"/>
      <c r="E96" s="2506"/>
      <c r="G96" s="3584"/>
      <c r="H96" s="3584"/>
      <c r="I96" s="3584"/>
      <c r="J96" s="3584"/>
      <c r="K96" s="3584"/>
      <c r="L96" s="3584"/>
      <c r="M96" s="3584"/>
      <c r="N96" s="3584"/>
      <c r="O96" s="3584"/>
      <c r="P96" s="3584"/>
    </row>
    <row r="97" spans="2:16">
      <c r="C97" s="2506"/>
      <c r="D97" s="2506"/>
      <c r="E97" s="2506"/>
      <c r="G97" s="3584"/>
      <c r="H97" s="3584"/>
      <c r="I97" s="3584"/>
      <c r="J97" s="3584"/>
      <c r="K97" s="3584"/>
      <c r="L97" s="3584"/>
      <c r="M97" s="3584"/>
      <c r="N97" s="3584"/>
      <c r="O97" s="3584"/>
      <c r="P97" s="3584"/>
    </row>
    <row r="98" spans="2:16">
      <c r="C98" s="2506"/>
      <c r="D98" s="2506"/>
      <c r="E98" s="2506"/>
      <c r="G98" s="3584"/>
      <c r="H98" s="3584"/>
      <c r="I98" s="3584"/>
      <c r="J98" s="3584"/>
      <c r="K98" s="3584"/>
      <c r="L98" s="3584"/>
      <c r="M98" s="3584"/>
      <c r="N98" s="3584"/>
      <c r="O98" s="3584"/>
      <c r="P98" s="3584"/>
    </row>
    <row r="99" spans="2:16">
      <c r="B99" s="33"/>
      <c r="C99" s="2506"/>
      <c r="D99" s="2506"/>
      <c r="E99" s="2506"/>
      <c r="G99" s="3584"/>
      <c r="H99" s="3584"/>
      <c r="I99" s="3584"/>
      <c r="J99" s="3584"/>
      <c r="K99" s="3584"/>
      <c r="L99" s="3584"/>
      <c r="M99" s="3584"/>
      <c r="N99" s="3584"/>
      <c r="O99" s="3584"/>
      <c r="P99" s="3584"/>
    </row>
    <row r="100" spans="2:16">
      <c r="B100" s="33"/>
      <c r="C100" s="33"/>
      <c r="D100" s="33"/>
      <c r="G100" s="3584"/>
      <c r="H100" s="3584"/>
      <c r="I100" s="3584"/>
      <c r="J100" s="3584"/>
      <c r="K100" s="3584"/>
      <c r="L100" s="3584"/>
      <c r="M100" s="3584"/>
      <c r="N100" s="3584"/>
      <c r="O100" s="3584"/>
      <c r="P100" s="3584"/>
    </row>
    <row r="101" spans="2:16">
      <c r="B101" s="33"/>
      <c r="C101" s="33"/>
      <c r="D101" s="33"/>
      <c r="G101" s="3584"/>
      <c r="H101" s="3584"/>
      <c r="I101" s="3584"/>
      <c r="J101" s="3584"/>
      <c r="K101" s="3584"/>
      <c r="L101" s="3584"/>
      <c r="M101" s="3584"/>
      <c r="N101" s="3584"/>
      <c r="O101" s="3584"/>
      <c r="P101" s="3584"/>
    </row>
    <row r="102" spans="2:16">
      <c r="B102" s="33"/>
      <c r="C102" s="33"/>
      <c r="D102" s="33"/>
      <c r="G102" s="3584"/>
      <c r="H102" s="3584"/>
      <c r="I102" s="3584"/>
      <c r="J102" s="3584"/>
      <c r="K102" s="3584"/>
      <c r="L102" s="3584"/>
      <c r="M102" s="3584"/>
      <c r="N102" s="3584"/>
      <c r="O102" s="3584"/>
      <c r="P102" s="3584"/>
    </row>
    <row r="103" spans="2:16">
      <c r="B103" s="33"/>
      <c r="C103" s="33"/>
      <c r="D103" s="33"/>
      <c r="G103" s="3584"/>
      <c r="H103" s="3584"/>
      <c r="I103" s="3584"/>
      <c r="J103" s="3584"/>
      <c r="K103" s="3584"/>
      <c r="L103" s="3584"/>
      <c r="M103" s="3584"/>
      <c r="N103" s="3584"/>
      <c r="O103" s="3584"/>
      <c r="P103" s="3584"/>
    </row>
    <row r="104" spans="2:16">
      <c r="B104" s="33"/>
      <c r="C104" s="33"/>
      <c r="D104" s="33"/>
      <c r="G104" s="3584"/>
      <c r="H104" s="3584"/>
      <c r="I104" s="3584"/>
      <c r="J104" s="3584"/>
      <c r="K104" s="3584"/>
      <c r="L104" s="3584"/>
      <c r="M104" s="3584"/>
      <c r="N104" s="3584"/>
      <c r="O104" s="3584"/>
      <c r="P104" s="3584"/>
    </row>
    <row r="105" spans="2:16">
      <c r="B105" s="33"/>
      <c r="C105" s="33"/>
      <c r="D105" s="33"/>
      <c r="G105" s="3584"/>
      <c r="H105" s="3584"/>
      <c r="I105" s="3584"/>
      <c r="J105" s="3584"/>
      <c r="K105" s="3584"/>
      <c r="L105" s="3584"/>
      <c r="M105" s="3584"/>
      <c r="N105" s="3584"/>
      <c r="O105" s="3584"/>
      <c r="P105" s="3584"/>
    </row>
    <row r="106" spans="2:16">
      <c r="B106" s="33"/>
      <c r="C106" s="33"/>
      <c r="D106" s="33"/>
      <c r="G106" s="3584"/>
      <c r="H106" s="3584"/>
      <c r="I106" s="3584"/>
      <c r="J106" s="3584"/>
      <c r="K106" s="3584"/>
      <c r="L106" s="3584"/>
      <c r="M106" s="3584"/>
      <c r="N106" s="3584"/>
      <c r="O106" s="3584"/>
      <c r="P106" s="3584"/>
    </row>
    <row r="107" spans="2:16">
      <c r="B107" s="33"/>
      <c r="C107" s="33"/>
      <c r="D107" s="33"/>
      <c r="G107" s="3584"/>
      <c r="H107" s="3584"/>
      <c r="I107" s="3584"/>
      <c r="J107" s="3584"/>
      <c r="K107" s="3584"/>
      <c r="L107" s="3584"/>
      <c r="M107" s="3584"/>
      <c r="N107" s="3584"/>
      <c r="O107" s="3584"/>
      <c r="P107" s="3584"/>
    </row>
    <row r="108" spans="2:16">
      <c r="G108" s="3584"/>
      <c r="H108" s="3584"/>
      <c r="I108" s="3584"/>
      <c r="J108" s="3584"/>
      <c r="K108" s="3584"/>
      <c r="L108" s="3584"/>
      <c r="M108" s="3584"/>
      <c r="N108" s="3584"/>
      <c r="O108" s="3584"/>
      <c r="P108" s="3584"/>
    </row>
    <row r="109" spans="2:16">
      <c r="G109" s="3584"/>
      <c r="H109" s="3584"/>
      <c r="I109" s="3584"/>
      <c r="J109" s="3584"/>
      <c r="K109" s="3584"/>
      <c r="L109" s="3584"/>
      <c r="M109" s="3584"/>
      <c r="N109" s="3584"/>
      <c r="O109" s="3584"/>
      <c r="P109" s="3584"/>
    </row>
    <row r="110" spans="2:16">
      <c r="G110" s="3584"/>
      <c r="H110" s="3584"/>
      <c r="I110" s="3584"/>
      <c r="J110" s="3584"/>
      <c r="K110" s="3584"/>
      <c r="L110" s="3584"/>
      <c r="M110" s="3584"/>
      <c r="N110" s="3584"/>
      <c r="O110" s="3584"/>
      <c r="P110" s="3584"/>
    </row>
    <row r="111" spans="2:16">
      <c r="G111" s="3584"/>
      <c r="H111" s="3584"/>
      <c r="I111" s="3584"/>
      <c r="J111" s="3584"/>
      <c r="K111" s="3584"/>
      <c r="L111" s="3584"/>
      <c r="M111" s="3584"/>
      <c r="N111" s="3584"/>
      <c r="O111" s="3584"/>
      <c r="P111" s="3584"/>
    </row>
    <row r="112" spans="2:16">
      <c r="G112" s="3584"/>
      <c r="H112" s="3584"/>
      <c r="I112" s="3584"/>
      <c r="J112" s="3584"/>
      <c r="K112" s="3584"/>
      <c r="L112" s="3584"/>
      <c r="M112" s="3584"/>
      <c r="N112" s="3584"/>
      <c r="O112" s="3584"/>
      <c r="P112" s="3584"/>
    </row>
    <row r="113" spans="2:17">
      <c r="G113" s="3584"/>
      <c r="H113" s="3584"/>
      <c r="I113" s="3584"/>
      <c r="J113" s="3584"/>
      <c r="K113" s="3584"/>
      <c r="L113" s="3584"/>
      <c r="M113" s="3584"/>
      <c r="N113" s="3584"/>
      <c r="O113" s="3584"/>
      <c r="P113" s="3584"/>
    </row>
    <row r="114" spans="2:17">
      <c r="G114" s="3584"/>
      <c r="H114" s="3584"/>
      <c r="I114" s="3584"/>
      <c r="J114" s="3584"/>
      <c r="K114" s="3584"/>
      <c r="L114" s="3584"/>
      <c r="M114" s="3584"/>
      <c r="N114" s="3584"/>
      <c r="O114" s="3584"/>
      <c r="P114" s="3584"/>
    </row>
    <row r="115" spans="2:17">
      <c r="G115" s="3584"/>
      <c r="H115" s="3584"/>
      <c r="I115" s="3584"/>
      <c r="J115" s="3584"/>
      <c r="K115" s="3584"/>
      <c r="L115" s="3584"/>
      <c r="M115" s="3584"/>
      <c r="N115" s="3584"/>
      <c r="O115" s="3584"/>
      <c r="P115" s="3584"/>
    </row>
    <row r="116" spans="2:17">
      <c r="G116" s="3584"/>
      <c r="H116" s="3584"/>
      <c r="I116" s="3584"/>
      <c r="J116" s="3584"/>
      <c r="K116" s="3584"/>
      <c r="L116" s="3584"/>
      <c r="M116" s="3584"/>
      <c r="N116" s="3584"/>
      <c r="O116" s="3584"/>
      <c r="P116" s="3584"/>
    </row>
    <row r="117" spans="2:17">
      <c r="G117" s="3584"/>
      <c r="H117" s="3584"/>
      <c r="I117" s="3584"/>
      <c r="J117" s="3584"/>
      <c r="K117" s="3584"/>
      <c r="L117" s="3584"/>
      <c r="M117" s="3584"/>
      <c r="N117" s="3584"/>
      <c r="O117" s="3584"/>
      <c r="P117" s="3584"/>
    </row>
    <row r="118" spans="2:17">
      <c r="B118" s="600"/>
      <c r="C118" s="33"/>
      <c r="G118" s="3584"/>
      <c r="H118" s="3584"/>
      <c r="I118" s="3584"/>
      <c r="J118" s="3584"/>
      <c r="K118" s="3584"/>
      <c r="L118" s="3584"/>
      <c r="M118" s="3584"/>
      <c r="N118" s="3584"/>
      <c r="O118" s="3584"/>
      <c r="P118" s="3584"/>
    </row>
    <row r="119" spans="2:17">
      <c r="B119" s="600"/>
      <c r="C119" s="33"/>
      <c r="G119" s="3584"/>
      <c r="H119" s="3584"/>
      <c r="I119" s="3584"/>
      <c r="J119" s="3584"/>
      <c r="K119" s="3584"/>
      <c r="L119" s="3584"/>
      <c r="M119" s="3584"/>
      <c r="N119" s="3584"/>
      <c r="O119" s="3584"/>
      <c r="P119" s="3584"/>
    </row>
    <row r="120" spans="2:17">
      <c r="B120" s="600"/>
      <c r="C120" s="33"/>
      <c r="G120" s="3584"/>
      <c r="H120" s="3584"/>
      <c r="I120" s="3584"/>
      <c r="J120" s="3584"/>
      <c r="K120" s="3584"/>
      <c r="L120" s="3584"/>
      <c r="M120" s="3584"/>
      <c r="N120" s="3584"/>
      <c r="O120" s="3584"/>
      <c r="P120" s="3584"/>
    </row>
    <row r="121" spans="2:17">
      <c r="B121" s="600"/>
      <c r="C121" s="33"/>
      <c r="G121" s="3584"/>
      <c r="H121" s="3584"/>
      <c r="I121" s="3584"/>
      <c r="J121" s="3584"/>
      <c r="K121" s="3584"/>
      <c r="L121" s="3584"/>
      <c r="M121" s="3584"/>
      <c r="N121" s="3584"/>
      <c r="O121" s="3584"/>
      <c r="P121" s="3584"/>
    </row>
    <row r="122" spans="2:17">
      <c r="B122" s="600"/>
      <c r="C122" s="33"/>
      <c r="G122" s="3584"/>
      <c r="H122" s="3584"/>
      <c r="I122" s="3584"/>
      <c r="J122" s="3584"/>
      <c r="K122" s="3584"/>
      <c r="L122" s="3584"/>
      <c r="M122" s="3584"/>
      <c r="N122" s="3584"/>
      <c r="O122" s="3584"/>
      <c r="P122" s="3584"/>
    </row>
    <row r="123" spans="2:17">
      <c r="B123" s="600"/>
      <c r="C123" s="33"/>
      <c r="G123" s="3584"/>
      <c r="H123" s="3584"/>
      <c r="I123" s="3584"/>
      <c r="J123" s="3584"/>
      <c r="K123" s="3584"/>
      <c r="L123" s="3584"/>
      <c r="M123" s="3584"/>
      <c r="N123" s="3584"/>
      <c r="O123" s="3584"/>
      <c r="P123" s="3584"/>
    </row>
    <row r="124" spans="2:17">
      <c r="B124" s="600"/>
      <c r="C124" s="33"/>
      <c r="G124" s="3584"/>
      <c r="H124" s="3584"/>
      <c r="I124" s="3584"/>
      <c r="J124" s="3584"/>
      <c r="K124" s="3584"/>
      <c r="L124" s="3584"/>
      <c r="M124" s="3584"/>
      <c r="N124" s="3584"/>
      <c r="O124" s="3584"/>
      <c r="P124" s="3584"/>
      <c r="Q124" s="3584"/>
    </row>
    <row r="125" spans="2:17">
      <c r="B125" s="600"/>
      <c r="C125" s="33"/>
      <c r="G125" s="3584"/>
      <c r="H125" s="3584"/>
      <c r="I125" s="3584"/>
      <c r="J125" s="3584"/>
      <c r="K125" s="3584"/>
      <c r="L125" s="3584"/>
      <c r="M125" s="3584"/>
      <c r="N125" s="3584"/>
      <c r="O125" s="3584"/>
      <c r="P125" s="3584"/>
      <c r="Q125" s="3584"/>
    </row>
    <row r="126" spans="2:17">
      <c r="B126" s="600"/>
      <c r="C126" s="33"/>
      <c r="G126" s="3584"/>
      <c r="H126" s="3584"/>
      <c r="I126" s="3584"/>
      <c r="J126" s="3584"/>
      <c r="K126" s="3584"/>
      <c r="L126" s="3584"/>
      <c r="M126" s="3584"/>
      <c r="N126" s="3584"/>
      <c r="O126" s="3584"/>
      <c r="P126" s="3584"/>
      <c r="Q126" s="3584"/>
    </row>
    <row r="127" spans="2:17">
      <c r="B127" s="600"/>
      <c r="C127" s="33"/>
      <c r="G127" s="3584"/>
      <c r="H127" s="3584"/>
      <c r="I127" s="3584"/>
      <c r="J127" s="3584"/>
      <c r="K127" s="3584"/>
      <c r="L127" s="3584"/>
      <c r="M127" s="3584"/>
      <c r="N127" s="3584"/>
      <c r="O127" s="3584"/>
      <c r="P127" s="3584"/>
      <c r="Q127" s="3584"/>
    </row>
    <row r="128" spans="2:17">
      <c r="B128" s="600"/>
      <c r="C128" s="33"/>
      <c r="G128" s="3584"/>
      <c r="H128" s="3584"/>
      <c r="I128" s="3584"/>
      <c r="J128" s="3584"/>
      <c r="K128" s="3584"/>
      <c r="L128" s="3584"/>
      <c r="M128" s="3584"/>
      <c r="N128" s="3584"/>
      <c r="O128" s="3584"/>
      <c r="P128" s="3584"/>
      <c r="Q128" s="3584"/>
    </row>
    <row r="129" spans="2:17">
      <c r="B129" s="600"/>
      <c r="C129" s="33"/>
      <c r="G129" s="3584"/>
      <c r="H129" s="3584"/>
      <c r="I129" s="3584"/>
      <c r="J129" s="3584"/>
      <c r="K129" s="3584"/>
      <c r="L129" s="3584"/>
      <c r="M129" s="3584"/>
      <c r="N129" s="3584"/>
      <c r="O129" s="3584"/>
      <c r="P129" s="3584"/>
      <c r="Q129" s="3584"/>
    </row>
    <row r="130" spans="2:17">
      <c r="B130" s="600"/>
      <c r="C130" s="33"/>
      <c r="G130" s="3584"/>
      <c r="H130" s="3584"/>
      <c r="I130" s="3584"/>
      <c r="J130" s="3584"/>
      <c r="K130" s="3584"/>
      <c r="L130" s="3584"/>
      <c r="M130" s="3584"/>
      <c r="N130" s="3584"/>
      <c r="O130" s="3584"/>
      <c r="P130" s="3584"/>
      <c r="Q130" s="3584"/>
    </row>
    <row r="131" spans="2:17">
      <c r="B131" s="600"/>
      <c r="C131" s="33"/>
      <c r="G131" s="3584"/>
      <c r="H131" s="3584"/>
      <c r="I131" s="3584"/>
      <c r="J131" s="3584"/>
      <c r="K131" s="3584"/>
      <c r="L131" s="3584"/>
      <c r="M131" s="3584"/>
      <c r="N131" s="3584"/>
      <c r="O131" s="3584"/>
      <c r="P131" s="3584"/>
      <c r="Q131" s="3584"/>
    </row>
    <row r="132" spans="2:17">
      <c r="B132" s="600"/>
      <c r="C132" s="33"/>
      <c r="G132" s="3584"/>
      <c r="H132" s="3584"/>
      <c r="I132" s="3584"/>
      <c r="J132" s="3584"/>
      <c r="K132" s="3584"/>
      <c r="L132" s="3584"/>
      <c r="M132" s="3584"/>
      <c r="N132" s="3584"/>
      <c r="O132" s="3584"/>
      <c r="P132" s="3584"/>
      <c r="Q132" s="3584"/>
    </row>
    <row r="133" spans="2:17">
      <c r="B133" s="600"/>
      <c r="C133" s="33"/>
      <c r="G133" s="3584"/>
      <c r="H133" s="3584"/>
      <c r="I133" s="3584"/>
      <c r="J133" s="3584"/>
      <c r="K133" s="3584"/>
      <c r="L133" s="3584"/>
      <c r="M133" s="3584"/>
      <c r="N133" s="3584"/>
      <c r="O133" s="3584"/>
      <c r="P133" s="3584"/>
      <c r="Q133" s="3584"/>
    </row>
    <row r="134" spans="2:17">
      <c r="B134" s="600"/>
      <c r="C134" s="33"/>
      <c r="G134" s="3584"/>
      <c r="H134" s="3584"/>
      <c r="I134" s="3584"/>
      <c r="J134" s="3584"/>
      <c r="K134" s="3584"/>
      <c r="L134" s="3584"/>
      <c r="M134" s="3584"/>
      <c r="N134" s="3584"/>
      <c r="O134" s="3584"/>
      <c r="P134" s="3584"/>
      <c r="Q134" s="3584"/>
    </row>
    <row r="135" spans="2:17">
      <c r="B135" s="600"/>
      <c r="C135" s="33"/>
      <c r="G135" s="3584"/>
      <c r="H135" s="3584"/>
      <c r="I135" s="3584"/>
      <c r="J135" s="3584"/>
      <c r="K135" s="3584"/>
      <c r="L135" s="3584"/>
      <c r="M135" s="3584"/>
      <c r="N135" s="3584"/>
      <c r="O135" s="3584"/>
      <c r="P135" s="3584"/>
      <c r="Q135" s="3584"/>
    </row>
    <row r="136" spans="2:17">
      <c r="B136" s="600"/>
      <c r="C136" s="33"/>
      <c r="K136" s="3584"/>
      <c r="L136" s="3584"/>
      <c r="M136" s="3584"/>
      <c r="N136" s="3584"/>
      <c r="O136" s="3584"/>
      <c r="P136" s="3584"/>
      <c r="Q136" s="3584"/>
    </row>
    <row r="137" spans="2:17">
      <c r="B137" s="600"/>
      <c r="C137" s="33"/>
      <c r="K137" s="3584"/>
      <c r="L137" s="3584"/>
      <c r="M137" s="3584"/>
      <c r="N137" s="3584"/>
      <c r="O137" s="3584"/>
      <c r="P137" s="3584"/>
      <c r="Q137" s="3584"/>
    </row>
    <row r="138" spans="2:17">
      <c r="B138" s="600"/>
      <c r="C138" s="33"/>
      <c r="K138" s="3584"/>
      <c r="L138" s="3584"/>
      <c r="M138" s="3584"/>
      <c r="N138" s="3584"/>
      <c r="O138" s="3584"/>
      <c r="P138" s="3584"/>
      <c r="Q138" s="3584"/>
    </row>
    <row r="139" spans="2:17">
      <c r="B139" s="600"/>
      <c r="C139" s="33"/>
      <c r="K139" s="3584"/>
      <c r="L139" s="3584"/>
      <c r="M139" s="3584"/>
      <c r="N139" s="3584"/>
      <c r="O139" s="3584"/>
      <c r="P139" s="3584"/>
      <c r="Q139" s="3584"/>
    </row>
    <row r="140" spans="2:17">
      <c r="B140" s="600"/>
      <c r="C140" s="33"/>
      <c r="K140" s="3584"/>
      <c r="L140" s="3584"/>
      <c r="M140" s="3584"/>
      <c r="N140" s="3584"/>
      <c r="O140" s="3584"/>
      <c r="P140" s="3584"/>
      <c r="Q140" s="3584"/>
    </row>
    <row r="141" spans="2:17">
      <c r="B141" s="600"/>
      <c r="C141" s="33"/>
      <c r="K141" s="3584"/>
      <c r="L141" s="3584"/>
      <c r="M141" s="3584"/>
      <c r="N141" s="3584"/>
      <c r="O141" s="3584"/>
      <c r="P141" s="3584"/>
      <c r="Q141" s="3584"/>
    </row>
    <row r="142" spans="2:17">
      <c r="B142" s="600"/>
      <c r="C142" s="33"/>
      <c r="K142" s="3584"/>
      <c r="L142" s="3584"/>
      <c r="M142" s="3584"/>
      <c r="N142" s="3584"/>
      <c r="O142" s="3584"/>
      <c r="P142" s="3584"/>
      <c r="Q142" s="3584"/>
    </row>
    <row r="143" spans="2:17">
      <c r="B143" s="600"/>
      <c r="C143" s="33"/>
      <c r="K143" s="3584"/>
      <c r="L143" s="3584"/>
      <c r="M143" s="3584"/>
      <c r="N143" s="3584"/>
      <c r="O143" s="3584"/>
      <c r="P143" s="3584"/>
      <c r="Q143" s="3584"/>
    </row>
    <row r="144" spans="2:17">
      <c r="B144" s="600"/>
      <c r="C144" s="33"/>
      <c r="K144" s="3584"/>
      <c r="L144" s="3584"/>
      <c r="M144" s="3584"/>
      <c r="N144" s="3584"/>
      <c r="O144" s="3584"/>
      <c r="P144" s="3584"/>
      <c r="Q144" s="3584"/>
    </row>
    <row r="145" spans="2:17">
      <c r="B145" s="600"/>
      <c r="C145" s="33"/>
      <c r="K145" s="3584"/>
      <c r="L145" s="3584"/>
      <c r="M145" s="3584"/>
      <c r="N145" s="3584"/>
      <c r="O145" s="3584"/>
      <c r="P145" s="3584"/>
      <c r="Q145" s="3584"/>
    </row>
    <row r="146" spans="2:17">
      <c r="B146" s="600"/>
      <c r="C146" s="33"/>
      <c r="K146" s="3584"/>
      <c r="L146" s="3584"/>
      <c r="M146" s="3584"/>
      <c r="N146" s="3584"/>
      <c r="O146" s="3584"/>
      <c r="P146" s="3584"/>
      <c r="Q146" s="3584"/>
    </row>
    <row r="147" spans="2:17">
      <c r="B147" s="600"/>
      <c r="C147" s="33"/>
    </row>
    <row r="148" spans="2:17">
      <c r="B148" s="600"/>
      <c r="C148" s="33"/>
      <c r="H148" s="1897"/>
      <c r="J148" s="2357"/>
    </row>
    <row r="149" spans="2:17">
      <c r="B149" s="600"/>
      <c r="C149" s="33"/>
      <c r="H149" s="1897"/>
      <c r="J149" s="2357"/>
    </row>
    <row r="150" spans="2:17">
      <c r="B150" s="600"/>
      <c r="C150" s="33"/>
      <c r="H150" s="1897"/>
      <c r="J150" s="2357"/>
    </row>
    <row r="151" spans="2:17">
      <c r="B151" s="600"/>
      <c r="C151" s="33"/>
      <c r="D151" s="33"/>
      <c r="F151" s="33"/>
      <c r="H151" s="33"/>
      <c r="I151" s="33"/>
      <c r="J151" s="33"/>
      <c r="L151" s="33"/>
    </row>
    <row r="152" spans="2:17">
      <c r="B152" s="600"/>
      <c r="C152" s="33"/>
      <c r="D152" s="33"/>
      <c r="F152" s="33"/>
      <c r="H152" s="33"/>
      <c r="I152" s="33"/>
      <c r="J152" s="33"/>
      <c r="L152" s="33"/>
    </row>
    <row r="153" spans="2:17">
      <c r="B153" s="600"/>
      <c r="C153" s="33"/>
      <c r="D153" s="33"/>
      <c r="F153" s="33"/>
      <c r="H153" s="33"/>
      <c r="I153" s="33"/>
      <c r="J153" s="33"/>
      <c r="L153" s="33"/>
    </row>
    <row r="154" spans="2:17">
      <c r="B154" s="600"/>
      <c r="C154" s="33"/>
      <c r="D154" s="33"/>
      <c r="F154" s="33"/>
      <c r="G154" s="33"/>
      <c r="H154" s="33"/>
      <c r="I154" s="33"/>
      <c r="J154" s="33"/>
      <c r="L154" s="33"/>
    </row>
    <row r="155" spans="2:17">
      <c r="B155" s="600"/>
      <c r="C155" s="33"/>
      <c r="D155" s="33"/>
      <c r="F155" s="33"/>
      <c r="G155" s="33"/>
      <c r="H155" s="33"/>
      <c r="I155" s="33"/>
      <c r="J155" s="33"/>
      <c r="L155" s="33"/>
    </row>
    <row r="156" spans="2:17">
      <c r="B156" s="600"/>
      <c r="C156" s="33"/>
      <c r="D156" s="33"/>
      <c r="F156" s="33"/>
      <c r="G156" s="33"/>
      <c r="H156" s="33"/>
      <c r="I156" s="33"/>
      <c r="J156" s="33"/>
      <c r="L156" s="33"/>
    </row>
    <row r="157" spans="2:17">
      <c r="B157" s="600"/>
      <c r="C157" s="33"/>
    </row>
    <row r="158" spans="2:17">
      <c r="B158" s="600"/>
      <c r="C158" s="33"/>
    </row>
    <row r="159" spans="2:17">
      <c r="B159" s="600"/>
      <c r="C159" s="33"/>
    </row>
    <row r="160" spans="2:17">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t="e">
        <f>SDÖ5!#REF!</f>
        <v>#REF!</v>
      </c>
    </row>
    <row r="211" spans="2:3">
      <c r="B211" s="600"/>
      <c r="C211" s="33" t="e">
        <f>SDÖ5!#REF!</f>
        <v>#REF!</v>
      </c>
    </row>
    <row r="212" spans="2:3">
      <c r="B212" s="600"/>
    </row>
  </sheetData>
  <sheetProtection sheet="1" selectLockedCells="1"/>
  <mergeCells count="52">
    <mergeCell ref="G1:I1"/>
    <mergeCell ref="C48:D48"/>
    <mergeCell ref="C38:E38"/>
    <mergeCell ref="C46:D46"/>
    <mergeCell ref="C39:E39"/>
    <mergeCell ref="E4:I4"/>
    <mergeCell ref="C15:F15"/>
    <mergeCell ref="C17:F17"/>
    <mergeCell ref="C19:F19"/>
    <mergeCell ref="F23:G23"/>
    <mergeCell ref="D25:E25"/>
    <mergeCell ref="C20:F20"/>
    <mergeCell ref="C21:F21"/>
    <mergeCell ref="J4:L4"/>
    <mergeCell ref="E10:F10"/>
    <mergeCell ref="C14:F14"/>
    <mergeCell ref="C78:F78"/>
    <mergeCell ref="C79:F79"/>
    <mergeCell ref="C74:E74"/>
    <mergeCell ref="B75:C75"/>
    <mergeCell ref="C53:D53"/>
    <mergeCell ref="C56:D56"/>
    <mergeCell ref="C62:E62"/>
    <mergeCell ref="C55:D55"/>
    <mergeCell ref="C63:E63"/>
    <mergeCell ref="C68:E68"/>
    <mergeCell ref="C73:E73"/>
    <mergeCell ref="C47:D47"/>
    <mergeCell ref="C42:E42"/>
    <mergeCell ref="K1:L1"/>
    <mergeCell ref="N1:O1"/>
    <mergeCell ref="C41:E41"/>
    <mergeCell ref="C16:F16"/>
    <mergeCell ref="H6:I6"/>
    <mergeCell ref="J3:L3"/>
    <mergeCell ref="N6:O6"/>
    <mergeCell ref="K2:P2"/>
    <mergeCell ref="N3:O4"/>
    <mergeCell ref="C40:E40"/>
    <mergeCell ref="C36:E36"/>
    <mergeCell ref="C37:E37"/>
    <mergeCell ref="K6:L6"/>
    <mergeCell ref="E22:G22"/>
    <mergeCell ref="D26:E26"/>
    <mergeCell ref="F34:G34"/>
    <mergeCell ref="C57:D57"/>
    <mergeCell ref="C64:E64"/>
    <mergeCell ref="C54:D54"/>
    <mergeCell ref="C49:D49"/>
    <mergeCell ref="C50:D50"/>
    <mergeCell ref="C51:D51"/>
    <mergeCell ref="C52:D52"/>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8" firstPageNumber="16"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48" r:id="rId4" name="Check Box 16">
              <controlPr defaultSize="0" autoFill="0" autoLine="0" autoPict="0">
                <anchor moveWithCells="1">
                  <from>
                    <xdr:col>12</xdr:col>
                    <xdr:colOff>114300</xdr:colOff>
                    <xdr:row>2</xdr:row>
                    <xdr:rowOff>257175</xdr:rowOff>
                  </from>
                  <to>
                    <xdr:col>12</xdr:col>
                    <xdr:colOff>371475</xdr:colOff>
                    <xdr:row>3</xdr:row>
                    <xdr:rowOff>209550</xdr:rowOff>
                  </to>
                </anchor>
              </controlPr>
            </control>
          </mc:Choice>
        </mc:AlternateContent>
        <mc:AlternateContent xmlns:mc="http://schemas.openxmlformats.org/markup-compatibility/2006">
          <mc:Choice Requires="x14">
            <control shapeId="69649" r:id="rId5" name="Check Box 17">
              <controlPr defaultSize="0" autoFill="0" autoLine="0" autoPict="0">
                <anchor moveWithCells="1">
                  <from>
                    <xdr:col>12</xdr:col>
                    <xdr:colOff>114300</xdr:colOff>
                    <xdr:row>2</xdr:row>
                    <xdr:rowOff>9525</xdr:rowOff>
                  </from>
                  <to>
                    <xdr:col>12</xdr:col>
                    <xdr:colOff>381000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1">
    <tabColor rgb="FFFFC00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987.23644630719957</v>
      </c>
      <c r="K1" s="4855">
        <f>M1-J1</f>
        <v>342.788055790361</v>
      </c>
      <c r="L1" s="4855"/>
      <c r="M1" s="1874">
        <f>(M7+M13+M18+M22+L11+L12)-(M23+M27+M34+M43+M60+M65+M67+M69+M71+M75)</f>
        <v>1330.0245020975606</v>
      </c>
      <c r="N1" s="4855">
        <f>P1-M1</f>
        <v>391.75777804612699</v>
      </c>
      <c r="O1" s="4855"/>
      <c r="P1" s="1874">
        <f>(P7+P13+P18+P22+O11+O12)-(P23+P27+P34+P43+P60+P65+P67+P69+P71+P75)</f>
        <v>1721.7822801436876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1891</v>
      </c>
      <c r="L2" s="4867"/>
      <c r="M2" s="4867"/>
      <c r="N2" s="4867"/>
      <c r="O2" s="4867"/>
      <c r="P2" s="4867"/>
      <c r="Q2" s="1863"/>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26.25</v>
      </c>
      <c r="K6" s="4874" t="s">
        <v>152</v>
      </c>
      <c r="L6" s="4875"/>
      <c r="M6" s="1855">
        <v>35</v>
      </c>
      <c r="N6" s="4861" t="s">
        <v>178</v>
      </c>
      <c r="O6" s="4862"/>
      <c r="P6" s="1854">
        <v>45</v>
      </c>
      <c r="Q6" s="70"/>
    </row>
    <row r="7" spans="1:41" s="251" customFormat="1" ht="18.75" customHeight="1">
      <c r="A7" s="47"/>
      <c r="B7" s="305" t="s">
        <v>1633</v>
      </c>
      <c r="C7" s="47"/>
      <c r="D7" s="47"/>
      <c r="E7" s="47"/>
      <c r="F7" s="47"/>
      <c r="G7" s="1852" t="s">
        <v>171</v>
      </c>
      <c r="H7" s="1849"/>
      <c r="I7" s="1848"/>
      <c r="J7" s="1582">
        <f>SUM(I9:I10)</f>
        <v>1155</v>
      </c>
      <c r="K7" s="1851"/>
      <c r="L7" s="1850"/>
      <c r="M7" s="1585">
        <f>SUM(L9:L10)</f>
        <v>1540</v>
      </c>
      <c r="N7" s="1849"/>
      <c r="O7" s="1848"/>
      <c r="P7" s="1582">
        <f>SUM(O9:O10)</f>
        <v>1980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SDÖ1!O18</f>
        <v>44</v>
      </c>
      <c r="H9" s="1845">
        <f>J6-H10</f>
        <v>26.25</v>
      </c>
      <c r="I9" s="1841">
        <f>H9*G9</f>
        <v>1155</v>
      </c>
      <c r="J9" s="43"/>
      <c r="K9" s="1844">
        <f>M6-K10</f>
        <v>35</v>
      </c>
      <c r="L9" s="1843">
        <f>K9*G9</f>
        <v>1540</v>
      </c>
      <c r="M9" s="1822"/>
      <c r="N9" s="1842">
        <f>P6-N10</f>
        <v>45</v>
      </c>
      <c r="O9" s="1841">
        <f>N9*G9</f>
        <v>1980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252</v>
      </c>
      <c r="S10" s="1830">
        <f>L10+L11+L12</f>
        <v>336</v>
      </c>
      <c r="T10" s="1829">
        <f>O10+O11+O12</f>
        <v>432</v>
      </c>
      <c r="W10" s="251" t="s">
        <v>1198</v>
      </c>
    </row>
    <row r="11" spans="1:41" s="1810" customFormat="1" ht="15" customHeight="1">
      <c r="A11" s="370"/>
      <c r="B11" s="272"/>
      <c r="C11" s="45" t="s">
        <v>1197</v>
      </c>
      <c r="D11" s="370"/>
      <c r="E11" s="1828">
        <v>0.8</v>
      </c>
      <c r="F11" s="45" t="s">
        <v>1196</v>
      </c>
      <c r="G11" s="1827">
        <f>SDÖ1!$O$51</f>
        <v>12</v>
      </c>
      <c r="H11" s="1826">
        <f>IF($T$3=FALSE,0,J6*$E$11)</f>
        <v>21</v>
      </c>
      <c r="I11" s="1820">
        <f>H11*$G$11</f>
        <v>252</v>
      </c>
      <c r="J11" s="1825"/>
      <c r="K11" s="1824">
        <f>IF($T$3=FALSE,0,M6*$E$11)</f>
        <v>28</v>
      </c>
      <c r="L11" s="1823">
        <f>K11*$G$11</f>
        <v>336</v>
      </c>
      <c r="M11" s="1822"/>
      <c r="N11" s="1821">
        <f>IF($T$3=FALSE,0,P6*$E$11)</f>
        <v>36</v>
      </c>
      <c r="O11" s="1820">
        <f>N11*$G$11</f>
        <v>432</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3633">
        <f>IF(AND(L12&gt;0,T4=FALSE),"keine Angabe bei M4 ?",0)</f>
        <v>0</v>
      </c>
      <c r="N12" s="1812"/>
      <c r="O12" s="1811">
        <f>IF(T4=TRUE,L12*(P6/M6),0)</f>
        <v>0</v>
      </c>
      <c r="P12" s="43"/>
      <c r="Q12" s="38"/>
      <c r="U12" s="251"/>
      <c r="V12" s="251"/>
      <c r="W12" s="1808" t="s">
        <v>1191</v>
      </c>
      <c r="X12" s="1806">
        <f>IF(OR(T3=TRUE,T4=TRUE),J6*$E$11,"0")</f>
        <v>21</v>
      </c>
      <c r="Y12" s="1807">
        <f>IF(OR(T3=TRUE,T4=TRUE),M6*$E$11,"0")</f>
        <v>28</v>
      </c>
      <c r="Z12" s="1806">
        <f>IF(OR(T3=TRUE,T4=TRUE),P6*$E$11,"0")</f>
        <v>36</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2464"/>
      <c r="H17" s="3632" t="s">
        <v>1190</v>
      </c>
      <c r="I17" s="1777">
        <f>IF(H17="ja",Q17,0)</f>
        <v>0</v>
      </c>
      <c r="J17" s="279"/>
      <c r="K17" s="3632" t="s">
        <v>1190</v>
      </c>
      <c r="L17" s="1621">
        <f>IF(K17="ja",Q17,0)</f>
        <v>0</v>
      </c>
      <c r="M17" s="1798"/>
      <c r="N17" s="3632" t="s">
        <v>1190</v>
      </c>
      <c r="O17" s="1777">
        <f>IF(N17="ja",Q17,0)</f>
        <v>0</v>
      </c>
      <c r="P17" s="1776"/>
      <c r="Q17" s="1803">
        <f>IF(C17=0,0,VLOOKUP(C17,'SD2'!$C$11:$N$49,'SD2'!$N$1,FALSE))</f>
        <v>0</v>
      </c>
    </row>
    <row r="18" spans="1:20" s="42" customFormat="1" ht="18.75" customHeight="1">
      <c r="A18" s="45"/>
      <c r="B18" s="264" t="s">
        <v>2114</v>
      </c>
      <c r="C18" s="2466"/>
      <c r="D18" s="2466"/>
      <c r="E18" s="2466"/>
      <c r="F18" s="2466"/>
      <c r="G18" s="1788"/>
      <c r="H18" s="1786"/>
      <c r="I18" s="1785"/>
      <c r="J18" s="1582">
        <f>SUM(I19:I21)</f>
        <v>355.4</v>
      </c>
      <c r="K18" s="1787"/>
      <c r="L18" s="1639"/>
      <c r="M18" s="1585">
        <f>SUM(L19:L21)</f>
        <v>355.4</v>
      </c>
      <c r="N18" s="1786"/>
      <c r="O18" s="1785"/>
      <c r="P18" s="1582">
        <f>SUM(O19:O21)</f>
        <v>355.4</v>
      </c>
      <c r="Q18" s="32"/>
      <c r="R18" s="693" t="s">
        <v>1189</v>
      </c>
      <c r="S18" s="369"/>
      <c r="T18" s="1790"/>
    </row>
    <row r="19" spans="1:20" ht="15.6" customHeight="1">
      <c r="A19" s="370"/>
      <c r="B19" s="1789"/>
      <c r="C19" s="4860" t="s">
        <v>2109</v>
      </c>
      <c r="D19" s="4860"/>
      <c r="E19" s="4860"/>
      <c r="F19" s="4860"/>
      <c r="G19" s="401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260</v>
      </c>
      <c r="K23" s="1587"/>
      <c r="L23" s="1586"/>
      <c r="M23" s="1768">
        <f>SUM(L25:L26)</f>
        <v>260</v>
      </c>
      <c r="N23" s="1584"/>
      <c r="O23" s="1583"/>
      <c r="P23" s="1567">
        <f>SUM(O25:O26)</f>
        <v>260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1.3</v>
      </c>
      <c r="G25" s="1762">
        <f>F25*(100+$D$24)/100</f>
        <v>1.3</v>
      </c>
      <c r="H25" s="1761">
        <v>200</v>
      </c>
      <c r="I25" s="1722">
        <f>H25*$G25</f>
        <v>260</v>
      </c>
      <c r="J25" s="45"/>
      <c r="K25" s="1761">
        <f>H25</f>
        <v>200</v>
      </c>
      <c r="L25" s="1564">
        <f>K25*$G25</f>
        <v>260</v>
      </c>
      <c r="M25" s="1557"/>
      <c r="N25" s="1761">
        <f>H25</f>
        <v>200</v>
      </c>
      <c r="O25" s="1722">
        <f>N25*$G25</f>
        <v>260</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323.68149999999997</v>
      </c>
      <c r="K27" s="1716"/>
      <c r="L27" s="1715"/>
      <c r="M27" s="1585">
        <f>SUM(L30:L33)</f>
        <v>402.44200000000001</v>
      </c>
      <c r="N27" s="1714"/>
      <c r="O27" s="1713"/>
      <c r="P27" s="1582">
        <f>SUM(O30:O33)</f>
        <v>492.45400000000001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VLOOKUP('SD8'!B17,'SD8'!B9:K44,3,FALSE)</f>
        <v>1.6</v>
      </c>
      <c r="F30" s="1742"/>
      <c r="G30" s="1741">
        <v>20</v>
      </c>
      <c r="H30" s="1739">
        <f>IF(J$6=0,0,(J$6*$E30+$G30+X13))</f>
        <v>62</v>
      </c>
      <c r="I30" s="1722">
        <f>H30*$D30</f>
        <v>270.94</v>
      </c>
      <c r="J30" s="45"/>
      <c r="K30" s="1740">
        <f>IF(M$6=0,0,(M$6*$E30+$G30+AA14))</f>
        <v>76</v>
      </c>
      <c r="L30" s="1564">
        <f>K30*$D30</f>
        <v>332.12</v>
      </c>
      <c r="M30" s="1557"/>
      <c r="N30" s="1739">
        <f>IF(P$6=0,0,(P$6*$E30+$G30+AD14))</f>
        <v>92</v>
      </c>
      <c r="O30" s="1722">
        <f>N30*$D30</f>
        <v>402.04</v>
      </c>
      <c r="P30" s="1686"/>
      <c r="Q30" s="32"/>
    </row>
    <row r="31" spans="1:20" s="42" customFormat="1" ht="15" customHeight="1">
      <c r="A31" s="1284"/>
      <c r="B31" s="272"/>
      <c r="C31" s="1284" t="s">
        <v>244</v>
      </c>
      <c r="D31" s="1691">
        <f>IF(SDÖ1!$U$17=TRUE,SDÖ1!O56,0)</f>
        <v>1.3740000000000001</v>
      </c>
      <c r="E31" s="1742">
        <f>VLOOKUP('SD8'!B17,'SD8'!B9:K44,4,FALSE)</f>
        <v>0.8</v>
      </c>
      <c r="F31" s="1742"/>
      <c r="G31" s="1741"/>
      <c r="H31" s="1739">
        <f>IF(J$6=0,0,(J$6*$E31+$G31+X14))</f>
        <v>21</v>
      </c>
      <c r="I31" s="1722">
        <f>H31*$D31</f>
        <v>28.854000000000003</v>
      </c>
      <c r="J31" s="45"/>
      <c r="K31" s="1740">
        <f>IF(M$6=0,0,(M$6*$E31+$G31+Y14))</f>
        <v>28</v>
      </c>
      <c r="L31" s="1564">
        <f>K31*$D31</f>
        <v>38.472000000000001</v>
      </c>
      <c r="M31" s="1557"/>
      <c r="N31" s="1739">
        <f>IF(P$6=0,0,(P$6*$E31+$G31+Z14))</f>
        <v>36</v>
      </c>
      <c r="O31" s="1722">
        <f>N31*$D31</f>
        <v>49.464000000000006</v>
      </c>
      <c r="P31" s="1686"/>
      <c r="Q31" s="32"/>
    </row>
    <row r="32" spans="1:20" s="686" customFormat="1" ht="18.75" customHeight="1">
      <c r="A32" s="1248"/>
      <c r="B32" s="272"/>
      <c r="C32" s="1284" t="s">
        <v>242</v>
      </c>
      <c r="D32" s="1691">
        <f>IF(SDÖ1!$U$17=TRUE,SDÖ1!O57,0)</f>
        <v>1.35</v>
      </c>
      <c r="E32" s="1742">
        <v>0.6</v>
      </c>
      <c r="F32" s="1742"/>
      <c r="G32" s="1741"/>
      <c r="H32" s="1739">
        <f>IF(J$6=0,0,(J$6*$E32+$G32+X15))</f>
        <v>15.75</v>
      </c>
      <c r="I32" s="1722">
        <f>H32*$D32</f>
        <v>21.262500000000003</v>
      </c>
      <c r="J32" s="45"/>
      <c r="K32" s="1740">
        <f>IF(M$6=0,0,(M$6*$E32+$G32+Y15))</f>
        <v>21</v>
      </c>
      <c r="L32" s="1564">
        <f>K32*$D32</f>
        <v>28.35</v>
      </c>
      <c r="M32" s="1557"/>
      <c r="N32" s="1739">
        <f>IF(P$6=0,0,(P$6*$E32+$G32+Z15))</f>
        <v>27</v>
      </c>
      <c r="O32" s="1722">
        <f>N32*$D32</f>
        <v>36.450000000000003</v>
      </c>
      <c r="P32" s="1686"/>
      <c r="Q32" s="32"/>
    </row>
    <row r="33" spans="1:17" s="686" customFormat="1" ht="13.15" customHeight="1">
      <c r="A33" s="1248"/>
      <c r="B33" s="239"/>
      <c r="C33" s="1309" t="s">
        <v>240</v>
      </c>
      <c r="D33" s="1674">
        <f>IF(SDÖ1!$U$17=TRUE,SDÖ1!O58,0)</f>
        <v>0.5</v>
      </c>
      <c r="E33" s="1738">
        <f>VLOOKUP('SD8'!B17,'SD8'!B9:K44,6,FALSE)</f>
        <v>0.2</v>
      </c>
      <c r="F33" s="1738"/>
      <c r="G33" s="1737"/>
      <c r="H33" s="1735">
        <f>IF(J$6=0,0,(J$6*$E33+$G33+X16))</f>
        <v>5.25</v>
      </c>
      <c r="I33" s="1718">
        <f>H33*$D33</f>
        <v>2.625</v>
      </c>
      <c r="J33" s="45"/>
      <c r="K33" s="1736">
        <f>IF(M$6=0,0,(M$6*$E33+$G33+Y16))</f>
        <v>7</v>
      </c>
      <c r="L33" s="1558">
        <f>K33*$D33</f>
        <v>3.5</v>
      </c>
      <c r="M33" s="1557"/>
      <c r="N33" s="1735">
        <f>IF(P$6=0,0,(P$6*$E33+$G33+Z16))</f>
        <v>9</v>
      </c>
      <c r="O33" s="1718">
        <f>N33*$D33</f>
        <v>4.5</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145.51381048711761</v>
      </c>
      <c r="K43" s="1716"/>
      <c r="L43" s="1715"/>
      <c r="M43" s="1585">
        <f>SUM(M46:M57)</f>
        <v>149.95601275364706</v>
      </c>
      <c r="N43" s="1714"/>
      <c r="O43" s="1713"/>
      <c r="P43" s="1582">
        <f>SUM(P46:P57)</f>
        <v>155.03281534396638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t="s">
        <v>410</v>
      </c>
      <c r="D50" s="4883"/>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82" t="s">
        <v>459</v>
      </c>
      <c r="D51" s="4883"/>
      <c r="E51" s="1693">
        <f>IF($C51=0,0,VLOOKUP($C51,SDÖ3!$C$24:$O$99,4,FALSE))</f>
        <v>102</v>
      </c>
      <c r="F51" s="1692">
        <f>IF($C51=0,0,VLOOKUP($C51,SDÖ3!$C$24:$O$99,12,FALSE))</f>
        <v>0.79</v>
      </c>
      <c r="G51" s="1691">
        <f>IF($C51=0,0,VLOOKUP($C51,SDÖ3!$C$24:$O$99,13,FALSE))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t="s">
        <v>403</v>
      </c>
      <c r="D53" s="4883"/>
      <c r="E53" s="1693">
        <f>IF($C53=0,0,VLOOKUP($C53,SDÖ3!$C$24:$O$99,4,FALSE))</f>
        <v>83</v>
      </c>
      <c r="F53" s="1692">
        <f>IF($C53=0,0,VLOOKUP($C53,SDÖ3!$C$24:$O$99,12,FALSE))</f>
        <v>0.56000000000000005</v>
      </c>
      <c r="G53" s="1691">
        <f>IF($C53=0,0,VLOOKUP($C53,SDÖ3!$C$24:$O$99,13,FALSE))</f>
        <v>9.6134362447058805</v>
      </c>
      <c r="H53" s="1688">
        <f>J6/40+0.3</f>
        <v>0.95625000000000004</v>
      </c>
      <c r="I53" s="1687">
        <f t="shared" si="4"/>
        <v>0.53550000000000009</v>
      </c>
      <c r="J53" s="1686">
        <f t="shared" si="5"/>
        <v>9.192848408999998</v>
      </c>
      <c r="K53" s="1688">
        <f>M6/40+0.3</f>
        <v>1.175</v>
      </c>
      <c r="L53" s="1690">
        <f t="shared" si="6"/>
        <v>0.65800000000000014</v>
      </c>
      <c r="M53" s="1689">
        <f t="shared" si="7"/>
        <v>11.295787587529411</v>
      </c>
      <c r="N53" s="1688">
        <f>P6/40+0.3</f>
        <v>1.425</v>
      </c>
      <c r="O53" s="1687">
        <f t="shared" si="8"/>
        <v>0.79800000000000015</v>
      </c>
      <c r="P53" s="1686">
        <f t="shared" si="9"/>
        <v>13.699146648705881</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0.6</v>
      </c>
      <c r="I57" s="1671">
        <f t="shared" si="4"/>
        <v>0.40800000000000003</v>
      </c>
      <c r="J57" s="1670">
        <f t="shared" si="5"/>
        <v>7.0177892639999992</v>
      </c>
      <c r="K57" s="3635">
        <f>K11/35</f>
        <v>0.8</v>
      </c>
      <c r="L57" s="1673">
        <f t="shared" si="6"/>
        <v>0.54400000000000004</v>
      </c>
      <c r="M57" s="1620">
        <f t="shared" si="7"/>
        <v>9.3570523520000002</v>
      </c>
      <c r="N57" s="3634">
        <f>N11/35</f>
        <v>1.0285714285714285</v>
      </c>
      <c r="O57" s="1671">
        <f t="shared" si="8"/>
        <v>0.6994285714285714</v>
      </c>
      <c r="P57" s="1670">
        <f t="shared" si="9"/>
        <v>12.030495881142855</v>
      </c>
      <c r="Q57" s="3626"/>
    </row>
    <row r="58" spans="1:17" s="686" customFormat="1" ht="18.75" customHeight="1">
      <c r="A58" s="1248"/>
      <c r="B58" s="1254" t="s">
        <v>1167</v>
      </c>
      <c r="C58" s="1351"/>
      <c r="D58" s="1351"/>
      <c r="E58" s="1351"/>
      <c r="F58" s="38"/>
      <c r="G58" s="1588"/>
      <c r="H58" s="1665"/>
      <c r="I58" s="1664">
        <f>SUM($I$46:$I$57)</f>
        <v>4.7635000000000005</v>
      </c>
      <c r="J58" s="1669"/>
      <c r="K58" s="1668"/>
      <c r="L58" s="1667">
        <f>SUM($L$46:$L$57)</f>
        <v>5.0220000000000002</v>
      </c>
      <c r="M58" s="1666"/>
      <c r="N58" s="1665"/>
      <c r="O58" s="1664">
        <f>SUM($O$46:$O$57)</f>
        <v>5.3174285714285716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8.5743000000000009</v>
      </c>
      <c r="J59" s="1654"/>
      <c r="K59" s="1659"/>
      <c r="L59" s="1658">
        <f>IF(L58+SUM($L$46:$L$57)*$E$59%&gt;L58+10,L58+10,L58+SUM($L$46:$L$57)*$E$59%)</f>
        <v>9.0396000000000001</v>
      </c>
      <c r="M59" s="1657"/>
      <c r="N59" s="1656"/>
      <c r="O59" s="1655">
        <f>IF(O58+SUM($O$46:$O$57)*$E$59%&gt;O58+10,O58+10,O58+SUM($O$46:$O$57)*$E$59%)</f>
        <v>9.5713714285714282</v>
      </c>
      <c r="P59" s="1654"/>
      <c r="Q59" s="32"/>
    </row>
    <row r="60" spans="1:17" s="65" customFormat="1" ht="18.75" customHeight="1">
      <c r="A60" s="1351"/>
      <c r="B60" s="1254" t="s">
        <v>1164</v>
      </c>
      <c r="C60" s="1351"/>
      <c r="D60" s="1351"/>
      <c r="E60" s="45"/>
      <c r="F60" s="45"/>
      <c r="G60" s="1653"/>
      <c r="H60" s="3904"/>
      <c r="I60" s="3903"/>
      <c r="J60" s="1652">
        <f>IF(J6=0,0,SUM(I62:I64))</f>
        <v>208.39999999999998</v>
      </c>
      <c r="K60" s="3906"/>
      <c r="L60" s="3905"/>
      <c r="M60" s="1585">
        <f>IF(M6=0,0,SUM(L62:L64))</f>
        <v>228</v>
      </c>
      <c r="N60" s="3904"/>
      <c r="O60" s="3903"/>
      <c r="P60" s="1652">
        <f>IF(P6=0,0,SUM(O62:O64))</f>
        <v>250.39999999999998</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58.8</v>
      </c>
      <c r="J64" s="227"/>
      <c r="K64" s="1622"/>
      <c r="L64" s="1621">
        <f>K11*$G$64</f>
        <v>78.399999999999991</v>
      </c>
      <c r="M64" s="1620"/>
      <c r="N64" s="1619"/>
      <c r="O64" s="1618">
        <f>N11*$G$64</f>
        <v>100.8</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81.225000000000009</v>
      </c>
      <c r="Q67" s="32"/>
    </row>
    <row r="68" spans="1:20" s="686" customFormat="1" ht="15" customHeight="1">
      <c r="A68" s="1248"/>
      <c r="B68" s="1605"/>
      <c r="C68" s="4888" t="s">
        <v>1159</v>
      </c>
      <c r="D68" s="4888"/>
      <c r="E68" s="4922"/>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18.48</v>
      </c>
      <c r="K69" s="1598"/>
      <c r="L69" s="1597"/>
      <c r="M69" s="1585">
        <f>K70*$F70/1000</f>
        <v>24.64</v>
      </c>
      <c r="N69" s="44"/>
      <c r="O69" s="73"/>
      <c r="P69" s="1582">
        <f>N70*$F70/1000</f>
        <v>31.68</v>
      </c>
      <c r="Q69" s="32"/>
    </row>
    <row r="70" spans="1:20" s="686" customFormat="1" ht="15" customHeight="1">
      <c r="A70" s="1248"/>
      <c r="B70" s="1310"/>
      <c r="C70" s="1309" t="s">
        <v>840</v>
      </c>
      <c r="D70" s="346"/>
      <c r="E70" s="278"/>
      <c r="F70" s="1596">
        <f>'SDK7'!G101</f>
        <v>16</v>
      </c>
      <c r="G70" s="1595" t="s">
        <v>171</v>
      </c>
      <c r="H70" s="1591">
        <f>I9+I10</f>
        <v>1155</v>
      </c>
      <c r="I70" s="1590"/>
      <c r="J70" s="1589"/>
      <c r="K70" s="1594">
        <f>L9+L10</f>
        <v>1540</v>
      </c>
      <c r="L70" s="1593"/>
      <c r="M70" s="1592"/>
      <c r="N70" s="1591">
        <f>O9+O10</f>
        <v>1980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11.706993205683037</v>
      </c>
      <c r="K75" s="3031"/>
      <c r="L75" s="1034"/>
      <c r="M75" s="1546">
        <f>(M23+M27+M34+M43+M60+M65+M67+M69+M71)*('SDK1'!$O$59%*$G$75/12)</f>
        <v>13.16248514879255</v>
      </c>
      <c r="N75" s="1548"/>
      <c r="O75" s="1547"/>
      <c r="P75" s="1546">
        <f>(P23+P27+P34+P43+P60+P65+P67+P69+P71)*('SDK1'!$O$59%*$G$75/12)</f>
        <v>14.825904512346273</v>
      </c>
      <c r="Q75" s="32"/>
    </row>
    <row r="76" spans="1:20">
      <c r="L76" s="33"/>
    </row>
    <row r="77" spans="1:20">
      <c r="L77" s="33"/>
      <c r="M77" s="3586"/>
      <c r="N77" s="3586"/>
      <c r="O77" s="3586"/>
      <c r="P77" s="3586"/>
      <c r="Q77" s="3586"/>
    </row>
    <row r="78" spans="1:20" ht="14.25">
      <c r="C78" s="4950" t="s">
        <v>1888</v>
      </c>
      <c r="D78" s="4951"/>
      <c r="E78" s="4951"/>
      <c r="F78" s="4952"/>
      <c r="G78" s="3586"/>
      <c r="H78" s="3586"/>
      <c r="I78" s="3586"/>
      <c r="J78" s="3586"/>
      <c r="K78" s="3586"/>
      <c r="L78" s="3586"/>
      <c r="M78" s="3586"/>
      <c r="N78" s="3586"/>
      <c r="O78" s="3586"/>
      <c r="P78" s="3586"/>
      <c r="Q78" s="3586"/>
    </row>
    <row r="79" spans="1:20">
      <c r="C79" s="4943" t="s">
        <v>295</v>
      </c>
      <c r="D79" s="4944"/>
      <c r="E79" s="4944"/>
      <c r="F79" s="4945"/>
      <c r="G79" s="3586"/>
      <c r="H79" s="3586"/>
      <c r="I79" s="3586"/>
      <c r="J79" s="3586"/>
      <c r="K79" s="3586"/>
      <c r="L79" s="3586"/>
      <c r="M79" s="3586"/>
      <c r="N79" s="3586"/>
      <c r="O79" s="3586"/>
      <c r="P79" s="3586"/>
      <c r="Q79" s="3586"/>
    </row>
    <row r="80" spans="1:20" ht="14.25">
      <c r="B80" s="3046"/>
      <c r="C80" s="3042" t="s">
        <v>1884</v>
      </c>
      <c r="D80" s="3043"/>
      <c r="E80" s="3043"/>
      <c r="F80" s="3044"/>
      <c r="G80" s="3586"/>
      <c r="H80" s="3586"/>
      <c r="I80" s="3586"/>
      <c r="J80" s="3586"/>
      <c r="K80" s="3586"/>
      <c r="L80" s="3586"/>
      <c r="M80" s="3586"/>
      <c r="N80" s="3586"/>
      <c r="O80" s="3586"/>
      <c r="P80" s="3586"/>
      <c r="Q80" s="3586"/>
    </row>
    <row r="81" spans="2:17" ht="14.25">
      <c r="B81" s="3046"/>
      <c r="C81" s="3042" t="s">
        <v>1885</v>
      </c>
      <c r="D81" s="3043"/>
      <c r="E81" s="3043"/>
      <c r="F81" s="3044"/>
      <c r="G81" s="3586"/>
      <c r="H81" s="3586"/>
      <c r="I81" s="3586"/>
      <c r="J81" s="3586"/>
      <c r="K81" s="3586"/>
      <c r="L81" s="3586"/>
      <c r="M81" s="3586"/>
      <c r="N81" s="3586"/>
      <c r="O81" s="3586"/>
      <c r="P81" s="3586"/>
      <c r="Q81" s="3586"/>
    </row>
    <row r="82" spans="2:17">
      <c r="B82" s="3046"/>
      <c r="C82" s="3034" t="s">
        <v>294</v>
      </c>
      <c r="D82" s="3035"/>
      <c r="E82" s="3035"/>
      <c r="F82" s="3036"/>
      <c r="G82" s="3586"/>
      <c r="H82" s="3586"/>
      <c r="I82" s="3586"/>
      <c r="J82" s="3586"/>
      <c r="K82" s="3586"/>
      <c r="L82" s="3586"/>
      <c r="M82" s="3586"/>
      <c r="N82" s="3586"/>
      <c r="O82" s="3586"/>
      <c r="P82" s="3586"/>
      <c r="Q82" s="3586"/>
    </row>
    <row r="83" spans="2:17" ht="14.25">
      <c r="B83" s="3046"/>
      <c r="C83" s="3042" t="s">
        <v>1886</v>
      </c>
      <c r="D83" s="3043"/>
      <c r="E83" s="3043"/>
      <c r="F83" s="3044"/>
      <c r="G83" s="3586"/>
      <c r="H83" s="3586"/>
      <c r="I83" s="3586"/>
      <c r="J83" s="3586"/>
      <c r="K83" s="3586"/>
      <c r="L83" s="3586"/>
      <c r="M83" s="3586"/>
      <c r="N83" s="3586"/>
      <c r="O83" s="3586"/>
      <c r="P83" s="3586"/>
      <c r="Q83" s="3586"/>
    </row>
    <row r="84" spans="2:17" ht="14.25">
      <c r="B84" s="3046"/>
      <c r="C84" s="3042" t="s">
        <v>1887</v>
      </c>
      <c r="D84" s="3043"/>
      <c r="E84" s="3043"/>
      <c r="F84" s="3044"/>
      <c r="G84" s="3586"/>
      <c r="H84" s="3586"/>
      <c r="I84" s="3586"/>
      <c r="J84" s="3586"/>
      <c r="K84" s="3586"/>
      <c r="L84" s="3586"/>
      <c r="M84" s="3586"/>
      <c r="N84" s="3586"/>
      <c r="O84" s="3586"/>
      <c r="P84" s="3586"/>
      <c r="Q84" s="3586"/>
    </row>
    <row r="85" spans="2:17">
      <c r="B85" s="3046"/>
      <c r="C85" s="3034" t="s">
        <v>293</v>
      </c>
      <c r="D85" s="3035"/>
      <c r="E85" s="3035"/>
      <c r="F85" s="3036"/>
      <c r="G85" s="3586"/>
      <c r="H85" s="3586"/>
      <c r="I85" s="3586"/>
      <c r="J85" s="3586"/>
      <c r="K85" s="3586"/>
      <c r="L85" s="3586"/>
      <c r="M85" s="3586"/>
      <c r="N85" s="3586"/>
      <c r="O85" s="3586"/>
      <c r="P85" s="3586"/>
      <c r="Q85" s="3586"/>
    </row>
    <row r="86" spans="2:17">
      <c r="B86" s="3046"/>
      <c r="C86" s="3034" t="s">
        <v>292</v>
      </c>
      <c r="D86" s="3035"/>
      <c r="E86" s="3035"/>
      <c r="F86" s="3036"/>
      <c r="G86" s="3586"/>
      <c r="H86" s="3586"/>
      <c r="I86" s="3586"/>
      <c r="J86" s="3586"/>
      <c r="K86" s="3586"/>
      <c r="L86" s="3586"/>
      <c r="M86" s="3586"/>
      <c r="N86" s="3586"/>
      <c r="O86" s="3586"/>
      <c r="P86" s="3586"/>
      <c r="Q86" s="3586"/>
    </row>
    <row r="87" spans="2:17" ht="14.25">
      <c r="B87" s="3046"/>
      <c r="C87" s="3034" t="s">
        <v>291</v>
      </c>
      <c r="D87" s="3035"/>
      <c r="E87" s="3035"/>
      <c r="F87" s="3036"/>
      <c r="G87" s="3586"/>
      <c r="H87" s="3586"/>
      <c r="I87" s="3586"/>
      <c r="J87" s="3586"/>
      <c r="K87" s="3586"/>
      <c r="L87" s="3586"/>
      <c r="M87" s="3586"/>
      <c r="N87" s="3586"/>
      <c r="O87" s="3586"/>
      <c r="P87" s="3586"/>
      <c r="Q87" s="3586"/>
    </row>
    <row r="88" spans="2:17" ht="13.15" customHeight="1">
      <c r="B88" s="3046"/>
      <c r="C88" s="3034" t="s">
        <v>290</v>
      </c>
      <c r="D88" s="3037"/>
      <c r="E88" s="3037"/>
      <c r="F88" s="3038"/>
      <c r="G88" s="3586"/>
      <c r="H88" s="3586"/>
      <c r="I88" s="3586"/>
      <c r="J88" s="3586"/>
      <c r="K88" s="3586"/>
      <c r="L88" s="3586"/>
      <c r="M88" s="3586"/>
      <c r="N88" s="3586"/>
      <c r="O88" s="3586"/>
      <c r="P88" s="3586"/>
      <c r="Q88" s="3586"/>
    </row>
    <row r="89" spans="2:17">
      <c r="B89" s="3046"/>
      <c r="C89" s="3034" t="s">
        <v>289</v>
      </c>
      <c r="D89" s="3037"/>
      <c r="E89" s="3037"/>
      <c r="F89" s="3038"/>
      <c r="G89" s="3586"/>
      <c r="H89" s="3586"/>
      <c r="I89" s="3586"/>
      <c r="J89" s="3586"/>
      <c r="K89" s="3586"/>
      <c r="L89" s="3586"/>
      <c r="M89" s="3586"/>
      <c r="N89" s="3586"/>
      <c r="O89" s="3586"/>
      <c r="P89" s="3586"/>
      <c r="Q89" s="3586"/>
    </row>
    <row r="90" spans="2:17" ht="25.5">
      <c r="B90" s="3046"/>
      <c r="C90" s="3039" t="s">
        <v>288</v>
      </c>
      <c r="D90" s="3040"/>
      <c r="E90" s="3040"/>
      <c r="F90" s="3041"/>
      <c r="G90" s="3586"/>
      <c r="H90" s="3586"/>
      <c r="I90" s="3586"/>
      <c r="J90" s="3586"/>
      <c r="K90" s="3586"/>
      <c r="L90" s="3586"/>
      <c r="M90" s="3586"/>
      <c r="N90" s="3586"/>
      <c r="O90" s="3586"/>
      <c r="P90" s="3586"/>
      <c r="Q90" s="3586"/>
    </row>
    <row r="91" spans="2:17">
      <c r="C91" s="33"/>
      <c r="D91" s="33"/>
      <c r="E91" s="33"/>
      <c r="F91" s="33"/>
      <c r="G91" s="3586"/>
      <c r="H91" s="3586"/>
      <c r="I91" s="3586"/>
      <c r="J91" s="3586"/>
      <c r="K91" s="3586"/>
      <c r="L91" s="3586"/>
      <c r="M91" s="3586"/>
      <c r="N91" s="3586"/>
      <c r="O91" s="3586"/>
      <c r="P91" s="3586"/>
      <c r="Q91" s="3586"/>
    </row>
    <row r="92" spans="2:17" ht="13.15" customHeight="1">
      <c r="C92" s="33"/>
      <c r="D92" s="33"/>
      <c r="E92" s="33"/>
      <c r="F92" s="33"/>
      <c r="G92" s="3586"/>
      <c r="H92" s="3586"/>
      <c r="I92" s="3586"/>
      <c r="J92" s="3586"/>
      <c r="K92" s="3586"/>
      <c r="L92" s="3586"/>
      <c r="M92" s="3586"/>
      <c r="N92" s="3586"/>
      <c r="O92" s="3586"/>
      <c r="P92" s="3586"/>
      <c r="Q92" s="3586"/>
    </row>
    <row r="93" spans="2:17">
      <c r="C93" s="33"/>
      <c r="D93" s="33"/>
      <c r="E93" s="33"/>
      <c r="F93" s="33"/>
      <c r="G93" s="3586"/>
      <c r="H93" s="3586"/>
      <c r="I93" s="3586"/>
      <c r="J93" s="3586"/>
      <c r="K93" s="3586"/>
      <c r="L93" s="3586"/>
      <c r="M93" s="3586"/>
      <c r="N93" s="3586"/>
      <c r="O93" s="3586"/>
      <c r="P93" s="3586"/>
      <c r="Q93" s="3586"/>
    </row>
    <row r="94" spans="2:17">
      <c r="C94" s="33"/>
      <c r="D94" s="33"/>
      <c r="E94" s="33"/>
      <c r="F94" s="33"/>
      <c r="G94" s="3586"/>
      <c r="H94" s="3586"/>
      <c r="I94" s="3586"/>
      <c r="J94" s="3586"/>
      <c r="K94" s="3586"/>
      <c r="L94" s="3586"/>
      <c r="M94" s="3586"/>
      <c r="N94" s="3586"/>
      <c r="O94" s="3586"/>
      <c r="P94" s="3586"/>
      <c r="Q94" s="3586"/>
    </row>
    <row r="95" spans="2:17">
      <c r="C95" s="33"/>
      <c r="D95" s="33"/>
      <c r="E95" s="33"/>
      <c r="F95" s="33"/>
      <c r="G95" s="3586"/>
      <c r="H95" s="3586"/>
      <c r="I95" s="3586"/>
      <c r="J95" s="3586"/>
      <c r="K95" s="3586"/>
      <c r="L95" s="3586"/>
      <c r="M95" s="3586"/>
      <c r="N95" s="3586"/>
      <c r="O95" s="3586"/>
      <c r="P95" s="3586"/>
      <c r="Q95" s="3586"/>
    </row>
    <row r="96" spans="2:17">
      <c r="C96" s="33"/>
      <c r="D96" s="33"/>
      <c r="E96" s="33"/>
      <c r="F96" s="33"/>
      <c r="G96" s="3586"/>
      <c r="H96" s="3586"/>
      <c r="I96" s="3586"/>
      <c r="J96" s="3586"/>
      <c r="K96" s="3586"/>
      <c r="L96" s="3586"/>
      <c r="M96" s="3586"/>
      <c r="N96" s="3586"/>
      <c r="O96" s="3586"/>
      <c r="P96" s="3586"/>
      <c r="Q96" s="3586"/>
    </row>
    <row r="97" spans="2:17">
      <c r="C97" s="33"/>
      <c r="D97" s="33"/>
      <c r="E97" s="33"/>
      <c r="F97" s="33"/>
      <c r="G97" s="3586"/>
      <c r="H97" s="3586"/>
      <c r="I97" s="3586"/>
      <c r="J97" s="3586"/>
      <c r="K97" s="3586"/>
      <c r="L97" s="3586"/>
      <c r="M97" s="3586"/>
      <c r="N97" s="3586"/>
      <c r="O97" s="3586"/>
      <c r="P97" s="3586"/>
      <c r="Q97" s="3586"/>
    </row>
    <row r="98" spans="2:17">
      <c r="C98" s="33"/>
      <c r="D98" s="33"/>
      <c r="E98" s="33"/>
      <c r="F98" s="33"/>
      <c r="G98" s="3586"/>
      <c r="H98" s="3586"/>
      <c r="I98" s="3586"/>
      <c r="J98" s="3586"/>
      <c r="K98" s="3586"/>
      <c r="L98" s="3586"/>
      <c r="M98" s="3586"/>
      <c r="N98" s="3586"/>
      <c r="O98" s="3586"/>
      <c r="P98" s="3586"/>
      <c r="Q98" s="3586"/>
    </row>
    <row r="99" spans="2:17">
      <c r="B99" s="33"/>
      <c r="C99" s="33"/>
      <c r="D99" s="33"/>
      <c r="E99" s="33"/>
      <c r="F99" s="33"/>
      <c r="G99" s="3586"/>
      <c r="H99" s="3586"/>
      <c r="I99" s="3586"/>
      <c r="J99" s="3586"/>
      <c r="K99" s="3586"/>
      <c r="L99" s="3586"/>
      <c r="M99" s="3586"/>
      <c r="N99" s="3586"/>
      <c r="O99" s="3586"/>
      <c r="P99" s="3586"/>
      <c r="Q99" s="3586"/>
    </row>
    <row r="100" spans="2:17">
      <c r="B100" s="33"/>
      <c r="C100" s="33"/>
      <c r="D100" s="33"/>
      <c r="G100" s="3586"/>
      <c r="H100" s="3586"/>
      <c r="I100" s="3586"/>
      <c r="J100" s="3586"/>
      <c r="K100" s="3586"/>
      <c r="L100" s="3586"/>
      <c r="M100" s="3586"/>
      <c r="N100" s="3586"/>
      <c r="O100" s="3586"/>
      <c r="P100" s="3586"/>
      <c r="Q100" s="3586"/>
    </row>
    <row r="101" spans="2:17">
      <c r="B101" s="33"/>
      <c r="C101" s="33"/>
      <c r="D101" s="33"/>
      <c r="G101" s="3586"/>
      <c r="H101" s="3586"/>
      <c r="I101" s="3586"/>
      <c r="J101" s="3586"/>
      <c r="K101" s="3586"/>
      <c r="L101" s="3586"/>
      <c r="M101" s="3586"/>
      <c r="N101" s="3586"/>
      <c r="O101" s="3586"/>
      <c r="P101" s="3586"/>
      <c r="Q101" s="3586"/>
    </row>
    <row r="102" spans="2:17">
      <c r="B102" s="33"/>
      <c r="C102" s="33"/>
      <c r="D102" s="33"/>
      <c r="G102" s="3586"/>
      <c r="H102" s="3586"/>
      <c r="I102" s="3586"/>
      <c r="J102" s="3586"/>
      <c r="K102" s="3586"/>
      <c r="L102" s="3586"/>
      <c r="M102" s="3586"/>
      <c r="N102" s="3586"/>
      <c r="O102" s="3586"/>
      <c r="P102" s="3586"/>
      <c r="Q102" s="3586"/>
    </row>
    <row r="103" spans="2:17">
      <c r="B103" s="33"/>
      <c r="C103" s="33"/>
      <c r="D103" s="33"/>
      <c r="G103" s="3586"/>
      <c r="H103" s="3586"/>
      <c r="I103" s="3586"/>
      <c r="J103" s="3586"/>
      <c r="K103" s="3586"/>
      <c r="L103" s="3586"/>
      <c r="M103" s="3586"/>
      <c r="N103" s="3586"/>
      <c r="O103" s="3586"/>
      <c r="P103" s="3586"/>
      <c r="Q103" s="3586"/>
    </row>
    <row r="104" spans="2:17">
      <c r="B104" s="33"/>
      <c r="C104" s="33"/>
      <c r="D104" s="33"/>
      <c r="G104" s="3586"/>
      <c r="H104" s="3586"/>
      <c r="I104" s="3586"/>
      <c r="J104" s="3586"/>
      <c r="K104" s="3586"/>
      <c r="L104" s="3586"/>
      <c r="M104" s="3586"/>
      <c r="N104" s="3586"/>
      <c r="O104" s="3586"/>
      <c r="P104" s="3586"/>
      <c r="Q104" s="3586"/>
    </row>
    <row r="105" spans="2:17">
      <c r="B105" s="33"/>
      <c r="C105" s="33"/>
      <c r="D105" s="33"/>
      <c r="G105" s="3586"/>
      <c r="H105" s="3586"/>
      <c r="I105" s="3586"/>
      <c r="J105" s="3586"/>
      <c r="K105" s="3586"/>
      <c r="L105" s="3586"/>
      <c r="M105" s="3586"/>
      <c r="N105" s="3586"/>
      <c r="O105" s="3586"/>
      <c r="P105" s="3586"/>
      <c r="Q105" s="3586"/>
    </row>
    <row r="106" spans="2:17">
      <c r="B106" s="33"/>
      <c r="C106" s="33"/>
      <c r="D106" s="33"/>
      <c r="G106" s="3586"/>
      <c r="H106" s="3586"/>
      <c r="I106" s="3586"/>
      <c r="J106" s="3586"/>
      <c r="K106" s="3586"/>
      <c r="L106" s="3586"/>
      <c r="M106" s="3586"/>
      <c r="N106" s="3586"/>
      <c r="O106" s="3586"/>
      <c r="P106" s="3586"/>
      <c r="Q106" s="3586"/>
    </row>
    <row r="107" spans="2:17">
      <c r="B107" s="33"/>
      <c r="C107" s="33"/>
      <c r="D107" s="33"/>
      <c r="G107" s="3586"/>
      <c r="H107" s="3586"/>
      <c r="I107" s="3586"/>
      <c r="J107" s="3586"/>
      <c r="K107" s="3586"/>
      <c r="L107" s="3586"/>
      <c r="M107" s="3586"/>
      <c r="N107" s="3586"/>
      <c r="O107" s="3586"/>
      <c r="P107" s="3586"/>
      <c r="Q107" s="3586"/>
    </row>
    <row r="108" spans="2:17">
      <c r="G108" s="3586"/>
      <c r="H108" s="3586"/>
      <c r="I108" s="3586"/>
      <c r="J108" s="3586"/>
      <c r="K108" s="3586"/>
      <c r="L108" s="3586"/>
      <c r="M108" s="3586"/>
      <c r="N108" s="3586"/>
      <c r="O108" s="3586"/>
      <c r="P108" s="3586"/>
      <c r="Q108" s="3586"/>
    </row>
    <row r="109" spans="2:17">
      <c r="G109" s="3586"/>
      <c r="H109" s="3586"/>
      <c r="I109" s="3586"/>
      <c r="J109" s="3586"/>
      <c r="K109" s="3586"/>
      <c r="L109" s="3586"/>
      <c r="M109" s="3586"/>
      <c r="N109" s="3586"/>
      <c r="O109" s="3586"/>
      <c r="P109" s="3586"/>
      <c r="Q109" s="3586"/>
    </row>
    <row r="110" spans="2:17">
      <c r="G110" s="3586"/>
      <c r="H110" s="3586"/>
      <c r="I110" s="3586"/>
      <c r="J110" s="3586"/>
      <c r="K110" s="3586"/>
      <c r="L110" s="3586"/>
      <c r="M110" s="3586"/>
      <c r="N110" s="3586"/>
      <c r="O110" s="3586"/>
      <c r="P110" s="3586"/>
      <c r="Q110" s="3586"/>
    </row>
    <row r="111" spans="2:17">
      <c r="G111" s="3586"/>
      <c r="H111" s="3586"/>
      <c r="I111" s="3586"/>
      <c r="J111" s="3586"/>
      <c r="K111" s="3586"/>
      <c r="L111" s="3586"/>
      <c r="M111" s="3586"/>
      <c r="N111" s="3586"/>
      <c r="O111" s="3586"/>
      <c r="P111" s="3586"/>
      <c r="Q111" s="3586"/>
    </row>
    <row r="112" spans="2:17">
      <c r="G112" s="3586"/>
      <c r="H112" s="3586"/>
      <c r="I112" s="3586"/>
      <c r="J112" s="3586"/>
      <c r="K112" s="3586"/>
      <c r="L112" s="3586"/>
      <c r="M112" s="3586"/>
      <c r="N112" s="3586"/>
      <c r="O112" s="3586"/>
      <c r="P112" s="3586"/>
      <c r="Q112" s="3586"/>
    </row>
    <row r="113" spans="2:17">
      <c r="G113" s="3586"/>
      <c r="H113" s="3586"/>
      <c r="I113" s="3586"/>
      <c r="J113" s="3586"/>
      <c r="K113" s="3586"/>
      <c r="L113" s="3586"/>
      <c r="M113" s="3586"/>
      <c r="N113" s="3586"/>
      <c r="O113" s="3586"/>
      <c r="P113" s="3586"/>
      <c r="Q113" s="3586"/>
    </row>
    <row r="114" spans="2:17">
      <c r="G114" s="3586"/>
      <c r="H114" s="3586"/>
      <c r="I114" s="3586"/>
      <c r="J114" s="3586"/>
      <c r="K114" s="3586"/>
      <c r="L114" s="3586"/>
      <c r="M114" s="3586"/>
      <c r="N114" s="3586"/>
      <c r="O114" s="3586"/>
      <c r="P114" s="3586"/>
      <c r="Q114" s="3586"/>
    </row>
    <row r="115" spans="2:17">
      <c r="L115" s="3586"/>
      <c r="M115" s="3586"/>
      <c r="N115" s="3586"/>
      <c r="O115" s="3586"/>
      <c r="P115" s="3586"/>
      <c r="Q115" s="3586"/>
    </row>
    <row r="116" spans="2:17">
      <c r="L116" s="3586"/>
      <c r="M116" s="3586"/>
      <c r="N116" s="3586"/>
      <c r="O116" s="3586"/>
      <c r="P116" s="3586"/>
      <c r="Q116" s="3586"/>
    </row>
    <row r="117" spans="2:17">
      <c r="L117" s="3586"/>
      <c r="M117" s="3586"/>
      <c r="N117" s="3586"/>
      <c r="O117" s="3586"/>
      <c r="P117" s="3586"/>
      <c r="Q117" s="3586"/>
    </row>
    <row r="118" spans="2:17">
      <c r="B118" s="600"/>
      <c r="C118" s="33"/>
      <c r="L118" s="3586"/>
      <c r="M118" s="3586"/>
      <c r="N118" s="3586"/>
      <c r="O118" s="3586"/>
      <c r="P118" s="3586"/>
      <c r="Q118" s="3586"/>
    </row>
    <row r="119" spans="2:17">
      <c r="B119" s="600"/>
      <c r="C119" s="33"/>
      <c r="L119" s="3586"/>
      <c r="M119" s="3586"/>
      <c r="N119" s="3586"/>
      <c r="O119" s="3586"/>
      <c r="P119" s="3586"/>
      <c r="Q119" s="3586"/>
    </row>
    <row r="120" spans="2:17">
      <c r="B120" s="600"/>
      <c r="C120" s="33"/>
      <c r="L120" s="3586"/>
      <c r="M120" s="3586"/>
      <c r="N120" s="3586"/>
      <c r="O120" s="3586"/>
      <c r="P120" s="3586"/>
      <c r="Q120" s="3586"/>
    </row>
    <row r="121" spans="2:17">
      <c r="B121" s="600"/>
      <c r="C121" s="33"/>
      <c r="L121" s="3586"/>
      <c r="M121" s="3586"/>
      <c r="N121" s="3586"/>
      <c r="O121" s="3586"/>
      <c r="P121" s="3586"/>
      <c r="Q121" s="3586"/>
    </row>
    <row r="122" spans="2:17">
      <c r="B122" s="600"/>
      <c r="C122" s="33"/>
      <c r="L122" s="3586"/>
      <c r="M122" s="3586"/>
      <c r="N122" s="3586"/>
      <c r="O122" s="3586"/>
      <c r="P122" s="3586"/>
      <c r="Q122" s="3586"/>
    </row>
    <row r="123" spans="2:17">
      <c r="B123" s="600"/>
      <c r="C123" s="33"/>
      <c r="L123" s="3586"/>
      <c r="M123" s="3586"/>
      <c r="N123" s="3586"/>
      <c r="O123" s="3586"/>
      <c r="P123" s="3586"/>
      <c r="Q123" s="3586"/>
    </row>
    <row r="124" spans="2:17">
      <c r="B124" s="600"/>
      <c r="C124" s="33"/>
      <c r="L124" s="3586"/>
      <c r="M124" s="3586"/>
      <c r="N124" s="3586"/>
      <c r="O124" s="3586"/>
      <c r="P124" s="3586"/>
      <c r="Q124" s="3586"/>
    </row>
    <row r="125" spans="2:17">
      <c r="B125" s="600"/>
      <c r="C125" s="33"/>
      <c r="L125" s="3586"/>
      <c r="M125" s="3586"/>
      <c r="N125" s="3586"/>
      <c r="O125" s="3586"/>
      <c r="P125" s="3586"/>
      <c r="Q125" s="3586"/>
    </row>
    <row r="126" spans="2:17">
      <c r="B126" s="600"/>
      <c r="C126" s="33"/>
      <c r="L126" s="3586"/>
      <c r="M126" s="3586"/>
      <c r="N126" s="3586"/>
      <c r="O126" s="3586"/>
      <c r="P126" s="3586"/>
      <c r="Q126" s="3586"/>
    </row>
    <row r="127" spans="2:17">
      <c r="B127" s="600"/>
      <c r="C127" s="33"/>
      <c r="L127" s="3586"/>
      <c r="M127" s="3586"/>
      <c r="N127" s="3586"/>
      <c r="O127" s="3586"/>
      <c r="P127" s="3586"/>
      <c r="Q127" s="3586"/>
    </row>
    <row r="128" spans="2:17">
      <c r="B128" s="600"/>
      <c r="C128" s="33"/>
      <c r="L128" s="3586"/>
      <c r="M128" s="3586"/>
      <c r="N128" s="3586"/>
      <c r="O128" s="3586"/>
      <c r="P128" s="3586"/>
      <c r="Q128" s="3586"/>
    </row>
    <row r="129" spans="2:17">
      <c r="B129" s="600"/>
      <c r="C129" s="33"/>
      <c r="L129" s="3586"/>
      <c r="M129" s="3586"/>
      <c r="N129" s="3586"/>
      <c r="O129" s="3586"/>
      <c r="P129" s="3586"/>
      <c r="Q129" s="3586"/>
    </row>
    <row r="130" spans="2:17">
      <c r="B130" s="600"/>
      <c r="C130" s="33"/>
      <c r="L130" s="3586"/>
      <c r="M130" s="3586"/>
      <c r="N130" s="3586"/>
      <c r="O130" s="3586"/>
      <c r="P130" s="3586"/>
      <c r="Q130" s="3586"/>
    </row>
    <row r="131" spans="2:17">
      <c r="B131" s="600"/>
      <c r="C131" s="33"/>
      <c r="L131" s="3586"/>
      <c r="M131" s="3586"/>
      <c r="N131" s="3586"/>
      <c r="O131" s="3586"/>
      <c r="P131" s="3586"/>
      <c r="Q131" s="3586"/>
    </row>
    <row r="132" spans="2:17">
      <c r="B132" s="600"/>
      <c r="C132" s="33"/>
      <c r="L132" s="3586"/>
      <c r="M132" s="3586"/>
      <c r="N132" s="3586"/>
      <c r="O132" s="3586"/>
      <c r="P132" s="3586"/>
      <c r="Q132" s="3586"/>
    </row>
    <row r="133" spans="2:17">
      <c r="B133" s="600"/>
      <c r="C133" s="33"/>
      <c r="L133" s="3586"/>
      <c r="M133" s="3586"/>
      <c r="N133" s="3586"/>
      <c r="O133" s="3586"/>
      <c r="P133" s="3586"/>
      <c r="Q133" s="3586"/>
    </row>
    <row r="134" spans="2:17">
      <c r="B134" s="600"/>
      <c r="C134" s="33"/>
      <c r="L134" s="3586"/>
      <c r="M134" s="3586"/>
      <c r="N134" s="3586"/>
      <c r="O134" s="3586"/>
      <c r="P134" s="3586"/>
      <c r="Q134" s="3586"/>
    </row>
    <row r="135" spans="2:17">
      <c r="B135" s="600"/>
      <c r="C135" s="33"/>
      <c r="L135" s="3586"/>
      <c r="M135" s="3586"/>
      <c r="N135" s="3586"/>
      <c r="O135" s="3586"/>
      <c r="P135" s="3586"/>
      <c r="Q135" s="3586"/>
    </row>
    <row r="136" spans="2:17">
      <c r="B136" s="600"/>
      <c r="C136" s="33"/>
      <c r="L136" s="3586"/>
      <c r="M136" s="3586"/>
      <c r="N136" s="3586"/>
      <c r="O136" s="3586"/>
      <c r="P136" s="3586"/>
      <c r="Q136" s="3586"/>
    </row>
    <row r="137" spans="2:17">
      <c r="B137" s="600"/>
      <c r="C137" s="33"/>
      <c r="L137" s="3586"/>
      <c r="M137" s="3586"/>
      <c r="N137" s="3586"/>
      <c r="O137" s="3586"/>
      <c r="P137" s="3586"/>
      <c r="Q137" s="3586"/>
    </row>
    <row r="138" spans="2:17">
      <c r="B138" s="600"/>
      <c r="C138" s="33"/>
      <c r="L138" s="3586"/>
      <c r="M138" s="3586"/>
      <c r="N138" s="3586"/>
      <c r="O138" s="3586"/>
      <c r="P138" s="3586"/>
      <c r="Q138" s="3586"/>
    </row>
    <row r="139" spans="2:17">
      <c r="B139" s="600"/>
      <c r="C139" s="33"/>
      <c r="L139" s="3586"/>
      <c r="M139" s="3586"/>
      <c r="N139" s="3586"/>
      <c r="O139" s="3586"/>
      <c r="P139" s="3586"/>
      <c r="Q139" s="3586"/>
    </row>
    <row r="140" spans="2:17">
      <c r="B140" s="600"/>
      <c r="C140" s="33"/>
      <c r="L140" s="3586"/>
      <c r="M140" s="3586"/>
      <c r="N140" s="3586"/>
      <c r="O140" s="3586"/>
      <c r="P140" s="3586"/>
      <c r="Q140" s="3586"/>
    </row>
    <row r="141" spans="2:17">
      <c r="B141" s="600"/>
      <c r="C141" s="33"/>
      <c r="L141" s="3586"/>
      <c r="M141" s="3586"/>
      <c r="N141" s="3586"/>
      <c r="O141" s="3586"/>
      <c r="P141" s="3586"/>
      <c r="Q141" s="3586"/>
    </row>
    <row r="142" spans="2:17">
      <c r="B142" s="600"/>
      <c r="C142" s="33"/>
      <c r="L142" s="3586"/>
      <c r="M142" s="3586"/>
      <c r="N142" s="3586"/>
      <c r="O142" s="3586"/>
      <c r="P142" s="3586"/>
      <c r="Q142" s="3586"/>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8:F78"/>
    <mergeCell ref="C79:F79"/>
    <mergeCell ref="N3:O4"/>
    <mergeCell ref="J3:L3"/>
    <mergeCell ref="F23:G23"/>
    <mergeCell ref="D25:E25"/>
    <mergeCell ref="D26:E26"/>
    <mergeCell ref="K6:L6"/>
    <mergeCell ref="C46:D46"/>
    <mergeCell ref="C48:D48"/>
    <mergeCell ref="C36:E36"/>
    <mergeCell ref="C40:E40"/>
    <mergeCell ref="C17:F17"/>
    <mergeCell ref="C19:F19"/>
    <mergeCell ref="C74:E74"/>
    <mergeCell ref="B75:C75"/>
    <mergeCell ref="N1:O1"/>
    <mergeCell ref="C41:E41"/>
    <mergeCell ref="H6:I6"/>
    <mergeCell ref="C38:E38"/>
    <mergeCell ref="C39:E39"/>
    <mergeCell ref="C37:E37"/>
    <mergeCell ref="K2:P2"/>
    <mergeCell ref="C14:F14"/>
    <mergeCell ref="C15:F15"/>
    <mergeCell ref="E4:I4"/>
    <mergeCell ref="G1:I1"/>
    <mergeCell ref="N6:O6"/>
    <mergeCell ref="C16:F16"/>
    <mergeCell ref="C20:F20"/>
    <mergeCell ref="C21:F21"/>
    <mergeCell ref="C47:D47"/>
    <mergeCell ref="K1:L1"/>
    <mergeCell ref="J4:L4"/>
    <mergeCell ref="E10:F10"/>
    <mergeCell ref="E22:G22"/>
    <mergeCell ref="C73:E73"/>
    <mergeCell ref="C62:E62"/>
    <mergeCell ref="C63:E63"/>
    <mergeCell ref="C68:E68"/>
    <mergeCell ref="F34:G34"/>
    <mergeCell ref="C42:E42"/>
    <mergeCell ref="C57:D57"/>
    <mergeCell ref="C53:D53"/>
    <mergeCell ref="C64:E64"/>
    <mergeCell ref="C54:D54"/>
    <mergeCell ref="C56:D56"/>
    <mergeCell ref="C51:D51"/>
    <mergeCell ref="C52:D52"/>
    <mergeCell ref="C50:D50"/>
    <mergeCell ref="C49:D49"/>
    <mergeCell ref="C55:D55"/>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5" r:id="rId4" name="Check Box 15">
              <controlPr defaultSize="0" autoFill="0" autoLine="0" autoPict="0">
                <anchor moveWithCells="1">
                  <from>
                    <xdr:col>12</xdr:col>
                    <xdr:colOff>114300</xdr:colOff>
                    <xdr:row>2</xdr:row>
                    <xdr:rowOff>257175</xdr:rowOff>
                  </from>
                  <to>
                    <xdr:col>12</xdr:col>
                    <xdr:colOff>381000</xdr:colOff>
                    <xdr:row>3</xdr:row>
                    <xdr:rowOff>209550</xdr:rowOff>
                  </to>
                </anchor>
              </controlPr>
            </control>
          </mc:Choice>
        </mc:AlternateContent>
        <mc:AlternateContent xmlns:mc="http://schemas.openxmlformats.org/markup-compatibility/2006">
          <mc:Choice Requires="x14">
            <control shapeId="71696" r:id="rId5" name="Check Box 16">
              <controlPr defaultSize="0" autoFill="0" autoLine="0" autoPict="0">
                <anchor moveWithCells="1">
                  <from>
                    <xdr:col>12</xdr:col>
                    <xdr:colOff>133350</xdr:colOff>
                    <xdr:row>2</xdr:row>
                    <xdr:rowOff>38100</xdr:rowOff>
                  </from>
                  <to>
                    <xdr:col>12</xdr:col>
                    <xdr:colOff>419100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errorTitle="Verfahrensabh. Ausgleichsleist." error="Bitte aus Dropdownliste auswählen.">
          <x14:formula1>
            <xm:f>'SD2'!$C$11:$C$49</xm:f>
          </x14:formula1>
          <xm:sqref>C14:F17</xm:sqref>
        </x14:dataValidation>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tabColor rgb="FFFF0000"/>
    <pageSetUpPr fitToPage="1"/>
  </sheetPr>
  <dimension ref="A1:U86"/>
  <sheetViews>
    <sheetView showZeros="0" topLeftCell="A3" workbookViewId="0">
      <selection activeCell="J7" sqref="J7"/>
    </sheetView>
  </sheetViews>
  <sheetFormatPr baseColWidth="10" defaultColWidth="10.5" defaultRowHeight="12.75"/>
  <cols>
    <col min="1" max="1" width="1" style="136" customWidth="1"/>
    <col min="2" max="2" width="21.875" style="136" customWidth="1"/>
    <col min="3" max="3" width="5.375" style="137" customWidth="1"/>
    <col min="4" max="4" width="11.625" style="136" customWidth="1"/>
    <col min="5" max="5" width="11.375" style="136" customWidth="1"/>
    <col min="6" max="6" width="10.75" style="136" customWidth="1"/>
    <col min="7" max="8" width="11.125" style="136" customWidth="1"/>
    <col min="9" max="9" width="12.125" style="136" customWidth="1"/>
    <col min="10" max="10" width="9.375" style="136" customWidth="1"/>
    <col min="11" max="18" width="9.625" style="136" customWidth="1"/>
    <col min="19" max="19" width="10.75" style="136" customWidth="1"/>
    <col min="20" max="20" width="21.75" style="136" customWidth="1"/>
    <col min="21" max="21" width="0" style="136" hidden="1" customWidth="1"/>
    <col min="22" max="16384" width="10.5" style="136"/>
  </cols>
  <sheetData>
    <row r="1" spans="1:21" ht="15" hidden="1" customHeight="1">
      <c r="D1" s="1974"/>
      <c r="E1" s="1974"/>
      <c r="F1" s="1974"/>
      <c r="G1" s="1972">
        <f>COLUMNS($G$1:G1)</f>
        <v>1</v>
      </c>
      <c r="H1" s="1972"/>
      <c r="I1" s="1972">
        <f>COLUMNS($G$1:I1)</f>
        <v>3</v>
      </c>
      <c r="J1" s="1972">
        <f>COLUMNS($G$1:J1)</f>
        <v>4</v>
      </c>
      <c r="K1" s="1972">
        <f>COLUMNS($G$1:K1)</f>
        <v>5</v>
      </c>
      <c r="L1" s="1972"/>
      <c r="M1" s="1972"/>
      <c r="N1" s="1972"/>
      <c r="O1" s="1972"/>
      <c r="P1" s="1972"/>
      <c r="Q1" s="1972">
        <f>COLUMNS($G$1:Q1)</f>
        <v>11</v>
      </c>
      <c r="R1" s="1972">
        <f>COLUMNS($G$1:R1)</f>
        <v>12</v>
      </c>
      <c r="S1" s="1972">
        <f>COLUMNS($G$1:S1)</f>
        <v>13</v>
      </c>
      <c r="T1" s="1950">
        <f>COLUMNS($G$1:T1)</f>
        <v>14</v>
      </c>
      <c r="U1" s="1950">
        <f>COLUMNS($G$1:U1)</f>
        <v>15</v>
      </c>
    </row>
    <row r="2" spans="1:21" s="1949" customFormat="1" ht="9" hidden="1" customHeight="1">
      <c r="A2" s="4157" t="str">
        <f>IF(S8=100,0,   "Flächenanteile ergeben nicht 100% !")</f>
        <v>Flächenanteile ergeben nicht 100% !</v>
      </c>
      <c r="B2" s="4157"/>
      <c r="C2" s="1973"/>
      <c r="D2" s="1972">
        <f t="shared" ref="D2:R2" si="0">VLOOKUP(D7,$D$52:$F$73,3,FALSE)</f>
        <v>34</v>
      </c>
      <c r="E2" s="1972">
        <f t="shared" si="0"/>
        <v>36</v>
      </c>
      <c r="F2" s="1972">
        <f t="shared" si="0"/>
        <v>41</v>
      </c>
      <c r="G2" s="1972">
        <f t="shared" si="0"/>
        <v>38</v>
      </c>
      <c r="H2" s="1972">
        <f t="shared" si="0"/>
        <v>43</v>
      </c>
      <c r="I2" s="1972">
        <f t="shared" si="0"/>
        <v>44</v>
      </c>
      <c r="J2" s="1972">
        <f t="shared" si="0"/>
        <v>42</v>
      </c>
      <c r="K2" s="1972">
        <f t="shared" si="0"/>
        <v>39</v>
      </c>
      <c r="L2" s="1972">
        <f t="shared" si="0"/>
        <v>37</v>
      </c>
      <c r="M2" s="1972">
        <f t="shared" si="0"/>
        <v>46</v>
      </c>
      <c r="N2" s="1972">
        <f t="shared" si="0"/>
        <v>47</v>
      </c>
      <c r="O2" s="1972">
        <f t="shared" si="0"/>
        <v>48</v>
      </c>
      <c r="P2" s="1972">
        <f t="shared" si="0"/>
        <v>45</v>
      </c>
      <c r="Q2" s="1972">
        <f t="shared" si="0"/>
        <v>49</v>
      </c>
      <c r="R2" s="1972">
        <f t="shared" si="0"/>
        <v>51</v>
      </c>
      <c r="S2" s="1971"/>
    </row>
    <row r="3" spans="1:21" ht="21.2" customHeight="1">
      <c r="B3" s="205" t="str">
        <f>"Deckungsbeitrag je ha Ackerfläche " &amp; 'SDK1'!O8</f>
        <v>Deckungsbeitrag je ha Ackerfläche ohne MwSt.</v>
      </c>
      <c r="D3" s="202"/>
      <c r="F3" s="1970"/>
      <c r="G3" s="202"/>
      <c r="H3" s="140"/>
      <c r="I3" s="140"/>
      <c r="J3" s="140"/>
      <c r="K3" s="140"/>
      <c r="L3" s="140"/>
      <c r="M3" s="140"/>
      <c r="N3" s="140"/>
      <c r="O3" s="140"/>
      <c r="P3" s="140"/>
      <c r="Q3" s="140"/>
      <c r="R3" s="140"/>
      <c r="S3" s="201" t="s">
        <v>1276</v>
      </c>
      <c r="T3" s="201"/>
    </row>
    <row r="4" spans="1:21" ht="18">
      <c r="B4" s="1940"/>
      <c r="D4" s="140"/>
      <c r="E4" s="140"/>
      <c r="F4" s="140"/>
      <c r="G4" s="140"/>
      <c r="H4" s="140"/>
      <c r="I4" s="140"/>
      <c r="J4" s="140"/>
      <c r="K4" s="140"/>
      <c r="L4" s="140"/>
      <c r="M4" s="140"/>
      <c r="N4" s="140"/>
      <c r="O4" s="140"/>
      <c r="P4" s="140"/>
      <c r="Q4" s="140"/>
      <c r="R4" s="140"/>
      <c r="S4" s="201">
        <f>SDÖ1!O3</f>
        <v>0</v>
      </c>
    </row>
    <row r="5" spans="1:21" ht="20.45" customHeight="1">
      <c r="B5" s="4153" t="s">
        <v>212</v>
      </c>
      <c r="C5" s="4153"/>
      <c r="D5" s="1969">
        <f>VLOOKUP(B5,G52:S55,S1,FALSE)</f>
        <v>3</v>
      </c>
      <c r="E5" s="65"/>
      <c r="F5" s="1968"/>
      <c r="G5" s="1968"/>
      <c r="H5" s="1967"/>
      <c r="I5" s="1967"/>
      <c r="J5" s="1967"/>
      <c r="K5" s="1967"/>
      <c r="L5" s="1967"/>
      <c r="M5" s="1967"/>
      <c r="N5" s="1967"/>
      <c r="O5" s="1967"/>
      <c r="P5" s="1967"/>
      <c r="Q5" s="1967"/>
      <c r="R5" s="1967"/>
      <c r="S5" s="226"/>
      <c r="T5" s="201"/>
    </row>
    <row r="6" spans="1:21" ht="2.25" customHeight="1" thickBot="1">
      <c r="D6" s="1966">
        <f t="shared" ref="D6:R6" si="1">$D$5*100+D2</f>
        <v>334</v>
      </c>
      <c r="E6" s="1966">
        <f t="shared" si="1"/>
        <v>336</v>
      </c>
      <c r="F6" s="1966">
        <f t="shared" si="1"/>
        <v>341</v>
      </c>
      <c r="G6" s="1966">
        <f t="shared" si="1"/>
        <v>338</v>
      </c>
      <c r="H6" s="1966">
        <f>$D$5*100+H2</f>
        <v>343</v>
      </c>
      <c r="I6" s="1966">
        <f t="shared" si="1"/>
        <v>344</v>
      </c>
      <c r="J6" s="1966">
        <f t="shared" si="1"/>
        <v>342</v>
      </c>
      <c r="K6" s="1966">
        <f t="shared" ref="K6:P6" si="2">$D$5*100+K2</f>
        <v>339</v>
      </c>
      <c r="L6" s="1966">
        <f t="shared" si="2"/>
        <v>337</v>
      </c>
      <c r="M6" s="1966">
        <f t="shared" si="2"/>
        <v>346</v>
      </c>
      <c r="N6" s="1966">
        <f t="shared" si="2"/>
        <v>347</v>
      </c>
      <c r="O6" s="1966">
        <f t="shared" si="2"/>
        <v>348</v>
      </c>
      <c r="P6" s="1966">
        <f t="shared" si="2"/>
        <v>345</v>
      </c>
      <c r="Q6" s="1966">
        <f t="shared" si="1"/>
        <v>349</v>
      </c>
      <c r="R6" s="1966">
        <f t="shared" si="1"/>
        <v>351</v>
      </c>
    </row>
    <row r="7" spans="1:21" ht="39.6" customHeight="1">
      <c r="B7" s="1965"/>
      <c r="C7" s="1964" t="s">
        <v>232</v>
      </c>
      <c r="D7" s="3362" t="s">
        <v>1289</v>
      </c>
      <c r="E7" s="3362" t="s">
        <v>1638</v>
      </c>
      <c r="F7" s="3362" t="s">
        <v>1893</v>
      </c>
      <c r="G7" s="3362" t="s">
        <v>1890</v>
      </c>
      <c r="H7" s="3362" t="s">
        <v>1985</v>
      </c>
      <c r="I7" s="3362" t="s">
        <v>1895</v>
      </c>
      <c r="J7" s="3362" t="s">
        <v>1894</v>
      </c>
      <c r="K7" s="3362" t="s">
        <v>1891</v>
      </c>
      <c r="L7" s="3362" t="s">
        <v>1889</v>
      </c>
      <c r="M7" s="3362" t="s">
        <v>1897</v>
      </c>
      <c r="N7" s="3362" t="s">
        <v>1898</v>
      </c>
      <c r="O7" s="3362" t="s">
        <v>1899</v>
      </c>
      <c r="P7" s="3362" t="s">
        <v>1896</v>
      </c>
      <c r="Q7" s="3362" t="s">
        <v>1901</v>
      </c>
      <c r="R7" s="3362" t="s">
        <v>1902</v>
      </c>
      <c r="S7" s="196" t="s">
        <v>231</v>
      </c>
      <c r="T7" s="195"/>
      <c r="U7" s="1948" t="s">
        <v>1277</v>
      </c>
    </row>
    <row r="8" spans="1:21" ht="18.75" customHeight="1">
      <c r="B8" s="1963" t="s">
        <v>230</v>
      </c>
      <c r="C8" s="193" t="s">
        <v>113</v>
      </c>
      <c r="D8" s="3359"/>
      <c r="E8" s="3359"/>
      <c r="F8" s="3359"/>
      <c r="G8" s="3359"/>
      <c r="H8" s="3359"/>
      <c r="I8" s="3359"/>
      <c r="J8" s="3359"/>
      <c r="K8" s="3359"/>
      <c r="L8" s="3359"/>
      <c r="M8" s="3359"/>
      <c r="N8" s="3359"/>
      <c r="O8" s="3359"/>
      <c r="P8" s="3359"/>
      <c r="Q8" s="3359"/>
      <c r="R8" s="3359"/>
      <c r="S8" s="1962">
        <f>SUM(D8:R8)</f>
        <v>0</v>
      </c>
      <c r="U8" s="1947">
        <v>100</v>
      </c>
    </row>
    <row r="9" spans="1:21" ht="16.899999999999999" customHeight="1">
      <c r="B9" s="1957" t="s">
        <v>229</v>
      </c>
      <c r="C9" s="165" t="s">
        <v>172</v>
      </c>
      <c r="D9" s="164">
        <f>IFERROR(IF(D$6&lt;200,0,HLOOKUP(D$6,Daten!$CX$1:$FM$6,6,FALSE)),"")</f>
        <v>500</v>
      </c>
      <c r="E9" s="164">
        <f>IFERROR(IF(E$6&lt;200,0,HLOOKUP(E$6,Daten!$CX$1:$FM$6,6,FALSE)),"")</f>
        <v>450</v>
      </c>
      <c r="F9" s="164">
        <f>IFERROR(IF(F$6&lt;200,0,HLOOKUP(F$6,Daten!$CX$1:$FM$6,6,FALSE)),"")</f>
        <v>40</v>
      </c>
      <c r="G9" s="164">
        <f>IFERROR(IF(G$6&lt;200,0,HLOOKUP(G$6,Daten!$CX$1:$FM$6,6,FALSE)),"")</f>
        <v>40</v>
      </c>
      <c r="H9" s="164">
        <f>IFERROR(IF(H$6&lt;200,0,HLOOKUP(H$6,Daten!$CX$1:$FM$6,6,FALSE)),"")</f>
        <v>40</v>
      </c>
      <c r="I9" s="164">
        <f>IFERROR(IF(I$6&lt;200,0,HLOOKUP(I$6,Daten!$CX$1:$FM$6,6,FALSE)),"")</f>
        <v>31.5</v>
      </c>
      <c r="J9" s="164">
        <f>IFERROR(IF(J$6&lt;200,0,HLOOKUP(J$6,Daten!$CX$1:$FM$6,6,FALSE)),"")</f>
        <v>40</v>
      </c>
      <c r="K9" s="164">
        <f>IFERROR(IF(K$6&lt;200,0,HLOOKUP(K$6,Daten!$CX$1:$FM$6,6,FALSE)),"")</f>
        <v>35</v>
      </c>
      <c r="L9" s="164">
        <f>IFERROR(IF(L$6&lt;200,0,HLOOKUP(L$6,Daten!$CX$1:$FM$6,6,FALSE)),"")</f>
        <v>40</v>
      </c>
      <c r="M9" s="164">
        <f>IFERROR(IF(M$6&lt;200,0,HLOOKUP(M$6,Daten!$CX$1:$FM$6,6,FALSE)),"")</f>
        <v>35</v>
      </c>
      <c r="N9" s="164">
        <f>IFERROR(IF(N$6&lt;200,0,HLOOKUP(N$6,Daten!$CX$1:$FM$6,6,FALSE)),"")</f>
        <v>30</v>
      </c>
      <c r="O9" s="164">
        <f>IFERROR(IF(O$6&lt;200,0,HLOOKUP(O$6,Daten!$CX$1:$FM$6,6,FALSE)),"")</f>
        <v>30</v>
      </c>
      <c r="P9" s="164">
        <f>IFERROR(IF(P$6&lt;200,0,HLOOKUP(P$6,Daten!$CX$1:$FM$6,6,FALSE)),"")</f>
        <v>80</v>
      </c>
      <c r="Q9" s="164">
        <f>IFERROR(IF(Q$6&lt;200,0,HLOOKUP(Q$6,Daten!$CX$1:$FM$6,6,FALSE)),"")</f>
        <v>30</v>
      </c>
      <c r="R9" s="164">
        <f>IFERROR(IF(R$6&lt;200,0,HLOOKUP(R$6,Daten!$CX$1:$FM$6,6,FALSE)),"")</f>
        <v>187.5</v>
      </c>
      <c r="S9" s="1956"/>
      <c r="T9" s="176"/>
    </row>
    <row r="10" spans="1:21" ht="17.45" customHeight="1">
      <c r="B10" s="1957" t="str">
        <f>"Preis "&amp;SDÖ1!O8</f>
        <v>Preis ohne MwSt.</v>
      </c>
      <c r="C10" s="165" t="s">
        <v>228</v>
      </c>
      <c r="D10" s="164">
        <f>IFERROR(IF(D$6&lt;200,0,HLOOKUP(D$6,Daten!$CX$1:$FM$7,7,FALSE)),"")</f>
        <v>0</v>
      </c>
      <c r="E10" s="164">
        <f>IFERROR(IF(E$6&lt;200,0,HLOOKUP(E$6,Daten!$CX$1:$FM$7,7,FALSE)),"")</f>
        <v>0</v>
      </c>
      <c r="F10" s="164">
        <f>IFERROR(IF(F$6&lt;200,0,HLOOKUP(F$6,Daten!$CX$1:$FM$7,7,FALSE)),"")</f>
        <v>36.300000000000004</v>
      </c>
      <c r="G10" s="164">
        <f>IFERROR(IF(G$6&lt;200,0,HLOOKUP(G$6,Daten!$CX$1:$FM$7,7,FALSE)),"")</f>
        <v>51</v>
      </c>
      <c r="H10" s="164">
        <f>IFERROR(IF(H$6&lt;200,0,HLOOKUP(H$6,Daten!$CX$1:$FM$7,7,FALSE)),"")</f>
        <v>35.900000000000006</v>
      </c>
      <c r="I10" s="164">
        <f>IFERROR(IF(I$6&lt;200,0,HLOOKUP(I$6,Daten!$CX$1:$FM$7,7,FALSE)),"")</f>
        <v>50.316666666666663</v>
      </c>
      <c r="J10" s="164">
        <f>IFERROR(IF(J$6&lt;200,0,HLOOKUP(J$6,Daten!$CX$1:$FM$7,7,FALSE)),"")</f>
        <v>39.56666666666667</v>
      </c>
      <c r="K10" s="164">
        <f>IFERROR(IF(K$6&lt;200,0,HLOOKUP(K$6,Daten!$CX$1:$FM$7,7,FALSE)),"")</f>
        <v>44</v>
      </c>
      <c r="L10" s="164">
        <f>IFERROR(IF(L$6&lt;200,0,HLOOKUP(L$6,Daten!$CX$1:$FM$7,7,FALSE)),"")</f>
        <v>37.533333333333339</v>
      </c>
      <c r="M10" s="164">
        <f>IFERROR(IF(M$6&lt;200,0,HLOOKUP(M$6,Daten!$CX$1:$FM$7,7,FALSE)),"")</f>
        <v>55.733333333333327</v>
      </c>
      <c r="N10" s="164">
        <f>IFERROR(IF(N$6&lt;200,0,HLOOKUP(N$6,Daten!$CX$1:$FM$7,7,FALSE)),"")</f>
        <v>54.4</v>
      </c>
      <c r="O10" s="164">
        <f>IFERROR(IF(O$6&lt;200,0,HLOOKUP(O$6,Daten!$CX$1:$FM$7,7,FALSE)),"")</f>
        <v>88.1</v>
      </c>
      <c r="P10" s="164">
        <f>IFERROR(IF(P$6&lt;200,0,HLOOKUP(P$6,Daten!$CX$1:$FM$7,7,FALSE)),"")</f>
        <v>39.266666666666673</v>
      </c>
      <c r="Q10" s="164">
        <f>IFERROR(IF(Q$6&lt;200,0,HLOOKUP(Q$6,Daten!$CX$1:$FM$7,7,FALSE)),"")</f>
        <v>77.52000000000001</v>
      </c>
      <c r="R10" s="164">
        <f>IFERROR(IF(R$6&lt;200,0,HLOOKUP(R$6,Daten!$CX$1:$FM$7,7,FALSE)),"")</f>
        <v>62.126666666666658</v>
      </c>
      <c r="S10" s="1959"/>
      <c r="T10" s="184"/>
      <c r="U10" s="1961" t="e">
        <f>1+SDÖ1!#REF!/100</f>
        <v>#REF!</v>
      </c>
    </row>
    <row r="11" spans="1:21" ht="17.45" customHeight="1">
      <c r="B11" s="1957" t="s">
        <v>1286</v>
      </c>
      <c r="C11" s="165" t="s">
        <v>171</v>
      </c>
      <c r="D11" s="164">
        <f>IFERROR(IF(D$6&lt;200,0,HLOOKUP(D$6,Daten!$CX$1:$FM$8,8,FALSE)),"")</f>
        <v>0</v>
      </c>
      <c r="E11" s="164">
        <f>IFERROR(IF(E$6&lt;200,0,HLOOKUP(E$6,Daten!$CX$1:$FM$8,8,FALSE)),"")</f>
        <v>0</v>
      </c>
      <c r="F11" s="164">
        <f>IFERROR(IF(F$6&lt;200,0,HLOOKUP(F$6,Daten!$CX$1:$FM$8,8,FALSE)),"")</f>
        <v>1452.0000000000002</v>
      </c>
      <c r="G11" s="164">
        <f>IFERROR(IF(G$6&lt;200,0,HLOOKUP(G$6,Daten!$CX$1:$FM$8,8,FALSE)),"")</f>
        <v>2040</v>
      </c>
      <c r="H11" s="164">
        <f>IFERROR(IF(H$6&lt;200,0,HLOOKUP(H$6,Daten!$CX$1:$FM$8,8,FALSE)),"")</f>
        <v>1436.0000000000002</v>
      </c>
      <c r="I11" s="164">
        <f>IFERROR(IF(I$6&lt;200,0,HLOOKUP(I$6,Daten!$CX$1:$FM$8,8,FALSE)),"")</f>
        <v>1584.9749999999999</v>
      </c>
      <c r="J11" s="164">
        <f>IFERROR(IF(J$6&lt;200,0,HLOOKUP(J$6,Daten!$CX$1:$FM$8,8,FALSE)),"")</f>
        <v>1582.6666666666667</v>
      </c>
      <c r="K11" s="164">
        <f>IFERROR(IF(K$6&lt;200,0,HLOOKUP(K$6,Daten!$CX$1:$FM$8,8,FALSE)),"")</f>
        <v>1540</v>
      </c>
      <c r="L11" s="164">
        <f>IFERROR(IF(L$6&lt;200,0,HLOOKUP(L$6,Daten!$CX$1:$FM$8,8,FALSE)),"")</f>
        <v>1501.3333333333335</v>
      </c>
      <c r="M11" s="164">
        <f>IFERROR(IF(M$6&lt;200,0,HLOOKUP(M$6,Daten!$CX$1:$FM$8,8,FALSE)),"")</f>
        <v>1950.6666666666665</v>
      </c>
      <c r="N11" s="164">
        <f>IFERROR(IF(N$6&lt;200,0,HLOOKUP(N$6,Daten!$CX$1:$FM$8,8,FALSE)),"")</f>
        <v>1632</v>
      </c>
      <c r="O11" s="164">
        <f>IFERROR(IF(O$6&lt;200,0,HLOOKUP(O$6,Daten!$CX$1:$FM$8,8,FALSE)),"")</f>
        <v>2643</v>
      </c>
      <c r="P11" s="164">
        <f>IFERROR(IF(P$6&lt;200,0,HLOOKUP(P$6,Daten!$CX$1:$FM$8,8,FALSE)),"")</f>
        <v>3141.3333333333339</v>
      </c>
      <c r="Q11" s="164">
        <f>IFERROR(IF(Q$6&lt;200,0,HLOOKUP(Q$6,Daten!$CX$1:$FM$8,8,FALSE)),"")</f>
        <v>2325.6000000000004</v>
      </c>
      <c r="R11" s="164">
        <f>IFERROR(IF(R$6&lt;200,0,HLOOKUP(R$6,Daten!$CX$1:$FM$8,8,FALSE)),"")</f>
        <v>11648.749999999998</v>
      </c>
      <c r="S11" s="1959"/>
      <c r="T11" s="1960"/>
    </row>
    <row r="12" spans="1:21" ht="17.45" customHeight="1">
      <c r="B12" s="1957" t="s">
        <v>1285</v>
      </c>
      <c r="C12" s="165" t="s">
        <v>171</v>
      </c>
      <c r="D12" s="164">
        <f>IFERROR(IF(D$6&lt;200,0,HLOOKUP(D$6,Daten!$CX$1:$FM$9,9,FALSE)),"")</f>
        <v>0</v>
      </c>
      <c r="E12" s="164">
        <f>IFERROR(IF(E$6&lt;200,0,HLOOKUP(E$6,Daten!$CX$1:$FM$9,9,FALSE)),"")</f>
        <v>0</v>
      </c>
      <c r="F12" s="164">
        <f>IFERROR(IF(F$6&lt;200,0,HLOOKUP(F$6,Daten!$CX$1:$FM$9,9,FALSE)),"")</f>
        <v>432</v>
      </c>
      <c r="G12" s="164">
        <f>IFERROR(IF(G$6&lt;200,0,HLOOKUP(G$6,Daten!$CX$1:$FM$9,9,FALSE)),"")</f>
        <v>384</v>
      </c>
      <c r="H12" s="164">
        <f>IFERROR(IF(H$6&lt;200,0,HLOOKUP(H$6,Daten!$CX$1:$FM$9,9,FALSE)),"")</f>
        <v>432</v>
      </c>
      <c r="I12" s="164">
        <f>IFERROR(IF(I$6&lt;200,0,HLOOKUP(I$6,Daten!$CX$1:$FM$9,9,FALSE)),"")</f>
        <v>503.65000000000003</v>
      </c>
      <c r="J12" s="164">
        <f>IFERROR(IF(J$6&lt;200,0,HLOOKUP(J$6,Daten!$CX$1:$FM$9,9,FALSE)),"")</f>
        <v>432</v>
      </c>
      <c r="K12" s="164">
        <f>IFERROR(IF(K$6&lt;200,0,HLOOKUP(K$6,Daten!$CX$1:$FM$9,9,FALSE)),"")</f>
        <v>336</v>
      </c>
      <c r="L12" s="164">
        <f>IFERROR(IF(L$6&lt;200,0,HLOOKUP(L$6,Daten!$CX$1:$FM$9,9,FALSE)),"")</f>
        <v>384</v>
      </c>
      <c r="M12" s="164">
        <f>IFERROR(IF(M$6&lt;200,0,HLOOKUP(M$6,Daten!$CX$1:$FM$9,9,FALSE)),"")</f>
        <v>0</v>
      </c>
      <c r="N12" s="164">
        <f>IFERROR(IF(N$6&lt;200,0,HLOOKUP(N$6,Daten!$CX$1:$FM$9,9,FALSE)),"")</f>
        <v>0</v>
      </c>
      <c r="O12" s="164">
        <f>IFERROR(IF(O$6&lt;200,0,HLOOKUP(O$6,Daten!$CX$1:$FM$9,9,FALSE)),"")</f>
        <v>0</v>
      </c>
      <c r="P12" s="164">
        <f>IFERROR(IF(P$6&lt;200,0,HLOOKUP(P$6,Daten!$CX$1:$FM$9,9,FALSE)),"")</f>
        <v>0</v>
      </c>
      <c r="Q12" s="164">
        <f>IFERROR(IF(Q$6&lt;200,0,HLOOKUP(Q$6,Daten!$CX$1:$FM$9,9,FALSE)),"")</f>
        <v>0</v>
      </c>
      <c r="R12" s="164">
        <f>IFERROR(IF(R$6&lt;200,0,HLOOKUP(R$6,Daten!$CX$1:$FM$9,9,FALSE)),"")</f>
        <v>250</v>
      </c>
      <c r="S12" s="1959"/>
      <c r="T12" s="33"/>
    </row>
    <row r="13" spans="1:21" ht="17.45" customHeight="1">
      <c r="B13" s="1957" t="s">
        <v>845</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64">
        <f>IFERROR(IF(L$6&lt;200,0,HLOOKUP(L$6,Daten!$CX$1:$FM$10,10,FALSE)),"")</f>
        <v>0</v>
      </c>
      <c r="M13" s="164">
        <f>IFERROR(IF(M$6&lt;200,0,HLOOKUP(M$6,Daten!$CX$1:$FM$10,10,FALSE)),"")</f>
        <v>0</v>
      </c>
      <c r="N13" s="164">
        <f>IFERROR(IF(N$6&lt;200,0,HLOOKUP(N$6,Daten!$CX$1:$FM$10,10,FALSE)),"")</f>
        <v>0</v>
      </c>
      <c r="O13" s="164">
        <f>IFERROR(IF(O$6&lt;200,0,HLOOKUP(O$6,Daten!$CX$1:$FM$10,10,FALSE)),"")</f>
        <v>0</v>
      </c>
      <c r="P13" s="164">
        <f>IFERROR(IF(P$6&lt;200,0,HLOOKUP(P$6,Daten!$CX$1:$FM$10,10,FALSE)),"")</f>
        <v>0</v>
      </c>
      <c r="Q13" s="164">
        <f>IFERROR(IF(Q$6&lt;200,0,HLOOKUP(Q$6,Daten!$CX$1:$FM$10,10,FALSE)),"")</f>
        <v>0</v>
      </c>
      <c r="R13" s="164">
        <f>IFERROR(IF(R$6&lt;200,0,HLOOKUP(R$6,Daten!$CX$1:$FM$10,10,FALSE)),"")</f>
        <v>0</v>
      </c>
      <c r="S13" s="1959"/>
      <c r="T13" s="184"/>
      <c r="U13" s="33"/>
    </row>
    <row r="14" spans="1:21" ht="17.45" customHeight="1">
      <c r="B14" s="1957" t="s">
        <v>1284</v>
      </c>
      <c r="C14" s="165" t="s">
        <v>171</v>
      </c>
      <c r="D14" s="164">
        <f>IFERROR(IF(D$6&lt;200,0,HLOOKUP(D$6,Daten!$CX$1:$FM$23,23,FALSE)),"")</f>
        <v>695.4</v>
      </c>
      <c r="E14" s="164">
        <f>IFERROR(IF(E$6&lt;200,0,HLOOKUP(E$6,Daten!$CX$1:$FM$23,23,FALSE)),"")</f>
        <v>695.4</v>
      </c>
      <c r="F14" s="164">
        <f>IFERROR(IF(F$6&lt;200,0,HLOOKUP(F$6,Daten!$CX$1:$FM$23,23,FALSE)),"")</f>
        <v>595.4</v>
      </c>
      <c r="G14" s="164">
        <f>IFERROR(IF(G$6&lt;200,0,HLOOKUP(G$6,Daten!$CX$1:$FM$23,23,FALSE)),"")</f>
        <v>695.4</v>
      </c>
      <c r="H14" s="164">
        <f>IFERROR(IF(H$6&lt;200,0,HLOOKUP(H$6,Daten!$CX$1:$FM$23,23,FALSE)),"")</f>
        <v>595.4</v>
      </c>
      <c r="I14" s="164">
        <f>IFERROR(IF(I$6&lt;200,0,HLOOKUP(I$6,Daten!$CX$1:$FM$23,23,FALSE)),"")</f>
        <v>595.4</v>
      </c>
      <c r="J14" s="164">
        <f>IFERROR(IF(J$6&lt;200,0,HLOOKUP(J$6,Daten!$CX$1:$FM$23,23,FALSE)),"")</f>
        <v>595.4</v>
      </c>
      <c r="K14" s="164">
        <f>IFERROR(IF(K$6&lt;200,0,HLOOKUP(K$6,Daten!$CX$1:$FM$23,23,FALSE)),"")</f>
        <v>595.4</v>
      </c>
      <c r="L14" s="164">
        <f>IFERROR(IF(L$6&lt;200,0,HLOOKUP(L$6,Daten!$CX$1:$FM$23,23,FALSE)),"")</f>
        <v>595.4</v>
      </c>
      <c r="M14" s="164">
        <f>IFERROR(IF(M$6&lt;200,0,HLOOKUP(M$6,Daten!$CX$1:$FM$23,23,FALSE)),"")</f>
        <v>595.4</v>
      </c>
      <c r="N14" s="164">
        <f>IFERROR(IF(N$6&lt;200,0,HLOOKUP(N$6,Daten!$CX$1:$FM$23,23,FALSE)),"")</f>
        <v>595.4</v>
      </c>
      <c r="O14" s="164">
        <f>IFERROR(IF(O$6&lt;200,0,HLOOKUP(O$6,Daten!$CX$1:$FM$23,23,FALSE)),"")</f>
        <v>595.4</v>
      </c>
      <c r="P14" s="164">
        <f>IFERROR(IF(P$6&lt;200,0,HLOOKUP(P$6,Daten!$CX$1:$FM$23,23,FALSE)),"")</f>
        <v>595.4</v>
      </c>
      <c r="Q14" s="164">
        <f>IFERROR(IF(Q$6&lt;200,0,HLOOKUP(Q$6,Daten!$CX$1:$FM$23,23,FALSE)),"")</f>
        <v>595.4</v>
      </c>
      <c r="R14" s="164">
        <f>IFERROR(IF(R$6&lt;200,0,HLOOKUP(R$6,Daten!$CX$1:$FM$23,23,FALSE)),"")</f>
        <v>595.4</v>
      </c>
      <c r="S14" s="1959"/>
      <c r="T14" s="184"/>
      <c r="U14" s="172" t="str">
        <f t="shared" ref="U14:U23" si="3">IF(ISERROR((D14*$D$8+E14*$E$8+F14*$F$8+G14*$G$8+I14*$I$8+J14*$J$8)/$S$8),"",(D14*$D$8+E14*$E$8+F14*$F$8+G14*$G$8+I14*$I$8+J14*$J$8)/$S$8)</f>
        <v/>
      </c>
    </row>
    <row r="15" spans="1:21" ht="19.899999999999999" customHeight="1">
      <c r="B15" s="1955"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695.4</v>
      </c>
      <c r="F15" s="170">
        <f>IF(ISERROR(IF(F6&lt;200,0,(HLOOKUP(F6,Daten!$CX$1:$FM$63,11,FALSE))+(HLOOKUP(F6,Daten!$CX$1:$FM$63,23,FALSE)))),"",IF(F6&lt;200,0,(HLOOKUP(F6,Daten!$CX$1:$FM$63,11,FALSE))+(HLOOKUP(F6,Daten!$CX$1:$FM$63,23,FALSE))))</f>
        <v>2479.4</v>
      </c>
      <c r="G15" s="170">
        <f>IF(ISERROR(IF(G6&lt;200,0,(HLOOKUP(G6,Daten!$CX$1:$FM$63,11,FALSE))+(HLOOKUP(G6,Daten!$CX$1:$FM$63,23,FALSE)))),"",IF(G6&lt;200,0,(HLOOKUP(G6,Daten!$CX$1:$FM$63,11,FALSE))+(HLOOKUP(G6,Daten!$CX$1:$FM$63,23,FALSE))))</f>
        <v>3119.4</v>
      </c>
      <c r="H15" s="170">
        <f>IF(ISERROR(IF(H6&lt;200,0,(HLOOKUP(H6,Daten!$CX$1:$FM$63,11,FALSE))+(HLOOKUP(H6,Daten!$CX$1:$FM$63,23,FALSE)))),"",IF(H6&lt;200,0,(HLOOKUP(H6,Daten!$CX$1:$FM$63,11,FALSE))+(HLOOKUP(H6,Daten!$CX$1:$FM$63,23,FALSE))))</f>
        <v>2463.4</v>
      </c>
      <c r="I15" s="170">
        <f>IF(ISERROR(IF(I6&lt;200,0,(HLOOKUP(I6,Daten!$CX$1:$FM$63,11,FALSE))+(HLOOKUP(I6,Daten!$CX$1:$FM$63,23,FALSE)))),"",IF(I6&lt;200,0,(HLOOKUP(I6,Daten!$CX$1:$FM$63,11,FALSE))+(HLOOKUP(I6,Daten!$CX$1:$FM$63,23,FALSE))))</f>
        <v>2684.0250000000001</v>
      </c>
      <c r="J15" s="170">
        <f>IF(ISERROR(IF(J6&lt;200,0,(HLOOKUP(J6,Daten!$CX$1:$FM$63,11,FALSE))+(HLOOKUP(J6,Daten!$CX$1:$FM$63,23,FALSE)))),"",IF(J6&lt;200,0,(HLOOKUP(J6,Daten!$CX$1:$FM$63,11,FALSE))+(HLOOKUP(J6,Daten!$CX$1:$FM$63,23,FALSE))))</f>
        <v>2610.0666666666666</v>
      </c>
      <c r="K15" s="170">
        <f>IF(ISERROR(IF(K6&lt;200,0,(HLOOKUP(K6,Daten!$CX$1:$FM$63,11,FALSE))+(HLOOKUP(K6,Daten!$CX$1:$FM$63,23,FALSE)))),"",IF(K6&lt;200,0,(HLOOKUP(K6,Daten!$CX$1:$FM$63,11,FALSE))+(HLOOKUP(K6,Daten!$CX$1:$FM$63,23,FALSE))))</f>
        <v>2471.4</v>
      </c>
      <c r="L15" s="170">
        <f>IF(ISERROR(IF(L6&lt;200,0,(HLOOKUP(L6,Daten!$CX$1:$FM$63,11,FALSE))+(HLOOKUP(L6,Daten!$CX$1:$FM$63,23,FALSE)))),"",IF(L6&lt;200,0,(HLOOKUP(L6,Daten!$CX$1:$FM$63,11,FALSE))+(HLOOKUP(L6,Daten!$CX$1:$FM$63,23,FALSE))))</f>
        <v>2480.7333333333336</v>
      </c>
      <c r="M15" s="170">
        <f>IF(ISERROR(IF(M6&lt;200,0,(HLOOKUP(M6,Daten!$CX$1:$FM$63,11,FALSE))+(HLOOKUP(M6,Daten!$CX$1:$FM$63,23,FALSE)))),"",IF(M6&lt;200,0,(HLOOKUP(M6,Daten!$CX$1:$FM$63,11,FALSE))+(HLOOKUP(M6,Daten!$CX$1:$FM$63,23,FALSE))))</f>
        <v>2546.0666666666666</v>
      </c>
      <c r="N15" s="170">
        <f>IF(ISERROR(IF(N6&lt;200,0,(HLOOKUP(N6,Daten!$CX$1:$FM$63,11,FALSE))+(HLOOKUP(N6,Daten!$CX$1:$FM$63,23,FALSE)))),"",IF(N6&lt;200,0,(HLOOKUP(N6,Daten!$CX$1:$FM$63,11,FALSE))+(HLOOKUP(N6,Daten!$CX$1:$FM$63,23,FALSE))))</f>
        <v>2227.4</v>
      </c>
      <c r="O15" s="170">
        <f>IF(ISERROR(IF(O6&lt;200,0,(HLOOKUP(O6,Daten!$CX$1:$FM$63,11,FALSE))+(HLOOKUP(O6,Daten!$CX$1:$FM$63,23,FALSE)))),"",IF(O6&lt;200,0,(HLOOKUP(O6,Daten!$CX$1:$FM$63,11,FALSE))+(HLOOKUP(O6,Daten!$CX$1:$FM$63,23,FALSE))))</f>
        <v>3238.4</v>
      </c>
      <c r="P15" s="170">
        <f>IF(ISERROR(IF(P6&lt;200,0,(HLOOKUP(P6,Daten!$CX$1:$FM$63,11,FALSE))+(HLOOKUP(P6,Daten!$CX$1:$FM$63,23,FALSE)))),"",IF(P6&lt;200,0,(HLOOKUP(P6,Daten!$CX$1:$FM$63,11,FALSE))+(HLOOKUP(P6,Daten!$CX$1:$FM$63,23,FALSE))))</f>
        <v>3736.733333333334</v>
      </c>
      <c r="Q15" s="170">
        <f>IF(ISERROR(IF(Q6&lt;200,0,(HLOOKUP(Q6,Daten!$CX$1:$FM$63,11,FALSE))+(HLOOKUP(Q6,Daten!$CX$1:$FM$63,23,FALSE)))),"",IF(Q6&lt;200,0,(HLOOKUP(Q6,Daten!$CX$1:$FM$63,11,FALSE))+(HLOOKUP(Q6,Daten!$CX$1:$FM$63,23,FALSE))))</f>
        <v>2921.0000000000005</v>
      </c>
      <c r="R15" s="170">
        <f>IF(ISERROR(IF(R6&lt;200,0,(HLOOKUP(R6,Daten!$CX$1:$FM$63,11,FALSE))+(HLOOKUP(R6,Daten!$CX$1:$FM$63,23,FALSE)))),"",IF(R6&lt;200,0,(HLOOKUP(R6,Daten!$CX$1:$FM$63,11,FALSE))+(HLOOKUP(R6,Daten!$CX$1:$FM$63,23,FALSE))))</f>
        <v>12494.149999999998</v>
      </c>
      <c r="S15" s="1958"/>
      <c r="T15" s="181"/>
      <c r="U15" s="172" t="str">
        <f t="shared" si="3"/>
        <v/>
      </c>
    </row>
    <row r="16" spans="1:21" ht="15" customHeight="1">
      <c r="B16" s="1957" t="s">
        <v>222</v>
      </c>
      <c r="C16" s="165" t="s">
        <v>171</v>
      </c>
      <c r="D16" s="164">
        <f>IFERROR(IF(D$6&lt;200,0,HLOOKUP(D$6,Daten!$CX$1:$FM$12,12,FALSE)),"")</f>
        <v>90</v>
      </c>
      <c r="E16" s="164">
        <f>IFERROR(IF(E$6&lt;200,0,HLOOKUP(E$6,Daten!$CX$1:$FM$12,12,FALSE)),"")</f>
        <v>82.5</v>
      </c>
      <c r="F16" s="164">
        <f>IFERROR(IF(F$6&lt;200,0,HLOOKUP(F$6,Daten!$CX$1:$FM$12,12,FALSE)),"")</f>
        <v>122.99999999999999</v>
      </c>
      <c r="G16" s="164">
        <f>IFERROR(IF(G$6&lt;200,0,HLOOKUP(G$6,Daten!$CX$1:$FM$12,12,FALSE)),"")</f>
        <v>174.8</v>
      </c>
      <c r="H16" s="164">
        <f>IFERROR(IF(H$6&lt;200,0,HLOOKUP(H$6,Daten!$CX$1:$FM$12,12,FALSE)),"")</f>
        <v>117.6</v>
      </c>
      <c r="I16" s="164">
        <f>IFERROR(IF(I$6&lt;200,0,HLOOKUP(I$6,Daten!$CX$1:$FM$12,12,FALSE)),"")</f>
        <v>117.6</v>
      </c>
      <c r="J16" s="164">
        <f>IFERROR(IF(J$6&lt;200,0,HLOOKUP(J$6,Daten!$CX$1:$FM$12,12,FALSE)),"")</f>
        <v>119</v>
      </c>
      <c r="K16" s="164">
        <f>IFERROR(IF(K$6&lt;200,0,HLOOKUP(K$6,Daten!$CX$1:$FM$12,12,FALSE)),"")</f>
        <v>260</v>
      </c>
      <c r="L16" s="164">
        <f>IFERROR(IF(L$6&lt;200,0,HLOOKUP(L$6,Daten!$CX$1:$FM$12,12,FALSE)),"")</f>
        <v>147.6</v>
      </c>
      <c r="M16" s="164">
        <f>IFERROR(IF(M$6&lt;200,0,HLOOKUP(M$6,Daten!$CX$1:$FM$12,12,FALSE)),"")</f>
        <v>250</v>
      </c>
      <c r="N16" s="164">
        <f>IFERROR(IF(N$6&lt;200,0,HLOOKUP(N$6,Daten!$CX$1:$FM$12,12,FALSE)),"")</f>
        <v>240</v>
      </c>
      <c r="O16" s="164">
        <f>IFERROR(IF(O$6&lt;200,0,HLOOKUP(O$6,Daten!$CX$1:$FM$12,12,FALSE)),"")</f>
        <v>272</v>
      </c>
      <c r="P16" s="164">
        <f>IFERROR(IF(P$6&lt;200,0,HLOOKUP(P$6,Daten!$CX$1:$FM$12,12,FALSE)),"")</f>
        <v>210</v>
      </c>
      <c r="Q16" s="164">
        <f>IFERROR(IF(Q$6&lt;200,0,HLOOKUP(Q$6,Daten!$CX$1:$FM$12,12,FALSE)),"")</f>
        <v>225</v>
      </c>
      <c r="R16" s="164">
        <f>IFERROR(IF(R$6&lt;200,0,HLOOKUP(R$6,Daten!$CX$1:$FM$12,12,FALSE)),"")</f>
        <v>2250</v>
      </c>
      <c r="S16" s="1956"/>
      <c r="T16" s="176"/>
      <c r="U16" s="172" t="str">
        <f t="shared" si="3"/>
        <v/>
      </c>
    </row>
    <row r="17" spans="2:21" ht="15" customHeight="1">
      <c r="B17" s="1957" t="s">
        <v>1283</v>
      </c>
      <c r="C17" s="165" t="s">
        <v>171</v>
      </c>
      <c r="D17" s="164">
        <f>IFERROR(IF(D$6&lt;200,0,HLOOKUP(D$6,Daten!$CX$1:$FM$13,13,FALSE)),"")</f>
        <v>-513.47500000000002</v>
      </c>
      <c r="E17" s="164">
        <f>IFERROR(IF(E$6&lt;200,0,HLOOKUP(E$6,Daten!$CX$1:$FM$13,13,FALSE)),"")</f>
        <v>-453.38749999999999</v>
      </c>
      <c r="F17" s="164">
        <f>IFERROR(IF(F$6&lt;200,0,HLOOKUP(F$6,Daten!$CX$1:$FM$13,13,FALSE)),"")</f>
        <v>431.71600000000001</v>
      </c>
      <c r="G17" s="164">
        <f>IFERROR(IF(G$6&lt;200,0,HLOOKUP(G$6,Daten!$CX$1:$FM$13,13,FALSE)),"")</f>
        <v>536.596</v>
      </c>
      <c r="H17" s="164">
        <f>IFERROR(IF(H$6&lt;200,0,HLOOKUP(H$6,Daten!$CX$1:$FM$13,13,FALSE)),"")</f>
        <v>480.65999999999997</v>
      </c>
      <c r="I17" s="164">
        <f>IFERROR(IF(I$6&lt;200,0,HLOOKUP(I$6,Daten!$CX$1:$FM$13,13,FALSE)),"")</f>
        <v>368.79300000000001</v>
      </c>
      <c r="J17" s="164">
        <f>IFERROR(IF(J$6&lt;200,0,HLOOKUP(J$6,Daten!$CX$1:$FM$13,13,FALSE)),"")</f>
        <v>431.71600000000001</v>
      </c>
      <c r="K17" s="164">
        <f>IFERROR(IF(K$6&lt;200,0,HLOOKUP(K$6,Daten!$CX$1:$FM$13,13,FALSE)),"")</f>
        <v>402.44200000000001</v>
      </c>
      <c r="L17" s="164">
        <f>IFERROR(IF(L$6&lt;200,0,HLOOKUP(L$6,Daten!$CX$1:$FM$13,13,FALSE)),"")</f>
        <v>456.18799999999999</v>
      </c>
      <c r="M17" s="164">
        <f>IFERROR(IF(M$6&lt;200,0,HLOOKUP(M$6,Daten!$CX$1:$FM$13,13,FALSE)),"")</f>
        <v>-10.297000000000054</v>
      </c>
      <c r="N17" s="164">
        <f>IFERROR(IF(N$6&lt;200,0,HLOOKUP(N$6,Daten!$CX$1:$FM$13,13,FALSE)),"")</f>
        <v>0.16199999999997061</v>
      </c>
      <c r="O17" s="164">
        <f>IFERROR(IF(O$6&lt;200,0,HLOOKUP(O$6,Daten!$CX$1:$FM$13,13,FALSE)),"")</f>
        <v>26.748000000000069</v>
      </c>
      <c r="P17" s="164">
        <f>IFERROR(IF(P$6&lt;200,0,HLOOKUP(P$6,Daten!$CX$1:$FM$13,13,FALSE)),"")</f>
        <v>719.78399999999999</v>
      </c>
      <c r="Q17" s="164">
        <f>IFERROR(IF(Q$6&lt;200,0,HLOOKUP(Q$6,Daten!$CX$1:$FM$13,13,FALSE)),"")</f>
        <v>435.85199999999998</v>
      </c>
      <c r="R17" s="164">
        <f>IFERROR(IF(R$6&lt;200,0,HLOOKUP(R$6,Daten!$CX$1:$FM$13,13,FALSE)),"")</f>
        <v>725.36500000000001</v>
      </c>
      <c r="S17" s="1956"/>
      <c r="T17" s="176"/>
      <c r="U17" s="173" t="str">
        <f t="shared" si="3"/>
        <v/>
      </c>
    </row>
    <row r="18" spans="2:21" ht="15" customHeight="1">
      <c r="B18" s="1957"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64">
        <f>IFERROR(IF(L$6&lt;200,0,HLOOKUP(L$6,Daten!$CX$1:$FM$14,14,FALSE)),"")</f>
        <v>0</v>
      </c>
      <c r="M18" s="164">
        <f>IFERROR(IF(M$6&lt;200,0,HLOOKUP(M$6,Daten!$CX$1:$FM$14,14,FALSE)),"")</f>
        <v>0</v>
      </c>
      <c r="N18" s="164">
        <f>IFERROR(IF(N$6&lt;200,0,HLOOKUP(N$6,Daten!$CX$1:$FM$14,14,FALSE)),"")</f>
        <v>0</v>
      </c>
      <c r="O18" s="164">
        <f>IFERROR(IF(O$6&lt;200,0,HLOOKUP(O$6,Daten!$CX$1:$FM$14,14,FALSE)),"")</f>
        <v>0</v>
      </c>
      <c r="P18" s="164">
        <f>IFERROR(IF(P$6&lt;200,0,HLOOKUP(P$6,Daten!$CX$1:$FM$14,14,FALSE)),"")</f>
        <v>0</v>
      </c>
      <c r="Q18" s="164">
        <f>IFERROR(IF(Q$6&lt;200,0,HLOOKUP(Q$6,Daten!$CX$1:$FM$14,14,FALSE)),"")</f>
        <v>0</v>
      </c>
      <c r="R18" s="164">
        <f>IFERROR(IF(R$6&lt;200,0,HLOOKUP(R$6,Daten!$CX$1:$FM$14,14,FALSE)),"")</f>
        <v>0</v>
      </c>
      <c r="S18" s="1956"/>
      <c r="T18" s="176"/>
      <c r="U18" s="173" t="str">
        <f t="shared" si="3"/>
        <v/>
      </c>
    </row>
    <row r="19" spans="2:21" ht="15" customHeight="1">
      <c r="B19" s="1957" t="s">
        <v>219</v>
      </c>
      <c r="C19" s="165" t="s">
        <v>171</v>
      </c>
      <c r="D19" s="164">
        <f>IFERROR(IF(D$6&lt;200,0,HLOOKUP(D$6,Daten!$CX$1:$FM$60,60,FALSE)),"")</f>
        <v>119.03161878605039</v>
      </c>
      <c r="E19" s="164">
        <f>IFERROR(IF(E$6&lt;200,0,HLOOKUP(E$6,Daten!$CX$1:$FM$60,60,FALSE)),"")</f>
        <v>119.03161878605039</v>
      </c>
      <c r="F19" s="164">
        <f>IFERROR(IF(F$6&lt;200,0,HLOOKUP(F$6,Daten!$CX$1:$FM$60,60,FALSE)),"")</f>
        <v>404.2311358133781</v>
      </c>
      <c r="G19" s="164">
        <f>IFERROR(IF(G$6&lt;200,0,HLOOKUP(G$6,Daten!$CX$1:$FM$60,60,FALSE)),"")</f>
        <v>389.29105498763022</v>
      </c>
      <c r="H19" s="164">
        <f>IFERROR(IF(H$6&lt;200,0,HLOOKUP(H$6,Daten!$CX$1:$FM$60,60,FALSE)),"")</f>
        <v>404.2311358133781</v>
      </c>
      <c r="I19" s="164">
        <f>IFERROR(IF(I$6&lt;200,0,HLOOKUP(I$6,Daten!$CX$1:$FM$60,60,FALSE)),"")</f>
        <v>405.22396476705876</v>
      </c>
      <c r="J19" s="164">
        <f>IFERROR(IF(J$6&lt;200,0,HLOOKUP(J$6,Daten!$CX$1:$FM$60,60,FALSE)),"")</f>
        <v>403.75046400114286</v>
      </c>
      <c r="K19" s="164">
        <f>IFERROR(IF(K$6&lt;200,0,HLOOKUP(K$6,Daten!$CX$1:$FM$60,60,FALSE)),"")</f>
        <v>377.95601275364709</v>
      </c>
      <c r="L19" s="164">
        <f>IFERROR(IF(L$6&lt;200,0,HLOOKUP(L$6,Daten!$CX$1:$FM$60,60,FALSE)),"")</f>
        <v>391.69441404880672</v>
      </c>
      <c r="M19" s="164">
        <f>IFERROR(IF(M$6&lt;200,0,HLOOKUP(M$6,Daten!$CX$1:$FM$60,60,FALSE)),"")</f>
        <v>358.61475442376468</v>
      </c>
      <c r="N19" s="164">
        <f>IFERROR(IF(N$6&lt;200,0,HLOOKUP(N$6,Daten!$CX$1:$FM$60,60,FALSE)),"")</f>
        <v>346.04133107105883</v>
      </c>
      <c r="O19" s="164">
        <f>IFERROR(IF(O$6&lt;200,0,HLOOKUP(O$6,Daten!$CX$1:$FM$60,60,FALSE)),"")</f>
        <v>385.57449321647056</v>
      </c>
      <c r="P19" s="164">
        <f>IFERROR(IF(P$6&lt;200,0,HLOOKUP(P$6,Daten!$CX$1:$FM$60,60,FALSE)),"")</f>
        <v>358.81005258615124</v>
      </c>
      <c r="Q19" s="164">
        <f>IFERROR(IF(Q$6&lt;200,0,HLOOKUP(Q$6,Daten!$CX$1:$FM$60,60,FALSE)),"")</f>
        <v>344.86503218265545</v>
      </c>
      <c r="R19" s="164">
        <f>IFERROR(IF(R$6&lt;200,0,HLOOKUP(R$6,Daten!$CX$1:$FM$60,60,FALSE)),"")</f>
        <v>847.2586730546218</v>
      </c>
      <c r="S19" s="1956"/>
      <c r="T19" s="176"/>
      <c r="U19" s="173" t="str">
        <f t="shared" si="3"/>
        <v/>
      </c>
    </row>
    <row r="20" spans="2:21" ht="15" customHeight="1">
      <c r="B20" s="1957" t="s">
        <v>1282</v>
      </c>
      <c r="C20" s="165" t="s">
        <v>171</v>
      </c>
      <c r="D20" s="164">
        <f>IFERROR(IF(D$6&lt;200,0,HLOOKUP(D$6,Daten!$CX$1:$FM$59,59,FALSE)),"")</f>
        <v>-3.551839447496079</v>
      </c>
      <c r="E20" s="164">
        <f>IFERROR(IF(E$6&lt;200,0,HLOOKUP(E$6,Daten!$CX$1:$FM$59,59,FALSE)),"")</f>
        <v>-2.9383186141627458</v>
      </c>
      <c r="F20" s="164">
        <f>IFERROR(IF(F$6&lt;200,0,HLOOKUP(F$6,Daten!$CX$1:$FM$59,59,FALSE)),"")</f>
        <v>107.73308991782275</v>
      </c>
      <c r="G20" s="164">
        <f>IFERROR(IF(G$6&lt;200,0,HLOOKUP(G$6,Daten!$CX$1:$FM$59,59,FALSE)),"")</f>
        <v>118.90448230818903</v>
      </c>
      <c r="H20" s="164">
        <f>IFERROR(IF(H$6&lt;200,0,HLOOKUP(H$6,Daten!$CX$1:$FM$59,59,FALSE)),"")</f>
        <v>180.82211658448941</v>
      </c>
      <c r="I20" s="164">
        <f>IFERROR(IF(I$6&lt;200,0,HLOOKUP(I$6,Daten!$CX$1:$FM$59,59,FALSE)),"")</f>
        <v>102.00355625561569</v>
      </c>
      <c r="J20" s="164">
        <f>IFERROR(IF(J$6&lt;200,0,HLOOKUP(J$6,Daten!$CX$1:$FM$59,59,FALSE)),"")</f>
        <v>109.79587319112444</v>
      </c>
      <c r="K20" s="164">
        <f>IFERROR(IF(K$6&lt;200,0,HLOOKUP(K$6,Daten!$CX$1:$FM$59,59,FALSE)),"")</f>
        <v>100.97748514879254</v>
      </c>
      <c r="L20" s="164">
        <f>IFERROR(IF(L$6&lt;200,0,HLOOKUP(L$6,Daten!$CX$1:$FM$59,59,FALSE)),"")</f>
        <v>108.95787705279163</v>
      </c>
      <c r="M20" s="164">
        <f>IFERROR(IF(M$6&lt;200,0,HLOOKUP(M$6,Daten!$CX$1:$FM$59,59,FALSE)),"")</f>
        <v>193.64366491272168</v>
      </c>
      <c r="N20" s="164">
        <f>IFERROR(IF(N$6&lt;200,0,HLOOKUP(N$6,Daten!$CX$1:$FM$59,59,FALSE)),"")</f>
        <v>99.722178862495682</v>
      </c>
      <c r="O20" s="164">
        <f>IFERROR(IF(O$6&lt;200,0,HLOOKUP(O$6,Daten!$CX$1:$FM$59,59,FALSE)),"")</f>
        <v>291.13712242085882</v>
      </c>
      <c r="P20" s="164">
        <f>IFERROR(IF(P$6&lt;200,0,HLOOKUP(P$6,Daten!$CX$1:$FM$59,59,FALSE)),"")</f>
        <v>511.01464616906071</v>
      </c>
      <c r="Q20" s="164">
        <f>IFERROR(IF(Q$6&lt;200,0,HLOOKUP(Q$6,Daten!$CX$1:$FM$59,59,FALSE)),"")</f>
        <v>528.90707737546438</v>
      </c>
      <c r="R20" s="164">
        <f>IFERROR(IF(R$6&lt;200,0,HLOOKUP(R$6,Daten!$CX$1:$FM$59,59,FALSE)),"")</f>
        <v>237.19837618563722</v>
      </c>
      <c r="S20" s="1956"/>
      <c r="T20" s="176"/>
      <c r="U20" s="173" t="str">
        <f t="shared" si="3"/>
        <v/>
      </c>
    </row>
    <row r="21" spans="2:21" ht="15" customHeight="1">
      <c r="B21" s="1955" t="s">
        <v>1281</v>
      </c>
      <c r="C21" s="171" t="s">
        <v>171</v>
      </c>
      <c r="D21" s="170">
        <f>IF(ISERROR(IF(D6&lt;200,0,HLOOKUP(D6,Daten!$CX$1:$FM$63,21,FALSE))),"",IF(D6&lt;200,0,HLOOKUP(D6,Daten!$CX$1:$FM$63,21,FALSE)))</f>
        <v>-304.44338121394964</v>
      </c>
      <c r="E21" s="170">
        <f>IF(ISERROR(IF(E6&lt;200,0,HLOOKUP(E6,Daten!$CX$1:$FM$63,21,FALSE))),"",IF(E6&lt;200,0,HLOOKUP(E6,Daten!$CX$1:$FM$63,21,FALSE)))</f>
        <v>-251.8558812139496</v>
      </c>
      <c r="F21" s="170">
        <f>IF(ISERROR(IF(F6&lt;200,0,HLOOKUP(F6,Daten!$CX$1:$FM$63,21,FALSE))),"",IF(F6&lt;200,0,HLOOKUP(F6,Daten!$CX$1:$FM$63,21,FALSE)))</f>
        <v>1054.3791358133781</v>
      </c>
      <c r="G21" s="170">
        <f>IF(ISERROR(IF(G6&lt;200,0,HLOOKUP(G6,Daten!$CX$1:$FM$63,21,FALSE))),"",IF(G6&lt;200,0,HLOOKUP(G6,Daten!$CX$1:$FM$63,21,FALSE)))</f>
        <v>1205.5270549876304</v>
      </c>
      <c r="H21" s="170">
        <f>IF(ISERROR(IF(H6&lt;200,0,HLOOKUP(H6,Daten!$CX$1:$FM$63,21,FALSE))),"",IF(H6&lt;200,0,HLOOKUP(H6,Daten!$CX$1:$FM$63,21,FALSE)))</f>
        <v>1169.6671358133781</v>
      </c>
      <c r="I21" s="170">
        <f>IF(ISERROR(IF(I6&lt;200,0,HLOOKUP(I6,Daten!$CX$1:$FM$63,21,FALSE))),"",IF(I6&lt;200,0,HLOOKUP(I6,Daten!$CX$1:$FM$63,21,FALSE)))</f>
        <v>982.16196476705875</v>
      </c>
      <c r="J21" s="170">
        <f>IF(ISERROR(IF(J6&lt;200,0,HLOOKUP(J6,Daten!$CX$1:$FM$63,21,FALSE))),"",IF(J6&lt;200,0,HLOOKUP(J6,Daten!$CX$1:$FM$63,21,FALSE)))</f>
        <v>1051.9891306678096</v>
      </c>
      <c r="K21" s="170">
        <f>IF(ISERROR(IF(K6&lt;200,0,HLOOKUP(K6,Daten!$CX$1:$FM$63,21,FALSE))),"",IF(K6&lt;200,0,HLOOKUP(K6,Daten!$CX$1:$FM$63,21,FALSE)))</f>
        <v>1128.213012753647</v>
      </c>
      <c r="L21" s="170">
        <f>IF(ISERROR(IF(L6&lt;200,0,HLOOKUP(L6,Daten!$CX$1:$FM$63,21,FALSE))),"",IF(L6&lt;200,0,HLOOKUP(L6,Daten!$CX$1:$FM$63,21,FALSE)))</f>
        <v>1091.7037473821401</v>
      </c>
      <c r="M21" s="170">
        <f>IF(ISERROR(IF(M6&lt;200,0,HLOOKUP(M6,Daten!$CX$1:$FM$63,21,FALSE))),"",IF(M6&lt;200,0,HLOOKUP(M6,Daten!$CX$1:$FM$63,21,FALSE)))</f>
        <v>782.82842109043122</v>
      </c>
      <c r="N21" s="170">
        <f>IF(ISERROR(IF(N6&lt;200,0,HLOOKUP(N6,Daten!$CX$1:$FM$63,21,FALSE))),"",IF(N6&lt;200,0,HLOOKUP(N6,Daten!$CX$1:$FM$63,21,FALSE)))</f>
        <v>678.01533107105877</v>
      </c>
      <c r="O21" s="170">
        <f>IF(ISERROR(IF(O6&lt;200,0,HLOOKUP(O6,Daten!$CX$1:$FM$63,21,FALSE))),"",IF(O6&lt;200,0,HLOOKUP(O6,Daten!$CX$1:$FM$63,21,FALSE)))</f>
        <v>964.21049321647058</v>
      </c>
      <c r="P21" s="170">
        <f>IF(ISERROR(IF(P6&lt;200,0,HLOOKUP(P6,Daten!$CX$1:$FM$63,21,FALSE))),"",IF(P6&lt;200,0,HLOOKUP(P6,Daten!$CX$1:$FM$63,21,FALSE)))</f>
        <v>1778.8553859194847</v>
      </c>
      <c r="Q21" s="170">
        <f>IF(ISERROR(IF(Q6&lt;200,0,HLOOKUP(Q6,Daten!$CX$1:$FM$63,21,FALSE))),"",IF(Q6&lt;200,0,HLOOKUP(Q6,Daten!$CX$1:$FM$63,21,FALSE)))</f>
        <v>1516.9266321826553</v>
      </c>
      <c r="R21" s="170">
        <f>IF(ISERROR(IF(R6&lt;200,0,HLOOKUP(R6,Daten!$CX$1:$FM$63,21,FALSE))),"",IF(R6&lt;200,0,HLOOKUP(R6,Daten!$CX$1:$FM$63,21,FALSE)))</f>
        <v>4013.0036730546217</v>
      </c>
      <c r="S21" s="1954"/>
      <c r="T21" s="162"/>
      <c r="U21" s="173" t="str">
        <f t="shared" si="3"/>
        <v/>
      </c>
    </row>
    <row r="22" spans="2:21" ht="33" customHeight="1" thickBot="1">
      <c r="B22" s="3223" t="s">
        <v>1280</v>
      </c>
      <c r="C22" s="171" t="s">
        <v>171</v>
      </c>
      <c r="D22" s="170">
        <f>IFERROR(IF(D$6&lt;200,0,HLOOKUP(D$6,Daten!$CX$1:$FM$22,22,FALSE)),"")</f>
        <v>304.44338121394964</v>
      </c>
      <c r="E22" s="170">
        <f>IFERROR(IF(E$6&lt;200,0,HLOOKUP(E$6,Daten!$CX$1:$FM$22,22,FALSE)),"")</f>
        <v>251.8558812139496</v>
      </c>
      <c r="F22" s="170">
        <f>IFERROR(IF(F$6&lt;200,0,HLOOKUP(F$6,Daten!$CX$1:$FM$22,22,FALSE)),"")</f>
        <v>829.62086418662216</v>
      </c>
      <c r="G22" s="170">
        <f>IFERROR(IF(G$6&lt;200,0,HLOOKUP(G$6,Daten!$CX$1:$FM$22,22,FALSE)),"")</f>
        <v>1218.4729450123696</v>
      </c>
      <c r="H22" s="170">
        <f>IFERROR(IF(H$6&lt;200,0,HLOOKUP(H$6,Daten!$CX$1:$FM$22,22,FALSE)),"")</f>
        <v>698.33286418662215</v>
      </c>
      <c r="I22" s="170">
        <f>IFERROR(IF(I$6&lt;200,0,HLOOKUP(I$6,Daten!$CX$1:$FM$22,22,FALSE)),"")</f>
        <v>1106.4630352329414</v>
      </c>
      <c r="J22" s="170">
        <f>IFERROR(IF(J$6&lt;200,0,HLOOKUP(J$6,Daten!$CX$1:$FM$22,22,FALSE)),"")</f>
        <v>962.67753599885714</v>
      </c>
      <c r="K22" s="170">
        <f>IFERROR(IF(K$6&lt;200,0,HLOOKUP(K$6,Daten!$CX$1:$FM$22,22,FALSE)),"")</f>
        <v>747.78698724635296</v>
      </c>
      <c r="L22" s="170">
        <f>IFERROR(IF(L$6&lt;200,0,HLOOKUP(L$6,Daten!$CX$1:$FM$22,22,FALSE)),"")</f>
        <v>793.62958595119335</v>
      </c>
      <c r="M22" s="170">
        <f>IFERROR(IF(M$6&lt;200,0,HLOOKUP(M$6,Daten!$CX$1:$FM$22,22,FALSE)),"")</f>
        <v>1167.8382455762353</v>
      </c>
      <c r="N22" s="170">
        <f>IFERROR(IF(N$6&lt;200,0,HLOOKUP(N$6,Daten!$CX$1:$FM$22,22,FALSE)),"")</f>
        <v>953.98466892894123</v>
      </c>
      <c r="O22" s="170">
        <f>IFERROR(IF(O$6&lt;200,0,HLOOKUP(O$6,Daten!$CX$1:$FM$22,22,FALSE)),"")</f>
        <v>1678.7895067835293</v>
      </c>
      <c r="P22" s="170">
        <f>IFERROR(IF(P$6&lt;200,0,HLOOKUP(P$6,Daten!$CX$1:$FM$22,22,FALSE)),"")</f>
        <v>1362.4779474138493</v>
      </c>
      <c r="Q22" s="170">
        <f>IFERROR(IF(Q$6&lt;200,0,HLOOKUP(Q$6,Daten!$CX$1:$FM$22,22,FALSE)),"")</f>
        <v>808.67336781734502</v>
      </c>
      <c r="R22" s="170">
        <f>IFERROR(IF(R$6&lt;200,0,HLOOKUP(R$6,Daten!$CX$1:$FM$22,22,FALSE)),"")</f>
        <v>7885.7463269453765</v>
      </c>
      <c r="S22" s="1954">
        <f>SUMPRODUCT(D8:R8,D22:R22)%</f>
        <v>0</v>
      </c>
      <c r="T22" s="162"/>
      <c r="U22" s="172" t="str">
        <f t="shared" si="3"/>
        <v/>
      </c>
    </row>
    <row r="23" spans="2:21" ht="46.5" customHeight="1" thickBot="1">
      <c r="B23" s="3224" t="s">
        <v>1279</v>
      </c>
      <c r="C23" s="1953" t="s">
        <v>171</v>
      </c>
      <c r="D23" s="170">
        <f>IFERROR(IF(D$6&lt;200,0,HLOOKUP(D$6,Daten!$CX$1:$FM$25,25,FALSE)),"")</f>
        <v>1003.3952206614457</v>
      </c>
      <c r="E23" s="170">
        <f>IFERROR(IF(E$6&lt;200,0,HLOOKUP(E$6,Daten!$CX$1:$FM$25,25,FALSE)),"")</f>
        <v>950.19419982811235</v>
      </c>
      <c r="F23" s="170">
        <f>IFERROR(IF(F$6&lt;200,0,HLOOKUP(F$6,Daten!$CX$1:$FM$25,25,FALSE)),"")</f>
        <v>1412.7197742687993</v>
      </c>
      <c r="G23" s="3601">
        <f>IFERROR(IF(G$6&lt;200,0,HLOOKUP(G$6,Daten!$CX$1:$FM$25,25,FALSE)),"")</f>
        <v>1899.8084627041806</v>
      </c>
      <c r="H23" s="3602">
        <f>IFERROR(IF(H$6&lt;200,0,HLOOKUP(H$6,Daten!$CX$1:$FM$25,25,FALSE)),"")</f>
        <v>1280.0867476021326</v>
      </c>
      <c r="I23" s="3602">
        <f>IFERROR(IF(I$6&lt;200,0,HLOOKUP(I$6,Daten!$CX$1:$FM$25,25,FALSE)),"")</f>
        <v>1690.4044789773259</v>
      </c>
      <c r="J23" s="3602">
        <f>IFERROR(IF(J$6&lt;200,0,HLOOKUP(J$6,Daten!$CX$1:$FM$25,25,FALSE)),"")</f>
        <v>1545.8043294743993</v>
      </c>
      <c r="K23" s="3602">
        <f>IFERROR(IF(K$6&lt;200,0,HLOOKUP(K$6,Daten!$CX$1:$FM$25,25,FALSE)),"")</f>
        <v>1330.0245020975606</v>
      </c>
      <c r="L23" s="3602">
        <f>IFERROR(IF(L$6&lt;200,0,HLOOKUP(L$6,Daten!$CX$1:$FM$25,25,FALSE)),"")</f>
        <v>1376.2930422317352</v>
      </c>
      <c r="M23" s="3602">
        <f>IFERROR(IF(M$6&lt;200,0,HLOOKUP(M$6,Daten!$CX$1:$FM$25,25,FALSE)),"")</f>
        <v>1754.1052473301804</v>
      </c>
      <c r="N23" s="3602">
        <f>IFERROR(IF(N$6&lt;200,0,HLOOKUP(N$6,Daten!$CX$1:$FM$25,25,FALSE)),"")</f>
        <v>1541.4744900664455</v>
      </c>
      <c r="O23" s="3602">
        <f>IFERROR(IF(O$6&lt;200,0,HLOOKUP(O$6,Daten!$CX$1:$FM$25,25,FALSE)),"")</f>
        <v>2262.9403843626706</v>
      </c>
      <c r="P23" s="3602">
        <f>IFERROR(IF(P$6&lt;200,0,HLOOKUP(P$6,Daten!$CX$1:$FM$25,25,FALSE)),"")</f>
        <v>1937.1246345781219</v>
      </c>
      <c r="Q23" s="3602">
        <f>IFERROR(IF(Q$6&lt;200,0,HLOOKUP(Q$6,Daten!$CX$1:$FM$25,25,FALSE)),"")</f>
        <v>1386.3758904418808</v>
      </c>
      <c r="R23" s="3602">
        <f>IFERROR(IF(R$6&lt;200,0,HLOOKUP(R$6,Daten!$CX$1:$FM$25,25,FALSE)),"")</f>
        <v>8434.3279507597381</v>
      </c>
      <c r="S23" s="3603">
        <f>SUMPRODUCT(D8:R8,D23:R23)%</f>
        <v>0</v>
      </c>
      <c r="T23" s="150"/>
      <c r="U23" s="1946" t="str">
        <f t="shared" si="3"/>
        <v/>
      </c>
    </row>
    <row r="24" spans="2:21" ht="36.75" customHeight="1">
      <c r="B24" s="4158" t="s">
        <v>1278</v>
      </c>
      <c r="C24" s="4158"/>
      <c r="D24" s="4158"/>
      <c r="E24" s="4158"/>
      <c r="F24" s="4158"/>
      <c r="G24" s="4159"/>
      <c r="H24" s="210"/>
      <c r="I24" s="210"/>
      <c r="J24" s="210"/>
      <c r="K24" s="210"/>
      <c r="L24" s="210"/>
      <c r="M24" s="210"/>
      <c r="N24" s="210"/>
      <c r="O24" s="210"/>
      <c r="P24" s="210"/>
      <c r="Q24" s="210"/>
      <c r="R24" s="162"/>
      <c r="S24" s="1951"/>
      <c r="T24" s="154"/>
    </row>
    <row r="25" spans="2:21" s="33" customFormat="1" ht="40.9" customHeight="1"/>
    <row r="26" spans="2:21" s="33" customFormat="1" ht="28.5" customHeight="1">
      <c r="T26" s="1950">
        <f>COLUMNS($G$26:T26)</f>
        <v>14</v>
      </c>
      <c r="U26" s="1950">
        <f>COLUMNS($G$26:U26)</f>
        <v>15</v>
      </c>
    </row>
    <row r="27" spans="2:21" s="33" customFormat="1" ht="19.149999999999999" customHeight="1">
      <c r="T27" s="1949"/>
      <c r="U27" s="1949"/>
    </row>
    <row r="28" spans="2:21" s="33" customFormat="1" ht="28.5" customHeight="1">
      <c r="T28" s="201"/>
      <c r="U28" s="136"/>
    </row>
    <row r="29" spans="2:21" s="33" customFormat="1" ht="28.5" customHeight="1">
      <c r="T29" s="136"/>
      <c r="U29" s="136"/>
    </row>
    <row r="30" spans="2:21" s="33" customFormat="1" ht="28.5" customHeight="1">
      <c r="T30" s="201"/>
      <c r="U30" s="136"/>
    </row>
    <row r="31" spans="2:21" s="33" customFormat="1" ht="23.85" customHeight="1" thickBot="1">
      <c r="T31" s="136"/>
      <c r="U31" s="136"/>
    </row>
    <row r="32" spans="2:21" s="33" customFormat="1" ht="28.5" customHeight="1">
      <c r="T32" s="195"/>
      <c r="U32" s="1948" t="s">
        <v>1277</v>
      </c>
    </row>
    <row r="33" spans="20:21" s="33" customFormat="1" ht="28.5" customHeight="1">
      <c r="T33" s="136"/>
      <c r="U33" s="1947">
        <v>100</v>
      </c>
    </row>
    <row r="34" spans="20:21" s="33" customFormat="1" ht="28.5" customHeight="1">
      <c r="T34" s="176"/>
      <c r="U34" s="136"/>
    </row>
    <row r="35" spans="20:21" s="33" customFormat="1" ht="28.5" customHeight="1">
      <c r="T35" s="184"/>
      <c r="U35" s="136"/>
    </row>
    <row r="36" spans="20:21" s="33" customFormat="1" ht="28.5" customHeight="1">
      <c r="T36" s="184"/>
      <c r="U36" s="136"/>
    </row>
    <row r="37" spans="20:21" s="33" customFormat="1" ht="57.2" customHeight="1">
      <c r="T37" s="184"/>
      <c r="U37" s="136"/>
    </row>
    <row r="38" spans="20:21" s="33" customFormat="1" ht="57.75" customHeight="1">
      <c r="T38" s="184"/>
    </row>
    <row r="39" spans="20:21" s="33" customFormat="1" ht="57.75" customHeight="1">
      <c r="T39" s="184"/>
      <c r="U39" s="172"/>
    </row>
    <row r="40" spans="20:21" s="33" customFormat="1" ht="28.5" customHeight="1">
      <c r="T40" s="181"/>
      <c r="U40" s="172"/>
    </row>
    <row r="41" spans="20:21" s="33" customFormat="1" ht="28.5" customHeight="1">
      <c r="T41" s="176"/>
      <c r="U41" s="172"/>
    </row>
    <row r="42" spans="20:21" s="33" customFormat="1" ht="28.5" customHeight="1">
      <c r="T42" s="176"/>
      <c r="U42" s="173"/>
    </row>
    <row r="43" spans="20:21" s="33" customFormat="1" ht="28.5" customHeight="1">
      <c r="T43" s="176"/>
      <c r="U43" s="173"/>
    </row>
    <row r="44" spans="20:21" s="33" customFormat="1" ht="105.4" customHeight="1">
      <c r="U44" s="173" t="str">
        <f>IF(ISERROR((D44*$D$33+E44*$E$33+F44*$F$33+G44*$G$33+I44*$I$33+J44*$J$33)/$S$33),"",(D44*$D$33+E44*$E$33+F44*$F$33+G44*$G$33+I44*$I$33+J44*$J$33)/$S$33)</f>
        <v/>
      </c>
    </row>
    <row r="45" spans="20:21" s="33" customFormat="1" ht="25.15" customHeight="1">
      <c r="U45" s="173" t="str">
        <f>IF(ISERROR((#REF!*$D$33+#REF!*$E$33+#REF!*$F$33+#REF!*$G$33+#REF!*$I$33+#REF!*$J$33)/$S$33),"",(#REF!*$D$33+#REF!*$E$33+#REF!*$F$33+#REF!*$G$33+#REF!*$I$33+#REF!*$J$33)/$S$33)</f>
        <v/>
      </c>
    </row>
    <row r="46" spans="20:21" s="33" customFormat="1" ht="25.15" customHeight="1">
      <c r="U46" s="173" t="str">
        <f>IF(ISERROR((#REF!*$D$33+#REF!*$E$33+#REF!*$F$33+#REF!*$G$33+#REF!*$I$33+#REF!*$J$33)/$S$33),"",(#REF!*$D$33+#REF!*$E$33+#REF!*$F$33+#REF!*$G$33+#REF!*$I$33+#REF!*$J$33)/$S$33)</f>
        <v/>
      </c>
    </row>
    <row r="47" spans="20:21" s="33" customFormat="1" ht="19.7" customHeight="1">
      <c r="U47" s="172" t="str">
        <f>IF(ISERROR((#REF!*$D$33+#REF!*$E$33+#REF!*$F$33+#REF!*$G$33+#REF!*$I$33+#REF!*$J$33)/$S$33),"",(#REF!*$D$33+#REF!*$E$33+#REF!*$F$33+#REF!*$G$33+#REF!*$I$33+#REF!*$J$33)/$S$33)</f>
        <v/>
      </c>
    </row>
    <row r="48" spans="20:21" s="33" customFormat="1" ht="18.399999999999999" customHeight="1" thickBot="1">
      <c r="U48" s="1946" t="str">
        <f>IF(ISERROR((D48*$D$33+E48*$E$33+F48*$F$33+G48*$G$33+I48*$I$33+J48*$J$33)/$S$33),"",(D48*$D$33+E48*$E$33+F48*$F$33+G48*$G$33+I48*$I$33+J48*$J$33)/$S$33)</f>
        <v/>
      </c>
    </row>
    <row r="49" spans="3:21" s="33" customFormat="1" ht="15" customHeight="1">
      <c r="T49" s="162"/>
      <c r="U49" s="136"/>
    </row>
    <row r="50" spans="3:21" s="33" customFormat="1" ht="16.899999999999999" customHeight="1">
      <c r="T50" s="154"/>
      <c r="U50" s="136"/>
    </row>
    <row r="51" spans="3:21" s="33" customFormat="1" ht="31.15" customHeight="1"/>
    <row r="52" spans="3:21">
      <c r="C52" s="1121">
        <v>33</v>
      </c>
      <c r="D52" s="33" t="str">
        <f>Kostenrechnung!F266</f>
        <v xml:space="preserve">Kleegras einjährig (70:30) </v>
      </c>
      <c r="E52" s="147"/>
      <c r="F52" s="1121">
        <v>33</v>
      </c>
      <c r="G52" s="148"/>
      <c r="H52" s="3498"/>
      <c r="I52" s="141"/>
      <c r="J52" s="141"/>
      <c r="K52" s="3498"/>
      <c r="L52" s="3498"/>
      <c r="M52" s="3498"/>
      <c r="N52" s="3498"/>
      <c r="O52" s="3498"/>
      <c r="P52" s="3498"/>
      <c r="Q52" s="141"/>
      <c r="R52" s="141"/>
      <c r="S52" s="1945">
        <v>1</v>
      </c>
    </row>
    <row r="53" spans="3:21">
      <c r="C53" s="1121">
        <f>C52+1</f>
        <v>34</v>
      </c>
      <c r="D53" s="33" t="str">
        <f>Kostenrechnung!F267</f>
        <v>Kleegras zweijährig (50:50)</v>
      </c>
      <c r="E53" s="138"/>
      <c r="F53" s="1121">
        <f>F52+1</f>
        <v>34</v>
      </c>
      <c r="G53" s="146" t="s">
        <v>213</v>
      </c>
      <c r="H53" s="145"/>
      <c r="I53" s="145"/>
      <c r="J53" s="145"/>
      <c r="K53" s="145"/>
      <c r="L53" s="145"/>
      <c r="M53" s="145"/>
      <c r="N53" s="145"/>
      <c r="O53" s="145"/>
      <c r="P53" s="145"/>
      <c r="Q53" s="145"/>
      <c r="R53" s="145"/>
      <c r="S53" s="1944">
        <v>2</v>
      </c>
    </row>
    <row r="54" spans="3:21">
      <c r="C54" s="1121">
        <f>C53+1</f>
        <v>35</v>
      </c>
      <c r="D54" s="33" t="str">
        <f>Kostenrechnung!F268</f>
        <v>Luzernegras einjährig (70:30)</v>
      </c>
      <c r="E54" s="138"/>
      <c r="F54" s="1121">
        <f>F53+1</f>
        <v>35</v>
      </c>
      <c r="G54" s="146" t="s">
        <v>212</v>
      </c>
      <c r="H54" s="145"/>
      <c r="I54" s="145"/>
      <c r="J54" s="145"/>
      <c r="K54" s="145"/>
      <c r="L54" s="145"/>
      <c r="M54" s="145"/>
      <c r="N54" s="145"/>
      <c r="O54" s="145"/>
      <c r="P54" s="145"/>
      <c r="Q54" s="145"/>
      <c r="R54" s="145"/>
      <c r="S54" s="1944">
        <v>3</v>
      </c>
    </row>
    <row r="55" spans="3:21">
      <c r="C55" s="1121">
        <f>C54+1</f>
        <v>36</v>
      </c>
      <c r="D55" s="33" t="str">
        <f>Kostenrechnung!F269</f>
        <v>Luzernegras zweijährig (50:50)</v>
      </c>
      <c r="E55" s="138"/>
      <c r="F55" s="1121">
        <f>F54+1</f>
        <v>36</v>
      </c>
      <c r="G55" s="144" t="s">
        <v>210</v>
      </c>
      <c r="H55" s="143"/>
      <c r="I55" s="143"/>
      <c r="J55" s="143"/>
      <c r="K55" s="143"/>
      <c r="L55" s="143"/>
      <c r="M55" s="143"/>
      <c r="N55" s="143"/>
      <c r="O55" s="143"/>
      <c r="P55" s="143"/>
      <c r="Q55" s="143"/>
      <c r="R55" s="143"/>
      <c r="S55" s="1943">
        <v>4</v>
      </c>
    </row>
    <row r="56" spans="3:21">
      <c r="C56" s="1121">
        <f>C55+1</f>
        <v>37</v>
      </c>
      <c r="D56" s="33" t="str">
        <f>Kostenrechnung!F270</f>
        <v>Öko-Winterweizen (Futter)</v>
      </c>
      <c r="E56" s="138"/>
      <c r="F56" s="1121">
        <f>F55+1</f>
        <v>37</v>
      </c>
      <c r="G56" s="141"/>
      <c r="H56" s="3498"/>
      <c r="I56" s="141"/>
      <c r="J56" s="141"/>
      <c r="K56" s="3498"/>
      <c r="L56" s="3498"/>
      <c r="M56" s="3498"/>
      <c r="N56" s="3498"/>
      <c r="O56" s="3498"/>
      <c r="P56" s="3498"/>
      <c r="Q56" s="141"/>
      <c r="R56" s="141"/>
      <c r="S56" s="141"/>
    </row>
    <row r="57" spans="3:21">
      <c r="C57" s="1121">
        <f>C56+1</f>
        <v>38</v>
      </c>
      <c r="D57" s="33" t="str">
        <f>Kostenrechnung!F271</f>
        <v>Öko-Winterweizen (Brot)</v>
      </c>
      <c r="E57" s="138"/>
      <c r="F57" s="1121">
        <f>F56+1</f>
        <v>38</v>
      </c>
    </row>
    <row r="58" spans="3:21">
      <c r="C58" s="1121">
        <f t="shared" ref="C58:C73" si="4">C57+1</f>
        <v>39</v>
      </c>
      <c r="D58" s="33" t="str">
        <f>Kostenrechnung!F272</f>
        <v>Öko-Dinkel</v>
      </c>
      <c r="E58" s="138"/>
      <c r="F58" s="1121">
        <f t="shared" ref="F58:F73" si="5">F57+1</f>
        <v>39</v>
      </c>
    </row>
    <row r="59" spans="3:21">
      <c r="C59" s="1121">
        <f t="shared" si="4"/>
        <v>40</v>
      </c>
      <c r="D59" s="33" t="str">
        <f>Kostenrechnung!F273</f>
        <v>Öko-Dinkel, entspelzt</v>
      </c>
      <c r="E59" s="138"/>
      <c r="F59" s="1121">
        <f t="shared" si="5"/>
        <v>40</v>
      </c>
    </row>
    <row r="60" spans="3:21">
      <c r="C60" s="1121">
        <f t="shared" si="4"/>
        <v>41</v>
      </c>
      <c r="D60" s="33" t="str">
        <f>Kostenrechnung!F274</f>
        <v>Öko-Winterroggen (Brot)</v>
      </c>
      <c r="E60" s="138"/>
      <c r="F60" s="1121">
        <f t="shared" si="5"/>
        <v>41</v>
      </c>
    </row>
    <row r="61" spans="3:21">
      <c r="C61" s="1121">
        <f t="shared" si="4"/>
        <v>42</v>
      </c>
      <c r="D61" s="33" t="str">
        <f>Kostenrechnung!F275</f>
        <v>Öko-Hafer</v>
      </c>
      <c r="E61" s="138"/>
      <c r="F61" s="1121">
        <f t="shared" si="5"/>
        <v>42</v>
      </c>
    </row>
    <row r="62" spans="3:21">
      <c r="C62" s="1121">
        <f t="shared" si="4"/>
        <v>43</v>
      </c>
      <c r="D62" s="33" t="s">
        <v>1985</v>
      </c>
      <c r="E62" s="138"/>
      <c r="F62" s="1121">
        <f t="shared" si="5"/>
        <v>43</v>
      </c>
    </row>
    <row r="63" spans="3:21">
      <c r="C63" s="1121">
        <f t="shared" si="4"/>
        <v>44</v>
      </c>
      <c r="D63" s="33" t="str">
        <f>Kostenrechnung!F277</f>
        <v>Öko-Braugerste</v>
      </c>
      <c r="E63" s="138"/>
      <c r="F63" s="1121">
        <f t="shared" si="5"/>
        <v>44</v>
      </c>
    </row>
    <row r="64" spans="3:21">
      <c r="C64" s="1121">
        <f t="shared" si="4"/>
        <v>45</v>
      </c>
      <c r="D64" s="33" t="str">
        <f>Kostenrechnung!F278</f>
        <v xml:space="preserve">Öko-Körnermais </v>
      </c>
      <c r="E64" s="138"/>
      <c r="F64" s="1121">
        <f t="shared" si="5"/>
        <v>45</v>
      </c>
    </row>
    <row r="65" spans="3:6">
      <c r="C65" s="1121">
        <f t="shared" si="4"/>
        <v>46</v>
      </c>
      <c r="D65" s="33" t="str">
        <f>Kostenrechnung!F279</f>
        <v xml:space="preserve">Öko-Ackerbohnen </v>
      </c>
      <c r="E65" s="138"/>
      <c r="F65" s="1121">
        <f t="shared" si="5"/>
        <v>46</v>
      </c>
    </row>
    <row r="66" spans="3:6">
      <c r="C66" s="1121">
        <f t="shared" si="4"/>
        <v>47</v>
      </c>
      <c r="D66" s="33" t="str">
        <f>Kostenrechnung!F280</f>
        <v>Öko-Futtererbsen</v>
      </c>
      <c r="E66" s="138"/>
      <c r="F66" s="1121">
        <f t="shared" si="5"/>
        <v>47</v>
      </c>
    </row>
    <row r="67" spans="3:6">
      <c r="C67" s="1121">
        <f t="shared" si="4"/>
        <v>48</v>
      </c>
      <c r="D67" s="33" t="str">
        <f>Kostenrechnung!F281</f>
        <v>Öko-Sojabohnen</v>
      </c>
      <c r="E67" s="138"/>
      <c r="F67" s="1121">
        <f t="shared" si="5"/>
        <v>48</v>
      </c>
    </row>
    <row r="68" spans="3:6">
      <c r="C68" s="1121">
        <f t="shared" si="4"/>
        <v>49</v>
      </c>
      <c r="D68" s="33" t="str">
        <f>Kostenrechnung!F282</f>
        <v>Öko-Sonnenblumen</v>
      </c>
      <c r="E68" s="138"/>
      <c r="F68" s="1121">
        <f t="shared" si="5"/>
        <v>49</v>
      </c>
    </row>
    <row r="69" spans="3:6">
      <c r="C69" s="1121">
        <f t="shared" si="4"/>
        <v>50</v>
      </c>
      <c r="D69" s="33" t="str">
        <f>Kostenrechnung!F283</f>
        <v>Öko-Winterraps (Ölproduktion)</v>
      </c>
      <c r="E69" s="138"/>
      <c r="F69" s="1121">
        <f t="shared" si="5"/>
        <v>50</v>
      </c>
    </row>
    <row r="70" spans="3:6">
      <c r="C70" s="1121">
        <f t="shared" si="4"/>
        <v>51</v>
      </c>
      <c r="D70" s="33" t="str">
        <f>Kostenrechnung!F284</f>
        <v>Öko-Speisekartoffeln spät</v>
      </c>
      <c r="E70" s="138"/>
      <c r="F70" s="1121">
        <f t="shared" si="5"/>
        <v>51</v>
      </c>
    </row>
    <row r="71" spans="3:6">
      <c r="C71" s="1121">
        <f t="shared" si="4"/>
        <v>52</v>
      </c>
      <c r="D71" s="33">
        <f>Kostenrechnung!F285</f>
        <v>0</v>
      </c>
      <c r="E71" s="138"/>
      <c r="F71" s="1121">
        <f t="shared" si="5"/>
        <v>52</v>
      </c>
    </row>
    <row r="72" spans="3:6">
      <c r="C72" s="1121">
        <f t="shared" si="4"/>
        <v>53</v>
      </c>
      <c r="D72" s="33" t="str">
        <f>Kostenrechnung!F286</f>
        <v>FAKT-Begrünung</v>
      </c>
      <c r="E72" s="138"/>
      <c r="F72" s="1121">
        <f t="shared" si="5"/>
        <v>53</v>
      </c>
    </row>
    <row r="73" spans="3:6">
      <c r="C73" s="1121">
        <f t="shared" si="4"/>
        <v>54</v>
      </c>
      <c r="D73" s="33" t="str">
        <f>Kostenrechnung!F287</f>
        <v xml:space="preserve">FAKT-Blühmischung </v>
      </c>
      <c r="E73" s="138"/>
      <c r="F73" s="1121">
        <f t="shared" si="5"/>
        <v>54</v>
      </c>
    </row>
    <row r="74" spans="3:6">
      <c r="C74" s="139"/>
      <c r="D74" s="33"/>
      <c r="E74" s="145"/>
      <c r="F74" s="3205"/>
    </row>
    <row r="75" spans="3:6">
      <c r="C75" s="139"/>
      <c r="D75" s="33"/>
      <c r="E75" s="145"/>
      <c r="F75" s="3205"/>
    </row>
    <row r="76" spans="3:6">
      <c r="C76" s="139"/>
      <c r="D76" s="33"/>
      <c r="E76" s="145"/>
      <c r="F76" s="3205"/>
    </row>
    <row r="77" spans="3:6">
      <c r="C77" s="139"/>
      <c r="D77" s="33"/>
      <c r="E77" s="145"/>
      <c r="F77" s="3205"/>
    </row>
    <row r="78" spans="3:6">
      <c r="C78" s="139"/>
      <c r="D78" s="33"/>
      <c r="E78" s="145"/>
      <c r="F78" s="3205"/>
    </row>
    <row r="79" spans="3:6">
      <c r="C79" s="139"/>
      <c r="D79" s="33"/>
      <c r="E79" s="145"/>
      <c r="F79" s="3205"/>
    </row>
    <row r="80" spans="3:6">
      <c r="C80" s="139"/>
      <c r="D80" s="33"/>
      <c r="E80" s="145"/>
      <c r="F80" s="3205"/>
    </row>
    <row r="81" spans="3:6">
      <c r="C81" s="139"/>
      <c r="D81" s="33"/>
      <c r="E81" s="145"/>
      <c r="F81" s="3205"/>
    </row>
    <row r="82" spans="3:6">
      <c r="C82" s="139"/>
      <c r="D82" s="33"/>
      <c r="E82" s="145"/>
      <c r="F82" s="3205"/>
    </row>
    <row r="83" spans="3:6">
      <c r="C83" s="139"/>
      <c r="D83" s="33"/>
      <c r="E83" s="145"/>
      <c r="F83" s="3205"/>
    </row>
    <row r="84" spans="3:6">
      <c r="C84" s="139"/>
      <c r="D84" s="33"/>
      <c r="E84" s="145"/>
      <c r="F84" s="3205"/>
    </row>
    <row r="85" spans="3:6">
      <c r="C85" s="139"/>
      <c r="D85" s="33"/>
      <c r="E85" s="145"/>
      <c r="F85" s="3205"/>
    </row>
    <row r="86" spans="3:6">
      <c r="C86" s="139"/>
      <c r="D86" s="139"/>
      <c r="E86" s="145"/>
      <c r="F86" s="3205"/>
    </row>
  </sheetData>
  <sheetProtection sheet="1" selectLockedCells="1"/>
  <mergeCells count="3">
    <mergeCell ref="B5:C5"/>
    <mergeCell ref="A2:B2"/>
    <mergeCell ref="B24:G24"/>
  </mergeCells>
  <conditionalFormatting sqref="S8 U8">
    <cfRule type="expression" dxfId="15" priority="2" stopIfTrue="1">
      <formula>$S$8&lt;&gt;100</formula>
    </cfRule>
  </conditionalFormatting>
  <conditionalFormatting sqref="U33">
    <cfRule type="expression" dxfId="14" priority="1" stopIfTrue="1">
      <formula>$S$8&lt;&gt;100</formula>
    </cfRule>
  </conditionalFormatting>
  <dataValidations count="3">
    <dataValidation type="list" allowBlank="1" showInputMessage="1" showErrorMessage="1" errorTitle="Produktionsverfahren" error="Bitte Produktionsverfahren aus Dropdownliste auswählen." sqref="D7:E7 G7:R7">
      <formula1>$D$52:$D$86</formula1>
    </dataValidation>
    <dataValidation type="list" allowBlank="1" showInputMessage="1" showErrorMessage="1" errorTitle="Leistungsniveau" error="Bitte Leistungsniveau aus Dropdownliste auswählen." sqref="B5:C5">
      <formula1>$G$52:$G$55</formula1>
    </dataValidation>
    <dataValidation type="list" allowBlank="1" showInputMessage="1" showErrorMessage="1" errorTitle="Produktionsverfahren" error="Bitte Produktionsverfahren aus Dropdownliste auswählen." sqref="F7">
      <formula1>$D$52:$D$73</formula1>
    </dataValidation>
  </dataValidations>
  <printOptions horizontalCentered="1"/>
  <pageMargins left="0.59055118110236227" right="0.57999999999999996" top="0.59055118110236227" bottom="0.59055118110236227" header="0.39370078740157483" footer="0.39370078740157483"/>
  <pageSetup paperSize="9" scale="67" firstPageNumber="87" fitToHeight="0" orientation="portrait" r:id="rId1"/>
  <headerFooter alignWithMargins="0">
    <oddFooter>&amp;L&amp;11LEL Schwäbisch Gmünd&amp;R&amp;11&amp;F</oddFooter>
  </headerFooter>
  <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2">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1235.2789918738661</v>
      </c>
      <c r="K1" s="4855">
        <f>M1-J1</f>
        <v>425.46890431258339</v>
      </c>
      <c r="L1" s="4855"/>
      <c r="M1" s="1874">
        <f>(M7+M13+M18+M22+L11+L12)-(M23+M27+M34+M43+M60+M65+M67+M69+M71+M75)</f>
        <v>1660.7478961864495</v>
      </c>
      <c r="N1" s="4855">
        <f>P1-M1</f>
        <v>425.46890431258316</v>
      </c>
      <c r="O1" s="4855"/>
      <c r="P1" s="1874">
        <f>(P7+P13+P18+P22+O11+O12)-(P23+P27+P34+P43+P60+P65+P67+P69+P71+P75)</f>
        <v>2086.2168004990326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1892</v>
      </c>
      <c r="L2" s="4867"/>
      <c r="M2" s="4867"/>
      <c r="N2" s="4867"/>
      <c r="O2" s="4867"/>
      <c r="P2" s="4867"/>
      <c r="Q2" s="1863"/>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1644</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26.25</v>
      </c>
      <c r="K6" s="4874" t="s">
        <v>152</v>
      </c>
      <c r="L6" s="4875"/>
      <c r="M6" s="1855">
        <v>35</v>
      </c>
      <c r="N6" s="4861" t="s">
        <v>178</v>
      </c>
      <c r="O6" s="4862"/>
      <c r="P6" s="1854">
        <f>M6*1.25</f>
        <v>43.75</v>
      </c>
      <c r="Q6" s="70"/>
    </row>
    <row r="7" spans="1:41" s="251" customFormat="1" ht="18.75" customHeight="1">
      <c r="A7" s="47"/>
      <c r="B7" s="305" t="s">
        <v>1633</v>
      </c>
      <c r="C7" s="47"/>
      <c r="D7" s="47"/>
      <c r="E7" s="47"/>
      <c r="F7" s="47"/>
      <c r="G7" s="1852" t="s">
        <v>171</v>
      </c>
      <c r="H7" s="1849"/>
      <c r="I7" s="1848"/>
      <c r="J7" s="1582">
        <f>SUM(I9:I10)</f>
        <v>1624.1487500000001</v>
      </c>
      <c r="K7" s="1851"/>
      <c r="L7" s="1850"/>
      <c r="M7" s="1585">
        <f>SUM(L9:L10)</f>
        <v>2165.5316666666668</v>
      </c>
      <c r="N7" s="1849"/>
      <c r="O7" s="1848"/>
      <c r="P7" s="1582">
        <f>SUM(O9:O10)</f>
        <v>2706.9145833333332</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1643</v>
      </c>
      <c r="D9" s="47"/>
      <c r="E9" s="47">
        <v>0.67</v>
      </c>
      <c r="F9" s="1846" t="s">
        <v>1201</v>
      </c>
      <c r="G9" s="1762">
        <f>SDÖ1!O27</f>
        <v>80.033333333333331</v>
      </c>
      <c r="H9" s="1845">
        <f>J6*E9</f>
        <v>17.587500000000002</v>
      </c>
      <c r="I9" s="1841">
        <f>H9*G9</f>
        <v>1407.5862500000001</v>
      </c>
      <c r="J9" s="43"/>
      <c r="K9" s="1844">
        <f>M6*E9</f>
        <v>23.450000000000003</v>
      </c>
      <c r="L9" s="1843">
        <f>K9*G9</f>
        <v>1876.7816666666668</v>
      </c>
      <c r="M9" s="1822"/>
      <c r="N9" s="1842">
        <f>P6*E9</f>
        <v>29.3125</v>
      </c>
      <c r="O9" s="1841">
        <f>N9*G9</f>
        <v>2345.9770833333332</v>
      </c>
      <c r="P9" s="43"/>
      <c r="Q9" s="32"/>
      <c r="R9" s="913"/>
      <c r="S9" s="263" t="s">
        <v>1208</v>
      </c>
      <c r="T9" s="1840"/>
    </row>
    <row r="10" spans="1:41" s="1810" customFormat="1" ht="15" customHeight="1">
      <c r="A10" s="370"/>
      <c r="B10" s="239"/>
      <c r="C10" s="279" t="s">
        <v>1631</v>
      </c>
      <c r="D10" s="1819"/>
      <c r="E10" s="4872"/>
      <c r="F10" s="4873"/>
      <c r="G10" s="1839">
        <v>25</v>
      </c>
      <c r="H10" s="1834">
        <f>J6-H9</f>
        <v>8.6624999999999979</v>
      </c>
      <c r="I10" s="1833">
        <f>H10*G10</f>
        <v>216.56249999999994</v>
      </c>
      <c r="J10" s="1838"/>
      <c r="K10" s="1837">
        <f>M6-K9</f>
        <v>11.549999999999997</v>
      </c>
      <c r="L10" s="1836">
        <f>K10*G10</f>
        <v>288.74999999999994</v>
      </c>
      <c r="M10" s="1835"/>
      <c r="N10" s="1834">
        <f>P6-N9</f>
        <v>14.4375</v>
      </c>
      <c r="O10" s="1833">
        <f>N10*G10</f>
        <v>360.9375</v>
      </c>
      <c r="P10" s="1832"/>
      <c r="Q10" s="38"/>
      <c r="R10" s="1831">
        <f>I10+I11+I12</f>
        <v>468.56249999999994</v>
      </c>
      <c r="S10" s="1830">
        <f>L10+L11+L12</f>
        <v>624.75</v>
      </c>
      <c r="T10" s="1829">
        <f>O10+O11+O12</f>
        <v>780.9375</v>
      </c>
      <c r="W10" s="251" t="s">
        <v>1198</v>
      </c>
    </row>
    <row r="11" spans="1:41" s="1810" customFormat="1" ht="15" customHeight="1">
      <c r="A11" s="370"/>
      <c r="B11" s="272"/>
      <c r="C11" s="45" t="s">
        <v>1197</v>
      </c>
      <c r="D11" s="370"/>
      <c r="E11" s="1828">
        <v>0.8</v>
      </c>
      <c r="F11" s="45" t="s">
        <v>1196</v>
      </c>
      <c r="G11" s="1827">
        <f>SDÖ1!$O$51</f>
        <v>12</v>
      </c>
      <c r="H11" s="1826">
        <f>IF($T$3=FALSE,0,J6*$E$11)</f>
        <v>21</v>
      </c>
      <c r="I11" s="1820">
        <f>H11*$G$11</f>
        <v>252</v>
      </c>
      <c r="J11" s="1825"/>
      <c r="K11" s="1824">
        <f>IF($T$3=FALSE,0,M6*$E$11)</f>
        <v>28</v>
      </c>
      <c r="L11" s="1823">
        <f>K11*$G$11</f>
        <v>336</v>
      </c>
      <c r="M11" s="1822"/>
      <c r="N11" s="1821">
        <f>IF($T$3=FALSE,0,P6*$E$11)</f>
        <v>35</v>
      </c>
      <c r="O11" s="1820">
        <f>N11*$G$11</f>
        <v>420</v>
      </c>
      <c r="P11" s="43"/>
      <c r="Q11" s="1845">
        <f>(S8-Q12)*$E$9</f>
        <v>0</v>
      </c>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21</v>
      </c>
      <c r="Y12" s="1807">
        <f>IF(OR(T3=TRUE,T4=TRUE),M6*$E$11,"0")</f>
        <v>28</v>
      </c>
      <c r="Z12" s="1806">
        <f>IF(OR(T3=TRUE,T4=TRUE),P6*$E$11,"0")</f>
        <v>35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3267"/>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1"/>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260</v>
      </c>
      <c r="K23" s="1587"/>
      <c r="L23" s="1586"/>
      <c r="M23" s="1768">
        <f>SUM(L25:L26)</f>
        <v>260</v>
      </c>
      <c r="N23" s="1584"/>
      <c r="O23" s="1583"/>
      <c r="P23" s="1567">
        <f>SUM(O25:O26)</f>
        <v>260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1.3</v>
      </c>
      <c r="G25" s="1762">
        <f>F25*(100+$D$24)/100</f>
        <v>1.3</v>
      </c>
      <c r="H25" s="1761">
        <v>200</v>
      </c>
      <c r="I25" s="1722">
        <f>H25*$G25</f>
        <v>260</v>
      </c>
      <c r="J25" s="45"/>
      <c r="K25" s="1761">
        <f>H25</f>
        <v>200</v>
      </c>
      <c r="L25" s="1564">
        <f>K25*$G25</f>
        <v>260</v>
      </c>
      <c r="M25" s="1557"/>
      <c r="N25" s="1761">
        <f>H25</f>
        <v>200</v>
      </c>
      <c r="O25" s="1722">
        <f>N25*$G25</f>
        <v>260</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323.68149999999997</v>
      </c>
      <c r="K27" s="1716"/>
      <c r="L27" s="1715"/>
      <c r="M27" s="1585">
        <f>SUM(L30:L33)</f>
        <v>402.44200000000001</v>
      </c>
      <c r="N27" s="1714"/>
      <c r="O27" s="1713"/>
      <c r="P27" s="1582">
        <f>SUM(O30:O33)</f>
        <v>481.20249999999999</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VLOOKUP('SD8'!B17,'SD8'!B9:K44,3,FALSE)</f>
        <v>1.6</v>
      </c>
      <c r="F30" s="1742"/>
      <c r="G30" s="1741">
        <v>20</v>
      </c>
      <c r="H30" s="1739">
        <f>IF(J$6=0,0,(J$6*$E30+$G30+X13))</f>
        <v>62</v>
      </c>
      <c r="I30" s="1722">
        <f>H30*$D30</f>
        <v>270.94</v>
      </c>
      <c r="J30" s="45"/>
      <c r="K30" s="1740">
        <f>IF(M$6=0,0,(M$6*$E30+$G30+AA14))</f>
        <v>76</v>
      </c>
      <c r="L30" s="1564">
        <f>K30*$D30</f>
        <v>332.12</v>
      </c>
      <c r="M30" s="1557"/>
      <c r="N30" s="1739">
        <f>IF(P$6=0,0,(P$6*$E30+$G30+AD14))</f>
        <v>90</v>
      </c>
      <c r="O30" s="1722">
        <f>N30*$D30</f>
        <v>393.3</v>
      </c>
      <c r="P30" s="1686"/>
      <c r="Q30" s="32"/>
    </row>
    <row r="31" spans="1:20" s="42" customFormat="1" ht="15" customHeight="1">
      <c r="A31" s="1284"/>
      <c r="B31" s="272"/>
      <c r="C31" s="1284" t="s">
        <v>244</v>
      </c>
      <c r="D31" s="1691">
        <f>IF(SDÖ1!$U$17=TRUE,SDÖ1!O56,0)</f>
        <v>1.3740000000000001</v>
      </c>
      <c r="E31" s="1742">
        <f>VLOOKUP('SD8'!B17,'SD8'!B9:K44,4,FALSE)</f>
        <v>0.8</v>
      </c>
      <c r="F31" s="1742"/>
      <c r="G31" s="1741"/>
      <c r="H31" s="1739">
        <f>IF(J$6=0,0,(J$6*$E31+$G31+X14))</f>
        <v>21</v>
      </c>
      <c r="I31" s="1722">
        <f>H31*$D31</f>
        <v>28.854000000000003</v>
      </c>
      <c r="J31" s="45"/>
      <c r="K31" s="1740">
        <f>IF(M$6=0,0,(M$6*$E31+$G31+Y14))</f>
        <v>28</v>
      </c>
      <c r="L31" s="1564">
        <f>K31*$D31</f>
        <v>38.472000000000001</v>
      </c>
      <c r="M31" s="1557"/>
      <c r="N31" s="1739">
        <f>IF(P$6=0,0,(P$6*$E31+$G31+Z14))</f>
        <v>35</v>
      </c>
      <c r="O31" s="1722">
        <f>N31*$D31</f>
        <v>48.09</v>
      </c>
      <c r="P31" s="1686"/>
      <c r="Q31" s="32"/>
    </row>
    <row r="32" spans="1:20" s="686" customFormat="1" ht="18.75" customHeight="1">
      <c r="A32" s="1248"/>
      <c r="B32" s="272"/>
      <c r="C32" s="1284" t="s">
        <v>242</v>
      </c>
      <c r="D32" s="1691">
        <f>IF(SDÖ1!$U$17=TRUE,SDÖ1!O57,0)</f>
        <v>1.35</v>
      </c>
      <c r="E32" s="1742">
        <v>0.6</v>
      </c>
      <c r="F32" s="1742"/>
      <c r="G32" s="1741"/>
      <c r="H32" s="1739">
        <f>IF(J$6=0,0,(J$6*$E32+$G32+X15))</f>
        <v>15.75</v>
      </c>
      <c r="I32" s="1722">
        <f>H32*$D32</f>
        <v>21.262500000000003</v>
      </c>
      <c r="J32" s="45"/>
      <c r="K32" s="1740">
        <f>IF(M$6=0,0,(M$6*$E32+$G32+Y15))</f>
        <v>21</v>
      </c>
      <c r="L32" s="1564">
        <f>K32*$D32</f>
        <v>28.35</v>
      </c>
      <c r="M32" s="1557"/>
      <c r="N32" s="1739">
        <f>IF(P$6=0,0,(P$6*$E32+$G32+Z15))</f>
        <v>26.25</v>
      </c>
      <c r="O32" s="1722">
        <f>N32*$D32</f>
        <v>35.4375</v>
      </c>
      <c r="P32" s="1686"/>
      <c r="Q32" s="32"/>
    </row>
    <row r="33" spans="1:17" s="686" customFormat="1" ht="13.15" customHeight="1">
      <c r="A33" s="1248"/>
      <c r="B33" s="239"/>
      <c r="C33" s="1309" t="s">
        <v>240</v>
      </c>
      <c r="D33" s="1674">
        <f>IF(SDÖ1!$U$17=TRUE,SDÖ1!O58,0)</f>
        <v>0.5</v>
      </c>
      <c r="E33" s="1738">
        <f>VLOOKUP('SD8'!B17,'SD8'!B9:K44,6,FALSE)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145.51381048711761</v>
      </c>
      <c r="K43" s="1716"/>
      <c r="L43" s="1715"/>
      <c r="M43" s="1585">
        <f>SUM(M46:M57)</f>
        <v>149.95601275364706</v>
      </c>
      <c r="N43" s="1714"/>
      <c r="O43" s="1713"/>
      <c r="P43" s="1582">
        <f>SUM(P46:P57)</f>
        <v>154.39821502017645</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t="s">
        <v>410</v>
      </c>
      <c r="D50" s="4883"/>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82" t="s">
        <v>459</v>
      </c>
      <c r="D51" s="4883"/>
      <c r="E51" s="1693">
        <f>IF($C51=0,0,VLOOKUP($C51,SDÖ3!$C$24:$O$99,4,FALSE))</f>
        <v>102</v>
      </c>
      <c r="F51" s="1692">
        <f>IF($C51=0,0,VLOOKUP($C51,SDÖ3!$C$24:$O$99,12,FALSE))</f>
        <v>0.79</v>
      </c>
      <c r="G51" s="1691">
        <f>IF($C51=0,0,VLOOKUP($C51,SDÖ3!$C$24:$O$99,13,FALSE))</f>
        <v>21.737240200000002</v>
      </c>
      <c r="H51" s="1688">
        <v>1</v>
      </c>
      <c r="I51" s="1687">
        <f t="shared" si="4"/>
        <v>0.79</v>
      </c>
      <c r="J51" s="1686">
        <f t="shared" si="5"/>
        <v>21.737240200000002</v>
      </c>
      <c r="K51" s="1688">
        <v>1</v>
      </c>
      <c r="L51" s="1690">
        <f t="shared" si="6"/>
        <v>0.79</v>
      </c>
      <c r="M51" s="1689">
        <f t="shared" si="7"/>
        <v>21.737240200000002</v>
      </c>
      <c r="N51" s="1688">
        <v>1</v>
      </c>
      <c r="O51" s="1687">
        <f t="shared" si="8"/>
        <v>0.79</v>
      </c>
      <c r="P51" s="1686">
        <f t="shared" si="9"/>
        <v>21.737240200000002</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8"/>
    </row>
    <row r="53" spans="1:17" s="42" customFormat="1" ht="15" customHeight="1">
      <c r="A53" s="1284"/>
      <c r="B53" s="1694"/>
      <c r="C53" s="4882" t="s">
        <v>403</v>
      </c>
      <c r="D53" s="4883"/>
      <c r="E53" s="1693">
        <f>IF($C53=0,0,VLOOKUP($C53,SDÖ3!$C$24:$O$99,4,FALSE))</f>
        <v>83</v>
      </c>
      <c r="F53" s="1692">
        <f>IF($C53=0,0,VLOOKUP($C53,SDÖ3!$C$24:$O$99,12,FALSE))</f>
        <v>0.56000000000000005</v>
      </c>
      <c r="G53" s="1691">
        <f>IF($C53=0,0,VLOOKUP($C53,SDÖ3!$C$24:$O$99,13,FALSE))</f>
        <v>9.6134362447058805</v>
      </c>
      <c r="H53" s="1688">
        <f>J$6/40+0.3</f>
        <v>0.95625000000000004</v>
      </c>
      <c r="I53" s="1687">
        <f t="shared" si="4"/>
        <v>0.53550000000000009</v>
      </c>
      <c r="J53" s="1686">
        <f t="shared" si="5"/>
        <v>9.192848408999998</v>
      </c>
      <c r="K53" s="1688">
        <f>M$6/40+0.3</f>
        <v>1.175</v>
      </c>
      <c r="L53" s="1690">
        <f t="shared" si="6"/>
        <v>0.65800000000000014</v>
      </c>
      <c r="M53" s="1689">
        <f t="shared" si="7"/>
        <v>11.295787587529411</v>
      </c>
      <c r="N53" s="1688">
        <f>P$6/40+0.3</f>
        <v>1.39375</v>
      </c>
      <c r="O53" s="1687">
        <f t="shared" si="8"/>
        <v>0.78050000000000008</v>
      </c>
      <c r="P53" s="1686">
        <f t="shared" si="9"/>
        <v>13.398726766058822</v>
      </c>
      <c r="Q53" s="38"/>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0.6</v>
      </c>
      <c r="I57" s="1671">
        <f t="shared" si="4"/>
        <v>0.40800000000000003</v>
      </c>
      <c r="J57" s="1670">
        <f t="shared" si="5"/>
        <v>7.0177892639999992</v>
      </c>
      <c r="K57" s="3635">
        <f>K11/35</f>
        <v>0.8</v>
      </c>
      <c r="L57" s="1673">
        <f t="shared" si="6"/>
        <v>0.54400000000000004</v>
      </c>
      <c r="M57" s="1620">
        <f t="shared" si="7"/>
        <v>9.3570523520000002</v>
      </c>
      <c r="N57" s="3634">
        <f>N11/35</f>
        <v>1</v>
      </c>
      <c r="O57" s="1671">
        <f t="shared" si="8"/>
        <v>0.68</v>
      </c>
      <c r="P57" s="1670">
        <f t="shared" si="9"/>
        <v>11.696315439999999</v>
      </c>
      <c r="Q57" s="3626"/>
    </row>
    <row r="58" spans="1:17" s="686" customFormat="1" ht="18.75" customHeight="1">
      <c r="A58" s="1248"/>
      <c r="B58" s="1254" t="s">
        <v>1167</v>
      </c>
      <c r="C58" s="1351"/>
      <c r="D58" s="1351"/>
      <c r="E58" s="1351"/>
      <c r="F58" s="38"/>
      <c r="G58" s="1588"/>
      <c r="H58" s="1665"/>
      <c r="I58" s="1664">
        <f>SUM($I$46:$I$57)</f>
        <v>4.7635000000000005</v>
      </c>
      <c r="J58" s="1669"/>
      <c r="K58" s="1668"/>
      <c r="L58" s="1667">
        <f>SUM($L$46:$L$57)</f>
        <v>5.0220000000000002</v>
      </c>
      <c r="M58" s="1666"/>
      <c r="N58" s="1665"/>
      <c r="O58" s="1664">
        <f>SUM($O$46:$O$57)</f>
        <v>5.2805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8.5743000000000009</v>
      </c>
      <c r="J59" s="1654"/>
      <c r="K59" s="1659"/>
      <c r="L59" s="1658">
        <f>IF(L58+SUM($L$46:$L$57)*$E$59%&gt;L58+10,L58+10,L58+SUM($L$46:$L$57)*$E$59%)</f>
        <v>9.0396000000000001</v>
      </c>
      <c r="M59" s="1657"/>
      <c r="N59" s="1656"/>
      <c r="O59" s="1655">
        <f>IF(O58+SUM($O$46:$O$57)*$E$59%&gt;O58+10,O58+10,O58+SUM($O$46:$O$57)*$E$59%)</f>
        <v>9.5048999999999992</v>
      </c>
      <c r="P59" s="1654"/>
      <c r="Q59" s="32"/>
    </row>
    <row r="60" spans="1:17" s="65" customFormat="1" ht="18.75" customHeight="1">
      <c r="A60" s="1351"/>
      <c r="B60" s="1254" t="s">
        <v>1164</v>
      </c>
      <c r="C60" s="1351"/>
      <c r="D60" s="1351"/>
      <c r="E60" s="45"/>
      <c r="F60" s="45"/>
      <c r="G60" s="1653"/>
      <c r="H60" s="3904"/>
      <c r="I60" s="3903"/>
      <c r="J60" s="1652">
        <f>IF(J6=0,0,SUM(I62:I64))</f>
        <v>208.39999999999998</v>
      </c>
      <c r="K60" s="3906"/>
      <c r="L60" s="3905"/>
      <c r="M60" s="1585">
        <f>IF(M6=0,0,SUM(L62:L64))</f>
        <v>228</v>
      </c>
      <c r="N60" s="3904"/>
      <c r="O60" s="3903"/>
      <c r="P60" s="1652">
        <f>IF(P6=0,0,SUM(O62:O64))</f>
        <v>247.6</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58.8</v>
      </c>
      <c r="J64" s="227"/>
      <c r="K64" s="1622"/>
      <c r="L64" s="1621">
        <f>K11*$G$64</f>
        <v>78.399999999999991</v>
      </c>
      <c r="M64" s="1620"/>
      <c r="N64" s="1619"/>
      <c r="O64" s="1618">
        <f>N11*$G$64</f>
        <v>98</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3859" t="s">
        <v>1162</v>
      </c>
      <c r="C67" s="3858"/>
      <c r="D67" s="3858"/>
      <c r="E67" s="3854"/>
      <c r="F67" s="3875"/>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78.96875</v>
      </c>
      <c r="Q67" s="32"/>
    </row>
    <row r="68" spans="1:20" s="686" customFormat="1" ht="15" customHeight="1">
      <c r="A68" s="1248"/>
      <c r="B68" s="1605"/>
      <c r="C68" s="4888" t="s">
        <v>1159</v>
      </c>
      <c r="D68" s="4888"/>
      <c r="E68" s="4888"/>
      <c r="F68" s="387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25.98638</v>
      </c>
      <c r="K69" s="1598"/>
      <c r="L69" s="1597"/>
      <c r="M69" s="1585">
        <f>K70*$F70/1000</f>
        <v>34.64850666666667</v>
      </c>
      <c r="N69" s="44"/>
      <c r="O69" s="73"/>
      <c r="P69" s="1582">
        <f>N70*$F70/1000</f>
        <v>43.310633333333328</v>
      </c>
      <c r="Q69" s="32"/>
    </row>
    <row r="70" spans="1:20" s="686" customFormat="1" ht="15" customHeight="1">
      <c r="A70" s="1248"/>
      <c r="B70" s="1310"/>
      <c r="C70" s="1309" t="s">
        <v>840</v>
      </c>
      <c r="D70" s="346"/>
      <c r="E70" s="278"/>
      <c r="F70" s="1596">
        <f>'SDK7'!G101</f>
        <v>16</v>
      </c>
      <c r="G70" s="1595" t="s">
        <v>171</v>
      </c>
      <c r="H70" s="1591">
        <f>I9+I10</f>
        <v>1624.1487500000001</v>
      </c>
      <c r="I70" s="1590"/>
      <c r="J70" s="1589"/>
      <c r="K70" s="1594">
        <f>L9+L10</f>
        <v>2165.5316666666668</v>
      </c>
      <c r="L70" s="1593"/>
      <c r="M70" s="1592"/>
      <c r="N70" s="1591">
        <f>O9+O10</f>
        <v>2706.9145833333332</v>
      </c>
      <c r="O70" s="1590"/>
      <c r="P70" s="1589"/>
      <c r="Q70" s="32"/>
    </row>
    <row r="71" spans="1:20" ht="18.75" customHeight="1">
      <c r="A71" s="370"/>
      <c r="B71" s="305" t="s">
        <v>1157</v>
      </c>
      <c r="C71" s="370"/>
      <c r="D71" s="370"/>
      <c r="E71" s="229"/>
      <c r="F71" s="38"/>
      <c r="G71" s="1588"/>
      <c r="H71" s="1584"/>
      <c r="I71" s="1583"/>
      <c r="J71" s="1582">
        <f>SUM(I73:I74)</f>
        <v>211.05</v>
      </c>
      <c r="K71" s="1587"/>
      <c r="L71" s="1586"/>
      <c r="M71" s="1585">
        <f>SUM(L73:L74)</f>
        <v>281.40000000000003</v>
      </c>
      <c r="N71" s="1584"/>
      <c r="O71" s="1583"/>
      <c r="P71" s="1582">
        <f>SUM(O73:O74)</f>
        <v>351.75</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t="s">
        <v>1994</v>
      </c>
      <c r="D73" s="4895"/>
      <c r="E73" s="4895"/>
      <c r="F73" s="1566">
        <v>12</v>
      </c>
      <c r="G73" s="1565"/>
      <c r="H73" s="1559">
        <f>$F$73*(J$6-H$10)</f>
        <v>211.05</v>
      </c>
      <c r="I73" s="1563">
        <f>(100+$D$72)/100*H73</f>
        <v>211.05</v>
      </c>
      <c r="J73" s="45"/>
      <c r="K73" s="1559">
        <f>$F$73*(M$6-K$10)</f>
        <v>281.40000000000003</v>
      </c>
      <c r="L73" s="1564">
        <f>(100+$D$72)/100*K73</f>
        <v>281.40000000000003</v>
      </c>
      <c r="M73" s="1557"/>
      <c r="N73" s="1559">
        <f>$F$73*(P$6-N$10)</f>
        <v>351.75</v>
      </c>
      <c r="O73" s="1563">
        <f>(100+$D$72)/100*N73</f>
        <v>351.75</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14.25681763901637</v>
      </c>
      <c r="K75" s="3031"/>
      <c r="L75" s="1034"/>
      <c r="M75" s="1546">
        <f>(M23+M27+M34+M43+M60+M65+M67+M69+M71)*('SDK1'!$O$59%*$G$75/12)</f>
        <v>16.562251059903659</v>
      </c>
      <c r="N75" s="1548"/>
      <c r="O75" s="1547"/>
      <c r="P75" s="1546">
        <f>(P23+P27+P34+P43+P60+P65+P67+P69+P71)*('SDK1'!$O$59%*$G$75/12)</f>
        <v>18.867684480790945</v>
      </c>
      <c r="Q75" s="32"/>
    </row>
    <row r="76" spans="1:20">
      <c r="L76" s="33"/>
    </row>
    <row r="77" spans="1:20">
      <c r="L77" s="33"/>
      <c r="N77" s="3585"/>
      <c r="O77" s="3585"/>
      <c r="P77" s="3585"/>
    </row>
    <row r="78" spans="1:20" ht="14.25">
      <c r="C78" s="4950" t="s">
        <v>1888</v>
      </c>
      <c r="D78" s="4951"/>
      <c r="E78" s="4951"/>
      <c r="F78" s="4952"/>
      <c r="G78" s="3585"/>
      <c r="H78" s="3585"/>
      <c r="I78" s="3585"/>
      <c r="J78" s="3585"/>
      <c r="L78" s="33"/>
      <c r="N78" s="3585"/>
      <c r="O78" s="3585"/>
      <c r="P78" s="3585"/>
    </row>
    <row r="79" spans="1:20">
      <c r="C79" s="4943" t="s">
        <v>295</v>
      </c>
      <c r="D79" s="4944"/>
      <c r="E79" s="4944"/>
      <c r="F79" s="4945"/>
      <c r="G79" s="3585"/>
      <c r="H79" s="3585"/>
      <c r="I79" s="3585"/>
      <c r="J79" s="3585"/>
      <c r="L79" s="33"/>
      <c r="N79" s="3585"/>
      <c r="O79" s="3585"/>
      <c r="P79" s="3585"/>
    </row>
    <row r="80" spans="1:20" ht="14.25">
      <c r="B80" s="3046"/>
      <c r="C80" s="3042" t="s">
        <v>1884</v>
      </c>
      <c r="D80" s="3043"/>
      <c r="E80" s="3043"/>
      <c r="F80" s="3044"/>
      <c r="G80" s="3585"/>
      <c r="H80" s="3585"/>
      <c r="I80" s="3585"/>
      <c r="J80" s="3585"/>
      <c r="L80" s="33"/>
      <c r="N80" s="3585"/>
      <c r="O80" s="3585"/>
      <c r="P80" s="3585"/>
    </row>
    <row r="81" spans="2:16" ht="14.25">
      <c r="B81" s="3046"/>
      <c r="C81" s="3042" t="s">
        <v>1885</v>
      </c>
      <c r="D81" s="3043"/>
      <c r="E81" s="3043"/>
      <c r="F81" s="3044"/>
      <c r="G81" s="3585"/>
      <c r="H81" s="3585"/>
      <c r="I81" s="3585"/>
      <c r="J81" s="3585"/>
      <c r="L81" s="33"/>
      <c r="N81" s="3585"/>
      <c r="O81" s="3585"/>
      <c r="P81" s="3585"/>
    </row>
    <row r="82" spans="2:16">
      <c r="B82" s="3046"/>
      <c r="C82" s="3034" t="s">
        <v>294</v>
      </c>
      <c r="D82" s="3035"/>
      <c r="E82" s="3035"/>
      <c r="F82" s="3036"/>
      <c r="G82" s="3585"/>
      <c r="H82" s="3585"/>
      <c r="I82" s="3585"/>
      <c r="J82" s="3585"/>
      <c r="L82" s="33"/>
      <c r="N82" s="3585"/>
      <c r="O82" s="3585"/>
      <c r="P82" s="3585"/>
    </row>
    <row r="83" spans="2:16" ht="14.25">
      <c r="B83" s="3046"/>
      <c r="C83" s="3042" t="s">
        <v>1886</v>
      </c>
      <c r="D83" s="3043"/>
      <c r="E83" s="3043"/>
      <c r="F83" s="3044"/>
      <c r="G83" s="3585"/>
      <c r="H83" s="3585"/>
      <c r="I83" s="3585"/>
      <c r="J83" s="3585"/>
      <c r="L83" s="33"/>
      <c r="N83" s="3585"/>
      <c r="O83" s="3585"/>
      <c r="P83" s="3585"/>
    </row>
    <row r="84" spans="2:16" ht="14.25">
      <c r="B84" s="3046"/>
      <c r="C84" s="3042" t="s">
        <v>1887</v>
      </c>
      <c r="D84" s="3043"/>
      <c r="E84" s="3043"/>
      <c r="F84" s="3044"/>
      <c r="G84" s="3585"/>
      <c r="H84" s="3585"/>
      <c r="I84" s="3585"/>
      <c r="J84" s="3585"/>
      <c r="L84" s="33"/>
      <c r="N84" s="3585"/>
      <c r="O84" s="3585"/>
      <c r="P84" s="3585"/>
    </row>
    <row r="85" spans="2:16">
      <c r="B85" s="3046"/>
      <c r="C85" s="3034" t="s">
        <v>293</v>
      </c>
      <c r="D85" s="3035"/>
      <c r="E85" s="3035"/>
      <c r="F85" s="3036"/>
      <c r="G85" s="3585"/>
      <c r="H85" s="3585"/>
      <c r="I85" s="3585"/>
      <c r="J85" s="3585"/>
      <c r="L85" s="33"/>
      <c r="N85" s="3585"/>
      <c r="O85" s="3585"/>
      <c r="P85" s="3585"/>
    </row>
    <row r="86" spans="2:16">
      <c r="B86" s="3046"/>
      <c r="C86" s="3034" t="s">
        <v>292</v>
      </c>
      <c r="D86" s="3035"/>
      <c r="E86" s="3035"/>
      <c r="F86" s="3036"/>
      <c r="G86" s="3585"/>
      <c r="H86" s="3585"/>
      <c r="I86" s="3585"/>
      <c r="J86" s="3585"/>
      <c r="L86" s="33"/>
      <c r="N86" s="3585"/>
      <c r="O86" s="3585"/>
      <c r="P86" s="3585"/>
    </row>
    <row r="87" spans="2:16" ht="14.25">
      <c r="B87" s="3046"/>
      <c r="C87" s="3034" t="s">
        <v>291</v>
      </c>
      <c r="D87" s="3035"/>
      <c r="E87" s="3035"/>
      <c r="F87" s="3036"/>
      <c r="G87" s="3585"/>
      <c r="H87" s="3585"/>
      <c r="I87" s="3585"/>
      <c r="J87" s="3585"/>
      <c r="L87" s="33"/>
      <c r="N87" s="3585"/>
      <c r="O87" s="3585"/>
      <c r="P87" s="3585"/>
    </row>
    <row r="88" spans="2:16" ht="13.15" customHeight="1">
      <c r="B88" s="3046"/>
      <c r="C88" s="3034" t="s">
        <v>290</v>
      </c>
      <c r="D88" s="3037"/>
      <c r="E88" s="3037"/>
      <c r="F88" s="3038"/>
      <c r="G88" s="3585"/>
      <c r="H88" s="3585"/>
      <c r="I88" s="3585"/>
      <c r="J88" s="3585"/>
      <c r="L88" s="33"/>
      <c r="N88" s="3585"/>
      <c r="O88" s="3585"/>
      <c r="P88" s="3585"/>
    </row>
    <row r="89" spans="2:16">
      <c r="B89" s="3046"/>
      <c r="C89" s="3034" t="s">
        <v>289</v>
      </c>
      <c r="D89" s="3037"/>
      <c r="E89" s="3037"/>
      <c r="F89" s="3038"/>
      <c r="G89" s="3585"/>
      <c r="H89" s="3585"/>
      <c r="I89" s="3585"/>
      <c r="J89" s="3585"/>
      <c r="L89" s="33"/>
      <c r="N89" s="3585"/>
      <c r="O89" s="3585"/>
      <c r="P89" s="3585"/>
    </row>
    <row r="90" spans="2:16" ht="25.5">
      <c r="B90" s="3046"/>
      <c r="C90" s="3039" t="s">
        <v>288</v>
      </c>
      <c r="D90" s="3040"/>
      <c r="E90" s="3040"/>
      <c r="F90" s="3041"/>
      <c r="G90" s="3585"/>
      <c r="H90" s="3585"/>
      <c r="I90" s="3585"/>
      <c r="J90" s="3585"/>
      <c r="L90" s="33"/>
      <c r="N90" s="3585"/>
      <c r="O90" s="3585"/>
      <c r="P90" s="3585"/>
    </row>
    <row r="91" spans="2:16">
      <c r="C91" s="2506"/>
      <c r="D91" s="2506"/>
      <c r="E91" s="2506"/>
      <c r="F91" s="2506"/>
      <c r="G91" s="3585"/>
      <c r="H91" s="3585"/>
      <c r="I91" s="3585"/>
      <c r="J91" s="3585"/>
      <c r="L91" s="33"/>
      <c r="N91" s="3585"/>
      <c r="O91" s="3585"/>
      <c r="P91" s="3585"/>
    </row>
    <row r="92" spans="2:16">
      <c r="C92" s="2506"/>
      <c r="D92" s="2506"/>
      <c r="E92" s="2506"/>
      <c r="F92" s="2506"/>
      <c r="G92" s="3585"/>
      <c r="H92" s="3585"/>
      <c r="I92" s="3585"/>
      <c r="J92" s="3585"/>
      <c r="L92" s="33"/>
      <c r="N92" s="3585"/>
      <c r="O92" s="3585"/>
      <c r="P92" s="3585"/>
    </row>
    <row r="93" spans="2:16">
      <c r="C93" s="2506"/>
      <c r="D93" s="2506"/>
      <c r="E93" s="2506"/>
      <c r="F93" s="2506"/>
      <c r="G93" s="3585"/>
      <c r="H93" s="3585"/>
      <c r="I93" s="3585"/>
      <c r="J93" s="3585"/>
      <c r="L93" s="33"/>
      <c r="N93" s="3585"/>
      <c r="O93" s="3585"/>
      <c r="P93" s="3585"/>
    </row>
    <row r="94" spans="2:16">
      <c r="C94" s="2506"/>
      <c r="D94" s="2506"/>
      <c r="E94" s="2506"/>
      <c r="F94" s="2506"/>
      <c r="G94" s="3585"/>
      <c r="H94" s="3585"/>
      <c r="I94" s="3585"/>
      <c r="J94" s="3585"/>
      <c r="L94" s="33"/>
      <c r="N94" s="3585"/>
      <c r="O94" s="3585"/>
      <c r="P94" s="3585"/>
    </row>
    <row r="95" spans="2:16">
      <c r="C95" s="2506"/>
      <c r="D95" s="2506"/>
      <c r="E95" s="2506"/>
      <c r="F95" s="2506"/>
      <c r="G95" s="3585"/>
      <c r="H95" s="3585"/>
      <c r="I95" s="3585"/>
      <c r="J95" s="3585"/>
      <c r="L95" s="33"/>
      <c r="N95" s="3585"/>
      <c r="O95" s="3585"/>
      <c r="P95" s="3585"/>
    </row>
    <row r="96" spans="2:16">
      <c r="C96" s="2506"/>
      <c r="D96" s="2506"/>
      <c r="E96" s="2506"/>
      <c r="F96" s="2506"/>
      <c r="G96" s="3585"/>
      <c r="H96" s="3585"/>
      <c r="I96" s="3585"/>
      <c r="J96" s="3585"/>
      <c r="L96" s="33"/>
      <c r="N96" s="3585"/>
      <c r="O96" s="3585"/>
      <c r="P96" s="3585"/>
    </row>
    <row r="97" spans="2:16">
      <c r="C97" s="2506"/>
      <c r="D97" s="2506"/>
      <c r="E97" s="2506"/>
      <c r="F97" s="2506"/>
      <c r="G97" s="3585"/>
      <c r="H97" s="3585"/>
      <c r="I97" s="3585"/>
      <c r="J97" s="3585"/>
      <c r="L97" s="33"/>
      <c r="N97" s="3585"/>
      <c r="O97" s="3585"/>
      <c r="P97" s="3585"/>
    </row>
    <row r="98" spans="2:16">
      <c r="C98" s="2506"/>
      <c r="D98" s="2506"/>
      <c r="E98" s="2506"/>
      <c r="F98" s="2506"/>
      <c r="G98" s="3585"/>
      <c r="H98" s="3585"/>
      <c r="I98" s="3585"/>
      <c r="J98" s="3585"/>
      <c r="L98" s="33"/>
      <c r="N98" s="3585"/>
      <c r="O98" s="3585"/>
      <c r="P98" s="3585"/>
    </row>
    <row r="99" spans="2:16">
      <c r="B99" s="33"/>
      <c r="C99" s="2506"/>
      <c r="D99" s="2506"/>
      <c r="E99" s="2506"/>
      <c r="F99" s="2506"/>
      <c r="G99" s="3585"/>
      <c r="H99" s="3585"/>
      <c r="I99" s="3585"/>
      <c r="J99" s="3585"/>
      <c r="L99" s="33"/>
      <c r="N99" s="3585"/>
      <c r="O99" s="3585"/>
      <c r="P99" s="3585"/>
    </row>
    <row r="100" spans="2:16">
      <c r="B100" s="33"/>
      <c r="C100" s="2506"/>
      <c r="D100" s="2506"/>
      <c r="F100" s="2506"/>
      <c r="G100" s="3585"/>
      <c r="H100" s="3585"/>
      <c r="I100" s="3585"/>
      <c r="J100" s="3585"/>
      <c r="L100" s="33"/>
      <c r="N100" s="3585"/>
      <c r="O100" s="3585"/>
      <c r="P100" s="3585"/>
    </row>
    <row r="101" spans="2:16">
      <c r="B101" s="33"/>
      <c r="C101" s="33"/>
      <c r="D101" s="33"/>
      <c r="G101" s="3585"/>
      <c r="H101" s="3585"/>
      <c r="I101" s="3585"/>
      <c r="J101" s="3585"/>
      <c r="L101" s="33"/>
      <c r="N101" s="3585"/>
      <c r="O101" s="3585"/>
      <c r="P101" s="3585"/>
    </row>
    <row r="102" spans="2:16">
      <c r="B102" s="33"/>
      <c r="C102" s="33"/>
      <c r="D102" s="33"/>
      <c r="G102" s="3585"/>
      <c r="H102" s="3585"/>
      <c r="I102" s="3585"/>
      <c r="J102" s="3585"/>
      <c r="L102" s="33"/>
      <c r="N102" s="3585"/>
      <c r="O102" s="3585"/>
      <c r="P102" s="3585"/>
    </row>
    <row r="103" spans="2:16">
      <c r="B103" s="33"/>
      <c r="C103" s="33"/>
      <c r="D103" s="33"/>
      <c r="G103" s="3585"/>
      <c r="H103" s="3585"/>
      <c r="I103" s="3585"/>
      <c r="J103" s="3585"/>
      <c r="L103" s="33"/>
      <c r="N103" s="3585"/>
      <c r="O103" s="3585"/>
      <c r="P103" s="3585"/>
    </row>
    <row r="104" spans="2:16">
      <c r="B104" s="33"/>
      <c r="C104" s="33"/>
      <c r="D104" s="33"/>
      <c r="G104" s="3585"/>
      <c r="H104" s="3585"/>
      <c r="I104" s="3585"/>
      <c r="J104" s="3585"/>
      <c r="L104" s="33"/>
      <c r="N104" s="3585"/>
      <c r="O104" s="3585"/>
      <c r="P104" s="3585"/>
    </row>
    <row r="105" spans="2:16">
      <c r="B105" s="33"/>
      <c r="C105" s="33"/>
      <c r="D105" s="33"/>
      <c r="G105" s="3585"/>
      <c r="H105" s="3585"/>
      <c r="I105" s="3585"/>
      <c r="J105" s="3585"/>
      <c r="L105" s="33"/>
      <c r="N105" s="3585"/>
      <c r="O105" s="3585"/>
      <c r="P105" s="3585"/>
    </row>
    <row r="106" spans="2:16">
      <c r="B106" s="33"/>
      <c r="C106" s="33"/>
      <c r="D106" s="33"/>
      <c r="G106" s="3585"/>
      <c r="H106" s="3585"/>
      <c r="I106" s="3585"/>
      <c r="J106" s="3585"/>
      <c r="L106" s="33"/>
      <c r="N106" s="3585"/>
      <c r="O106" s="3585"/>
      <c r="P106" s="3585"/>
    </row>
    <row r="107" spans="2:16">
      <c r="B107" s="33"/>
      <c r="C107" s="33"/>
      <c r="D107" s="33"/>
      <c r="G107" s="3585"/>
      <c r="H107" s="3585"/>
      <c r="I107" s="3585"/>
      <c r="J107" s="3585"/>
      <c r="L107" s="33"/>
      <c r="N107" s="3585"/>
      <c r="O107" s="3585"/>
      <c r="P107" s="3585"/>
    </row>
    <row r="108" spans="2:16">
      <c r="G108" s="3585"/>
      <c r="H108" s="3585"/>
      <c r="I108" s="3585"/>
      <c r="J108" s="3585"/>
      <c r="L108" s="33"/>
      <c r="N108" s="3585"/>
      <c r="O108" s="3585"/>
      <c r="P108" s="3585"/>
    </row>
    <row r="109" spans="2:16">
      <c r="G109" s="3585"/>
      <c r="H109" s="3585"/>
      <c r="I109" s="3585"/>
      <c r="J109" s="3585"/>
      <c r="L109" s="33"/>
      <c r="N109" s="3585"/>
      <c r="O109" s="3585"/>
      <c r="P109" s="3585"/>
    </row>
    <row r="110" spans="2:16">
      <c r="G110" s="3585"/>
      <c r="H110" s="3585"/>
      <c r="I110" s="3585"/>
      <c r="J110" s="3585"/>
      <c r="L110" s="33"/>
      <c r="N110" s="3585"/>
      <c r="O110" s="3585"/>
      <c r="P110" s="3585"/>
    </row>
    <row r="111" spans="2:16">
      <c r="G111" s="3585"/>
      <c r="H111" s="3585"/>
      <c r="I111" s="3585"/>
      <c r="J111" s="3585"/>
      <c r="L111" s="33"/>
      <c r="N111" s="3585"/>
      <c r="O111" s="3585"/>
      <c r="P111" s="3585"/>
    </row>
    <row r="112" spans="2:16">
      <c r="G112" s="3585"/>
      <c r="H112" s="3585"/>
      <c r="I112" s="3585"/>
      <c r="J112" s="3585"/>
      <c r="L112" s="33"/>
      <c r="N112" s="3585"/>
      <c r="O112" s="3585"/>
      <c r="P112" s="3585"/>
    </row>
    <row r="113" spans="2:16">
      <c r="G113" s="3585"/>
      <c r="H113" s="3585"/>
      <c r="I113" s="3585"/>
      <c r="J113" s="3585"/>
      <c r="L113" s="33"/>
      <c r="N113" s="3585"/>
      <c r="O113" s="3585"/>
      <c r="P113" s="3585"/>
    </row>
    <row r="114" spans="2:16">
      <c r="G114" s="3585"/>
      <c r="H114" s="3585"/>
      <c r="I114" s="3585"/>
      <c r="J114" s="3585"/>
      <c r="L114" s="33"/>
      <c r="N114" s="3585"/>
      <c r="O114" s="3585"/>
      <c r="P114" s="3585"/>
    </row>
    <row r="115" spans="2:16">
      <c r="G115" s="3585"/>
      <c r="H115" s="3585"/>
      <c r="I115" s="3585"/>
      <c r="J115" s="3585"/>
      <c r="L115" s="33"/>
      <c r="N115" s="3585"/>
      <c r="O115" s="3585"/>
      <c r="P115" s="3585"/>
    </row>
    <row r="116" spans="2:16">
      <c r="L116" s="33"/>
      <c r="N116" s="3585"/>
      <c r="O116" s="3585"/>
      <c r="P116" s="3585"/>
    </row>
    <row r="117" spans="2:16">
      <c r="L117" s="33"/>
      <c r="N117" s="3585"/>
      <c r="O117" s="3585"/>
      <c r="P117" s="3585"/>
    </row>
    <row r="118" spans="2:16">
      <c r="B118" s="600"/>
      <c r="C118" s="33"/>
      <c r="L118" s="33"/>
      <c r="N118" s="3585"/>
      <c r="O118" s="3585"/>
      <c r="P118" s="3585"/>
    </row>
    <row r="119" spans="2:16">
      <c r="B119" s="600"/>
      <c r="C119" s="33"/>
      <c r="L119" s="33"/>
      <c r="N119" s="3585"/>
      <c r="O119" s="3585"/>
      <c r="P119" s="3585"/>
    </row>
    <row r="120" spans="2:16">
      <c r="B120" s="600"/>
      <c r="C120" s="33"/>
      <c r="L120" s="33"/>
      <c r="N120" s="3585"/>
      <c r="O120" s="3585"/>
      <c r="P120" s="3585"/>
    </row>
    <row r="121" spans="2:16">
      <c r="B121" s="600"/>
      <c r="C121" s="33"/>
      <c r="L121" s="33"/>
      <c r="N121" s="3585"/>
      <c r="O121" s="3585"/>
      <c r="P121" s="3585"/>
    </row>
    <row r="122" spans="2:16">
      <c r="B122" s="600"/>
      <c r="C122" s="33"/>
      <c r="L122" s="33"/>
      <c r="N122" s="3585"/>
      <c r="O122" s="3585"/>
      <c r="P122" s="3585"/>
    </row>
    <row r="123" spans="2:16">
      <c r="B123" s="600"/>
      <c r="C123" s="33"/>
      <c r="L123" s="33"/>
      <c r="N123" s="3585"/>
      <c r="O123" s="3585"/>
      <c r="P123" s="3585"/>
    </row>
    <row r="124" spans="2:16">
      <c r="B124" s="600"/>
      <c r="C124" s="33"/>
      <c r="L124" s="33"/>
      <c r="N124" s="3585"/>
      <c r="O124" s="3585"/>
      <c r="P124" s="3585"/>
    </row>
    <row r="125" spans="2:16">
      <c r="B125" s="600"/>
      <c r="C125" s="33"/>
      <c r="L125" s="33"/>
      <c r="N125" s="3585"/>
      <c r="O125" s="3585"/>
      <c r="P125" s="3585"/>
    </row>
    <row r="126" spans="2:16">
      <c r="B126" s="600"/>
      <c r="C126" s="33"/>
      <c r="L126" s="33"/>
      <c r="N126" s="3585"/>
      <c r="O126" s="3585"/>
      <c r="P126" s="3585"/>
    </row>
    <row r="127" spans="2:16">
      <c r="B127" s="600"/>
      <c r="C127" s="33"/>
      <c r="L127" s="33"/>
      <c r="N127" s="3585"/>
      <c r="O127" s="3585"/>
      <c r="P127" s="3585"/>
    </row>
    <row r="128" spans="2:16">
      <c r="B128" s="600"/>
      <c r="C128" s="33"/>
      <c r="L128" s="33"/>
      <c r="N128" s="3585"/>
      <c r="O128" s="3585"/>
      <c r="P128" s="3585"/>
    </row>
    <row r="129" spans="2:17">
      <c r="B129" s="600"/>
      <c r="C129" s="33"/>
      <c r="L129" s="33"/>
      <c r="N129" s="3585"/>
      <c r="O129" s="3585"/>
      <c r="P129" s="3585"/>
    </row>
    <row r="130" spans="2:17">
      <c r="B130" s="600"/>
      <c r="C130" s="33"/>
      <c r="L130" s="33"/>
      <c r="N130" s="3585"/>
      <c r="O130" s="3585"/>
      <c r="P130" s="3585"/>
    </row>
    <row r="131" spans="2:17">
      <c r="B131" s="600"/>
      <c r="C131" s="33"/>
      <c r="L131" s="33"/>
      <c r="N131" s="3585"/>
      <c r="O131" s="3585"/>
      <c r="P131" s="3585"/>
    </row>
    <row r="132" spans="2:17">
      <c r="B132" s="600"/>
      <c r="C132" s="33"/>
      <c r="L132" s="33"/>
      <c r="N132" s="3585"/>
      <c r="O132" s="3585"/>
      <c r="P132" s="3585"/>
    </row>
    <row r="133" spans="2:17">
      <c r="B133" s="600"/>
      <c r="C133" s="33"/>
      <c r="L133" s="3585"/>
      <c r="M133" s="3585"/>
      <c r="N133" s="3585"/>
      <c r="O133" s="3585"/>
      <c r="P133" s="3585"/>
      <c r="Q133" s="3585"/>
    </row>
    <row r="134" spans="2:17">
      <c r="B134" s="600"/>
      <c r="C134" s="33"/>
      <c r="L134" s="3585"/>
      <c r="M134" s="3585"/>
      <c r="N134" s="3585"/>
      <c r="O134" s="3585"/>
      <c r="P134" s="3585"/>
      <c r="Q134" s="3585"/>
    </row>
    <row r="135" spans="2:17">
      <c r="B135" s="600"/>
      <c r="C135" s="33"/>
      <c r="L135" s="3585"/>
      <c r="M135" s="3585"/>
      <c r="N135" s="3585"/>
      <c r="O135" s="3585"/>
      <c r="P135" s="3585"/>
      <c r="Q135" s="3585"/>
    </row>
    <row r="136" spans="2:17">
      <c r="B136" s="600"/>
      <c r="C136" s="33"/>
      <c r="L136" s="3585"/>
      <c r="M136" s="3585"/>
      <c r="N136" s="3585"/>
      <c r="O136" s="3585"/>
      <c r="P136" s="3585"/>
      <c r="Q136" s="3585"/>
    </row>
    <row r="137" spans="2:17">
      <c r="B137" s="600"/>
      <c r="C137" s="33"/>
      <c r="L137" s="3585"/>
      <c r="M137" s="3585"/>
      <c r="N137" s="3585"/>
      <c r="O137" s="3585"/>
      <c r="P137" s="3585"/>
      <c r="Q137" s="3585"/>
    </row>
    <row r="138" spans="2:17">
      <c r="B138" s="600"/>
      <c r="C138" s="33"/>
      <c r="L138" s="3585"/>
      <c r="M138" s="3585"/>
      <c r="N138" s="3585"/>
      <c r="O138" s="3585"/>
      <c r="P138" s="3585"/>
      <c r="Q138" s="3585"/>
    </row>
    <row r="139" spans="2:17">
      <c r="B139" s="600"/>
      <c r="C139" s="33"/>
      <c r="L139" s="3585"/>
      <c r="M139" s="3585"/>
      <c r="N139" s="3585"/>
      <c r="O139" s="3585"/>
      <c r="P139" s="3585"/>
      <c r="Q139" s="3585"/>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20:F20"/>
    <mergeCell ref="C21:F21"/>
    <mergeCell ref="C78:F78"/>
    <mergeCell ref="C79:F79"/>
    <mergeCell ref="C15:F15"/>
    <mergeCell ref="C36:E36"/>
    <mergeCell ref="C16:F16"/>
    <mergeCell ref="C17:F17"/>
    <mergeCell ref="C19:F19"/>
    <mergeCell ref="F23:G23"/>
    <mergeCell ref="C74:E74"/>
    <mergeCell ref="B75:C75"/>
    <mergeCell ref="D25:E25"/>
    <mergeCell ref="D26:E26"/>
    <mergeCell ref="F34:G34"/>
    <mergeCell ref="C42:E42"/>
    <mergeCell ref="N1:O1"/>
    <mergeCell ref="K2:P2"/>
    <mergeCell ref="J3:L3"/>
    <mergeCell ref="C14:F14"/>
    <mergeCell ref="N3:O4"/>
    <mergeCell ref="E4:I4"/>
    <mergeCell ref="J4:L4"/>
    <mergeCell ref="G1:I1"/>
    <mergeCell ref="H6:I6"/>
    <mergeCell ref="K6:L6"/>
    <mergeCell ref="K1:L1"/>
    <mergeCell ref="N6:O6"/>
    <mergeCell ref="E10:F10"/>
    <mergeCell ref="C37:E37"/>
    <mergeCell ref="C41:E41"/>
    <mergeCell ref="C38:E38"/>
    <mergeCell ref="C39:E39"/>
    <mergeCell ref="E22:G22"/>
    <mergeCell ref="C40:E40"/>
    <mergeCell ref="C55:D55"/>
    <mergeCell ref="C63:E63"/>
    <mergeCell ref="C68:E68"/>
    <mergeCell ref="C73:E73"/>
    <mergeCell ref="C52:D52"/>
    <mergeCell ref="C56:D56"/>
    <mergeCell ref="C64:E64"/>
    <mergeCell ref="C62:E62"/>
    <mergeCell ref="C57:D57"/>
    <mergeCell ref="C46:D46"/>
    <mergeCell ref="C50:D50"/>
    <mergeCell ref="C48:D48"/>
    <mergeCell ref="C49:D49"/>
    <mergeCell ref="C54:D54"/>
    <mergeCell ref="C53:D53"/>
    <mergeCell ref="C51:D51"/>
    <mergeCell ref="C47:D47"/>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0" orientation="portrait" r:id="rId1"/>
  <headerFooter alignWithMargins="0">
    <oddFooter>&amp;L&amp;11LEL Schwäbisch Gmünd&amp;C26&amp;R&amp;11&amp;F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19" r:id="rId4" name="Check Box 15">
              <controlPr defaultSize="0" autoFill="0" autoLine="0" autoPict="0">
                <anchor moveWithCells="1">
                  <from>
                    <xdr:col>12</xdr:col>
                    <xdr:colOff>104775</xdr:colOff>
                    <xdr:row>2</xdr:row>
                    <xdr:rowOff>247650</xdr:rowOff>
                  </from>
                  <to>
                    <xdr:col>12</xdr:col>
                    <xdr:colOff>371475</xdr:colOff>
                    <xdr:row>3</xdr:row>
                    <xdr:rowOff>200025</xdr:rowOff>
                  </to>
                </anchor>
              </controlPr>
            </control>
          </mc:Choice>
        </mc:AlternateContent>
        <mc:AlternateContent xmlns:mc="http://schemas.openxmlformats.org/markup-compatibility/2006">
          <mc:Choice Requires="x14">
            <control shapeId="72720" r:id="rId5" name="Check Box 16">
              <controlPr defaultSize="0" autoFill="0" autoLine="0" autoPict="0">
                <anchor moveWithCells="1">
                  <from>
                    <xdr:col>12</xdr:col>
                    <xdr:colOff>95250</xdr:colOff>
                    <xdr:row>2</xdr:row>
                    <xdr:rowOff>38100</xdr:rowOff>
                  </from>
                  <to>
                    <xdr:col>12</xdr:col>
                    <xdr:colOff>381000</xdr:colOff>
                    <xdr:row>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SDÖ5!$C$6:$C$33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3">
    <tabColor rgb="FFA9B533"/>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33" width="10.5" style="31" customWidth="1"/>
    <col min="34" max="16384" width="10.5" style="31"/>
  </cols>
  <sheetData>
    <row r="1" spans="1:41" s="274" customFormat="1" ht="30.2" customHeight="1">
      <c r="A1" s="2475"/>
      <c r="B1" s="319"/>
      <c r="C1" s="1876"/>
      <c r="D1" s="136"/>
      <c r="E1" s="316"/>
      <c r="F1" s="316"/>
      <c r="G1" s="4933" t="s">
        <v>1636</v>
      </c>
      <c r="H1" s="4933"/>
      <c r="I1" s="4933"/>
      <c r="J1" s="1874">
        <f>(J7+J13+J18+J22+I11+I12)-(J23+J27+J34+J43+J60+J65+J67+J69+J71+J75)</f>
        <v>1083.9074837689618</v>
      </c>
      <c r="K1" s="4855">
        <f>M1-J1</f>
        <v>328.81229049983745</v>
      </c>
      <c r="L1" s="4855"/>
      <c r="M1" s="1874">
        <f>(M7+M13+M18+M22+L11+L12)-(M23+M27+M34+M43+M60+M65+M67+M69+M71+M75)</f>
        <v>1412.7197742687993</v>
      </c>
      <c r="N1" s="4855">
        <f>P1-M1</f>
        <v>343.88695965122338</v>
      </c>
      <c r="O1" s="4855"/>
      <c r="P1" s="1874">
        <f>(P7+P13+P18+P22+O11+O12)-(P23+P27+P34+P43+P60+P65+P67+P69+P71+P75)</f>
        <v>1756.6067339200226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1893</v>
      </c>
      <c r="L2" s="4867"/>
      <c r="M2" s="4867"/>
      <c r="N2" s="4867"/>
      <c r="O2" s="4867"/>
      <c r="P2" s="4867"/>
      <c r="Q2" s="2475"/>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30</v>
      </c>
      <c r="K6" s="4874" t="s">
        <v>152</v>
      </c>
      <c r="L6" s="4875"/>
      <c r="M6" s="1855">
        <v>40</v>
      </c>
      <c r="N6" s="4861" t="s">
        <v>178</v>
      </c>
      <c r="O6" s="4862"/>
      <c r="P6" s="1854">
        <f>M6*1.25</f>
        <v>50</v>
      </c>
      <c r="Q6" s="70"/>
    </row>
    <row r="7" spans="1:41" s="251" customFormat="1" ht="18.75" customHeight="1">
      <c r="A7" s="47"/>
      <c r="B7" s="305" t="s">
        <v>1633</v>
      </c>
      <c r="C7" s="47"/>
      <c r="D7" s="47"/>
      <c r="E7" s="47"/>
      <c r="F7" s="47"/>
      <c r="G7" s="1852" t="s">
        <v>171</v>
      </c>
      <c r="H7" s="1849"/>
      <c r="I7" s="1848"/>
      <c r="J7" s="1582">
        <f>SUM(I9:I10)</f>
        <v>1089.0000000000002</v>
      </c>
      <c r="K7" s="1851"/>
      <c r="L7" s="1850"/>
      <c r="M7" s="1585">
        <f>SUM(L9:L10)</f>
        <v>1452.0000000000002</v>
      </c>
      <c r="N7" s="1849"/>
      <c r="O7" s="1848"/>
      <c r="P7" s="1582">
        <f>SUM(O9:O10)</f>
        <v>1815.0000000000002</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SDÖ1!O19</f>
        <v>36.300000000000004</v>
      </c>
      <c r="H9" s="1845">
        <f>J6-H10</f>
        <v>30</v>
      </c>
      <c r="I9" s="1841">
        <f>H9*G9</f>
        <v>1089.0000000000002</v>
      </c>
      <c r="J9" s="43"/>
      <c r="K9" s="1844">
        <f>M6-K10</f>
        <v>40</v>
      </c>
      <c r="L9" s="1843">
        <f>K9*G9</f>
        <v>1452.0000000000002</v>
      </c>
      <c r="M9" s="1822"/>
      <c r="N9" s="1842">
        <f>P6-N10</f>
        <v>50</v>
      </c>
      <c r="O9" s="1841">
        <f>N9*G9</f>
        <v>1815.0000000000002</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122.99999999999999</v>
      </c>
      <c r="K23" s="1587"/>
      <c r="L23" s="1586"/>
      <c r="M23" s="1768">
        <f>SUM(L25:L26)</f>
        <v>122.99999999999999</v>
      </c>
      <c r="N23" s="1584"/>
      <c r="O23" s="1583"/>
      <c r="P23" s="1567">
        <f>SUM(O25:O26)</f>
        <v>122.99999999999999</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0.82</v>
      </c>
      <c r="G25" s="1762">
        <f>F25*(100+$D$24)/100</f>
        <v>0.82</v>
      </c>
      <c r="H25" s="1761">
        <v>150</v>
      </c>
      <c r="I25" s="1722">
        <f>H25*$G25</f>
        <v>122.99999999999999</v>
      </c>
      <c r="J25" s="45"/>
      <c r="K25" s="1761">
        <f>H25</f>
        <v>150</v>
      </c>
      <c r="L25" s="1564">
        <f>K25*$G25</f>
        <v>122.99999999999999</v>
      </c>
      <c r="M25" s="1557"/>
      <c r="N25" s="1761">
        <f>H25</f>
        <v>150</v>
      </c>
      <c r="O25" s="1722">
        <f>N25*$G25</f>
        <v>122.99999999999999</v>
      </c>
      <c r="P25" s="1686"/>
      <c r="Q25" s="32"/>
    </row>
    <row r="26" spans="1:20" s="686" customFormat="1" ht="13.9" customHeight="1">
      <c r="A26" s="1248"/>
      <c r="B26" s="1310"/>
      <c r="C26" s="1760" t="s">
        <v>191</v>
      </c>
      <c r="D26" s="4880"/>
      <c r="E26" s="4881"/>
      <c r="F26" s="1759"/>
      <c r="G26" s="1758">
        <f>F26*(100+$D$24)/100</f>
        <v>0</v>
      </c>
      <c r="H26" s="1757"/>
      <c r="I26" s="1718">
        <f>H26*$G26</f>
        <v>0</v>
      </c>
      <c r="J26" s="45"/>
      <c r="K26" s="1757">
        <f>H26</f>
        <v>0</v>
      </c>
      <c r="L26" s="1558">
        <f>K26*$G26</f>
        <v>0</v>
      </c>
      <c r="M26" s="1557"/>
      <c r="N26" s="1757">
        <v>90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345.637</v>
      </c>
      <c r="K27" s="1716"/>
      <c r="L27" s="1715"/>
      <c r="M27" s="1585">
        <f>SUM(L30:L33)</f>
        <v>431.71600000000001</v>
      </c>
      <c r="N27" s="1714"/>
      <c r="O27" s="1713"/>
      <c r="P27" s="1582">
        <f>SUM(O30:O33)</f>
        <v>517.79500000000007</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VLOOKUP('SD8'!B14,'SD8'!B9:K44,3,FALSE)</f>
        <v>1.51</v>
      </c>
      <c r="F30" s="1742"/>
      <c r="G30" s="1741">
        <v>20</v>
      </c>
      <c r="H30" s="1739">
        <f>IF(J$6=0,0,(J$6*$E30+$G30+X13))</f>
        <v>65.3</v>
      </c>
      <c r="I30" s="1722">
        <f>H30*$D30</f>
        <v>285.36099999999999</v>
      </c>
      <c r="J30" s="45"/>
      <c r="K30" s="1740">
        <f>IF(M$6=0,0,(M$6*$E30+$G30+AA14))</f>
        <v>80.400000000000006</v>
      </c>
      <c r="L30" s="1564">
        <f>K30*$D30</f>
        <v>351.34800000000001</v>
      </c>
      <c r="M30" s="1557"/>
      <c r="N30" s="1739">
        <f>IF(P$6=0,0,(P$6*$E30+$G30+AD14))</f>
        <v>95.5</v>
      </c>
      <c r="O30" s="1722">
        <f>N30*$D30</f>
        <v>417.33500000000004</v>
      </c>
      <c r="P30" s="1686"/>
      <c r="Q30" s="32"/>
    </row>
    <row r="31" spans="1:20" s="42" customFormat="1" ht="15" customHeight="1">
      <c r="A31" s="1284"/>
      <c r="B31" s="272"/>
      <c r="C31" s="1284" t="s">
        <v>244</v>
      </c>
      <c r="D31" s="1691">
        <f>IF(SDÖ1!$U$17=TRUE,SDÖ1!O56,0)</f>
        <v>1.3740000000000001</v>
      </c>
      <c r="E31" s="1742">
        <f>VLOOKUP('SD8'!B14,'SD8'!B9:K44,4,FALSE)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2"/>
    </row>
    <row r="32" spans="1:20" s="686" customFormat="1" ht="18.75" customHeight="1">
      <c r="A32" s="1248"/>
      <c r="B32" s="272"/>
      <c r="C32" s="1284" t="s">
        <v>242</v>
      </c>
      <c r="D32" s="1691">
        <f>IF(SDÖ1!$U$17=TRUE,SDÖ1!O57,0)</f>
        <v>1.35</v>
      </c>
      <c r="E32" s="1742">
        <f>VLOOKUP('SD8'!B14,'SD8'!B9:K44,5,FALSE)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2"/>
    </row>
    <row r="33" spans="1:17" s="686" customFormat="1" ht="13.15" customHeight="1">
      <c r="A33" s="1248"/>
      <c r="B33" s="239"/>
      <c r="C33" s="1309" t="s">
        <v>240</v>
      </c>
      <c r="D33" s="1674">
        <f>IF(SDÖ1!$U$17=TRUE,SDÖ1!O58,0)</f>
        <v>0.5</v>
      </c>
      <c r="E33" s="1738">
        <f>VLOOKUP('SD8'!B14,'SD8'!B9:K44,6,FALSE)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148.42015278191593</v>
      </c>
      <c r="K43" s="1716"/>
      <c r="L43" s="1715"/>
      <c r="M43" s="1585">
        <f>SUM(M46:M57)</f>
        <v>153.83113581337813</v>
      </c>
      <c r="N43" s="1714"/>
      <c r="O43" s="1713"/>
      <c r="P43" s="1582">
        <f>SUM(P46:P57)</f>
        <v>144.34129266554621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410</v>
      </c>
      <c r="D51" s="4883"/>
      <c r="E51" s="1693">
        <f>IF($C51=0,0,VLOOKUP($C51,SDÖ3!$C$24:$O$99,4,FALSE))</f>
        <v>83</v>
      </c>
      <c r="F51" s="1692">
        <f>IF($C51=0,0,VLOOKUP($C51,SDÖ3!$C$24:$O$99,12,FALSE))</f>
        <v>0.27</v>
      </c>
      <c r="G51" s="1691">
        <f>IF($C51=0,0,VLOOKUP($C51,SDÖ3!$C$24:$O$99,13,FALSE))</f>
        <v>6.0564781894117647</v>
      </c>
      <c r="H51" s="1688">
        <v>2</v>
      </c>
      <c r="I51" s="1687">
        <f t="shared" si="4"/>
        <v>0.54</v>
      </c>
      <c r="J51" s="1686">
        <f t="shared" si="5"/>
        <v>12.112956378823529</v>
      </c>
      <c r="K51" s="1688">
        <v>2</v>
      </c>
      <c r="L51" s="1690">
        <f t="shared" si="6"/>
        <v>0.54</v>
      </c>
      <c r="M51" s="1689">
        <f t="shared" si="7"/>
        <v>12.112956378823529</v>
      </c>
      <c r="N51" s="1688">
        <v>2</v>
      </c>
      <c r="O51" s="1687">
        <f t="shared" si="8"/>
        <v>0.54</v>
      </c>
      <c r="P51" s="1686">
        <f t="shared" si="9"/>
        <v>12.112956378823529</v>
      </c>
      <c r="Q51" s="32"/>
    </row>
    <row r="52" spans="1:17" s="42" customFormat="1" ht="15" customHeight="1">
      <c r="A52" s="1284"/>
      <c r="B52" s="1694"/>
      <c r="C52" s="4882" t="s">
        <v>459</v>
      </c>
      <c r="D52" s="4883"/>
      <c r="E52" s="1693">
        <f>IF($C52=0,0,VLOOKUP($C52,SDÖ3!$C$24:$O$99,4,FALSE))</f>
        <v>102</v>
      </c>
      <c r="F52" s="1692">
        <f>IF($C52=0,0,VLOOKUP($C52,SDÖ3!$C$24:$O$99,12,FALSE))</f>
        <v>0.79</v>
      </c>
      <c r="G52" s="1691">
        <f>IF($C52=0,0,VLOOKUP($C52,SDÖ3!$C$24:$O$99,13,FALSE))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t="s">
        <v>403</v>
      </c>
      <c r="D54" s="4883"/>
      <c r="E54" s="1693">
        <f>IF($C54=0,0,VLOOKUP($C54,SDÖ3!$C$24:$O$99,4,FALSE))</f>
        <v>83</v>
      </c>
      <c r="F54" s="1692">
        <f>IF($C54=0,0,VLOOKUP($C54,SDÖ3!$C$24:$O$99,12,FALSE))</f>
        <v>0.56000000000000005</v>
      </c>
      <c r="G54" s="1691">
        <f>IF($C54=0,0,VLOOKUP($C54,SDÖ3!$C$24:$O$99,13,FALSE))</f>
        <v>9.6134362447058805</v>
      </c>
      <c r="H54" s="1688">
        <v>1.05</v>
      </c>
      <c r="I54" s="1687">
        <f t="shared" si="4"/>
        <v>0.58800000000000008</v>
      </c>
      <c r="J54" s="1686">
        <f t="shared" si="5"/>
        <v>10.094108056941176</v>
      </c>
      <c r="K54" s="1688">
        <v>1.3</v>
      </c>
      <c r="L54" s="1690">
        <f t="shared" si="6"/>
        <v>0.72800000000000009</v>
      </c>
      <c r="M54" s="1689">
        <f t="shared" si="7"/>
        <v>12.497467118117646</v>
      </c>
      <c r="N54" s="1688"/>
      <c r="O54" s="1687">
        <f t="shared" si="8"/>
        <v>0</v>
      </c>
      <c r="P54" s="1686">
        <f t="shared" si="9"/>
        <v>0</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686" customFormat="1" ht="18.75" customHeight="1">
      <c r="A58" s="1248"/>
      <c r="B58" s="1254" t="s">
        <v>1167</v>
      </c>
      <c r="C58" s="1351"/>
      <c r="D58" s="1351"/>
      <c r="E58" s="1351"/>
      <c r="F58" s="38"/>
      <c r="G58" s="1588"/>
      <c r="H58" s="1665"/>
      <c r="I58" s="1664">
        <f>SUM($I$46:$I$57)</f>
        <v>4.9325714285714293</v>
      </c>
      <c r="J58" s="1669"/>
      <c r="K58" s="1668"/>
      <c r="L58" s="1667">
        <f>SUM($L$46:$L$57)</f>
        <v>5.2474285714285713</v>
      </c>
      <c r="M58" s="1666"/>
      <c r="N58" s="1665"/>
      <c r="O58" s="1664">
        <f>SUM($O$46:$O$57)</f>
        <v>4.6942857142857148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8.8786285714285729</v>
      </c>
      <c r="J59" s="1654"/>
      <c r="K59" s="1659"/>
      <c r="L59" s="1658">
        <f>IF(L58+SUM($L$46:$L$57)*$E$59%&gt;L58+10,L58+10,L58+SUM($L$46:$L$57)*$E$59%)</f>
        <v>9.4453714285714288</v>
      </c>
      <c r="M59" s="1657"/>
      <c r="N59" s="1656"/>
      <c r="O59" s="1655">
        <f>IF(O58+SUM($O$46:$O$57)*$E$59%&gt;O58+10,O58+10,O58+SUM($O$46:$O$57)*$E$59%)</f>
        <v>8.4497142857142862</v>
      </c>
      <c r="P59" s="1654"/>
      <c r="Q59" s="32"/>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90.250000000000014</v>
      </c>
      <c r="Q67" s="32"/>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17.424000000000003</v>
      </c>
      <c r="K69" s="1598"/>
      <c r="L69" s="1597"/>
      <c r="M69" s="1585">
        <f>K70*$F70/1000</f>
        <v>23.232000000000003</v>
      </c>
      <c r="N69" s="44"/>
      <c r="O69" s="73"/>
      <c r="P69" s="1582">
        <f>N70*$F70/1000</f>
        <v>29.040000000000003</v>
      </c>
      <c r="Q69" s="32"/>
    </row>
    <row r="70" spans="1:20" s="686" customFormat="1" ht="15" customHeight="1">
      <c r="A70" s="1248"/>
      <c r="B70" s="1310"/>
      <c r="C70" s="1309" t="s">
        <v>840</v>
      </c>
      <c r="D70" s="346"/>
      <c r="E70" s="278"/>
      <c r="F70" s="1596">
        <f>'SDK7'!G101</f>
        <v>16</v>
      </c>
      <c r="G70" s="1595" t="s">
        <v>171</v>
      </c>
      <c r="H70" s="1591">
        <f>I9+I10</f>
        <v>1089.0000000000002</v>
      </c>
      <c r="I70" s="1590"/>
      <c r="J70" s="1589"/>
      <c r="K70" s="1594">
        <f>L9+L10</f>
        <v>1452.0000000000002</v>
      </c>
      <c r="L70" s="1593"/>
      <c r="M70" s="1592"/>
      <c r="N70" s="1591">
        <f>O9+O10</f>
        <v>1815.0000000000002</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10.661363449122353</v>
      </c>
      <c r="K75" s="3031"/>
      <c r="L75" s="1034"/>
      <c r="M75" s="1546">
        <f>(M23+M27+M34+M43+M60+M65+M67+M69+M71)*('SDK1'!$O$59%*$G$75/12)</f>
        <v>12.301089917822745</v>
      </c>
      <c r="N75" s="1548"/>
      <c r="O75" s="1547"/>
      <c r="P75" s="1546">
        <f>(P23+P27+P34+P43+P60+P65+P67+P69+P71)*('SDK1'!$O$59%*$G$75/12)</f>
        <v>13.766973414431373</v>
      </c>
      <c r="Q75" s="32"/>
    </row>
    <row r="76" spans="1:20">
      <c r="L76" s="33"/>
    </row>
    <row r="77" spans="1:20">
      <c r="L77" s="33"/>
      <c r="N77" s="3585"/>
      <c r="O77" s="3585"/>
      <c r="P77" s="3585"/>
    </row>
    <row r="78" spans="1:20" ht="14.25">
      <c r="C78" s="4950" t="s">
        <v>1888</v>
      </c>
      <c r="D78" s="4951"/>
      <c r="E78" s="4951"/>
      <c r="F78" s="4952"/>
      <c r="G78" s="3585"/>
      <c r="H78" s="3585"/>
      <c r="I78" s="3585"/>
      <c r="J78" s="3585"/>
      <c r="K78" s="3585"/>
      <c r="L78" s="3585"/>
      <c r="M78" s="3585"/>
      <c r="N78" s="3585"/>
      <c r="O78" s="3585"/>
      <c r="P78" s="3585"/>
    </row>
    <row r="79" spans="1:20">
      <c r="C79" s="4943" t="s">
        <v>295</v>
      </c>
      <c r="D79" s="4944"/>
      <c r="E79" s="4944"/>
      <c r="F79" s="4945"/>
      <c r="G79" s="3585"/>
      <c r="H79" s="3585"/>
      <c r="I79" s="3585"/>
      <c r="J79" s="3585"/>
      <c r="K79" s="3585"/>
      <c r="L79" s="3585"/>
      <c r="M79" s="3585"/>
      <c r="N79" s="3585"/>
      <c r="O79" s="3585"/>
      <c r="P79" s="3585"/>
    </row>
    <row r="80" spans="1:20" ht="14.25">
      <c r="B80" s="3046"/>
      <c r="C80" s="3042" t="s">
        <v>1884</v>
      </c>
      <c r="D80" s="3043"/>
      <c r="E80" s="3043"/>
      <c r="F80" s="3044"/>
      <c r="G80" s="3585"/>
      <c r="H80" s="3585"/>
      <c r="I80" s="3585"/>
      <c r="J80" s="3585"/>
      <c r="K80" s="3585"/>
      <c r="L80" s="3585"/>
      <c r="M80" s="3585"/>
      <c r="N80" s="3585"/>
      <c r="O80" s="3585"/>
      <c r="P80" s="3585"/>
    </row>
    <row r="81" spans="2:17" ht="14.25">
      <c r="B81" s="3046"/>
      <c r="C81" s="3042" t="s">
        <v>1885</v>
      </c>
      <c r="D81" s="3043"/>
      <c r="E81" s="3043"/>
      <c r="F81" s="3044"/>
      <c r="G81" s="3585"/>
      <c r="H81" s="3585"/>
      <c r="I81" s="3585"/>
      <c r="J81" s="3585"/>
      <c r="K81" s="3585"/>
      <c r="L81" s="3585"/>
      <c r="M81" s="3585"/>
      <c r="N81" s="3585"/>
      <c r="O81" s="3585"/>
      <c r="P81" s="3585"/>
    </row>
    <row r="82" spans="2:17">
      <c r="B82" s="3046"/>
      <c r="C82" s="3034" t="s">
        <v>294</v>
      </c>
      <c r="D82" s="3035"/>
      <c r="E82" s="3035"/>
      <c r="F82" s="3036"/>
      <c r="G82" s="3585"/>
      <c r="H82" s="3585"/>
      <c r="I82" s="3585"/>
      <c r="J82" s="3585"/>
      <c r="K82" s="3585"/>
      <c r="L82" s="3585"/>
      <c r="M82" s="3585"/>
      <c r="N82" s="3585"/>
      <c r="O82" s="3585"/>
      <c r="P82" s="3585"/>
      <c r="Q82" s="3585"/>
    </row>
    <row r="83" spans="2:17" ht="14.25">
      <c r="B83" s="3046"/>
      <c r="C83" s="3042" t="s">
        <v>1886</v>
      </c>
      <c r="D83" s="3043"/>
      <c r="E83" s="3043"/>
      <c r="F83" s="3044"/>
      <c r="G83" s="3585"/>
      <c r="H83" s="3585"/>
      <c r="I83" s="3585"/>
      <c r="J83" s="3585"/>
      <c r="K83" s="3585"/>
      <c r="L83" s="3585"/>
      <c r="M83" s="3585"/>
      <c r="N83" s="3585"/>
      <c r="O83" s="3585"/>
      <c r="P83" s="3585"/>
    </row>
    <row r="84" spans="2:17" ht="14.25">
      <c r="B84" s="3046"/>
      <c r="C84" s="3042" t="s">
        <v>1887</v>
      </c>
      <c r="D84" s="3043"/>
      <c r="E84" s="3043"/>
      <c r="F84" s="3044"/>
      <c r="G84" s="3585"/>
      <c r="H84" s="3585"/>
      <c r="I84" s="3585"/>
      <c r="J84" s="3585"/>
      <c r="K84" s="3585"/>
      <c r="L84" s="3585"/>
      <c r="M84" s="3585"/>
      <c r="N84" s="3585"/>
      <c r="O84" s="3585"/>
      <c r="P84" s="3585"/>
    </row>
    <row r="85" spans="2:17">
      <c r="B85" s="3046"/>
      <c r="C85" s="3034" t="s">
        <v>293</v>
      </c>
      <c r="D85" s="3035"/>
      <c r="E85" s="3035"/>
      <c r="F85" s="3036"/>
      <c r="G85" s="3585"/>
      <c r="H85" s="3585"/>
      <c r="I85" s="3585"/>
      <c r="J85" s="3585"/>
      <c r="K85" s="3585"/>
      <c r="L85" s="3585"/>
      <c r="M85" s="3585"/>
      <c r="N85" s="3585"/>
      <c r="O85" s="3585"/>
      <c r="P85" s="3585"/>
    </row>
    <row r="86" spans="2:17">
      <c r="B86" s="3046"/>
      <c r="C86" s="3034" t="s">
        <v>292</v>
      </c>
      <c r="D86" s="3035"/>
      <c r="E86" s="3035"/>
      <c r="F86" s="3036"/>
      <c r="G86" s="3585"/>
      <c r="H86" s="3585"/>
      <c r="I86" s="3585"/>
      <c r="J86" s="3585"/>
      <c r="K86" s="3585"/>
      <c r="L86" s="3585"/>
      <c r="M86" s="3585"/>
      <c r="N86" s="3585"/>
      <c r="O86" s="3585"/>
      <c r="P86" s="3585"/>
    </row>
    <row r="87" spans="2:17" ht="14.25">
      <c r="B87" s="3046"/>
      <c r="C87" s="3034" t="s">
        <v>291</v>
      </c>
      <c r="D87" s="3035"/>
      <c r="E87" s="3035"/>
      <c r="F87" s="3036"/>
      <c r="G87" s="3585"/>
      <c r="H87" s="3585"/>
      <c r="I87" s="3585"/>
      <c r="J87" s="3585"/>
      <c r="K87" s="3585"/>
      <c r="L87" s="3585"/>
      <c r="M87" s="3585"/>
      <c r="N87" s="3585"/>
      <c r="O87" s="3585"/>
      <c r="P87" s="3585"/>
    </row>
    <row r="88" spans="2:17" ht="13.15" customHeight="1">
      <c r="B88" s="3046"/>
      <c r="C88" s="3034" t="s">
        <v>290</v>
      </c>
      <c r="D88" s="3037"/>
      <c r="E88" s="3037"/>
      <c r="F88" s="3038"/>
      <c r="G88" s="3585"/>
      <c r="H88" s="3585"/>
      <c r="I88" s="3585"/>
      <c r="J88" s="3585"/>
      <c r="K88" s="3585"/>
      <c r="L88" s="3585"/>
      <c r="M88" s="3585"/>
      <c r="N88" s="3585"/>
      <c r="O88" s="3585"/>
      <c r="P88" s="3585"/>
    </row>
    <row r="89" spans="2:17">
      <c r="B89" s="3046"/>
      <c r="C89" s="3034" t="s">
        <v>289</v>
      </c>
      <c r="D89" s="3037"/>
      <c r="E89" s="3037"/>
      <c r="F89" s="3038"/>
      <c r="G89" s="3585"/>
      <c r="H89" s="3585"/>
      <c r="I89" s="3585"/>
      <c r="J89" s="3585"/>
      <c r="K89" s="3585"/>
      <c r="L89" s="3585"/>
      <c r="M89" s="3585"/>
      <c r="N89" s="3585"/>
      <c r="O89" s="3585"/>
      <c r="P89" s="3585"/>
    </row>
    <row r="90" spans="2:17" ht="25.5">
      <c r="B90" s="3046"/>
      <c r="C90" s="3039" t="s">
        <v>288</v>
      </c>
      <c r="D90" s="3040"/>
      <c r="E90" s="3040"/>
      <c r="F90" s="3041"/>
      <c r="G90" s="3585"/>
      <c r="H90" s="3585"/>
      <c r="I90" s="3585"/>
      <c r="J90" s="3585"/>
      <c r="K90" s="3585"/>
      <c r="L90" s="3585"/>
      <c r="M90" s="3585"/>
      <c r="N90" s="3585"/>
      <c r="O90" s="3585"/>
      <c r="P90" s="3585"/>
    </row>
    <row r="91" spans="2:17">
      <c r="C91" s="2506"/>
      <c r="D91" s="2506"/>
      <c r="E91" s="2506"/>
      <c r="F91" s="2506"/>
      <c r="G91" s="3585"/>
      <c r="H91" s="3585"/>
      <c r="I91" s="3585"/>
      <c r="J91" s="3585"/>
      <c r="K91" s="3585"/>
      <c r="L91" s="3585"/>
      <c r="M91" s="3585"/>
      <c r="N91" s="3585"/>
      <c r="O91" s="3585"/>
      <c r="P91" s="3585"/>
    </row>
    <row r="92" spans="2:17">
      <c r="C92" s="2506"/>
      <c r="D92" s="2506"/>
      <c r="E92" s="2506"/>
      <c r="F92" s="2506"/>
      <c r="G92" s="3585"/>
      <c r="H92" s="3585"/>
      <c r="I92" s="3585"/>
      <c r="J92" s="3585"/>
      <c r="K92" s="3585"/>
      <c r="L92" s="3585"/>
      <c r="M92" s="3585"/>
      <c r="N92" s="3585"/>
      <c r="O92" s="3585"/>
      <c r="P92" s="3585"/>
    </row>
    <row r="93" spans="2:17">
      <c r="C93" s="2506"/>
      <c r="D93" s="2506"/>
      <c r="E93" s="2506"/>
      <c r="F93" s="2506"/>
      <c r="G93" s="3585"/>
      <c r="H93" s="3585"/>
      <c r="I93" s="3585"/>
      <c r="J93" s="3585"/>
      <c r="K93" s="3585"/>
      <c r="L93" s="3585"/>
      <c r="M93" s="3585"/>
      <c r="N93" s="3585"/>
      <c r="O93" s="3585"/>
      <c r="P93" s="3585"/>
    </row>
    <row r="94" spans="2:17">
      <c r="C94" s="2506"/>
      <c r="D94" s="2506"/>
      <c r="E94" s="2506"/>
      <c r="F94" s="2506"/>
      <c r="G94" s="3585"/>
      <c r="H94" s="3585"/>
      <c r="I94" s="3585"/>
      <c r="J94" s="3585"/>
      <c r="K94" s="3585"/>
      <c r="L94" s="3585"/>
      <c r="M94" s="3585"/>
      <c r="N94" s="3585"/>
      <c r="O94" s="3585"/>
      <c r="P94" s="3585"/>
    </row>
    <row r="95" spans="2:17">
      <c r="C95" s="2506"/>
      <c r="D95" s="2506"/>
      <c r="E95" s="2506"/>
      <c r="F95" s="2506"/>
      <c r="G95" s="3585"/>
      <c r="H95" s="3585"/>
      <c r="I95" s="3585"/>
      <c r="J95" s="3585"/>
      <c r="K95" s="3585"/>
      <c r="L95" s="3585"/>
      <c r="M95" s="3585"/>
      <c r="N95" s="3585"/>
      <c r="O95" s="3585"/>
      <c r="P95" s="3585"/>
    </row>
    <row r="96" spans="2:17">
      <c r="C96" s="2506"/>
      <c r="D96" s="2506"/>
      <c r="E96" s="2506"/>
      <c r="F96" s="2506"/>
      <c r="G96" s="3585"/>
      <c r="H96" s="3585"/>
      <c r="I96" s="3585"/>
      <c r="J96" s="3585"/>
      <c r="K96" s="3585"/>
      <c r="L96" s="3585"/>
      <c r="M96" s="3585"/>
      <c r="N96" s="3585"/>
      <c r="O96" s="3585"/>
      <c r="P96" s="3585"/>
    </row>
    <row r="97" spans="2:17">
      <c r="C97" s="2506"/>
      <c r="E97" s="2506"/>
      <c r="G97" s="3585"/>
      <c r="H97" s="3585"/>
      <c r="I97" s="3585"/>
      <c r="J97" s="3585"/>
      <c r="K97" s="3585"/>
      <c r="L97" s="3585"/>
      <c r="M97" s="3585"/>
      <c r="N97" s="3585"/>
      <c r="O97" s="3585"/>
      <c r="P97" s="3585"/>
    </row>
    <row r="98" spans="2:17">
      <c r="C98" s="2506"/>
      <c r="D98" s="2506"/>
      <c r="E98" s="2506"/>
      <c r="G98" s="3585"/>
      <c r="H98" s="3585"/>
      <c r="I98" s="3585"/>
      <c r="J98" s="3585"/>
      <c r="K98" s="3585"/>
      <c r="L98" s="3585"/>
      <c r="M98" s="3585"/>
      <c r="N98" s="3585"/>
      <c r="O98" s="3585"/>
      <c r="P98" s="3585"/>
    </row>
    <row r="99" spans="2:17">
      <c r="B99" s="33"/>
      <c r="C99" s="2506"/>
      <c r="D99" s="2506"/>
      <c r="E99" s="2506"/>
      <c r="G99" s="3585"/>
      <c r="H99" s="3585"/>
      <c r="I99" s="3585"/>
      <c r="J99" s="3585"/>
      <c r="K99" s="3585"/>
      <c r="L99" s="3585"/>
      <c r="M99" s="3585"/>
      <c r="N99" s="3585"/>
      <c r="O99" s="3585"/>
      <c r="P99" s="3585"/>
    </row>
    <row r="100" spans="2:17">
      <c r="B100" s="33"/>
      <c r="C100" s="2506"/>
      <c r="D100" s="2506"/>
      <c r="E100" s="2506"/>
      <c r="G100" s="3585"/>
      <c r="H100" s="3585"/>
      <c r="I100" s="3585"/>
      <c r="J100" s="3585"/>
      <c r="K100" s="3585"/>
      <c r="L100" s="3585"/>
      <c r="M100" s="3585"/>
      <c r="N100" s="3585"/>
      <c r="O100" s="3585"/>
      <c r="P100" s="3585"/>
    </row>
    <row r="101" spans="2:17">
      <c r="B101" s="33"/>
      <c r="C101" s="33"/>
      <c r="D101" s="33"/>
      <c r="G101" s="3585"/>
      <c r="H101" s="3585"/>
      <c r="I101" s="3585"/>
      <c r="J101" s="3585"/>
      <c r="K101" s="3585"/>
      <c r="L101" s="3585"/>
      <c r="M101" s="3585"/>
      <c r="N101" s="3585"/>
      <c r="O101" s="3585"/>
      <c r="P101" s="3585"/>
    </row>
    <row r="102" spans="2:17">
      <c r="B102" s="33"/>
      <c r="C102" s="33"/>
      <c r="D102" s="33"/>
      <c r="G102" s="3585"/>
      <c r="H102" s="3585"/>
      <c r="I102" s="3585"/>
      <c r="J102" s="3585"/>
      <c r="K102" s="3585"/>
      <c r="L102" s="3585"/>
      <c r="M102" s="3585"/>
      <c r="N102" s="3585"/>
      <c r="O102" s="3585"/>
      <c r="P102" s="3585"/>
    </row>
    <row r="103" spans="2:17">
      <c r="B103" s="33"/>
      <c r="C103" s="33"/>
      <c r="D103" s="33"/>
      <c r="G103" s="3585"/>
      <c r="H103" s="3585"/>
      <c r="I103" s="3585"/>
      <c r="J103" s="3585"/>
      <c r="K103" s="3585"/>
      <c r="L103" s="3585"/>
      <c r="M103" s="3585"/>
      <c r="N103" s="3585"/>
      <c r="O103" s="3585"/>
      <c r="P103" s="3585"/>
    </row>
    <row r="104" spans="2:17">
      <c r="B104" s="33"/>
      <c r="C104" s="33"/>
      <c r="D104" s="33"/>
      <c r="G104" s="3585"/>
      <c r="H104" s="3585"/>
      <c r="I104" s="3585"/>
      <c r="J104" s="3585"/>
      <c r="K104" s="3585"/>
      <c r="L104" s="3585"/>
      <c r="M104" s="3585"/>
      <c r="N104" s="3585"/>
      <c r="O104" s="3585"/>
      <c r="P104" s="3585"/>
    </row>
    <row r="105" spans="2:17">
      <c r="B105" s="33"/>
      <c r="C105" s="33"/>
      <c r="D105" s="33"/>
      <c r="G105" s="3585"/>
      <c r="H105" s="3585"/>
      <c r="I105" s="3585"/>
      <c r="J105" s="3585"/>
      <c r="K105" s="3585"/>
      <c r="L105" s="3585"/>
      <c r="M105" s="3585"/>
      <c r="N105" s="3585"/>
      <c r="O105" s="3585"/>
      <c r="P105" s="3585"/>
    </row>
    <row r="106" spans="2:17">
      <c r="B106" s="33"/>
      <c r="C106" s="33"/>
      <c r="D106" s="33"/>
      <c r="G106" s="3585"/>
      <c r="H106" s="3585"/>
      <c r="I106" s="3585"/>
      <c r="J106" s="3585"/>
      <c r="K106" s="3585"/>
      <c r="L106" s="3585"/>
      <c r="M106" s="3585"/>
      <c r="N106" s="3585"/>
      <c r="O106" s="3585"/>
      <c r="P106" s="3585"/>
    </row>
    <row r="107" spans="2:17">
      <c r="B107" s="33"/>
      <c r="C107" s="33"/>
      <c r="D107" s="33"/>
      <c r="G107" s="3585"/>
      <c r="H107" s="3585"/>
      <c r="I107" s="3585"/>
      <c r="J107" s="3585"/>
      <c r="K107" s="3585"/>
      <c r="L107" s="3585"/>
      <c r="M107" s="3585"/>
      <c r="N107" s="3585"/>
      <c r="O107" s="3585"/>
      <c r="P107" s="3585"/>
    </row>
    <row r="108" spans="2:17">
      <c r="G108" s="3585"/>
      <c r="H108" s="3585"/>
      <c r="I108" s="3585"/>
      <c r="J108" s="3585"/>
      <c r="K108" s="3585"/>
      <c r="L108" s="3585"/>
      <c r="M108" s="3585"/>
      <c r="N108" s="3585"/>
      <c r="O108" s="3585"/>
      <c r="P108" s="3585"/>
    </row>
    <row r="109" spans="2:17">
      <c r="G109" s="3585"/>
      <c r="H109" s="3585"/>
      <c r="I109" s="3585"/>
      <c r="J109" s="3585"/>
      <c r="K109" s="3585"/>
      <c r="L109" s="3585"/>
      <c r="M109" s="3585"/>
      <c r="N109" s="3585"/>
      <c r="O109" s="3585"/>
      <c r="P109" s="3585"/>
    </row>
    <row r="110" spans="2:17">
      <c r="G110" s="3585"/>
      <c r="H110" s="3585"/>
      <c r="I110" s="3585"/>
      <c r="J110" s="3585"/>
      <c r="K110" s="3585"/>
      <c r="L110" s="3585"/>
      <c r="M110" s="3585"/>
      <c r="N110" s="3585"/>
      <c r="O110" s="3585"/>
      <c r="P110" s="3585"/>
    </row>
    <row r="111" spans="2:17">
      <c r="F111" s="3585"/>
      <c r="G111" s="3585"/>
      <c r="H111" s="3585"/>
      <c r="I111" s="3585"/>
      <c r="J111" s="3585"/>
      <c r="K111" s="3585"/>
      <c r="L111" s="3585"/>
      <c r="M111" s="3585"/>
      <c r="N111" s="3585"/>
      <c r="O111" s="3585"/>
      <c r="P111" s="3585"/>
      <c r="Q111" s="3585"/>
    </row>
    <row r="112" spans="2:17">
      <c r="F112" s="3585"/>
      <c r="G112" s="3585"/>
      <c r="H112" s="3585"/>
      <c r="I112" s="3585"/>
      <c r="J112" s="3585"/>
      <c r="K112" s="3585"/>
      <c r="L112" s="3585"/>
      <c r="M112" s="3585"/>
      <c r="N112" s="3585"/>
      <c r="O112" s="3585"/>
      <c r="P112" s="3585"/>
      <c r="Q112" s="3585"/>
    </row>
    <row r="113" spans="2:17">
      <c r="F113" s="3585"/>
      <c r="G113" s="3585"/>
      <c r="H113" s="3585"/>
      <c r="I113" s="3585"/>
      <c r="J113" s="3585"/>
      <c r="K113" s="3585"/>
      <c r="L113" s="3585"/>
      <c r="M113" s="3585"/>
      <c r="N113" s="3585"/>
      <c r="O113" s="3585"/>
      <c r="P113" s="3585"/>
      <c r="Q113" s="3585"/>
    </row>
    <row r="114" spans="2:17">
      <c r="F114" s="3585"/>
      <c r="G114" s="3585"/>
      <c r="H114" s="3585"/>
      <c r="I114" s="3585"/>
      <c r="J114" s="3585"/>
      <c r="K114" s="3585"/>
      <c r="L114" s="3585"/>
      <c r="M114" s="3585"/>
      <c r="N114" s="3585"/>
      <c r="O114" s="3585"/>
      <c r="P114" s="3585"/>
      <c r="Q114" s="3585"/>
    </row>
    <row r="115" spans="2:17">
      <c r="F115" s="3585"/>
      <c r="G115" s="3585"/>
      <c r="H115" s="3585"/>
      <c r="I115" s="3585"/>
      <c r="J115" s="3585"/>
      <c r="K115" s="3585"/>
      <c r="L115" s="3585"/>
      <c r="M115" s="3585"/>
      <c r="N115" s="3585"/>
      <c r="O115" s="3585"/>
      <c r="P115" s="3585"/>
      <c r="Q115" s="3585"/>
    </row>
    <row r="116" spans="2:17">
      <c r="F116" s="3585"/>
      <c r="G116" s="3585"/>
      <c r="H116" s="3585"/>
      <c r="I116" s="3585"/>
      <c r="J116" s="3585"/>
      <c r="K116" s="3585"/>
      <c r="L116" s="3585"/>
      <c r="M116" s="3585"/>
      <c r="N116" s="3585"/>
      <c r="O116" s="3585"/>
      <c r="P116" s="3585"/>
      <c r="Q116" s="3585"/>
    </row>
    <row r="117" spans="2:17">
      <c r="F117" s="3585"/>
      <c r="G117" s="3585"/>
      <c r="H117" s="3585"/>
      <c r="I117" s="3585"/>
      <c r="J117" s="3585"/>
      <c r="K117" s="3585"/>
      <c r="L117" s="3585"/>
      <c r="M117" s="3585"/>
      <c r="N117" s="3585"/>
      <c r="O117" s="3585"/>
      <c r="P117" s="3585"/>
      <c r="Q117" s="3585"/>
    </row>
    <row r="118" spans="2:17">
      <c r="B118" s="600"/>
      <c r="C118" s="33"/>
      <c r="F118" s="3585"/>
      <c r="G118" s="3585"/>
      <c r="H118" s="3585"/>
      <c r="I118" s="3585"/>
      <c r="J118" s="3585"/>
      <c r="K118" s="3585"/>
      <c r="L118" s="3585"/>
      <c r="M118" s="3585"/>
      <c r="N118" s="3585"/>
      <c r="O118" s="3585"/>
      <c r="P118" s="3585"/>
      <c r="Q118" s="3585"/>
    </row>
    <row r="119" spans="2:17">
      <c r="B119" s="600"/>
      <c r="C119" s="33"/>
      <c r="F119" s="3585"/>
      <c r="G119" s="3585"/>
      <c r="H119" s="3585"/>
      <c r="I119" s="3585"/>
      <c r="J119" s="3585"/>
      <c r="K119" s="3585"/>
      <c r="L119" s="3585"/>
      <c r="M119" s="3585"/>
      <c r="N119" s="3585"/>
      <c r="O119" s="3585"/>
      <c r="P119" s="3585"/>
      <c r="Q119" s="3585"/>
    </row>
    <row r="120" spans="2:17">
      <c r="B120" s="600"/>
      <c r="C120" s="33"/>
      <c r="F120" s="3585"/>
      <c r="G120" s="3585"/>
      <c r="H120" s="3585"/>
      <c r="I120" s="3585"/>
      <c r="J120" s="3585"/>
      <c r="K120" s="3585"/>
      <c r="L120" s="3585"/>
      <c r="M120" s="3585"/>
      <c r="N120" s="3585"/>
      <c r="O120" s="3585"/>
      <c r="P120" s="3585"/>
      <c r="Q120" s="3585"/>
    </row>
    <row r="121" spans="2:17">
      <c r="B121" s="600"/>
      <c r="C121" s="33"/>
      <c r="F121" s="3585"/>
      <c r="G121" s="3585"/>
      <c r="H121" s="3585"/>
      <c r="I121" s="3585"/>
      <c r="J121" s="3585"/>
      <c r="K121" s="3585"/>
      <c r="L121" s="3585"/>
      <c r="M121" s="3585"/>
      <c r="N121" s="3585"/>
      <c r="O121" s="3585"/>
      <c r="P121" s="3585"/>
      <c r="Q121" s="3585"/>
    </row>
    <row r="122" spans="2:17">
      <c r="B122" s="600"/>
      <c r="C122" s="33"/>
      <c r="F122" s="3585"/>
      <c r="G122" s="3585"/>
      <c r="H122" s="3585"/>
      <c r="I122" s="3585"/>
      <c r="J122" s="3585"/>
      <c r="K122" s="3585"/>
      <c r="L122" s="3585"/>
      <c r="M122" s="3585"/>
      <c r="N122" s="3585"/>
      <c r="O122" s="3585"/>
      <c r="P122" s="3585"/>
      <c r="Q122" s="3585"/>
    </row>
    <row r="123" spans="2:17">
      <c r="B123" s="600"/>
      <c r="C123" s="33"/>
      <c r="F123" s="3585"/>
      <c r="G123" s="3585"/>
      <c r="H123" s="3585"/>
      <c r="I123" s="3585"/>
      <c r="J123" s="3585"/>
      <c r="K123" s="3585"/>
      <c r="L123" s="3585"/>
      <c r="M123" s="3585"/>
      <c r="N123" s="3585"/>
      <c r="O123" s="3585"/>
      <c r="P123" s="3585"/>
      <c r="Q123" s="3585"/>
    </row>
    <row r="124" spans="2:17">
      <c r="B124" s="600"/>
      <c r="C124" s="33"/>
      <c r="F124" s="3585"/>
      <c r="G124" s="3585"/>
      <c r="H124" s="3585"/>
      <c r="I124" s="3585"/>
      <c r="J124" s="3585"/>
      <c r="K124" s="3585"/>
      <c r="L124" s="3585"/>
      <c r="M124" s="3585"/>
      <c r="N124" s="3585"/>
      <c r="O124" s="3585"/>
      <c r="P124" s="3585"/>
      <c r="Q124" s="3585"/>
    </row>
    <row r="125" spans="2:17">
      <c r="B125" s="600"/>
      <c r="C125" s="33"/>
      <c r="F125" s="3585"/>
      <c r="G125" s="3585"/>
      <c r="H125" s="3585"/>
      <c r="I125" s="3585"/>
      <c r="J125" s="3585"/>
      <c r="K125" s="3585"/>
      <c r="L125" s="3585"/>
      <c r="M125" s="3585"/>
      <c r="N125" s="3585"/>
      <c r="O125" s="3585"/>
      <c r="P125" s="3585"/>
      <c r="Q125" s="3585"/>
    </row>
    <row r="126" spans="2:17">
      <c r="B126" s="600"/>
      <c r="C126" s="33"/>
      <c r="F126" s="3585"/>
      <c r="G126" s="3585"/>
      <c r="H126" s="3585"/>
      <c r="I126" s="3585"/>
      <c r="J126" s="3585"/>
      <c r="K126" s="3585"/>
      <c r="L126" s="3585"/>
      <c r="M126" s="3585"/>
      <c r="N126" s="3585"/>
      <c r="O126" s="3585"/>
      <c r="P126" s="3585"/>
      <c r="Q126" s="3585"/>
    </row>
    <row r="127" spans="2:17">
      <c r="B127" s="600"/>
      <c r="C127" s="33"/>
      <c r="F127" s="3585"/>
      <c r="G127" s="3585"/>
      <c r="H127" s="3585"/>
      <c r="I127" s="3585"/>
      <c r="J127" s="3585"/>
      <c r="K127" s="3585"/>
      <c r="L127" s="3585"/>
      <c r="M127" s="3585"/>
      <c r="N127" s="3585"/>
      <c r="O127" s="3585"/>
      <c r="P127" s="3585"/>
      <c r="Q127" s="3585"/>
    </row>
    <row r="128" spans="2:17">
      <c r="B128" s="600"/>
      <c r="C128" s="33"/>
      <c r="F128" s="3585"/>
      <c r="G128" s="3585"/>
      <c r="H128" s="3585"/>
      <c r="I128" s="3585"/>
      <c r="J128" s="3585"/>
      <c r="K128" s="3585"/>
      <c r="L128" s="3585"/>
      <c r="M128" s="3585"/>
      <c r="N128" s="3585"/>
      <c r="O128" s="3585"/>
      <c r="P128" s="3585"/>
      <c r="Q128" s="3585"/>
    </row>
    <row r="129" spans="2:17">
      <c r="B129" s="600"/>
      <c r="C129" s="33"/>
      <c r="F129" s="3585"/>
      <c r="G129" s="3585"/>
      <c r="H129" s="3585"/>
      <c r="I129" s="3585"/>
      <c r="J129" s="3585"/>
      <c r="K129" s="3585"/>
      <c r="L129" s="3585"/>
      <c r="M129" s="3585"/>
      <c r="N129" s="3585"/>
      <c r="O129" s="3585"/>
      <c r="P129" s="3585"/>
      <c r="Q129" s="3585"/>
    </row>
    <row r="130" spans="2:17">
      <c r="B130" s="600"/>
      <c r="C130" s="33"/>
      <c r="F130" s="3585"/>
      <c r="G130" s="3585"/>
      <c r="H130" s="3585"/>
      <c r="I130" s="3585"/>
      <c r="J130" s="3585"/>
      <c r="K130" s="3585"/>
      <c r="L130" s="3585"/>
      <c r="M130" s="3585"/>
      <c r="N130" s="3585"/>
      <c r="O130" s="3585"/>
      <c r="P130" s="3585"/>
      <c r="Q130" s="3585"/>
    </row>
    <row r="131" spans="2:17">
      <c r="B131" s="600"/>
      <c r="C131" s="33"/>
      <c r="F131" s="3585"/>
      <c r="G131" s="3585"/>
      <c r="H131" s="3585"/>
      <c r="I131" s="3585"/>
      <c r="J131" s="3585"/>
      <c r="K131" s="3585"/>
      <c r="L131" s="3585"/>
      <c r="M131" s="3585"/>
      <c r="N131" s="3585"/>
      <c r="O131" s="3585"/>
      <c r="P131" s="3585"/>
      <c r="Q131" s="3585"/>
    </row>
    <row r="132" spans="2:17">
      <c r="B132" s="600"/>
      <c r="C132" s="33"/>
      <c r="F132" s="3585"/>
      <c r="G132" s="3585"/>
      <c r="H132" s="3585"/>
      <c r="I132" s="3585"/>
      <c r="J132" s="3585"/>
      <c r="K132" s="3585"/>
      <c r="L132" s="3585"/>
      <c r="M132" s="3585"/>
      <c r="N132" s="3585"/>
      <c r="O132" s="3585"/>
      <c r="P132" s="3585"/>
      <c r="Q132" s="3585"/>
    </row>
    <row r="133" spans="2:17">
      <c r="B133" s="600"/>
      <c r="C133" s="33"/>
      <c r="F133" s="3585"/>
      <c r="G133" s="3585"/>
      <c r="H133" s="3585"/>
      <c r="I133" s="3585"/>
      <c r="J133" s="3585"/>
      <c r="K133" s="3585"/>
      <c r="L133" s="3585"/>
      <c r="M133" s="3585"/>
      <c r="N133" s="3585"/>
      <c r="O133" s="3585"/>
      <c r="P133" s="3585"/>
      <c r="Q133" s="3585"/>
    </row>
    <row r="134" spans="2:17">
      <c r="B134" s="600"/>
      <c r="C134" s="33"/>
      <c r="F134" s="3585"/>
      <c r="G134" s="3585"/>
      <c r="H134" s="3585"/>
      <c r="I134" s="3585"/>
      <c r="J134" s="3585"/>
      <c r="K134" s="3585"/>
      <c r="L134" s="3585"/>
      <c r="M134" s="3585"/>
      <c r="N134" s="3585"/>
      <c r="O134" s="3585"/>
      <c r="P134" s="3585"/>
      <c r="Q134" s="3585"/>
    </row>
    <row r="135" spans="2:17">
      <c r="B135" s="600"/>
      <c r="C135" s="33"/>
      <c r="F135" s="3585"/>
      <c r="G135" s="3585"/>
      <c r="H135" s="3585"/>
      <c r="I135" s="3585"/>
      <c r="J135" s="3585"/>
      <c r="K135" s="3585"/>
      <c r="L135" s="3585"/>
      <c r="M135" s="3585"/>
      <c r="N135" s="3585"/>
      <c r="O135" s="3585"/>
      <c r="P135" s="3585"/>
      <c r="Q135" s="3585"/>
    </row>
    <row r="136" spans="2:17">
      <c r="B136" s="600"/>
      <c r="C136" s="33"/>
      <c r="F136" s="3585"/>
      <c r="G136" s="3585"/>
      <c r="H136" s="3585"/>
      <c r="I136" s="3585"/>
      <c r="J136" s="3585"/>
      <c r="K136" s="3585"/>
      <c r="L136" s="3585"/>
      <c r="M136" s="3585"/>
      <c r="N136" s="3585"/>
      <c r="O136" s="3585"/>
      <c r="P136" s="3585"/>
      <c r="Q136" s="3585"/>
    </row>
    <row r="137" spans="2:17">
      <c r="B137" s="600"/>
      <c r="C137" s="33"/>
      <c r="F137" s="3585"/>
      <c r="G137" s="3585"/>
      <c r="H137" s="3585"/>
      <c r="I137" s="3585"/>
      <c r="J137" s="3585"/>
      <c r="K137" s="3585"/>
      <c r="L137" s="3585"/>
      <c r="M137" s="3585"/>
      <c r="N137" s="3585"/>
      <c r="O137" s="3585"/>
      <c r="P137" s="3585"/>
      <c r="Q137" s="3585"/>
    </row>
    <row r="138" spans="2:17">
      <c r="B138" s="600"/>
      <c r="C138" s="33"/>
      <c r="F138" s="3585"/>
      <c r="G138" s="3585"/>
      <c r="H138" s="3585"/>
      <c r="I138" s="3585"/>
      <c r="J138" s="3585"/>
      <c r="K138" s="3585"/>
      <c r="L138" s="3585"/>
      <c r="M138" s="3585"/>
      <c r="N138" s="3585"/>
      <c r="O138" s="3585"/>
      <c r="P138" s="3585"/>
      <c r="Q138" s="3585"/>
    </row>
    <row r="139" spans="2:17">
      <c r="B139" s="600"/>
      <c r="C139" s="33"/>
      <c r="F139" s="3585"/>
      <c r="G139" s="3585"/>
      <c r="H139" s="3585"/>
      <c r="I139" s="3585"/>
      <c r="J139" s="3585"/>
      <c r="K139" s="3585"/>
      <c r="L139" s="3585"/>
      <c r="M139" s="3585"/>
      <c r="N139" s="3585"/>
      <c r="O139" s="3585"/>
      <c r="P139" s="3585"/>
      <c r="Q139" s="3585"/>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D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8:F78"/>
    <mergeCell ref="C79:F79"/>
    <mergeCell ref="C50:D50"/>
    <mergeCell ref="K1:L1"/>
    <mergeCell ref="N1:O1"/>
    <mergeCell ref="C16:F16"/>
    <mergeCell ref="C64:E64"/>
    <mergeCell ref="C49:D49"/>
    <mergeCell ref="C53:D53"/>
    <mergeCell ref="C48:D48"/>
    <mergeCell ref="C46:D46"/>
    <mergeCell ref="C37:E37"/>
    <mergeCell ref="G1:I1"/>
    <mergeCell ref="C38:E38"/>
    <mergeCell ref="C39:E39"/>
    <mergeCell ref="C40:E40"/>
    <mergeCell ref="C17:F17"/>
    <mergeCell ref="C56:D56"/>
    <mergeCell ref="C36:E36"/>
    <mergeCell ref="C51:D51"/>
    <mergeCell ref="C52:D52"/>
    <mergeCell ref="C54:D54"/>
    <mergeCell ref="C19:F19"/>
    <mergeCell ref="F23:G23"/>
    <mergeCell ref="D25:E25"/>
    <mergeCell ref="E22:G22"/>
    <mergeCell ref="C20:F20"/>
    <mergeCell ref="C21:F21"/>
    <mergeCell ref="K2:P2"/>
    <mergeCell ref="C14:F14"/>
    <mergeCell ref="C15:F15"/>
    <mergeCell ref="N6:O6"/>
    <mergeCell ref="E10:F10"/>
    <mergeCell ref="K6:L6"/>
    <mergeCell ref="E4:I4"/>
    <mergeCell ref="N3:O4"/>
    <mergeCell ref="J3:L3"/>
    <mergeCell ref="J4:L4"/>
    <mergeCell ref="H6:I6"/>
    <mergeCell ref="B75:C75"/>
    <mergeCell ref="D26:E26"/>
    <mergeCell ref="F34:G34"/>
    <mergeCell ref="C42:E42"/>
    <mergeCell ref="C57:D57"/>
    <mergeCell ref="C55:D55"/>
    <mergeCell ref="C62:E62"/>
    <mergeCell ref="C63:E63"/>
    <mergeCell ref="C68:E68"/>
    <mergeCell ref="C73:E73"/>
    <mergeCell ref="C74:E74"/>
    <mergeCell ref="C41:E41"/>
    <mergeCell ref="C47:D47"/>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3743" r:id="rId4" name="Check Box 15">
              <controlPr defaultSize="0" autoFill="0" autoLine="0" autoPict="0">
                <anchor moveWithCells="1">
                  <from>
                    <xdr:col>12</xdr:col>
                    <xdr:colOff>133350</xdr:colOff>
                    <xdr:row>2</xdr:row>
                    <xdr:rowOff>257175</xdr:rowOff>
                  </from>
                  <to>
                    <xdr:col>12</xdr:col>
                    <xdr:colOff>285750</xdr:colOff>
                    <xdr:row>3</xdr:row>
                    <xdr:rowOff>209550</xdr:rowOff>
                  </to>
                </anchor>
              </controlPr>
            </control>
          </mc:Choice>
        </mc:AlternateContent>
        <mc:AlternateContent xmlns:mc="http://schemas.openxmlformats.org/markup-compatibility/2006">
          <mc:Choice Requires="x14">
            <control shapeId="73744" r:id="rId5" name="Check Box 16">
              <controlPr defaultSize="0" autoFill="0" autoLine="0" autoPict="0">
                <anchor moveWithCells="1">
                  <from>
                    <xdr:col>12</xdr:col>
                    <xdr:colOff>133350</xdr:colOff>
                    <xdr:row>2</xdr:row>
                    <xdr:rowOff>57150</xdr:rowOff>
                  </from>
                  <to>
                    <xdr:col>12</xdr:col>
                    <xdr:colOff>419100</xdr:colOff>
                    <xdr:row>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4">
    <tabColor rgb="FFFFFF99"/>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1184.7325668398285</v>
      </c>
      <c r="K1" s="4855">
        <f>M1-J1</f>
        <v>361.07176263457086</v>
      </c>
      <c r="L1" s="4855"/>
      <c r="M1" s="1874">
        <f>(M7+M13+M18+M22+L11+L12)-(M23+M27+M34+M43+M60+M65+M67+M69+M71+M75)</f>
        <v>1545.8043294743993</v>
      </c>
      <c r="N1" s="4855">
        <f>P1-M1</f>
        <v>361.07176263457109</v>
      </c>
      <c r="O1" s="4855"/>
      <c r="P1" s="1874">
        <f>(P7+P13+P18+P22+O11+O12)-(P23+P27+P34+P43+P60+P65+P67+P69+P71+P75)</f>
        <v>1906.8760921089704</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1894</v>
      </c>
      <c r="L2" s="4867"/>
      <c r="M2" s="4867"/>
      <c r="N2" s="4867"/>
      <c r="O2" s="4867"/>
      <c r="P2" s="4867"/>
      <c r="Q2" s="2475"/>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30</v>
      </c>
      <c r="K6" s="4874" t="s">
        <v>152</v>
      </c>
      <c r="L6" s="4875"/>
      <c r="M6" s="1855">
        <v>40</v>
      </c>
      <c r="N6" s="4861" t="s">
        <v>178</v>
      </c>
      <c r="O6" s="4862"/>
      <c r="P6" s="1854">
        <f>M6*1.25</f>
        <v>50</v>
      </c>
      <c r="Q6" s="70"/>
    </row>
    <row r="7" spans="1:41" s="251" customFormat="1" ht="18.75" customHeight="1">
      <c r="A7" s="47"/>
      <c r="B7" s="305" t="s">
        <v>1633</v>
      </c>
      <c r="C7" s="47"/>
      <c r="D7" s="47"/>
      <c r="E7" s="47"/>
      <c r="F7" s="47"/>
      <c r="G7" s="1852" t="s">
        <v>171</v>
      </c>
      <c r="H7" s="1849"/>
      <c r="I7" s="1848"/>
      <c r="J7" s="1582">
        <f>SUM(I9:I10)</f>
        <v>1187</v>
      </c>
      <c r="K7" s="1851"/>
      <c r="L7" s="1850"/>
      <c r="M7" s="1585">
        <f>SUM(L9:L10)</f>
        <v>1582.6666666666667</v>
      </c>
      <c r="N7" s="1849"/>
      <c r="O7" s="1848"/>
      <c r="P7" s="1582">
        <f>SUM(O9:O10)</f>
        <v>1978.3333333333335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SDÖ1!O20</f>
        <v>39.56666666666667</v>
      </c>
      <c r="H9" s="1845">
        <f>J6-H10</f>
        <v>30</v>
      </c>
      <c r="I9" s="1841">
        <f>H9*G9</f>
        <v>1187</v>
      </c>
      <c r="J9" s="43"/>
      <c r="K9" s="1844">
        <f>M6-K10</f>
        <v>40</v>
      </c>
      <c r="L9" s="1843">
        <f>K9*G9</f>
        <v>1582.6666666666667</v>
      </c>
      <c r="M9" s="1822"/>
      <c r="N9" s="1842">
        <f>P6-N10</f>
        <v>50</v>
      </c>
      <c r="O9" s="1841">
        <f>N9*G9</f>
        <v>1978.3333333333335</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119</v>
      </c>
      <c r="K23" s="1587"/>
      <c r="L23" s="1586"/>
      <c r="M23" s="1768">
        <f>SUM(L25:L26)</f>
        <v>119</v>
      </c>
      <c r="N23" s="1584"/>
      <c r="O23" s="1583"/>
      <c r="P23" s="1567">
        <f>SUM(O25:O26)</f>
        <v>119</v>
      </c>
      <c r="Q23" s="4017"/>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0.85</v>
      </c>
      <c r="G25" s="1762">
        <f>F25*(100+$D$24)/100</f>
        <v>0.85</v>
      </c>
      <c r="H25" s="1761">
        <v>140</v>
      </c>
      <c r="I25" s="1722">
        <f>H25*$G25</f>
        <v>119</v>
      </c>
      <c r="J25" s="45"/>
      <c r="K25" s="1761">
        <f>H25</f>
        <v>140</v>
      </c>
      <c r="L25" s="1564">
        <f>K25*$G25</f>
        <v>119</v>
      </c>
      <c r="M25" s="1557"/>
      <c r="N25" s="1761">
        <f>H25</f>
        <v>140</v>
      </c>
      <c r="O25" s="1722">
        <f>N25*$G25</f>
        <v>119</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345.637</v>
      </c>
      <c r="K27" s="1716"/>
      <c r="L27" s="1715"/>
      <c r="M27" s="1585">
        <f>SUM(L30:L33)</f>
        <v>431.71600000000001</v>
      </c>
      <c r="N27" s="1714"/>
      <c r="O27" s="1713"/>
      <c r="P27" s="1582">
        <f>SUM(O30:O33)</f>
        <v>517.79500000000007</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VLOOKUP('SD8'!B21,'SD8'!B9:K44,3,FALSE)</f>
        <v>1.51</v>
      </c>
      <c r="F30" s="1742"/>
      <c r="G30" s="1741">
        <v>20</v>
      </c>
      <c r="H30" s="1739">
        <f>IF(J$6=0,0,(J$6*$E30+$G30+X13))</f>
        <v>65.3</v>
      </c>
      <c r="I30" s="1722">
        <f>H30*$D30</f>
        <v>285.36099999999999</v>
      </c>
      <c r="J30" s="45"/>
      <c r="K30" s="1740">
        <f>IF(M$6=0,0,(M$6*$E30+$G30+AA14))</f>
        <v>80.400000000000006</v>
      </c>
      <c r="L30" s="1564">
        <f>K30*$D30</f>
        <v>351.34800000000001</v>
      </c>
      <c r="M30" s="1557"/>
      <c r="N30" s="1739">
        <f>IF(P$6=0,0,(P$6*$E30+$G30+AD14))</f>
        <v>95.5</v>
      </c>
      <c r="O30" s="1722">
        <f>N30*$D30</f>
        <v>417.33500000000004</v>
      </c>
      <c r="P30" s="1686"/>
      <c r="Q30" s="32"/>
    </row>
    <row r="31" spans="1:20" s="42" customFormat="1" ht="15" customHeight="1">
      <c r="A31" s="1284"/>
      <c r="B31" s="272"/>
      <c r="C31" s="1284" t="s">
        <v>244</v>
      </c>
      <c r="D31" s="1691">
        <f>IF(SDÖ1!$U$17=TRUE,SDÖ1!O56,0)</f>
        <v>1.3740000000000001</v>
      </c>
      <c r="E31" s="1742">
        <f>VLOOKUP('SD8'!B21,'SD8'!B9:K44,4,FALSE)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2"/>
    </row>
    <row r="32" spans="1:20" s="686" customFormat="1" ht="18.75" customHeight="1">
      <c r="A32" s="1248"/>
      <c r="B32" s="272"/>
      <c r="C32" s="1284" t="s">
        <v>242</v>
      </c>
      <c r="D32" s="1691">
        <f>IF(SDÖ1!$U$17=TRUE,SDÖ1!O57,0)</f>
        <v>1.35</v>
      </c>
      <c r="E32" s="1742">
        <f>VLOOKUP('SD8'!B21,'SD8'!B9:K44,5,FALSE)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2"/>
    </row>
    <row r="33" spans="1:17" s="686" customFormat="1" ht="13.15" customHeight="1">
      <c r="A33" s="1248"/>
      <c r="B33" s="239"/>
      <c r="C33" s="1309" t="s">
        <v>240</v>
      </c>
      <c r="D33" s="1674">
        <f>IF(SDÖ1!$U$17=TRUE,SDÖ1!O58,0)</f>
        <v>0.5</v>
      </c>
      <c r="E33" s="1738">
        <f>VLOOKUP('SD8'!B21,'SD8'!B9:K44,6,FALSE)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148.05964892273948</v>
      </c>
      <c r="K43" s="1716"/>
      <c r="L43" s="1715"/>
      <c r="M43" s="1585">
        <f>SUM(M46:M57)</f>
        <v>153.35046400114285</v>
      </c>
      <c r="N43" s="1714"/>
      <c r="O43" s="1713"/>
      <c r="P43" s="1582">
        <f>SUM(P46:P57)</f>
        <v>158.64127907954622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410</v>
      </c>
      <c r="D51" s="4883"/>
      <c r="E51" s="1693">
        <f>IF($C51=0,0,VLOOKUP($C51,SDÖ3!$C$24:$O$99,4,FALSE))</f>
        <v>83</v>
      </c>
      <c r="F51" s="1692">
        <f>IF($C51=0,0,VLOOKUP($C51,SDÖ3!$C$24:$O$99,12,FALSE))</f>
        <v>0.27</v>
      </c>
      <c r="G51" s="1691">
        <f>IF($C51=0,0,VLOOKUP($C51,SDÖ3!$C$24:$O$99,13,FALSE))</f>
        <v>6.0564781894117647</v>
      </c>
      <c r="H51" s="1688">
        <v>2</v>
      </c>
      <c r="I51" s="1687">
        <f t="shared" si="4"/>
        <v>0.54</v>
      </c>
      <c r="J51" s="1686">
        <f t="shared" si="5"/>
        <v>12.112956378823529</v>
      </c>
      <c r="K51" s="1688">
        <v>2</v>
      </c>
      <c r="L51" s="1690">
        <f t="shared" si="6"/>
        <v>0.54</v>
      </c>
      <c r="M51" s="1689">
        <f t="shared" si="7"/>
        <v>12.112956378823529</v>
      </c>
      <c r="N51" s="1688">
        <v>2</v>
      </c>
      <c r="O51" s="1687">
        <f t="shared" si="8"/>
        <v>0.54</v>
      </c>
      <c r="P51" s="1686">
        <f t="shared" si="9"/>
        <v>12.112956378823529</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t="s">
        <v>403</v>
      </c>
      <c r="D54" s="4883"/>
      <c r="E54" s="1693">
        <f>IF($C54=0,0,VLOOKUP($C54,SDÖ3!$C$24:$O$99,4,FALSE))</f>
        <v>83</v>
      </c>
      <c r="F54" s="1692">
        <f>IF($C54=0,0,VLOOKUP($C54,SDÖ3!$C$24:$O$99,12,FALSE))</f>
        <v>0.56000000000000005</v>
      </c>
      <c r="G54" s="1691">
        <f>IF($C54=0,0,VLOOKUP($C54,SDÖ3!$C$24:$O$99,13,FALSE))</f>
        <v>9.6134362447058805</v>
      </c>
      <c r="H54" s="1688">
        <v>1.0125</v>
      </c>
      <c r="I54" s="1687">
        <f t="shared" si="4"/>
        <v>0.56700000000000006</v>
      </c>
      <c r="J54" s="1686">
        <f t="shared" si="5"/>
        <v>9.7336041977647039</v>
      </c>
      <c r="K54" s="1688">
        <v>1.25</v>
      </c>
      <c r="L54" s="1690">
        <f t="shared" si="6"/>
        <v>0.70000000000000007</v>
      </c>
      <c r="M54" s="1689">
        <f t="shared" si="7"/>
        <v>12.016795305882351</v>
      </c>
      <c r="N54" s="1688">
        <v>1.4875</v>
      </c>
      <c r="O54" s="1687">
        <f t="shared" si="8"/>
        <v>0.83300000000000007</v>
      </c>
      <c r="P54" s="1686">
        <f t="shared" si="9"/>
        <v>14.299986413999997</v>
      </c>
      <c r="Q54" s="32"/>
    </row>
    <row r="55" spans="1:17" s="42" customFormat="1" ht="15" customHeight="1">
      <c r="A55" s="1284"/>
      <c r="B55" s="1694"/>
      <c r="C55" s="4882" t="s">
        <v>459</v>
      </c>
      <c r="D55" s="4883"/>
      <c r="E55" s="1693">
        <f>IF($C55=0,0,VLOOKUP($C55,SDÖ3!$C$24:$O$99,4,FALSE))</f>
        <v>102</v>
      </c>
      <c r="F55" s="1692">
        <f>IF($C55=0,0,VLOOKUP($C55,SDÖ3!$C$24:$O$99,12,FALSE))</f>
        <v>0.79</v>
      </c>
      <c r="G55" s="1691">
        <f>IF($C55=0,0,VLOOKUP($C55,SDÖ3!$C$24:$O$99,13,FALSE))</f>
        <v>21.737240200000002</v>
      </c>
      <c r="H55" s="1688">
        <v>1</v>
      </c>
      <c r="I55" s="1687">
        <f t="shared" si="4"/>
        <v>0.79</v>
      </c>
      <c r="J55" s="1686">
        <f t="shared" si="5"/>
        <v>21.737240200000002</v>
      </c>
      <c r="K55" s="1688">
        <v>1</v>
      </c>
      <c r="L55" s="1690">
        <f t="shared" si="6"/>
        <v>0.79</v>
      </c>
      <c r="M55" s="1689">
        <f t="shared" si="7"/>
        <v>21.737240200000002</v>
      </c>
      <c r="N55" s="1688">
        <v>1</v>
      </c>
      <c r="O55" s="1687">
        <f t="shared" si="8"/>
        <v>0.79</v>
      </c>
      <c r="P55" s="1686">
        <f t="shared" si="9"/>
        <v>21.737240200000002</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686" customFormat="1" ht="18.75" customHeight="1">
      <c r="A58" s="1248"/>
      <c r="B58" s="1254" t="s">
        <v>1167</v>
      </c>
      <c r="C58" s="1351"/>
      <c r="D58" s="1351"/>
      <c r="E58" s="1351"/>
      <c r="F58" s="38"/>
      <c r="G58" s="1588"/>
      <c r="H58" s="1665"/>
      <c r="I58" s="1664">
        <f>SUM($I$46:$I$57)</f>
        <v>4.9115714285714294</v>
      </c>
      <c r="J58" s="1669"/>
      <c r="K58" s="1668"/>
      <c r="L58" s="1667">
        <f>SUM($L$46:$L$57)</f>
        <v>5.2194285714285718</v>
      </c>
      <c r="M58" s="1666"/>
      <c r="N58" s="1665"/>
      <c r="O58" s="1664">
        <f>SUM($O$46:$O$57)</f>
        <v>5.527285714285715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8.8408285714285739</v>
      </c>
      <c r="J59" s="1654"/>
      <c r="K59" s="1659"/>
      <c r="L59" s="1658">
        <f>IF(L58+SUM($L$46:$L$57)*$E$59%&gt;L58+10,L58+10,L58+SUM($L$46:$L$57)*$E$59%)</f>
        <v>9.394971428571429</v>
      </c>
      <c r="M59" s="1657"/>
      <c r="N59" s="1656"/>
      <c r="O59" s="1655">
        <f>IF(O58+SUM($O$46:$O$57)*$E$59%&gt;O58+10,O58+10,O58+SUM($O$46:$O$57)*$E$59%)</f>
        <v>9.9491142857142876</v>
      </c>
      <c r="P59" s="1654"/>
      <c r="Q59" s="32"/>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72.2</v>
      </c>
      <c r="N67" s="1607" t="s">
        <v>1161</v>
      </c>
      <c r="O67" s="1606" t="s">
        <v>1160</v>
      </c>
      <c r="P67" s="1582">
        <f>T68*(N9+N10)*O68%+F68</f>
        <v>90.250000000000014</v>
      </c>
      <c r="Q67" s="32"/>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3.6100000000000003</v>
      </c>
    </row>
    <row r="69" spans="1:20" s="686" customFormat="1" ht="18.75" customHeight="1">
      <c r="A69" s="1248"/>
      <c r="B69" s="1254" t="s">
        <v>1158</v>
      </c>
      <c r="C69" s="1248"/>
      <c r="D69" s="1248"/>
      <c r="E69" s="38"/>
      <c r="F69" s="38"/>
      <c r="G69" s="1588"/>
      <c r="H69" s="44"/>
      <c r="I69" s="73"/>
      <c r="J69" s="1582">
        <f>H70*$F70/1000</f>
        <v>18.992000000000001</v>
      </c>
      <c r="K69" s="1598"/>
      <c r="L69" s="1597"/>
      <c r="M69" s="1585">
        <f>K70*$F70/1000</f>
        <v>25.322666666666667</v>
      </c>
      <c r="N69" s="44"/>
      <c r="O69" s="73"/>
      <c r="P69" s="1582">
        <f>N70*$F70/1000</f>
        <v>31.653333333333336</v>
      </c>
      <c r="Q69" s="32"/>
    </row>
    <row r="70" spans="1:20" s="686" customFormat="1" ht="15" customHeight="1">
      <c r="A70" s="1248"/>
      <c r="B70" s="1310"/>
      <c r="C70" s="1309" t="s">
        <v>840</v>
      </c>
      <c r="D70" s="346"/>
      <c r="E70" s="278"/>
      <c r="F70" s="1596">
        <f>'SDK7'!G101</f>
        <v>16</v>
      </c>
      <c r="G70" s="1595" t="s">
        <v>171</v>
      </c>
      <c r="H70" s="1591">
        <f>I9+I10</f>
        <v>1187</v>
      </c>
      <c r="I70" s="1590"/>
      <c r="J70" s="1589"/>
      <c r="K70" s="1594">
        <f>L9+L10</f>
        <v>1582.6666666666667</v>
      </c>
      <c r="L70" s="1593"/>
      <c r="M70" s="1592"/>
      <c r="N70" s="1591">
        <f>O9+O10</f>
        <v>1978.3333333333335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10.628784237431962</v>
      </c>
      <c r="K75" s="3031"/>
      <c r="L75" s="1034"/>
      <c r="M75" s="1546">
        <f>(M23+M27+M34+M43+M60+M65+M67+M69+M71)*('SDK1'!$O$59%*$G$75/12)</f>
        <v>12.273206524457779</v>
      </c>
      <c r="N75" s="1548"/>
      <c r="O75" s="1547"/>
      <c r="P75" s="1546">
        <f>(P23+P27+P34+P43+P60+P65+P67+P69+P71)*('SDK1'!$O$59%*$G$75/12)</f>
        <v>13.917628811483596</v>
      </c>
      <c r="Q75" s="32"/>
    </row>
    <row r="76" spans="1:20">
      <c r="L76" s="33"/>
    </row>
    <row r="77" spans="1:20">
      <c r="L77" s="33"/>
      <c r="M77" s="3590"/>
      <c r="N77" s="3590"/>
      <c r="O77" s="3590"/>
      <c r="P77" s="3590"/>
      <c r="Q77" s="3590"/>
    </row>
    <row r="78" spans="1:20" ht="14.25">
      <c r="C78" s="4950" t="s">
        <v>1888</v>
      </c>
      <c r="D78" s="4951"/>
      <c r="E78" s="4951"/>
      <c r="F78" s="4952"/>
      <c r="G78" s="3590"/>
      <c r="H78" s="3590"/>
      <c r="I78" s="3590"/>
      <c r="J78" s="3590"/>
      <c r="K78" s="3590"/>
      <c r="L78" s="3590"/>
      <c r="M78" s="3590"/>
      <c r="N78" s="3590"/>
      <c r="O78" s="3590"/>
      <c r="P78" s="3590"/>
      <c r="Q78" s="3590"/>
    </row>
    <row r="79" spans="1:20">
      <c r="C79" s="4943" t="s">
        <v>295</v>
      </c>
      <c r="D79" s="4944"/>
      <c r="E79" s="4944"/>
      <c r="F79" s="4945"/>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E99" s="33"/>
      <c r="G99" s="3590"/>
      <c r="H99" s="3590"/>
      <c r="I99" s="3590"/>
      <c r="J99" s="3590"/>
      <c r="K99" s="3590"/>
      <c r="L99" s="3590"/>
      <c r="M99" s="3590"/>
      <c r="N99" s="3590"/>
      <c r="O99" s="3590"/>
      <c r="P99" s="3590"/>
      <c r="Q99" s="3590"/>
    </row>
    <row r="100" spans="2:17">
      <c r="B100" s="33"/>
      <c r="C100" s="33"/>
      <c r="D100" s="33"/>
      <c r="E100" s="33"/>
      <c r="G100" s="3590"/>
      <c r="H100" s="3590"/>
      <c r="I100" s="3590"/>
      <c r="J100" s="3590"/>
      <c r="K100" s="3590"/>
      <c r="L100" s="3590"/>
      <c r="M100" s="3590"/>
      <c r="N100" s="3590"/>
      <c r="O100" s="3590"/>
      <c r="P100" s="3590"/>
      <c r="Q100" s="3590"/>
    </row>
    <row r="101" spans="2:17">
      <c r="B101" s="33"/>
      <c r="C101" s="33"/>
      <c r="D101" s="33"/>
      <c r="E101" s="33"/>
      <c r="G101" s="3590"/>
      <c r="H101" s="3590"/>
      <c r="I101" s="3590"/>
      <c r="J101" s="3590"/>
      <c r="K101" s="3590"/>
      <c r="L101" s="3590"/>
      <c r="M101" s="3590"/>
      <c r="N101" s="3590"/>
      <c r="O101" s="3590"/>
      <c r="P101" s="3590"/>
      <c r="Q101" s="3590"/>
    </row>
    <row r="102" spans="2:17">
      <c r="B102" s="33"/>
      <c r="C102" s="33"/>
      <c r="D102" s="33"/>
      <c r="E102" s="33"/>
      <c r="G102" s="3590"/>
      <c r="H102" s="3590"/>
      <c r="I102" s="3590"/>
      <c r="J102" s="3590"/>
      <c r="K102" s="3590"/>
      <c r="L102" s="3590"/>
      <c r="M102" s="3590"/>
      <c r="N102" s="3590"/>
      <c r="O102" s="3590"/>
      <c r="P102" s="3590"/>
      <c r="Q102" s="3590"/>
    </row>
    <row r="103" spans="2:17">
      <c r="B103" s="33"/>
      <c r="C103" s="33"/>
      <c r="D103" s="33"/>
      <c r="E103" s="33"/>
      <c r="G103" s="3590"/>
      <c r="H103" s="3590"/>
      <c r="I103" s="3590"/>
      <c r="J103" s="3590"/>
      <c r="K103" s="3590"/>
      <c r="L103" s="3590"/>
      <c r="M103" s="3590"/>
      <c r="N103" s="3590"/>
      <c r="O103" s="3590"/>
      <c r="P103" s="3590"/>
      <c r="Q103" s="3590"/>
    </row>
    <row r="104" spans="2:17">
      <c r="B104" s="33"/>
      <c r="C104" s="33"/>
      <c r="D104" s="33"/>
      <c r="E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B107" s="33"/>
      <c r="C107" s="33"/>
      <c r="D107" s="33"/>
      <c r="G107" s="3590"/>
      <c r="H107" s="3590"/>
      <c r="I107" s="3590"/>
      <c r="J107" s="3590"/>
      <c r="K107" s="3590"/>
      <c r="L107" s="3590"/>
      <c r="M107" s="3590"/>
      <c r="N107" s="3590"/>
      <c r="O107" s="3590"/>
      <c r="P107" s="3590"/>
      <c r="Q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20:F20"/>
    <mergeCell ref="C21:F21"/>
    <mergeCell ref="C78:F78"/>
    <mergeCell ref="C79:F79"/>
    <mergeCell ref="G1:I1"/>
    <mergeCell ref="C38:E38"/>
    <mergeCell ref="C42:E42"/>
    <mergeCell ref="F23:G23"/>
    <mergeCell ref="F34:G34"/>
    <mergeCell ref="E22:G22"/>
    <mergeCell ref="D25:E25"/>
    <mergeCell ref="D26:E26"/>
    <mergeCell ref="C17:F17"/>
    <mergeCell ref="C19:F19"/>
    <mergeCell ref="C74:E74"/>
    <mergeCell ref="B75:C75"/>
    <mergeCell ref="K1:L1"/>
    <mergeCell ref="N1:O1"/>
    <mergeCell ref="K2:P2"/>
    <mergeCell ref="J3:L3"/>
    <mergeCell ref="N3:O4"/>
    <mergeCell ref="N6:O6"/>
    <mergeCell ref="E10:F10"/>
    <mergeCell ref="C16:F16"/>
    <mergeCell ref="E4:I4"/>
    <mergeCell ref="J4:L4"/>
    <mergeCell ref="K6:L6"/>
    <mergeCell ref="H6:I6"/>
    <mergeCell ref="C14:F14"/>
    <mergeCell ref="C15:F15"/>
    <mergeCell ref="C51:D51"/>
    <mergeCell ref="C52:D52"/>
    <mergeCell ref="C53:D53"/>
    <mergeCell ref="C57:D57"/>
    <mergeCell ref="C62:E62"/>
    <mergeCell ref="C54:D54"/>
    <mergeCell ref="C56:D56"/>
    <mergeCell ref="C64:E64"/>
    <mergeCell ref="C55:D55"/>
    <mergeCell ref="C63:E63"/>
    <mergeCell ref="C68:E68"/>
    <mergeCell ref="C73:E73"/>
    <mergeCell ref="C48:D48"/>
    <mergeCell ref="C49:D49"/>
    <mergeCell ref="C50:D50"/>
    <mergeCell ref="C47:D47"/>
    <mergeCell ref="C36:E36"/>
    <mergeCell ref="C37:E37"/>
    <mergeCell ref="C40:E40"/>
    <mergeCell ref="C41:E41"/>
    <mergeCell ref="C39:E39"/>
    <mergeCell ref="C46:D46"/>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4767" r:id="rId4" name="Check Box 15">
              <controlPr defaultSize="0" autoFill="0" autoLine="0" autoPict="0">
                <anchor moveWithCells="1">
                  <from>
                    <xdr:col>12</xdr:col>
                    <xdr:colOff>0</xdr:colOff>
                    <xdr:row>3</xdr:row>
                    <xdr:rowOff>19050</xdr:rowOff>
                  </from>
                  <to>
                    <xdr:col>12</xdr:col>
                    <xdr:colOff>266700</xdr:colOff>
                    <xdr:row>4</xdr:row>
                    <xdr:rowOff>0</xdr:rowOff>
                  </to>
                </anchor>
              </controlPr>
            </control>
          </mc:Choice>
        </mc:AlternateContent>
        <mc:AlternateContent xmlns:mc="http://schemas.openxmlformats.org/markup-compatibility/2006">
          <mc:Choice Requires="x14">
            <control shapeId="74768" r:id="rId5" name="Check Box 16">
              <controlPr defaultSize="0" autoFill="0" autoLine="0" autoPict="0">
                <anchor moveWithCells="1">
                  <from>
                    <xdr:col>12</xdr:col>
                    <xdr:colOff>9525</xdr:colOff>
                    <xdr:row>2</xdr:row>
                    <xdr:rowOff>38100</xdr:rowOff>
                  </from>
                  <to>
                    <xdr:col>12</xdr:col>
                    <xdr:colOff>285750</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rgb="FFA9B533"/>
    <pageSetUpPr fitToPage="1"/>
  </sheetPr>
  <dimension ref="A1:AO206"/>
  <sheetViews>
    <sheetView showZeros="0" workbookViewId="0"/>
  </sheetViews>
  <sheetFormatPr baseColWidth="10" defaultColWidth="10.5" defaultRowHeight="12.75"/>
  <cols>
    <col min="1" max="1" width="1.5" style="3570" customWidth="1"/>
    <col min="2" max="2" width="3.25" style="3570" customWidth="1"/>
    <col min="3" max="3" width="13.25" style="3570" customWidth="1"/>
    <col min="4" max="6" width="9.25" style="3570" customWidth="1"/>
    <col min="7" max="7" width="9.25" style="39" customWidth="1"/>
    <col min="8" max="8" width="9.25" style="3570" customWidth="1"/>
    <col min="9" max="16" width="7.25" style="3570" customWidth="1"/>
    <col min="17" max="17" width="25.625" style="3570" customWidth="1"/>
    <col min="18" max="27" width="10.5" style="3572" hidden="1" customWidth="1"/>
    <col min="28" max="16384" width="10.5" style="3572"/>
  </cols>
  <sheetData>
    <row r="1" spans="1:41" s="274" customFormat="1" ht="30.2" customHeight="1">
      <c r="A1" s="2475"/>
      <c r="B1" s="319"/>
      <c r="C1" s="1876"/>
      <c r="D1" s="136"/>
      <c r="E1" s="316"/>
      <c r="F1" s="316"/>
      <c r="G1" s="4933" t="s">
        <v>1636</v>
      </c>
      <c r="H1" s="4933"/>
      <c r="I1" s="4933"/>
      <c r="J1" s="1874">
        <f>(J7+J13+J18+J22+I11+I12)-(J23+J27+J34+J43+J60+J65+J67+J69+J71+J75)</f>
        <v>1046.5556008705832</v>
      </c>
      <c r="K1" s="4855">
        <f>M1-J1</f>
        <v>233.53114673154937</v>
      </c>
      <c r="L1" s="4855"/>
      <c r="M1" s="1874">
        <f>(M7+M13+M18+M22+L11+L12)-(M23+M27+M34+M43+M60+M65+M67+M69+M71+M75)</f>
        <v>1280.0867476021326</v>
      </c>
      <c r="N1" s="4855">
        <f>P1-M1</f>
        <v>339.81328383317054</v>
      </c>
      <c r="O1" s="4855"/>
      <c r="P1" s="1874">
        <f>(P7+P13+P18+P22+O11+O12)-(P23+P27+P34+P43+P60+P65+P67+P69+P71+P75)</f>
        <v>1619.9000314353032</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1985</v>
      </c>
      <c r="L2" s="4867"/>
      <c r="M2" s="4867"/>
      <c r="N2" s="4867"/>
      <c r="O2" s="4867"/>
      <c r="P2" s="4867"/>
      <c r="Q2" s="2475"/>
    </row>
    <row r="3" spans="1:41" s="274" customFormat="1" ht="21.75" customHeight="1">
      <c r="A3" s="2475"/>
      <c r="B3" s="1871" t="s">
        <v>1635</v>
      </c>
      <c r="G3" s="1859"/>
      <c r="H3" s="1870"/>
      <c r="J3" s="4863" t="s">
        <v>1205</v>
      </c>
      <c r="K3" s="4937"/>
      <c r="L3" s="4937"/>
      <c r="M3" s="3575"/>
      <c r="N3" s="4934" t="str">
        <f>IF(AND(T3=TRUE,T4=TRUE),"nur 1 Strohnutzung möglich","")</f>
        <v/>
      </c>
      <c r="O3" s="4869"/>
      <c r="P3" s="1868"/>
      <c r="Q3" s="2475"/>
      <c r="T3" s="1886" t="b">
        <v>1</v>
      </c>
    </row>
    <row r="4" spans="1:41" s="274" customFormat="1" ht="20.25" customHeight="1">
      <c r="A4" s="2475"/>
      <c r="B4" s="370" t="s">
        <v>1098</v>
      </c>
      <c r="C4" s="3572"/>
      <c r="D4" s="3572"/>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30</v>
      </c>
      <c r="K6" s="4874" t="s">
        <v>152</v>
      </c>
      <c r="L6" s="4875"/>
      <c r="M6" s="1855">
        <v>40</v>
      </c>
      <c r="N6" s="4861" t="s">
        <v>178</v>
      </c>
      <c r="O6" s="4862"/>
      <c r="P6" s="1854">
        <f>M6*1.25</f>
        <v>50</v>
      </c>
      <c r="Q6" s="70"/>
    </row>
    <row r="7" spans="1:41" s="251" customFormat="1" ht="18.75" customHeight="1">
      <c r="A7" s="47"/>
      <c r="B7" s="305" t="s">
        <v>1633</v>
      </c>
      <c r="C7" s="47"/>
      <c r="D7" s="47"/>
      <c r="E7" s="47"/>
      <c r="F7" s="47"/>
      <c r="G7" s="1852" t="s">
        <v>171</v>
      </c>
      <c r="H7" s="1849"/>
      <c r="I7" s="1848"/>
      <c r="J7" s="1582">
        <f>SUM(I9:I10)</f>
        <v>1077.0000000000002</v>
      </c>
      <c r="K7" s="1851"/>
      <c r="L7" s="1850"/>
      <c r="M7" s="1585">
        <f>SUM(L9:L10)</f>
        <v>1436.0000000000002</v>
      </c>
      <c r="N7" s="1849"/>
      <c r="O7" s="1848"/>
      <c r="P7" s="1582">
        <f>SUM(O9:O10)</f>
        <v>1795.0000000000002</v>
      </c>
      <c r="Q7" s="3570"/>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570"/>
    </row>
    <row r="9" spans="1:41" s="251" customFormat="1" ht="16.5" customHeight="1">
      <c r="A9" s="47"/>
      <c r="B9" s="305"/>
      <c r="C9" s="45" t="s">
        <v>1632</v>
      </c>
      <c r="D9" s="47"/>
      <c r="E9" s="47"/>
      <c r="F9" s="1846" t="s">
        <v>1201</v>
      </c>
      <c r="G9" s="1762">
        <f>SDÖ1!O21</f>
        <v>35.900000000000006</v>
      </c>
      <c r="H9" s="1845">
        <f>J6-H10</f>
        <v>30</v>
      </c>
      <c r="I9" s="1841">
        <f>H9*G9</f>
        <v>1077.0000000000002</v>
      </c>
      <c r="J9" s="43"/>
      <c r="K9" s="1844">
        <f>M6-K10</f>
        <v>40</v>
      </c>
      <c r="L9" s="1843">
        <f>K9*G9</f>
        <v>1436.0000000000002</v>
      </c>
      <c r="M9" s="1822"/>
      <c r="N9" s="1842">
        <f>P6-N10</f>
        <v>50</v>
      </c>
      <c r="O9" s="1841">
        <f>N9*G9</f>
        <v>1795.0000000000002</v>
      </c>
      <c r="P9" s="43"/>
      <c r="Q9" s="3570"/>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324</v>
      </c>
      <c r="S10" s="1830">
        <f>L10+L11+L12</f>
        <v>432</v>
      </c>
      <c r="T10" s="1829">
        <f>O10+O11+O12</f>
        <v>540</v>
      </c>
      <c r="W10" s="251" t="s">
        <v>1198</v>
      </c>
    </row>
    <row r="11" spans="1:41" s="1810" customFormat="1" ht="15" customHeight="1">
      <c r="A11" s="370"/>
      <c r="B11" s="272"/>
      <c r="C11" s="45" t="s">
        <v>1197</v>
      </c>
      <c r="D11" s="370"/>
      <c r="E11" s="1828">
        <v>0.9</v>
      </c>
      <c r="F11" s="45" t="s">
        <v>1196</v>
      </c>
      <c r="G11" s="1827">
        <f>SDÖ1!$O$51</f>
        <v>12</v>
      </c>
      <c r="H11" s="1826">
        <f>IF($T$3=FALSE,0,J6*$E$11)</f>
        <v>27</v>
      </c>
      <c r="I11" s="1820">
        <f>H11*$G$11</f>
        <v>324</v>
      </c>
      <c r="J11" s="1825"/>
      <c r="K11" s="1824">
        <f>IF($T$3=FALSE,0,M6*$E$11)</f>
        <v>36</v>
      </c>
      <c r="L11" s="1823">
        <f>K11*$G$11</f>
        <v>432</v>
      </c>
      <c r="M11" s="1822"/>
      <c r="N11" s="1821">
        <f>IF($T$3=FALSE,0,P6*$E$11)</f>
        <v>45</v>
      </c>
      <c r="O11" s="1820">
        <f>N11*$G$11</f>
        <v>540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27</v>
      </c>
      <c r="Y12" s="1807">
        <f>IF(OR(T3=TRUE,T4=TRUE),M6*$E$11,"0")</f>
        <v>36</v>
      </c>
      <c r="Z12" s="1806">
        <f>IF(OR(T3=TRUE,T4=TRUE),P6*$E$11,"0")</f>
        <v>45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570"/>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3569"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570"/>
      <c r="R18" s="693" t="s">
        <v>1189</v>
      </c>
      <c r="S18" s="369"/>
      <c r="T18" s="1790"/>
    </row>
    <row r="19" spans="1:20" ht="15.6" customHeight="1">
      <c r="A19" s="370"/>
      <c r="B19" s="1789"/>
      <c r="C19" s="4860" t="s">
        <v>2109</v>
      </c>
      <c r="D19" s="4860"/>
      <c r="E19" s="4860"/>
      <c r="F19" s="4860"/>
      <c r="G19" s="1788" t="s">
        <v>171</v>
      </c>
      <c r="H19" s="1786"/>
      <c r="I19" s="3909">
        <f>IF(OR($C19=0,$J$6=0),0,VLOOKUP($C19,'SD2'!C59:N75,12,FALSE))</f>
        <v>158</v>
      </c>
      <c r="J19" s="3852">
        <f>SUM(I23:I24)</f>
        <v>0</v>
      </c>
      <c r="K19" s="1787"/>
      <c r="L19" s="3899">
        <f>IF(OR($C19=0,$M$6=0),0,VLOOKUP($C19,'SD2'!$C$59:$N$75,12,FALSE))</f>
        <v>158</v>
      </c>
      <c r="M19" s="1822">
        <f>SUM(L23:L24)</f>
        <v>0</v>
      </c>
      <c r="N19" s="1786"/>
      <c r="O19" s="3909">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43"/>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1822"/>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117.6</v>
      </c>
      <c r="K23" s="1587"/>
      <c r="L23" s="1586"/>
      <c r="M23" s="1768">
        <f>SUM(L25:L26)</f>
        <v>117.6</v>
      </c>
      <c r="N23" s="1584"/>
      <c r="O23" s="1583"/>
      <c r="P23" s="1567">
        <f>SUM(O25:O26)</f>
        <v>117.6</v>
      </c>
      <c r="Q23" s="3570"/>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570"/>
    </row>
    <row r="25" spans="1:20" s="3569" customFormat="1" ht="18.75" customHeight="1">
      <c r="A25" s="1248"/>
      <c r="B25" s="1764"/>
      <c r="C25" s="1284" t="s">
        <v>1185</v>
      </c>
      <c r="D25" s="4878"/>
      <c r="E25" s="4879"/>
      <c r="F25" s="1763">
        <v>0.84</v>
      </c>
      <c r="G25" s="1762">
        <f>F25*(100+$D$24)/100</f>
        <v>0.84</v>
      </c>
      <c r="H25" s="1761">
        <v>140</v>
      </c>
      <c r="I25" s="1722">
        <f>H25*$G25</f>
        <v>117.6</v>
      </c>
      <c r="J25" s="45"/>
      <c r="K25" s="1761">
        <f>H25</f>
        <v>140</v>
      </c>
      <c r="L25" s="1564">
        <f>K25*$G25</f>
        <v>117.6</v>
      </c>
      <c r="M25" s="1557"/>
      <c r="N25" s="1761">
        <f>H25</f>
        <v>140</v>
      </c>
      <c r="O25" s="1722">
        <f>N25*$G25</f>
        <v>117.6</v>
      </c>
      <c r="P25" s="1686"/>
      <c r="Q25" s="3570"/>
    </row>
    <row r="26" spans="1:20" s="3569"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570"/>
    </row>
    <row r="27" spans="1:20" s="3569"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382.34500000000003</v>
      </c>
      <c r="K27" s="1716"/>
      <c r="L27" s="1715"/>
      <c r="M27" s="1585">
        <f>SUM(L30:L33)</f>
        <v>480.65999999999997</v>
      </c>
      <c r="N27" s="1714"/>
      <c r="O27" s="1713"/>
      <c r="P27" s="1582">
        <f>SUM(O30:O33)</f>
        <v>578.97500000000002</v>
      </c>
      <c r="Q27" s="3570"/>
    </row>
    <row r="28" spans="1:20" s="42" customFormat="1" ht="15" customHeight="1">
      <c r="A28" s="1284"/>
      <c r="B28" s="1312"/>
      <c r="C28" s="3573"/>
      <c r="D28" s="1754" t="s">
        <v>1019</v>
      </c>
      <c r="E28" s="1754" t="s">
        <v>1183</v>
      </c>
      <c r="F28" s="1754" t="s">
        <v>1183</v>
      </c>
      <c r="G28" s="1753" t="s">
        <v>1182</v>
      </c>
      <c r="H28" s="1713"/>
      <c r="I28" s="1750"/>
      <c r="J28" s="3574"/>
      <c r="K28" s="1716"/>
      <c r="L28" s="1646"/>
      <c r="M28" s="1751"/>
      <c r="N28" s="1714"/>
      <c r="O28" s="1750"/>
      <c r="P28" s="1567"/>
      <c r="Q28" s="3570"/>
    </row>
    <row r="29" spans="1:20" s="42" customFormat="1" ht="15" customHeight="1">
      <c r="A29" s="1284"/>
      <c r="B29" s="1749"/>
      <c r="C29" s="1285" t="s">
        <v>1181</v>
      </c>
      <c r="D29" s="1575" t="s">
        <v>852</v>
      </c>
      <c r="E29" s="1575" t="s">
        <v>1180</v>
      </c>
      <c r="F29" s="1575" t="s">
        <v>1179</v>
      </c>
      <c r="G29" s="1575" t="s">
        <v>1628</v>
      </c>
      <c r="H29" s="1746" t="s">
        <v>853</v>
      </c>
      <c r="I29" s="1568" t="s">
        <v>171</v>
      </c>
      <c r="J29" s="3573"/>
      <c r="K29" s="1748" t="s">
        <v>853</v>
      </c>
      <c r="L29" s="1571" t="s">
        <v>171</v>
      </c>
      <c r="M29" s="1747"/>
      <c r="N29" s="1746" t="s">
        <v>853</v>
      </c>
      <c r="O29" s="1568" t="s">
        <v>171</v>
      </c>
      <c r="P29" s="1745"/>
      <c r="Q29" s="3570"/>
    </row>
    <row r="30" spans="1:20" s="42" customFormat="1" ht="15" customHeight="1">
      <c r="A30" s="1284"/>
      <c r="B30" s="1744"/>
      <c r="C30" s="1743" t="s">
        <v>246</v>
      </c>
      <c r="D30" s="1691">
        <f>IF(SDÖ1!$U$17=TRUE,SDÖ1!O55,0)</f>
        <v>4.37</v>
      </c>
      <c r="E30" s="1742">
        <f>VLOOKUP('SD8'!B16,'SD8'!B9:K44,3,FALSE)</f>
        <v>1.79</v>
      </c>
      <c r="F30" s="1742"/>
      <c r="G30" s="1741">
        <v>20</v>
      </c>
      <c r="H30" s="1739">
        <f>IF(J$6=0,0,(J$6*$E30+$G30+X13))</f>
        <v>73.7</v>
      </c>
      <c r="I30" s="1722">
        <f>H30*$D30</f>
        <v>322.06900000000002</v>
      </c>
      <c r="J30" s="45"/>
      <c r="K30" s="1740">
        <f>IF(M$6=0,0,(M$6*$E30+$G30+AA14))</f>
        <v>91.6</v>
      </c>
      <c r="L30" s="1564">
        <f>K30*$D30</f>
        <v>400.29199999999997</v>
      </c>
      <c r="M30" s="1557"/>
      <c r="N30" s="1739">
        <f>IF(P$6=0,0,(P$6*$E30+$G30+AD14))</f>
        <v>109.5</v>
      </c>
      <c r="O30" s="1722">
        <f>N30*$D30</f>
        <v>478.51499999999999</v>
      </c>
      <c r="P30" s="1686"/>
      <c r="Q30" s="3570"/>
    </row>
    <row r="31" spans="1:20" s="42" customFormat="1" ht="15" customHeight="1">
      <c r="A31" s="1284"/>
      <c r="B31" s="272"/>
      <c r="C31" s="1284" t="s">
        <v>244</v>
      </c>
      <c r="D31" s="1691">
        <f>IF(SDÖ1!$U$17=TRUE,SDÖ1!O56,0)</f>
        <v>1.3740000000000001</v>
      </c>
      <c r="E31" s="1742">
        <f>VLOOKUP('SD8'!B16,'SD8'!B9:K44,4,FALSE)</f>
        <v>0.8</v>
      </c>
      <c r="F31" s="1742"/>
      <c r="G31" s="1741"/>
      <c r="H31" s="1739">
        <f>IF(J$6=0,0,(J$6*$E31+$G31+X14))</f>
        <v>24</v>
      </c>
      <c r="I31" s="1722">
        <f>H31*$D31</f>
        <v>32.975999999999999</v>
      </c>
      <c r="J31" s="45"/>
      <c r="K31" s="1740">
        <f>IF(M$6=0,0,(M$6*$E31+$G31+Y14))</f>
        <v>32</v>
      </c>
      <c r="L31" s="1564">
        <f>K31*$D31</f>
        <v>43.968000000000004</v>
      </c>
      <c r="M31" s="1557"/>
      <c r="N31" s="1739">
        <f>IF(P$6=0,0,(P$6*$E31+$G31+Z14))</f>
        <v>40</v>
      </c>
      <c r="O31" s="1722">
        <f>N31*$D31</f>
        <v>54.960000000000008</v>
      </c>
      <c r="P31" s="1686"/>
      <c r="Q31" s="3570"/>
    </row>
    <row r="32" spans="1:20" s="3569" customFormat="1" ht="18.75" customHeight="1">
      <c r="A32" s="1248"/>
      <c r="B32" s="272"/>
      <c r="C32" s="1284" t="s">
        <v>242</v>
      </c>
      <c r="D32" s="1691">
        <f>IF(SDÖ1!$U$17=TRUE,SDÖ1!O57,0)</f>
        <v>1.35</v>
      </c>
      <c r="E32" s="1742">
        <f>VLOOKUP('SD8'!B16,'SD8'!B9:K44,5,FALSE)</f>
        <v>0.6</v>
      </c>
      <c r="F32" s="1742"/>
      <c r="G32" s="1741"/>
      <c r="H32" s="1739">
        <f>IF(J$6=0,0,(J$6*$E32+$G32+X15))</f>
        <v>18</v>
      </c>
      <c r="I32" s="1722">
        <f>H32*$D32</f>
        <v>24.3</v>
      </c>
      <c r="J32" s="45"/>
      <c r="K32" s="1740">
        <f>IF(M$6=0,0,(M$6*$E32+$G32+Y15))</f>
        <v>24</v>
      </c>
      <c r="L32" s="1564">
        <f>K32*$D32</f>
        <v>32.400000000000006</v>
      </c>
      <c r="M32" s="1557"/>
      <c r="N32" s="1739">
        <f>IF(P$6=0,0,(P$6*$E32+$G32+Z15))</f>
        <v>30</v>
      </c>
      <c r="O32" s="1722">
        <f>N32*$D32</f>
        <v>40.5</v>
      </c>
      <c r="P32" s="1686"/>
      <c r="Q32" s="3570"/>
    </row>
    <row r="33" spans="1:17" s="3569" customFormat="1" ht="13.15" customHeight="1">
      <c r="A33" s="1248"/>
      <c r="B33" s="239"/>
      <c r="C33" s="1309" t="s">
        <v>240</v>
      </c>
      <c r="D33" s="1674">
        <f>IF(SDÖ1!$U$17=TRUE,SDÖ1!O58,0)</f>
        <v>0.5</v>
      </c>
      <c r="E33" s="1738">
        <f>VLOOKUP('SD8'!B16,'SD8'!B9:K44,6,FALSE)</f>
        <v>0.2</v>
      </c>
      <c r="F33" s="1738"/>
      <c r="G33" s="1737"/>
      <c r="H33" s="1735">
        <f>IF(J$6=0,0,(J$6*$E33+$G33+X16))</f>
        <v>6</v>
      </c>
      <c r="I33" s="1718">
        <f>H33*$D33</f>
        <v>3</v>
      </c>
      <c r="J33" s="45"/>
      <c r="K33" s="1736">
        <f>IF(M$6=0,0,(M$6*$E33+$G33+Y16))</f>
        <v>8</v>
      </c>
      <c r="L33" s="1558">
        <f>K33*$D33</f>
        <v>4</v>
      </c>
      <c r="M33" s="1557"/>
      <c r="N33" s="1735">
        <f>IF(P$6=0,0,(P$6*$E33+$G33+Z16))</f>
        <v>10</v>
      </c>
      <c r="O33" s="1718">
        <f>N33*$D33</f>
        <v>5</v>
      </c>
      <c r="P33" s="1717"/>
      <c r="Q33" s="3570"/>
    </row>
    <row r="34" spans="1:17" s="42" customFormat="1" ht="15" customHeight="1">
      <c r="A34" s="1284"/>
      <c r="B34" s="1254" t="s">
        <v>1627</v>
      </c>
      <c r="C34" s="1248"/>
      <c r="D34" s="3573"/>
      <c r="E34" s="3573"/>
      <c r="F34" s="4876"/>
      <c r="G34" s="4877" t="s">
        <v>171</v>
      </c>
      <c r="H34" s="1732"/>
      <c r="I34" s="1731"/>
      <c r="J34" s="1582">
        <f>SUM(I36:I42)</f>
        <v>0</v>
      </c>
      <c r="K34" s="1734"/>
      <c r="L34" s="1733"/>
      <c r="M34" s="1585">
        <f>SUM(L36:L42)</f>
        <v>0</v>
      </c>
      <c r="N34" s="1732"/>
      <c r="O34" s="1731"/>
      <c r="P34" s="1582">
        <f>SUM(O36:O42)</f>
        <v>0</v>
      </c>
      <c r="Q34" s="3570"/>
    </row>
    <row r="35" spans="1:17" s="42" customFormat="1" ht="15" customHeight="1">
      <c r="A35" s="1284"/>
      <c r="B35" s="1581"/>
      <c r="C35" s="1580" t="s">
        <v>1156</v>
      </c>
      <c r="D35" s="1651">
        <f>SDÖ1!$O$11</f>
        <v>0</v>
      </c>
      <c r="E35" s="1578"/>
      <c r="F35" s="1574" t="s">
        <v>249</v>
      </c>
      <c r="G35" s="1650" t="s">
        <v>1155</v>
      </c>
      <c r="H35" s="1727" t="s">
        <v>1176</v>
      </c>
      <c r="I35" s="1568" t="s">
        <v>171</v>
      </c>
      <c r="J35" s="3568"/>
      <c r="K35" s="1729" t="s">
        <v>1176</v>
      </c>
      <c r="L35" s="1571" t="s">
        <v>171</v>
      </c>
      <c r="M35" s="1728"/>
      <c r="N35" s="1727" t="s">
        <v>1176</v>
      </c>
      <c r="O35" s="1568" t="s">
        <v>171</v>
      </c>
      <c r="P35" s="1567"/>
      <c r="Q35" s="3570"/>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570"/>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570"/>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570"/>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570"/>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570"/>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570"/>
    </row>
    <row r="42" spans="1:17" s="3569"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570"/>
    </row>
    <row r="43" spans="1:17" s="42" customFormat="1" ht="15" customHeight="1">
      <c r="A43" s="1284"/>
      <c r="B43" s="1254" t="s">
        <v>1175</v>
      </c>
      <c r="C43" s="1248"/>
      <c r="D43" s="1248"/>
      <c r="E43" s="1248"/>
      <c r="F43" s="1248"/>
      <c r="G43" s="1588"/>
      <c r="H43" s="1714"/>
      <c r="I43" s="1713"/>
      <c r="J43" s="1582">
        <f>SUM(J46:J57)</f>
        <v>142.3636745925042</v>
      </c>
      <c r="K43" s="1716"/>
      <c r="L43" s="1715"/>
      <c r="M43" s="1585">
        <f>SUM(M46:M57)</f>
        <v>153.83113581337813</v>
      </c>
      <c r="N43" s="1714"/>
      <c r="O43" s="1713"/>
      <c r="P43" s="1582">
        <f>SUM(P46:P57)</f>
        <v>159.24211884484032</v>
      </c>
      <c r="Q43" s="3570"/>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570"/>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570"/>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570"/>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570"/>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570"/>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570"/>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570"/>
    </row>
    <row r="51" spans="1:17" s="42" customFormat="1" ht="15" customHeight="1">
      <c r="A51" s="1284"/>
      <c r="B51" s="1694"/>
      <c r="C51" s="4882" t="s">
        <v>410</v>
      </c>
      <c r="D51" s="4883"/>
      <c r="E51" s="1693">
        <f>IF($C51=0,0,VLOOKUP($C51,SDÖ3!$C$24:$O$99,4,FALSE))</f>
        <v>83</v>
      </c>
      <c r="F51" s="1692">
        <f>IF($C51=0,0,VLOOKUP($C51,SDÖ3!$C$24:$O$99,12,FALSE))</f>
        <v>0.27</v>
      </c>
      <c r="G51" s="1691">
        <f>IF($C51=0,0,VLOOKUP($C51,SDÖ3!$C$24:$O$99,13,FALSE))</f>
        <v>6.0564781894117647</v>
      </c>
      <c r="H51" s="1688">
        <v>1</v>
      </c>
      <c r="I51" s="1687">
        <f t="shared" si="4"/>
        <v>0.27</v>
      </c>
      <c r="J51" s="1686">
        <f t="shared" si="5"/>
        <v>6.0564781894117647</v>
      </c>
      <c r="K51" s="1688">
        <v>2</v>
      </c>
      <c r="L51" s="1690">
        <f t="shared" si="6"/>
        <v>0.54</v>
      </c>
      <c r="M51" s="1689">
        <f t="shared" si="7"/>
        <v>12.112956378823529</v>
      </c>
      <c r="N51" s="1688">
        <v>2</v>
      </c>
      <c r="O51" s="1687">
        <f t="shared" si="8"/>
        <v>0.54</v>
      </c>
      <c r="P51" s="1686">
        <f t="shared" si="9"/>
        <v>12.112956378823529</v>
      </c>
      <c r="Q51" s="3570"/>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570"/>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570"/>
    </row>
    <row r="54" spans="1:17" s="42" customFormat="1" ht="15" customHeight="1">
      <c r="A54" s="1284"/>
      <c r="B54" s="1694"/>
      <c r="C54" s="4882" t="s">
        <v>403</v>
      </c>
      <c r="D54" s="4883"/>
      <c r="E54" s="1693">
        <f>IF($C54=0,0,VLOOKUP($C54,SDÖ3!$C$24:$O$99,4,FALSE))</f>
        <v>83</v>
      </c>
      <c r="F54" s="1692">
        <f>IF($C54=0,0,VLOOKUP($C54,SDÖ3!$C$24:$O$99,12,FALSE))</f>
        <v>0.56000000000000005</v>
      </c>
      <c r="G54" s="1691">
        <f>IF($C54=0,0,VLOOKUP($C54,SDÖ3!$C$24:$O$99,13,FALSE))</f>
        <v>9.6134362447058805</v>
      </c>
      <c r="H54" s="1688">
        <v>1.05</v>
      </c>
      <c r="I54" s="1687">
        <f t="shared" si="4"/>
        <v>0.58800000000000008</v>
      </c>
      <c r="J54" s="1686">
        <f t="shared" si="5"/>
        <v>10.094108056941176</v>
      </c>
      <c r="K54" s="1688">
        <v>1.3</v>
      </c>
      <c r="L54" s="1690">
        <f t="shared" si="6"/>
        <v>0.72800000000000009</v>
      </c>
      <c r="M54" s="1689">
        <f t="shared" si="7"/>
        <v>12.497467118117646</v>
      </c>
      <c r="N54" s="1688">
        <v>1.55</v>
      </c>
      <c r="O54" s="1687">
        <f t="shared" si="8"/>
        <v>0.8680000000000001</v>
      </c>
      <c r="P54" s="1686">
        <f t="shared" si="9"/>
        <v>14.900826179294116</v>
      </c>
      <c r="Q54" s="3570"/>
    </row>
    <row r="55" spans="1:17" s="42" customFormat="1" ht="15" customHeight="1">
      <c r="A55" s="1284"/>
      <c r="B55" s="1694"/>
      <c r="C55" s="4882" t="s">
        <v>459</v>
      </c>
      <c r="D55" s="4883"/>
      <c r="E55" s="1693">
        <f>IF($C55=0,0,VLOOKUP($C55,SDÖ3!$C$24:$O$99,4,FALSE))</f>
        <v>102</v>
      </c>
      <c r="F55" s="1692">
        <f>IF($C55=0,0,VLOOKUP($C55,SDÖ3!$C$24:$O$99,12,FALSE))</f>
        <v>0.79</v>
      </c>
      <c r="G55" s="1691">
        <f>IF($C55=0,0,VLOOKUP($C55,SDÖ3!$C$24:$O$99,13,FALSE))</f>
        <v>21.737240200000002</v>
      </c>
      <c r="H55" s="1688">
        <v>1</v>
      </c>
      <c r="I55" s="1687">
        <f t="shared" si="4"/>
        <v>0.79</v>
      </c>
      <c r="J55" s="1686">
        <f t="shared" si="5"/>
        <v>21.737240200000002</v>
      </c>
      <c r="K55" s="1688">
        <v>1</v>
      </c>
      <c r="L55" s="1690">
        <f t="shared" si="6"/>
        <v>0.79</v>
      </c>
      <c r="M55" s="1689">
        <f t="shared" si="7"/>
        <v>21.737240200000002</v>
      </c>
      <c r="N55" s="1688">
        <v>1</v>
      </c>
      <c r="O55" s="1687">
        <f t="shared" si="8"/>
        <v>0.79</v>
      </c>
      <c r="P55" s="1686">
        <f t="shared" si="9"/>
        <v>21.737240200000002</v>
      </c>
      <c r="Q55" s="3570"/>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570"/>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0.77142857142857146</v>
      </c>
      <c r="I57" s="1671">
        <f t="shared" si="4"/>
        <v>0.52457142857142858</v>
      </c>
      <c r="J57" s="1670">
        <f t="shared" si="5"/>
        <v>9.0228719108571429</v>
      </c>
      <c r="K57" s="3635">
        <f>K11/35</f>
        <v>1.0285714285714285</v>
      </c>
      <c r="L57" s="1673">
        <f t="shared" si="6"/>
        <v>0.6994285714285714</v>
      </c>
      <c r="M57" s="1620">
        <f t="shared" si="7"/>
        <v>12.030495881142855</v>
      </c>
      <c r="N57" s="3634">
        <f>N11/35</f>
        <v>1.2857142857142858</v>
      </c>
      <c r="O57" s="1671">
        <f t="shared" si="8"/>
        <v>0.87428571428571444</v>
      </c>
      <c r="P57" s="1670">
        <f t="shared" si="9"/>
        <v>15.038119851428572</v>
      </c>
      <c r="Q57" s="3626"/>
    </row>
    <row r="58" spans="1:17" s="3569" customFormat="1" ht="18.75" customHeight="1">
      <c r="A58" s="1248"/>
      <c r="B58" s="1254" t="s">
        <v>1167</v>
      </c>
      <c r="C58" s="1351"/>
      <c r="D58" s="1351"/>
      <c r="E58" s="1351"/>
      <c r="F58" s="38"/>
      <c r="G58" s="1588"/>
      <c r="H58" s="1665"/>
      <c r="I58" s="1664">
        <f>SUM($I$46:$I$57)</f>
        <v>4.6625714285714288</v>
      </c>
      <c r="J58" s="1669"/>
      <c r="K58" s="1668"/>
      <c r="L58" s="1667">
        <f>SUM($L$46:$L$57)</f>
        <v>5.2474285714285713</v>
      </c>
      <c r="M58" s="1666"/>
      <c r="N58" s="1665"/>
      <c r="O58" s="1664">
        <f>SUM($O$46:$O$57)</f>
        <v>5.5622857142857152</v>
      </c>
      <c r="P58" s="1663"/>
      <c r="Q58" s="3570"/>
    </row>
    <row r="59" spans="1:17" s="3569" customFormat="1" ht="15" customHeight="1">
      <c r="A59" s="1248"/>
      <c r="B59" s="1662"/>
      <c r="C59" s="346"/>
      <c r="D59" s="278" t="s">
        <v>1166</v>
      </c>
      <c r="E59" s="1661">
        <v>80</v>
      </c>
      <c r="F59" s="346" t="s">
        <v>1165</v>
      </c>
      <c r="G59" s="1660"/>
      <c r="H59" s="1656"/>
      <c r="I59" s="1655">
        <f>IF(I58+SUM($I$46:$I$57)*$E$59%&gt;I58+10,I58+10,I58+SUM($I$46:$I$57)*$E$59%)</f>
        <v>8.3926285714285722</v>
      </c>
      <c r="J59" s="1654"/>
      <c r="K59" s="1659"/>
      <c r="L59" s="1658">
        <f>IF(L58+SUM($L$46:$L$57)*$E$59%&gt;L58+10,L58+10,L58+SUM($L$46:$L$57)*$E$59%)</f>
        <v>9.4453714285714288</v>
      </c>
      <c r="M59" s="1657"/>
      <c r="N59" s="1656"/>
      <c r="O59" s="1655">
        <f>IF(O58+SUM($O$46:$O$57)*$E$59%&gt;O58+10,O58+10,O58+SUM($O$46:$O$57)*$E$59%)</f>
        <v>10.012114285714286</v>
      </c>
      <c r="P59" s="1654"/>
      <c r="Q59" s="3570"/>
    </row>
    <row r="60" spans="1:17" s="65" customFormat="1" ht="18.75" customHeight="1">
      <c r="A60" s="1351"/>
      <c r="B60" s="1254" t="s">
        <v>1164</v>
      </c>
      <c r="C60" s="1351"/>
      <c r="D60" s="1351"/>
      <c r="E60" s="45"/>
      <c r="F60" s="45"/>
      <c r="G60" s="1653"/>
      <c r="H60" s="1645"/>
      <c r="I60" s="1644"/>
      <c r="J60" s="1652">
        <f>IF(J6=0,0,SUM(I62:I64))</f>
        <v>225.2</v>
      </c>
      <c r="K60" s="1648"/>
      <c r="L60" s="1647"/>
      <c r="M60" s="1585">
        <f>IF(M6=0,0,SUM(L62:L64))</f>
        <v>250.39999999999998</v>
      </c>
      <c r="N60" s="1645"/>
      <c r="O60" s="1644"/>
      <c r="P60" s="1652">
        <f>IF(P6=0,0,SUM(O62:O64))</f>
        <v>275.59999999999997</v>
      </c>
      <c r="Q60" s="3570"/>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570"/>
    </row>
    <row r="62" spans="1:17" s="42" customFormat="1" ht="18.75" customHeight="1">
      <c r="A62" s="1284"/>
      <c r="B62" s="1562"/>
      <c r="C62" s="4860" t="s">
        <v>332</v>
      </c>
      <c r="D62" s="4860"/>
      <c r="E62" s="4860"/>
      <c r="F62" s="1642">
        <f>IF($C62=0,0,VLOOKUP($C62,'SDK3'!$C$92:$D$106,2,FALSE))</f>
        <v>149.6</v>
      </c>
      <c r="G62" s="1641">
        <f>(100+$D$61)/100*F62</f>
        <v>149.6</v>
      </c>
      <c r="H62" s="227"/>
      <c r="I62" s="1637">
        <f>$G$62</f>
        <v>149.6</v>
      </c>
      <c r="J62" s="227"/>
      <c r="K62" s="1640"/>
      <c r="L62" s="1639">
        <f>$G$62</f>
        <v>149.6</v>
      </c>
      <c r="M62" s="1557"/>
      <c r="N62" s="1638"/>
      <c r="O62" s="1637">
        <f>$G$62</f>
        <v>149.6</v>
      </c>
      <c r="P62" s="1636"/>
      <c r="Q62" s="3570"/>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570"/>
    </row>
    <row r="64" spans="1:17" s="42" customFormat="1" ht="15" customHeight="1">
      <c r="A64" s="1284"/>
      <c r="B64" s="1625"/>
      <c r="C64" s="4891" t="s">
        <v>307</v>
      </c>
      <c r="D64" s="4891"/>
      <c r="E64" s="4891"/>
      <c r="F64" s="1624">
        <f>IF($T$3=FALSE,0,VLOOKUP($C64,'SDK3'!$C$92:$D$106,2,FALSE))</f>
        <v>2.8</v>
      </c>
      <c r="G64" s="1623">
        <f>(100+$D$61)/100*F64</f>
        <v>2.8</v>
      </c>
      <c r="H64" s="1619"/>
      <c r="I64" s="1618">
        <f>H11*$G$64</f>
        <v>75.599999999999994</v>
      </c>
      <c r="J64" s="227"/>
      <c r="K64" s="1622"/>
      <c r="L64" s="1621">
        <f>K11*$G$64</f>
        <v>100.8</v>
      </c>
      <c r="M64" s="1620"/>
      <c r="N64" s="1619"/>
      <c r="O64" s="1618">
        <f>N11*$G$64</f>
        <v>125.99999999999999</v>
      </c>
      <c r="P64" s="1617"/>
      <c r="Q64" s="3570"/>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570"/>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570"/>
    </row>
    <row r="67" spans="1:20" s="3569" customFormat="1" ht="22.9" customHeight="1">
      <c r="A67" s="1248"/>
      <c r="B67" s="1254" t="s">
        <v>1162</v>
      </c>
      <c r="C67" s="1248"/>
      <c r="D67" s="1248"/>
      <c r="E67" s="229"/>
      <c r="F67" s="1610"/>
      <c r="G67" s="1588"/>
      <c r="H67" s="1607" t="s">
        <v>1161</v>
      </c>
      <c r="I67" s="1606" t="s">
        <v>1160</v>
      </c>
      <c r="J67" s="1582">
        <f>R68*(H9+H10)*I68%+F68</f>
        <v>54.150000000000006</v>
      </c>
      <c r="K67" s="1609" t="s">
        <v>1161</v>
      </c>
      <c r="L67" s="1608" t="s">
        <v>1160</v>
      </c>
      <c r="M67" s="1585">
        <f>S68*(K9+K10)*L68%+F68</f>
        <v>144.19999999999999</v>
      </c>
      <c r="N67" s="1607" t="s">
        <v>1161</v>
      </c>
      <c r="O67" s="1606" t="s">
        <v>1160</v>
      </c>
      <c r="P67" s="1582">
        <f>T68*(N9+N10)*O68%+F68</f>
        <v>135.25</v>
      </c>
      <c r="Q67" s="3570"/>
    </row>
    <row r="68" spans="1:20" s="3569" customFormat="1" ht="15" customHeight="1">
      <c r="A68" s="1248"/>
      <c r="B68" s="1605"/>
      <c r="C68" s="4888" t="s">
        <v>1159</v>
      </c>
      <c r="D68" s="4888"/>
      <c r="E68" s="4888"/>
      <c r="F68" s="1604"/>
      <c r="G68" s="1595" t="s">
        <v>171</v>
      </c>
      <c r="H68" s="1602">
        <v>16</v>
      </c>
      <c r="I68" s="1601">
        <v>50</v>
      </c>
      <c r="J68" s="1600"/>
      <c r="K68" s="1602">
        <v>20</v>
      </c>
      <c r="L68" s="1601">
        <v>50</v>
      </c>
      <c r="M68" s="1603"/>
      <c r="N68" s="1602">
        <v>18</v>
      </c>
      <c r="O68" s="1601">
        <v>50</v>
      </c>
      <c r="P68" s="1600"/>
      <c r="Q68" s="3570"/>
      <c r="R68" s="1599">
        <f>IF($H$68=0,0,VLOOKUP($H$68,'SD6'!B8:C101,'SD6'!C1,FALSE))*(1+'SDK1'!O11/100)</f>
        <v>3.6100000000000003</v>
      </c>
      <c r="S68" s="1599">
        <f>IF($K$68=0,0,VLOOKUP($K$68,'SD6'!B8:C101,'SD6'!C1,FALSE))*(1+'SDK1'!O11/100)</f>
        <v>7.2099999999999991</v>
      </c>
      <c r="T68" s="1599">
        <f>IF($N$68=0,0,VLOOKUP($N$68,'SD6'!B8:C101,'SD6'!C1,FALSE))*(1+'SDK1'!O11/100)</f>
        <v>5.41</v>
      </c>
    </row>
    <row r="69" spans="1:20" s="3569" customFormat="1" ht="18.75" customHeight="1">
      <c r="A69" s="1248"/>
      <c r="B69" s="1254" t="s">
        <v>1158</v>
      </c>
      <c r="C69" s="1248"/>
      <c r="D69" s="1248"/>
      <c r="E69" s="38"/>
      <c r="F69" s="38"/>
      <c r="G69" s="1588"/>
      <c r="H69" s="44"/>
      <c r="I69" s="73"/>
      <c r="J69" s="1582">
        <f>H70*$F70/1000</f>
        <v>17.232000000000003</v>
      </c>
      <c r="K69" s="1598"/>
      <c r="L69" s="1597"/>
      <c r="M69" s="1585">
        <f>K70*$F70/1000</f>
        <v>22.976000000000003</v>
      </c>
      <c r="N69" s="44"/>
      <c r="O69" s="73"/>
      <c r="P69" s="1582">
        <f>N70*$F70/1000</f>
        <v>28.720000000000002</v>
      </c>
      <c r="Q69" s="3570"/>
    </row>
    <row r="70" spans="1:20" s="3569" customFormat="1" ht="15" customHeight="1">
      <c r="A70" s="1248"/>
      <c r="B70" s="1310"/>
      <c r="C70" s="1309" t="s">
        <v>840</v>
      </c>
      <c r="D70" s="346"/>
      <c r="E70" s="278"/>
      <c r="F70" s="1596">
        <f>'SDK7'!G101</f>
        <v>16</v>
      </c>
      <c r="G70" s="1595" t="s">
        <v>171</v>
      </c>
      <c r="H70" s="1591">
        <f>I9+I10</f>
        <v>1077.0000000000002</v>
      </c>
      <c r="I70" s="1590"/>
      <c r="J70" s="1589"/>
      <c r="K70" s="1594">
        <f>L9+L10</f>
        <v>1436.0000000000002</v>
      </c>
      <c r="L70" s="1593"/>
      <c r="M70" s="1592"/>
      <c r="N70" s="1591">
        <f>O9+O10</f>
        <v>1795.0000000000002</v>
      </c>
      <c r="O70" s="1590"/>
      <c r="P70" s="1589"/>
      <c r="Q70" s="3570"/>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570"/>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570"/>
    </row>
    <row r="75" spans="1:20" s="3569" customFormat="1" ht="30.2" customHeight="1">
      <c r="A75" s="1248"/>
      <c r="B75" s="4886" t="s">
        <v>1154</v>
      </c>
      <c r="C75" s="4887"/>
      <c r="D75" s="1553" t="s">
        <v>1153</v>
      </c>
      <c r="E75" s="1552">
        <f>'SDK1'!$O$59/100</f>
        <v>0.02</v>
      </c>
      <c r="F75" s="1551" t="s">
        <v>1152</v>
      </c>
      <c r="G75" s="1550">
        <v>7</v>
      </c>
      <c r="H75" s="1548"/>
      <c r="I75" s="1549"/>
      <c r="J75" s="1546">
        <f>(J23+J27+J34+J43+J60+J65+J67+J69+J71)*('SDK1'!$O$59%*$G$75/12)</f>
        <v>10.953724536912551</v>
      </c>
      <c r="K75" s="3571"/>
      <c r="L75" s="1034"/>
      <c r="M75" s="1546">
        <f>(M23+M27+M34+M43+M60+M65+M67+M69+M71)*('SDK1'!$O$59%*$G$75/12)</f>
        <v>13.646116584489411</v>
      </c>
      <c r="N75" s="1548"/>
      <c r="O75" s="1547"/>
      <c r="P75" s="1546">
        <f>(P23+P27+P34+P43+P60+P65+P67+P69+P71)*('SDK1'!$O$59%*$G$75/12)</f>
        <v>15.112849719856472</v>
      </c>
      <c r="Q75" s="3570"/>
    </row>
    <row r="76" spans="1:20">
      <c r="L76" s="33"/>
    </row>
    <row r="77" spans="1:20">
      <c r="L77" s="33"/>
      <c r="N77" s="3585"/>
      <c r="O77" s="3585"/>
      <c r="P77" s="3585"/>
    </row>
    <row r="78" spans="1:20" ht="14.25">
      <c r="C78" s="4950" t="s">
        <v>1888</v>
      </c>
      <c r="D78" s="4951"/>
      <c r="E78" s="4951"/>
      <c r="F78" s="4952"/>
      <c r="G78" s="3585"/>
      <c r="H78" s="3585"/>
      <c r="I78" s="3585"/>
      <c r="J78" s="3585"/>
      <c r="K78" s="3585"/>
      <c r="L78" s="3585"/>
      <c r="M78" s="3585"/>
      <c r="N78" s="3585"/>
      <c r="O78" s="3585"/>
      <c r="P78" s="3585"/>
      <c r="Q78" s="3585"/>
    </row>
    <row r="79" spans="1:20">
      <c r="C79" s="4943" t="s">
        <v>295</v>
      </c>
      <c r="D79" s="4944"/>
      <c r="E79" s="4944"/>
      <c r="F79" s="4945"/>
      <c r="G79" s="3585"/>
      <c r="H79" s="3585"/>
      <c r="I79" s="3585"/>
      <c r="J79" s="3585"/>
      <c r="K79" s="3585"/>
      <c r="L79" s="3585"/>
      <c r="M79" s="3585"/>
      <c r="N79" s="3585"/>
      <c r="O79" s="3585"/>
      <c r="P79" s="3585"/>
      <c r="Q79" s="3585"/>
    </row>
    <row r="80" spans="1:20" ht="14.25">
      <c r="C80" s="3579" t="s">
        <v>1884</v>
      </c>
      <c r="D80" s="3580"/>
      <c r="E80" s="3580"/>
      <c r="F80" s="3581"/>
      <c r="G80" s="3585"/>
      <c r="H80" s="3585"/>
      <c r="I80" s="3585"/>
      <c r="J80" s="3585"/>
      <c r="K80" s="3585"/>
      <c r="L80" s="3585"/>
      <c r="M80" s="3585"/>
      <c r="N80" s="3585"/>
      <c r="O80" s="3585"/>
      <c r="P80" s="3585"/>
      <c r="Q80" s="3585"/>
    </row>
    <row r="81" spans="3:17" ht="14.25">
      <c r="C81" s="3579" t="s">
        <v>1885</v>
      </c>
      <c r="D81" s="3580"/>
      <c r="E81" s="3580"/>
      <c r="F81" s="3581"/>
      <c r="G81" s="3585"/>
      <c r="H81" s="3585"/>
      <c r="I81" s="3585"/>
      <c r="J81" s="3585"/>
      <c r="K81" s="3585"/>
      <c r="L81" s="3585"/>
      <c r="M81" s="3585"/>
      <c r="N81" s="3585"/>
      <c r="O81" s="3585"/>
      <c r="P81" s="3585"/>
      <c r="Q81" s="3585"/>
    </row>
    <row r="82" spans="3:17">
      <c r="C82" s="3576" t="s">
        <v>294</v>
      </c>
      <c r="D82" s="3035"/>
      <c r="E82" s="3035"/>
      <c r="F82" s="3036"/>
      <c r="G82" s="3585"/>
      <c r="H82" s="3585"/>
      <c r="I82" s="3585"/>
      <c r="J82" s="3585"/>
      <c r="K82" s="3585"/>
      <c r="L82" s="3585"/>
      <c r="M82" s="3585"/>
      <c r="N82" s="3585"/>
      <c r="O82" s="3585"/>
      <c r="P82" s="3585"/>
      <c r="Q82" s="3585"/>
    </row>
    <row r="83" spans="3:17" ht="14.25">
      <c r="C83" s="3579" t="s">
        <v>1886</v>
      </c>
      <c r="D83" s="3580"/>
      <c r="E83" s="3580"/>
      <c r="F83" s="3581"/>
      <c r="G83" s="3585"/>
      <c r="H83" s="3585"/>
      <c r="I83" s="3585"/>
      <c r="J83" s="3585"/>
      <c r="K83" s="3585"/>
      <c r="L83" s="3585"/>
      <c r="M83" s="3585"/>
      <c r="N83" s="3585"/>
      <c r="O83" s="3585"/>
      <c r="P83" s="3585"/>
      <c r="Q83" s="3585"/>
    </row>
    <row r="84" spans="3:17" ht="14.25">
      <c r="C84" s="3579" t="s">
        <v>1887</v>
      </c>
      <c r="D84" s="3580"/>
      <c r="E84" s="3580"/>
      <c r="F84" s="3581"/>
      <c r="G84" s="3585"/>
      <c r="H84" s="3585"/>
      <c r="I84" s="3585"/>
      <c r="J84" s="3585"/>
      <c r="K84" s="3585"/>
      <c r="L84" s="3585"/>
      <c r="M84" s="3585"/>
      <c r="N84" s="3585"/>
      <c r="O84" s="3585"/>
      <c r="P84" s="3585"/>
      <c r="Q84" s="3585"/>
    </row>
    <row r="85" spans="3:17">
      <c r="C85" s="3576" t="s">
        <v>293</v>
      </c>
      <c r="D85" s="3035"/>
      <c r="E85" s="3035"/>
      <c r="F85" s="3036"/>
      <c r="G85" s="3585"/>
      <c r="H85" s="3585"/>
      <c r="I85" s="3585"/>
      <c r="J85" s="3585"/>
      <c r="K85" s="3585"/>
      <c r="L85" s="3585"/>
      <c r="M85" s="3585"/>
      <c r="N85" s="3585"/>
      <c r="O85" s="3585"/>
      <c r="P85" s="3585"/>
      <c r="Q85" s="3585"/>
    </row>
    <row r="86" spans="3:17">
      <c r="C86" s="3576" t="s">
        <v>292</v>
      </c>
      <c r="D86" s="3035"/>
      <c r="E86" s="3035"/>
      <c r="F86" s="3036"/>
      <c r="G86" s="3585"/>
      <c r="H86" s="3585"/>
      <c r="I86" s="3585"/>
      <c r="J86" s="3585"/>
      <c r="K86" s="3585"/>
      <c r="L86" s="3585"/>
      <c r="M86" s="3585"/>
      <c r="N86" s="3585"/>
      <c r="O86" s="3585"/>
      <c r="P86" s="3585"/>
      <c r="Q86" s="3585"/>
    </row>
    <row r="87" spans="3:17" ht="14.25">
      <c r="C87" s="3576" t="s">
        <v>291</v>
      </c>
      <c r="D87" s="3035"/>
      <c r="E87" s="3035"/>
      <c r="F87" s="3036"/>
      <c r="G87" s="3585"/>
      <c r="H87" s="3585"/>
      <c r="I87" s="3585"/>
      <c r="J87" s="3585"/>
      <c r="K87" s="3585"/>
      <c r="L87" s="3585"/>
      <c r="M87" s="3585"/>
      <c r="N87" s="3585"/>
      <c r="O87" s="3585"/>
      <c r="P87" s="3585"/>
      <c r="Q87" s="3585"/>
    </row>
    <row r="88" spans="3:17" ht="13.15" customHeight="1">
      <c r="C88" s="3576" t="s">
        <v>290</v>
      </c>
      <c r="D88" s="3577"/>
      <c r="E88" s="3577"/>
      <c r="F88" s="3578"/>
      <c r="G88" s="3585"/>
      <c r="H88" s="3585"/>
      <c r="I88" s="3585"/>
      <c r="J88" s="3585"/>
      <c r="K88" s="3585"/>
      <c r="L88" s="3585"/>
      <c r="M88" s="3585"/>
      <c r="N88" s="3585"/>
      <c r="O88" s="3585"/>
      <c r="P88" s="3585"/>
      <c r="Q88" s="3585"/>
    </row>
    <row r="89" spans="3:17">
      <c r="C89" s="3576" t="s">
        <v>289</v>
      </c>
      <c r="D89" s="3577"/>
      <c r="E89" s="3577"/>
      <c r="F89" s="3578"/>
      <c r="G89" s="3585"/>
      <c r="H89" s="3585"/>
      <c r="I89" s="3585"/>
      <c r="J89" s="3585"/>
      <c r="K89" s="3585"/>
      <c r="L89" s="3585"/>
      <c r="M89" s="3585"/>
      <c r="N89" s="3585"/>
      <c r="O89" s="3585"/>
      <c r="P89" s="3585"/>
      <c r="Q89" s="3585"/>
    </row>
    <row r="90" spans="3:17" ht="25.5">
      <c r="C90" s="3039" t="s">
        <v>288</v>
      </c>
      <c r="D90" s="3040"/>
      <c r="E90" s="3040"/>
      <c r="F90" s="3041"/>
      <c r="G90" s="3585"/>
      <c r="H90" s="3585"/>
      <c r="I90" s="3585"/>
      <c r="J90" s="3585"/>
      <c r="K90" s="3585"/>
      <c r="L90" s="3585"/>
      <c r="M90" s="3585"/>
      <c r="N90" s="3585"/>
      <c r="O90" s="3585"/>
      <c r="P90" s="3585"/>
      <c r="Q90" s="3585"/>
    </row>
    <row r="91" spans="3:17">
      <c r="G91" s="3585"/>
      <c r="H91" s="3585"/>
      <c r="I91" s="3585"/>
      <c r="J91" s="3585"/>
      <c r="K91" s="3585"/>
      <c r="L91" s="3585"/>
      <c r="M91" s="3585"/>
      <c r="N91" s="3585"/>
      <c r="O91" s="3585"/>
      <c r="P91" s="3585"/>
      <c r="Q91" s="3585"/>
    </row>
    <row r="92" spans="3:17">
      <c r="G92" s="3585"/>
      <c r="H92" s="3585"/>
      <c r="I92" s="3585"/>
      <c r="J92" s="3585"/>
      <c r="K92" s="3585"/>
      <c r="L92" s="3585"/>
      <c r="M92" s="3585"/>
      <c r="N92" s="3585"/>
      <c r="O92" s="3585"/>
      <c r="P92" s="3585"/>
      <c r="Q92" s="3585"/>
    </row>
    <row r="93" spans="3:17">
      <c r="G93" s="3585"/>
      <c r="H93" s="3585"/>
      <c r="I93" s="3585"/>
      <c r="J93" s="3585"/>
      <c r="K93" s="3585"/>
      <c r="L93" s="3585"/>
      <c r="M93" s="3585"/>
      <c r="N93" s="3585"/>
      <c r="O93" s="3585"/>
      <c r="P93" s="3585"/>
      <c r="Q93" s="3585"/>
    </row>
    <row r="94" spans="3:17">
      <c r="G94" s="3585"/>
      <c r="H94" s="3585"/>
      <c r="I94" s="3585"/>
      <c r="J94" s="3585"/>
      <c r="K94" s="3585"/>
      <c r="L94" s="3585"/>
      <c r="M94" s="3585"/>
      <c r="N94" s="3585"/>
      <c r="O94" s="3585"/>
      <c r="P94" s="3585"/>
      <c r="Q94" s="3585"/>
    </row>
    <row r="95" spans="3:17">
      <c r="G95" s="3585"/>
      <c r="H95" s="3585"/>
      <c r="I95" s="3585"/>
      <c r="J95" s="3585"/>
      <c r="K95" s="3585"/>
      <c r="L95" s="3585"/>
      <c r="M95" s="3585"/>
      <c r="N95" s="3585"/>
      <c r="O95" s="3585"/>
      <c r="P95" s="3585"/>
      <c r="Q95" s="3585"/>
    </row>
    <row r="96" spans="3:17">
      <c r="G96" s="3585"/>
      <c r="H96" s="3585"/>
      <c r="I96" s="3585"/>
      <c r="J96" s="3585"/>
      <c r="K96" s="3585"/>
      <c r="L96" s="3585"/>
      <c r="M96" s="3585"/>
      <c r="N96" s="3585"/>
      <c r="O96" s="3585"/>
      <c r="P96" s="3585"/>
      <c r="Q96" s="3585"/>
    </row>
    <row r="97" spans="2:17">
      <c r="G97" s="3585"/>
      <c r="H97" s="3585"/>
      <c r="I97" s="3585"/>
      <c r="J97" s="3585"/>
      <c r="K97" s="3585"/>
      <c r="L97" s="3585"/>
      <c r="M97" s="3585"/>
      <c r="N97" s="3585"/>
      <c r="O97" s="3585"/>
      <c r="P97" s="3585"/>
    </row>
    <row r="98" spans="2:17">
      <c r="G98" s="3585"/>
      <c r="H98" s="3585"/>
      <c r="I98" s="3585"/>
      <c r="J98" s="3585"/>
      <c r="K98" s="3585"/>
      <c r="L98" s="3585"/>
      <c r="M98" s="3585"/>
      <c r="N98" s="3585"/>
      <c r="O98" s="3585"/>
      <c r="P98" s="3585"/>
      <c r="Q98" s="3585"/>
    </row>
    <row r="99" spans="2:17">
      <c r="B99" s="33"/>
      <c r="G99" s="3585"/>
      <c r="H99" s="3585"/>
      <c r="I99" s="3585"/>
      <c r="J99" s="3585"/>
      <c r="K99" s="3585"/>
      <c r="L99" s="3585"/>
      <c r="M99" s="3585"/>
      <c r="N99" s="3585"/>
      <c r="O99" s="3585"/>
      <c r="P99" s="3585"/>
      <c r="Q99" s="3585"/>
    </row>
    <row r="100" spans="2:17">
      <c r="B100" s="33"/>
      <c r="G100" s="3585"/>
      <c r="H100" s="3585"/>
      <c r="I100" s="3585"/>
      <c r="J100" s="3585"/>
      <c r="K100" s="3585"/>
      <c r="L100" s="3585"/>
      <c r="M100" s="3585"/>
      <c r="N100" s="3585"/>
      <c r="O100" s="3585"/>
      <c r="P100" s="3585"/>
      <c r="Q100" s="3585"/>
    </row>
    <row r="101" spans="2:17">
      <c r="B101" s="33"/>
      <c r="C101" s="33"/>
      <c r="D101" s="33"/>
      <c r="G101" s="3585"/>
      <c r="H101" s="3585"/>
      <c r="I101" s="3585"/>
      <c r="J101" s="3585"/>
      <c r="K101" s="3585"/>
      <c r="L101" s="3585"/>
      <c r="M101" s="3585"/>
      <c r="N101" s="3585"/>
      <c r="O101" s="3585"/>
      <c r="P101" s="3585"/>
      <c r="Q101" s="3585"/>
    </row>
    <row r="102" spans="2:17">
      <c r="B102" s="33"/>
      <c r="C102" s="33"/>
      <c r="D102" s="33"/>
      <c r="G102" s="3585"/>
      <c r="H102" s="3585"/>
      <c r="I102" s="3585"/>
      <c r="J102" s="3585"/>
      <c r="K102" s="3585"/>
      <c r="L102" s="3585"/>
      <c r="M102" s="3585"/>
      <c r="N102" s="3585"/>
      <c r="O102" s="3585"/>
      <c r="P102" s="3585"/>
      <c r="Q102" s="3585"/>
    </row>
    <row r="103" spans="2:17">
      <c r="B103" s="33"/>
      <c r="C103" s="33"/>
      <c r="D103" s="33"/>
      <c r="G103" s="3585"/>
      <c r="H103" s="3585"/>
      <c r="I103" s="3585"/>
      <c r="J103" s="3585"/>
      <c r="K103" s="3585"/>
      <c r="L103" s="3585"/>
      <c r="M103" s="3585"/>
      <c r="N103" s="3585"/>
      <c r="O103" s="3585"/>
      <c r="P103" s="3585"/>
      <c r="Q103" s="3585"/>
    </row>
    <row r="104" spans="2:17">
      <c r="B104" s="33"/>
      <c r="C104" s="33"/>
      <c r="D104" s="33"/>
      <c r="G104" s="3585"/>
      <c r="H104" s="3585"/>
      <c r="I104" s="3585"/>
      <c r="J104" s="3585"/>
      <c r="K104" s="3585"/>
      <c r="L104" s="3585"/>
      <c r="M104" s="3585"/>
      <c r="N104" s="3585"/>
      <c r="O104" s="3585"/>
      <c r="P104" s="3585"/>
      <c r="Q104" s="3585"/>
    </row>
    <row r="105" spans="2:17">
      <c r="B105" s="33"/>
      <c r="C105" s="33"/>
      <c r="D105" s="33"/>
      <c r="G105" s="3585"/>
      <c r="H105" s="3585"/>
      <c r="I105" s="3585"/>
      <c r="J105" s="3585"/>
      <c r="K105" s="3585"/>
      <c r="L105" s="3585"/>
      <c r="M105" s="3585"/>
      <c r="N105" s="3585"/>
      <c r="O105" s="3585"/>
      <c r="P105" s="3585"/>
      <c r="Q105" s="3585"/>
    </row>
    <row r="106" spans="2:17">
      <c r="B106" s="33"/>
      <c r="C106" s="33"/>
      <c r="D106" s="33"/>
      <c r="G106" s="3585"/>
      <c r="H106" s="3585"/>
      <c r="I106" s="3585"/>
      <c r="J106" s="3585"/>
      <c r="K106" s="3585"/>
      <c r="L106" s="3585"/>
      <c r="M106" s="3585"/>
      <c r="N106" s="3585"/>
      <c r="O106" s="3585"/>
      <c r="P106" s="3585"/>
      <c r="Q106" s="3585"/>
    </row>
    <row r="107" spans="2:17">
      <c r="B107" s="33"/>
      <c r="C107" s="33"/>
      <c r="D107" s="33"/>
      <c r="G107" s="3585"/>
      <c r="H107" s="3585"/>
      <c r="I107" s="3585"/>
      <c r="J107" s="3585"/>
      <c r="K107" s="3585"/>
      <c r="L107" s="3585"/>
      <c r="M107" s="3585"/>
      <c r="N107" s="3585"/>
      <c r="O107" s="3585"/>
      <c r="P107" s="3585"/>
      <c r="Q107" s="3585"/>
    </row>
    <row r="108" spans="2:17">
      <c r="G108" s="3585"/>
      <c r="H108" s="3585"/>
      <c r="I108" s="3585"/>
      <c r="J108" s="3585"/>
      <c r="K108" s="3585"/>
      <c r="L108" s="3585"/>
      <c r="M108" s="3585"/>
      <c r="N108" s="3585"/>
      <c r="O108" s="3585"/>
      <c r="P108" s="3585"/>
      <c r="Q108" s="3585"/>
    </row>
    <row r="109" spans="2:17">
      <c r="G109" s="3585"/>
      <c r="H109" s="3585"/>
      <c r="I109" s="3585"/>
      <c r="J109" s="3585"/>
      <c r="K109" s="3585"/>
      <c r="L109" s="3585"/>
      <c r="M109" s="3585"/>
      <c r="N109" s="3585"/>
      <c r="O109" s="3585"/>
      <c r="P109" s="3585"/>
      <c r="Q109" s="3585"/>
    </row>
    <row r="110" spans="2:17">
      <c r="G110" s="3585"/>
      <c r="H110" s="3585"/>
      <c r="I110" s="3585"/>
      <c r="J110" s="3585"/>
      <c r="K110" s="3585"/>
      <c r="L110" s="3585"/>
      <c r="M110" s="3585"/>
      <c r="N110" s="3585"/>
      <c r="O110" s="3585"/>
      <c r="P110" s="3585"/>
      <c r="Q110" s="3585"/>
    </row>
    <row r="111" spans="2:17">
      <c r="G111" s="3585"/>
      <c r="H111" s="3585"/>
      <c r="I111" s="3585"/>
      <c r="J111" s="3585"/>
      <c r="K111" s="3585"/>
      <c r="L111" s="3585"/>
      <c r="M111" s="3585"/>
      <c r="N111" s="3585"/>
      <c r="O111" s="3585"/>
      <c r="P111" s="3585"/>
      <c r="Q111" s="3585"/>
    </row>
    <row r="112" spans="2:17">
      <c r="G112" s="3585"/>
      <c r="H112" s="3585"/>
      <c r="I112" s="3585"/>
      <c r="J112" s="3585"/>
      <c r="K112" s="3585"/>
      <c r="L112" s="3585"/>
      <c r="M112" s="3585"/>
      <c r="N112" s="3585"/>
      <c r="O112" s="3585"/>
      <c r="P112" s="3585"/>
      <c r="Q112" s="3585"/>
    </row>
    <row r="113" spans="2:18">
      <c r="G113" s="3585"/>
      <c r="H113" s="3585"/>
      <c r="I113" s="3585"/>
      <c r="J113" s="3585"/>
      <c r="K113" s="3585"/>
      <c r="L113" s="3585"/>
      <c r="M113" s="3585"/>
      <c r="N113" s="3585"/>
      <c r="O113" s="3585"/>
      <c r="P113" s="3585"/>
      <c r="Q113" s="3585"/>
    </row>
    <row r="114" spans="2:18">
      <c r="G114" s="3585"/>
      <c r="H114" s="3585"/>
      <c r="I114" s="3585"/>
      <c r="J114" s="3585"/>
      <c r="K114" s="3585"/>
      <c r="L114" s="3585"/>
      <c r="M114" s="3585"/>
      <c r="N114" s="3585"/>
      <c r="O114" s="3585"/>
      <c r="P114" s="3585"/>
      <c r="Q114" s="3585"/>
      <c r="R114" s="3585"/>
    </row>
    <row r="115" spans="2:18">
      <c r="G115" s="3585"/>
      <c r="H115" s="3585"/>
      <c r="I115" s="3585"/>
      <c r="J115" s="3585"/>
      <c r="K115" s="3585"/>
      <c r="L115" s="3585"/>
      <c r="M115" s="3585"/>
      <c r="N115" s="3585"/>
      <c r="O115" s="3585"/>
      <c r="P115" s="3585"/>
      <c r="Q115" s="3585"/>
      <c r="R115" s="3585"/>
    </row>
    <row r="116" spans="2:18">
      <c r="I116" s="3585"/>
      <c r="J116" s="3585"/>
      <c r="K116" s="3585"/>
      <c r="L116" s="3585"/>
      <c r="M116" s="3585"/>
      <c r="N116" s="3585"/>
      <c r="O116" s="3585"/>
      <c r="P116" s="3585"/>
      <c r="Q116" s="3585"/>
      <c r="R116" s="3585"/>
    </row>
    <row r="117" spans="2:18">
      <c r="I117" s="3585"/>
      <c r="J117" s="3585"/>
      <c r="K117" s="3585"/>
      <c r="L117" s="3585"/>
      <c r="M117" s="3585"/>
      <c r="N117" s="3585"/>
      <c r="O117" s="3585"/>
      <c r="P117" s="3585"/>
      <c r="Q117" s="3585"/>
      <c r="R117" s="3585"/>
    </row>
    <row r="118" spans="2:18">
      <c r="B118" s="600"/>
      <c r="C118" s="33"/>
      <c r="I118" s="3585"/>
      <c r="J118" s="3585"/>
      <c r="K118" s="3585"/>
      <c r="L118" s="3585"/>
      <c r="M118" s="3585"/>
      <c r="N118" s="3585"/>
      <c r="O118" s="3585"/>
      <c r="P118" s="3585"/>
      <c r="Q118" s="3585"/>
      <c r="R118" s="3585"/>
    </row>
    <row r="119" spans="2:18">
      <c r="B119" s="600"/>
      <c r="C119" s="33"/>
      <c r="I119" s="3585"/>
      <c r="J119" s="3585"/>
      <c r="K119" s="3585"/>
      <c r="L119" s="3585"/>
      <c r="M119" s="3585"/>
      <c r="N119" s="3585"/>
      <c r="O119" s="3585"/>
      <c r="P119" s="3585"/>
      <c r="Q119" s="3585"/>
      <c r="R119" s="3585"/>
    </row>
    <row r="120" spans="2:18">
      <c r="B120" s="600"/>
      <c r="C120" s="33"/>
      <c r="I120" s="3585"/>
      <c r="J120" s="3585"/>
      <c r="K120" s="3585"/>
      <c r="L120" s="3585"/>
      <c r="M120" s="3585"/>
      <c r="N120" s="3585"/>
      <c r="O120" s="3585"/>
      <c r="P120" s="3585"/>
      <c r="Q120" s="3585"/>
      <c r="R120" s="3585"/>
    </row>
    <row r="121" spans="2:18">
      <c r="B121" s="600"/>
      <c r="C121" s="33"/>
      <c r="I121" s="3585"/>
      <c r="J121" s="3585"/>
      <c r="K121" s="3585"/>
      <c r="L121" s="3585"/>
      <c r="M121" s="3585"/>
      <c r="N121" s="3585"/>
      <c r="O121" s="3585"/>
      <c r="P121" s="3585"/>
      <c r="Q121" s="3585"/>
      <c r="R121" s="3585"/>
    </row>
    <row r="122" spans="2:18">
      <c r="B122" s="600"/>
      <c r="C122" s="33"/>
      <c r="I122" s="3585"/>
      <c r="J122" s="3585"/>
      <c r="K122" s="3585"/>
      <c r="L122" s="3585"/>
      <c r="M122" s="3585"/>
      <c r="N122" s="3585"/>
      <c r="O122" s="3585"/>
      <c r="P122" s="3585"/>
      <c r="Q122" s="3585"/>
      <c r="R122" s="3585"/>
    </row>
    <row r="123" spans="2:18">
      <c r="B123" s="600"/>
      <c r="C123" s="33"/>
      <c r="I123" s="3585"/>
      <c r="J123" s="3585"/>
      <c r="K123" s="3585"/>
      <c r="L123" s="3585"/>
      <c r="M123" s="3585"/>
      <c r="N123" s="3585"/>
      <c r="O123" s="3585"/>
      <c r="P123" s="3585"/>
      <c r="Q123" s="3585"/>
      <c r="R123" s="3585"/>
    </row>
    <row r="124" spans="2:18">
      <c r="B124" s="600"/>
      <c r="C124" s="33"/>
      <c r="I124" s="3585"/>
      <c r="J124" s="3585"/>
      <c r="K124" s="3585"/>
      <c r="L124" s="3585"/>
      <c r="M124" s="3585"/>
      <c r="N124" s="3585"/>
      <c r="O124" s="3585"/>
      <c r="P124" s="3585"/>
      <c r="Q124" s="3585"/>
      <c r="R124" s="3585"/>
    </row>
    <row r="125" spans="2:18">
      <c r="B125" s="600"/>
      <c r="C125" s="33"/>
      <c r="I125" s="3585"/>
      <c r="J125" s="3585"/>
      <c r="K125" s="3585"/>
      <c r="L125" s="3585"/>
      <c r="M125" s="3585"/>
      <c r="N125" s="3585"/>
      <c r="O125" s="3585"/>
      <c r="P125" s="3585"/>
      <c r="Q125" s="3585"/>
      <c r="R125" s="3585"/>
    </row>
    <row r="126" spans="2:18">
      <c r="B126" s="600"/>
      <c r="C126" s="33"/>
      <c r="I126" s="3585"/>
      <c r="J126" s="3585"/>
      <c r="K126" s="3585"/>
      <c r="L126" s="3585"/>
      <c r="M126" s="3585"/>
      <c r="N126" s="3585"/>
      <c r="O126" s="3585"/>
      <c r="P126" s="3585"/>
      <c r="Q126" s="3585"/>
      <c r="R126" s="3585"/>
    </row>
    <row r="127" spans="2:18">
      <c r="B127" s="600"/>
      <c r="C127" s="33"/>
      <c r="I127" s="3585"/>
      <c r="J127" s="3585"/>
      <c r="K127" s="3585"/>
      <c r="L127" s="3585"/>
      <c r="M127" s="3585"/>
      <c r="N127" s="3585"/>
      <c r="O127" s="3585"/>
      <c r="P127" s="3585"/>
      <c r="Q127" s="3585"/>
      <c r="R127" s="3585"/>
    </row>
    <row r="128" spans="2:18">
      <c r="B128" s="600"/>
      <c r="C128" s="33"/>
      <c r="I128" s="3585"/>
      <c r="J128" s="3585"/>
      <c r="K128" s="3585"/>
      <c r="L128" s="3585"/>
      <c r="M128" s="3585"/>
      <c r="N128" s="3585"/>
      <c r="O128" s="3585"/>
      <c r="P128" s="3585"/>
      <c r="Q128" s="3585"/>
      <c r="R128" s="3585"/>
    </row>
    <row r="129" spans="2:18">
      <c r="B129" s="600"/>
      <c r="C129" s="33"/>
      <c r="I129" s="3585"/>
      <c r="J129" s="3585"/>
      <c r="K129" s="3585"/>
      <c r="L129" s="3585"/>
      <c r="M129" s="3585"/>
      <c r="N129" s="3585"/>
      <c r="O129" s="3585"/>
      <c r="P129" s="3585"/>
      <c r="Q129" s="3585"/>
      <c r="R129" s="3585"/>
    </row>
    <row r="130" spans="2:18">
      <c r="B130" s="600"/>
      <c r="C130" s="33"/>
      <c r="I130" s="3585"/>
      <c r="J130" s="3585"/>
      <c r="K130" s="3585"/>
      <c r="L130" s="3585"/>
      <c r="M130" s="3585"/>
      <c r="N130" s="3585"/>
      <c r="O130" s="3585"/>
      <c r="P130" s="3585"/>
      <c r="Q130" s="3585"/>
      <c r="R130" s="3585"/>
    </row>
    <row r="131" spans="2:18">
      <c r="B131" s="600"/>
      <c r="C131" s="33"/>
      <c r="I131" s="3585"/>
      <c r="J131" s="3585"/>
      <c r="K131" s="3585"/>
      <c r="L131" s="3585"/>
      <c r="M131" s="3585"/>
      <c r="N131" s="3585"/>
      <c r="O131" s="3585"/>
      <c r="P131" s="3585"/>
      <c r="Q131" s="3585"/>
      <c r="R131" s="3585"/>
    </row>
    <row r="132" spans="2:18">
      <c r="B132" s="600"/>
      <c r="C132" s="33"/>
      <c r="I132" s="3585"/>
      <c r="J132" s="3585"/>
      <c r="K132" s="3585"/>
      <c r="L132" s="3585"/>
      <c r="M132" s="3585"/>
      <c r="N132" s="3585"/>
      <c r="O132" s="3585"/>
      <c r="P132" s="3585"/>
      <c r="Q132" s="3585"/>
      <c r="R132" s="3585"/>
    </row>
    <row r="133" spans="2:18">
      <c r="B133" s="600"/>
      <c r="C133" s="33"/>
      <c r="I133" s="3585"/>
      <c r="J133" s="3585"/>
      <c r="K133" s="3585"/>
      <c r="L133" s="3585"/>
      <c r="M133" s="3585"/>
      <c r="N133" s="3585"/>
      <c r="O133" s="3585"/>
      <c r="P133" s="3585"/>
      <c r="Q133" s="3585"/>
      <c r="R133" s="3585"/>
    </row>
    <row r="134" spans="2:18">
      <c r="B134" s="600"/>
      <c r="C134" s="33"/>
      <c r="I134" s="3585"/>
      <c r="J134" s="3585"/>
      <c r="K134" s="3585"/>
      <c r="L134" s="3585"/>
      <c r="M134" s="3585"/>
      <c r="N134" s="3585"/>
      <c r="O134" s="3585"/>
      <c r="P134" s="3585"/>
      <c r="Q134" s="3585"/>
      <c r="R134" s="3585"/>
    </row>
    <row r="135" spans="2:18">
      <c r="B135" s="600"/>
      <c r="C135" s="33"/>
      <c r="I135" s="3585"/>
      <c r="J135" s="3585"/>
      <c r="K135" s="3585"/>
      <c r="L135" s="3585"/>
      <c r="M135" s="3585"/>
      <c r="N135" s="3585"/>
      <c r="O135" s="3585"/>
      <c r="P135" s="3585"/>
      <c r="Q135" s="3585"/>
      <c r="R135" s="3585"/>
    </row>
    <row r="136" spans="2:18">
      <c r="B136" s="600"/>
      <c r="C136" s="33"/>
      <c r="I136" s="3585"/>
      <c r="J136" s="3585"/>
      <c r="K136" s="3585"/>
      <c r="L136" s="3585"/>
      <c r="M136" s="3585"/>
      <c r="N136" s="3585"/>
      <c r="O136" s="3585"/>
      <c r="P136" s="3585"/>
      <c r="Q136" s="3585"/>
      <c r="R136" s="3585"/>
    </row>
    <row r="137" spans="2:18">
      <c r="B137" s="600"/>
      <c r="C137" s="33"/>
      <c r="I137" s="3585"/>
      <c r="J137" s="3585"/>
      <c r="K137" s="3585"/>
      <c r="L137" s="3585"/>
      <c r="M137" s="3585"/>
      <c r="N137" s="3585"/>
      <c r="O137" s="3585"/>
      <c r="P137" s="3585"/>
      <c r="Q137" s="3585"/>
      <c r="R137" s="3585"/>
    </row>
    <row r="138" spans="2:18">
      <c r="B138" s="600"/>
      <c r="C138" s="33"/>
      <c r="I138" s="3585"/>
      <c r="J138" s="3585"/>
      <c r="K138" s="3585"/>
      <c r="L138" s="3585"/>
      <c r="M138" s="3585"/>
      <c r="N138" s="3585"/>
      <c r="O138" s="3585"/>
      <c r="P138" s="3585"/>
      <c r="Q138" s="3585"/>
      <c r="R138" s="3585"/>
    </row>
    <row r="139" spans="2:18">
      <c r="B139" s="600"/>
      <c r="C139" s="33"/>
      <c r="L139" s="33"/>
    </row>
    <row r="140" spans="2:18">
      <c r="B140" s="600"/>
      <c r="C140" s="33"/>
      <c r="L140" s="33"/>
    </row>
    <row r="141" spans="2:18">
      <c r="B141" s="600"/>
      <c r="C141" s="33"/>
      <c r="L141" s="33"/>
    </row>
    <row r="142" spans="2:18">
      <c r="B142" s="600"/>
      <c r="C142" s="33"/>
      <c r="L142" s="33"/>
    </row>
    <row r="143" spans="2:18">
      <c r="B143" s="600"/>
      <c r="C143" s="33"/>
      <c r="L143" s="33"/>
    </row>
    <row r="144" spans="2:18">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D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G1:I1"/>
    <mergeCell ref="K1:L1"/>
    <mergeCell ref="N1:O1"/>
    <mergeCell ref="K2:P2"/>
    <mergeCell ref="J3:L3"/>
    <mergeCell ref="N3:O4"/>
    <mergeCell ref="E4:I4"/>
    <mergeCell ref="J4:L4"/>
    <mergeCell ref="F23:G23"/>
    <mergeCell ref="H6:I6"/>
    <mergeCell ref="K6:L6"/>
    <mergeCell ref="N6:O6"/>
    <mergeCell ref="E10:F10"/>
    <mergeCell ref="C14:F14"/>
    <mergeCell ref="C15:F15"/>
    <mergeCell ref="C16:F16"/>
    <mergeCell ref="C17:F17"/>
    <mergeCell ref="C19:F19"/>
    <mergeCell ref="E22:G22"/>
    <mergeCell ref="C20:F20"/>
    <mergeCell ref="C21:F21"/>
    <mergeCell ref="C47:D47"/>
    <mergeCell ref="D25:E25"/>
    <mergeCell ref="D26:E26"/>
    <mergeCell ref="F34:G34"/>
    <mergeCell ref="C36:E36"/>
    <mergeCell ref="C37:E37"/>
    <mergeCell ref="C38:E38"/>
    <mergeCell ref="C39:E39"/>
    <mergeCell ref="C40:E40"/>
    <mergeCell ref="C41:E41"/>
    <mergeCell ref="C42:E42"/>
    <mergeCell ref="C46:D46"/>
    <mergeCell ref="C63:E63"/>
    <mergeCell ref="C48:D48"/>
    <mergeCell ref="C49:D49"/>
    <mergeCell ref="C50:D50"/>
    <mergeCell ref="C51:D51"/>
    <mergeCell ref="C52:D52"/>
    <mergeCell ref="C53:D53"/>
    <mergeCell ref="C54:D54"/>
    <mergeCell ref="C55:D55"/>
    <mergeCell ref="C56:D56"/>
    <mergeCell ref="C57:D57"/>
    <mergeCell ref="C62:E62"/>
    <mergeCell ref="C79:F79"/>
    <mergeCell ref="C64:E64"/>
    <mergeCell ref="C68:E68"/>
    <mergeCell ref="C73:E73"/>
    <mergeCell ref="C74:E74"/>
    <mergeCell ref="B75:C75"/>
    <mergeCell ref="C78:F78"/>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8353" r:id="rId4" name="Check Box 1">
              <controlPr defaultSize="0" autoFill="0" autoLine="0" autoPict="0">
                <anchor moveWithCells="1">
                  <from>
                    <xdr:col>12</xdr:col>
                    <xdr:colOff>133350</xdr:colOff>
                    <xdr:row>2</xdr:row>
                    <xdr:rowOff>257175</xdr:rowOff>
                  </from>
                  <to>
                    <xdr:col>12</xdr:col>
                    <xdr:colOff>295275</xdr:colOff>
                    <xdr:row>3</xdr:row>
                    <xdr:rowOff>219075</xdr:rowOff>
                  </to>
                </anchor>
              </controlPr>
            </control>
          </mc:Choice>
        </mc:AlternateContent>
        <mc:AlternateContent xmlns:mc="http://schemas.openxmlformats.org/markup-compatibility/2006">
          <mc:Choice Requires="x14">
            <control shapeId="228354" r:id="rId5" name="Check Box 2">
              <controlPr defaultSize="0" autoFill="0" autoLine="0" autoPict="0">
                <anchor moveWithCells="1">
                  <from>
                    <xdr:col>12</xdr:col>
                    <xdr:colOff>133350</xdr:colOff>
                    <xdr:row>2</xdr:row>
                    <xdr:rowOff>57150</xdr:rowOff>
                  </from>
                  <to>
                    <xdr:col>12</xdr:col>
                    <xdr:colOff>419100</xdr:colOff>
                    <xdr:row>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5">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1289.1107206336897</v>
      </c>
      <c r="K1" s="4855">
        <f>M1-J1</f>
        <v>401.293758343636</v>
      </c>
      <c r="L1" s="4855"/>
      <c r="M1" s="1874">
        <f>(M7+M13+M18+M22+L11+L12)-(M23+M27+M34+M43+M60+M65+M67+M69+M71+M75)</f>
        <v>1690.4044789773257</v>
      </c>
      <c r="N1" s="4855">
        <f>P1-M1</f>
        <v>361.45938334363518</v>
      </c>
      <c r="O1" s="4855"/>
      <c r="P1" s="1874">
        <f>(P7+P13+P18+P22+O11+O12)-(P23+P27+P34+P43+P60+P65+P67+P69+P71+P75)</f>
        <v>2051.8638623209608</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1895</v>
      </c>
      <c r="L2" s="4867"/>
      <c r="M2" s="4867"/>
      <c r="N2" s="4867"/>
      <c r="O2" s="4867"/>
      <c r="P2" s="4867"/>
      <c r="Q2" s="2475"/>
    </row>
    <row r="3" spans="1:41" s="274" customFormat="1" ht="21.75" customHeight="1">
      <c r="A3" s="2475"/>
      <c r="B3" s="1871" t="s">
        <v>1635</v>
      </c>
      <c r="G3" s="1859"/>
      <c r="H3" s="1870"/>
      <c r="J3" s="4863" t="s">
        <v>1205</v>
      </c>
      <c r="K3" s="4937"/>
      <c r="L3" s="4937"/>
      <c r="M3" s="2483"/>
      <c r="N3" s="4934" t="str">
        <f>IF(AND(T3=TRUE,T4=TRUE),"nur 1 Strohnutzung möglich","")</f>
        <v/>
      </c>
      <c r="O3" s="4869"/>
      <c r="P3" s="1868"/>
      <c r="Q3" s="2475"/>
      <c r="T3" s="1886" t="b">
        <v>1</v>
      </c>
    </row>
    <row r="4" spans="1:41" s="274" customFormat="1" ht="20.25" customHeight="1">
      <c r="A4" s="2475"/>
      <c r="B4" s="370" t="s">
        <v>1098</v>
      </c>
      <c r="C4" s="31"/>
      <c r="D4" s="31"/>
      <c r="E4" s="4898" t="s">
        <v>1211</v>
      </c>
      <c r="F4" s="4898"/>
      <c r="G4" s="4898"/>
      <c r="H4" s="4898"/>
      <c r="I4" s="4898"/>
      <c r="J4" s="4863" t="s">
        <v>1194</v>
      </c>
      <c r="K4" s="4937"/>
      <c r="L4" s="4937"/>
      <c r="M4" s="2482"/>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t="s">
        <v>179</v>
      </c>
      <c r="I6" s="4862"/>
      <c r="J6" s="1855">
        <f>M6*0.75</f>
        <v>26.25</v>
      </c>
      <c r="K6" s="4874" t="s">
        <v>152</v>
      </c>
      <c r="L6" s="4875"/>
      <c r="M6" s="1855">
        <v>35</v>
      </c>
      <c r="N6" s="4861" t="s">
        <v>178</v>
      </c>
      <c r="O6" s="4862"/>
      <c r="P6" s="1854">
        <f>M6*1.25</f>
        <v>43.75</v>
      </c>
      <c r="Q6" s="70"/>
    </row>
    <row r="7" spans="1:41" s="251" customFormat="1" ht="18.75" customHeight="1">
      <c r="A7" s="47"/>
      <c r="B7" s="305" t="s">
        <v>1633</v>
      </c>
      <c r="C7" s="47"/>
      <c r="D7" s="47"/>
      <c r="E7" s="47"/>
      <c r="F7" s="47"/>
      <c r="G7" s="1852" t="s">
        <v>171</v>
      </c>
      <c r="H7" s="1849"/>
      <c r="I7" s="1848"/>
      <c r="J7" s="1582">
        <f>SUM(I9:I10)</f>
        <v>1282.9687499999998</v>
      </c>
      <c r="K7" s="1851"/>
      <c r="L7" s="1850"/>
      <c r="M7" s="1585">
        <f>SUM(L9:L10)</f>
        <v>1710.625</v>
      </c>
      <c r="N7" s="1849"/>
      <c r="O7" s="1848"/>
      <c r="P7" s="1582">
        <f>SUM(O9:O10)</f>
        <v>2138.28125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SDÖ1!O22</f>
        <v>50.316666666666663</v>
      </c>
      <c r="H9" s="1845">
        <f>J6-H10</f>
        <v>23.625</v>
      </c>
      <c r="I9" s="1841">
        <f>H9*G9</f>
        <v>1188.7312499999998</v>
      </c>
      <c r="J9" s="43"/>
      <c r="K9" s="1844">
        <f>M6-K10</f>
        <v>31.5</v>
      </c>
      <c r="L9" s="1843">
        <f>K9*G9</f>
        <v>1584.9749999999999</v>
      </c>
      <c r="M9" s="1822"/>
      <c r="N9" s="1842">
        <f>P6-N10</f>
        <v>39.375</v>
      </c>
      <c r="O9" s="1841">
        <f>N9*G9</f>
        <v>1981.2187499999998</v>
      </c>
      <c r="P9" s="43"/>
      <c r="Q9" s="32"/>
      <c r="R9" s="913"/>
      <c r="S9" s="263" t="s">
        <v>1208</v>
      </c>
      <c r="T9" s="1840"/>
    </row>
    <row r="10" spans="1:41" s="1810" customFormat="1" ht="15" customHeight="1">
      <c r="A10" s="370"/>
      <c r="B10" s="239"/>
      <c r="C10" s="279" t="s">
        <v>1631</v>
      </c>
      <c r="D10" s="1819"/>
      <c r="E10" s="4872" t="s">
        <v>1212</v>
      </c>
      <c r="F10" s="4873"/>
      <c r="G10" s="1839">
        <f>SDÖ1!O49</f>
        <v>35.900000000000006</v>
      </c>
      <c r="H10" s="1834">
        <f>J6*0.1</f>
        <v>2.625</v>
      </c>
      <c r="I10" s="1833">
        <f>H10*G10</f>
        <v>94.237500000000011</v>
      </c>
      <c r="J10" s="1838"/>
      <c r="K10" s="1837">
        <f>M6*0.1</f>
        <v>3.5</v>
      </c>
      <c r="L10" s="1836">
        <f>K10*G10</f>
        <v>125.65000000000002</v>
      </c>
      <c r="M10" s="1835"/>
      <c r="N10" s="1834">
        <f>P6*0.1</f>
        <v>4.375</v>
      </c>
      <c r="O10" s="1833">
        <f>N10*G10</f>
        <v>157.06250000000003</v>
      </c>
      <c r="P10" s="1832"/>
      <c r="Q10" s="38"/>
      <c r="R10" s="1831">
        <f>I10+I11+I12</f>
        <v>377.73750000000001</v>
      </c>
      <c r="S10" s="1830">
        <f>L10+L11+L12</f>
        <v>503.65000000000003</v>
      </c>
      <c r="T10" s="1829">
        <f>O10+O11+O12</f>
        <v>629.5625</v>
      </c>
      <c r="W10" s="251" t="s">
        <v>1198</v>
      </c>
    </row>
    <row r="11" spans="1:41" s="1810" customFormat="1" ht="15" customHeight="1">
      <c r="A11" s="370"/>
      <c r="B11" s="272"/>
      <c r="C11" s="45" t="s">
        <v>1197</v>
      </c>
      <c r="D11" s="370"/>
      <c r="E11" s="1828">
        <v>0.9</v>
      </c>
      <c r="F11" s="45" t="s">
        <v>1196</v>
      </c>
      <c r="G11" s="1827">
        <f>SDÖ1!$O$51</f>
        <v>12</v>
      </c>
      <c r="H11" s="1826">
        <f>IF($T$3=FALSE,0,J6*$E$11)</f>
        <v>23.625</v>
      </c>
      <c r="I11" s="1820">
        <f>H11*$G$11</f>
        <v>283.5</v>
      </c>
      <c r="J11" s="1825"/>
      <c r="K11" s="1824">
        <f>IF($T$3=FALSE,0,M6*$E$11)</f>
        <v>31.5</v>
      </c>
      <c r="L11" s="1823">
        <f>K11*$G$11</f>
        <v>378</v>
      </c>
      <c r="M11" s="1822"/>
      <c r="N11" s="1821">
        <f>IF($T$3=FALSE,0,P6*$E$11)</f>
        <v>39.375</v>
      </c>
      <c r="O11" s="1820">
        <f>N11*$G$11</f>
        <v>472.5</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23.625</v>
      </c>
      <c r="Y12" s="1807">
        <f>IF(OR(T3=TRUE,T4=TRUE),M6*$E$11,"0")</f>
        <v>31.5</v>
      </c>
      <c r="Z12" s="1806">
        <f>IF(OR(T3=TRUE,T4=TRUE),P6*$E$11,"0")</f>
        <v>39.375</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178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117.6</v>
      </c>
      <c r="K23" s="1587"/>
      <c r="L23" s="1586"/>
      <c r="M23" s="1768">
        <f>SUM(L25:L26)</f>
        <v>117.6</v>
      </c>
      <c r="N23" s="1584"/>
      <c r="O23" s="1583"/>
      <c r="P23" s="1567">
        <f>SUM(O25:O26)</f>
        <v>117.6</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0.84</v>
      </c>
      <c r="G25" s="1762">
        <f>F25*(100+$D$24)/100</f>
        <v>0.84</v>
      </c>
      <c r="H25" s="1761">
        <v>140</v>
      </c>
      <c r="I25" s="1722">
        <f>H25*$G25</f>
        <v>117.6</v>
      </c>
      <c r="J25" s="45"/>
      <c r="K25" s="1761">
        <f>H25</f>
        <v>140</v>
      </c>
      <c r="L25" s="1564">
        <f>K25*$G25</f>
        <v>117.6</v>
      </c>
      <c r="M25" s="1557"/>
      <c r="N25" s="1761">
        <f>H25</f>
        <v>140</v>
      </c>
      <c r="O25" s="1722">
        <f>N25*$G25</f>
        <v>117.6</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298.44474999999994</v>
      </c>
      <c r="K27" s="1716"/>
      <c r="L27" s="1715"/>
      <c r="M27" s="1585">
        <f>SUM(L30:L33)</f>
        <v>368.79300000000001</v>
      </c>
      <c r="N27" s="1714"/>
      <c r="O27" s="1713"/>
      <c r="P27" s="1582">
        <f>SUM(O30:O33)</f>
        <v>439.14125000000001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8"/>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VLOOKUP('SD8'!B20,'SD8'!B9:K44,3,FALSE)</f>
        <v>1.38</v>
      </c>
      <c r="F30" s="1742"/>
      <c r="G30" s="1741">
        <v>20</v>
      </c>
      <c r="H30" s="1739">
        <f>IF(J$6=0,0,(J$6*$E30+$G30+X13))</f>
        <v>56.224999999999994</v>
      </c>
      <c r="I30" s="1722">
        <f>H30*$D30</f>
        <v>245.70324999999997</v>
      </c>
      <c r="J30" s="45"/>
      <c r="K30" s="1740">
        <f>IF(M$6=0,0,(M$6*$E30+$G30+AA14))</f>
        <v>68.3</v>
      </c>
      <c r="L30" s="1564">
        <f>K30*$D30</f>
        <v>298.471</v>
      </c>
      <c r="M30" s="1557"/>
      <c r="N30" s="1739">
        <f>IF(P$6=0,0,(P$6*$E30+$G30+AD14))</f>
        <v>80.375</v>
      </c>
      <c r="O30" s="1722">
        <f>N30*$D30</f>
        <v>351.23874999999998</v>
      </c>
      <c r="P30" s="1686"/>
      <c r="Q30" s="32"/>
    </row>
    <row r="31" spans="1:20" s="42" customFormat="1" ht="15" customHeight="1">
      <c r="A31" s="1284"/>
      <c r="B31" s="272"/>
      <c r="C31" s="1284" t="s">
        <v>244</v>
      </c>
      <c r="D31" s="1691">
        <f>IF(SDÖ1!$U$17=TRUE,SDÖ1!O56,0)</f>
        <v>1.3740000000000001</v>
      </c>
      <c r="E31" s="1742">
        <f>VLOOKUP('SD8'!B20,'SD8'!B9:K44,4,FALSE)</f>
        <v>0.8</v>
      </c>
      <c r="F31" s="1742"/>
      <c r="G31" s="1741"/>
      <c r="H31" s="1739">
        <f>IF(J$6=0,0,(J$6*$E31+$G31+X14))</f>
        <v>21</v>
      </c>
      <c r="I31" s="1722">
        <f>H31*$D31</f>
        <v>28.854000000000003</v>
      </c>
      <c r="J31" s="45"/>
      <c r="K31" s="1740">
        <f>IF(M$6=0,0,(M$6*$E31+$G31+Y14))</f>
        <v>28</v>
      </c>
      <c r="L31" s="1564">
        <f>K31*$D31</f>
        <v>38.472000000000001</v>
      </c>
      <c r="M31" s="1557"/>
      <c r="N31" s="1739">
        <f>IF(P$6=0,0,(P$6*$E31+$G31+Z14))</f>
        <v>35</v>
      </c>
      <c r="O31" s="1722">
        <f>N31*$D31</f>
        <v>48.09</v>
      </c>
      <c r="P31" s="1686"/>
      <c r="Q31" s="32"/>
    </row>
    <row r="32" spans="1:20" s="686" customFormat="1" ht="18.75" customHeight="1">
      <c r="A32" s="1248"/>
      <c r="B32" s="272"/>
      <c r="C32" s="1284" t="s">
        <v>242</v>
      </c>
      <c r="D32" s="1691">
        <f>IF(SDÖ1!$U$17=TRUE,SDÖ1!O57,0)</f>
        <v>1.35</v>
      </c>
      <c r="E32" s="1742">
        <f>VLOOKUP('SD8'!B20,'SD8'!B9:K44,5,FALSE)</f>
        <v>0.6</v>
      </c>
      <c r="F32" s="1742"/>
      <c r="G32" s="1741"/>
      <c r="H32" s="1739">
        <f>IF(J$6=0,0,(J$6*$E32+$G32+X15))</f>
        <v>15.75</v>
      </c>
      <c r="I32" s="1722">
        <f>H32*$D32</f>
        <v>21.262500000000003</v>
      </c>
      <c r="J32" s="45"/>
      <c r="K32" s="1740">
        <f>IF(M$6=0,0,(M$6*$E32+$G32+Y15))</f>
        <v>21</v>
      </c>
      <c r="L32" s="1564">
        <f>K32*$D32</f>
        <v>28.35</v>
      </c>
      <c r="M32" s="1557"/>
      <c r="N32" s="1739">
        <f>IF(P$6=0,0,(P$6*$E32+$G32+Z15))</f>
        <v>26.25</v>
      </c>
      <c r="O32" s="1722">
        <f>N32*$D32</f>
        <v>35.4375</v>
      </c>
      <c r="P32" s="1686"/>
      <c r="Q32" s="32"/>
    </row>
    <row r="33" spans="1:17" s="686" customFormat="1" ht="13.15" customHeight="1">
      <c r="A33" s="1248"/>
      <c r="B33" s="239"/>
      <c r="C33" s="1309" t="s">
        <v>240</v>
      </c>
      <c r="D33" s="1674">
        <f>IF(SDÖ1!$U$17=TRUE,SDÖ1!O58,0)</f>
        <v>0.5</v>
      </c>
      <c r="E33" s="1738">
        <f>VLOOKUP('SD8'!B20,'SD8'!B9:K44,6,FALSE)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145.48977449717646</v>
      </c>
      <c r="K43" s="1716"/>
      <c r="L43" s="1715"/>
      <c r="M43" s="1585">
        <f>SUM(M46:M57)</f>
        <v>149.92396476705881</v>
      </c>
      <c r="N43" s="1714"/>
      <c r="O43" s="1713"/>
      <c r="P43" s="1582">
        <f>SUM(P46:P57)</f>
        <v>154.35815503694116</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t="s">
        <v>410</v>
      </c>
      <c r="D50" s="4883"/>
      <c r="E50" s="1693">
        <f>IF($C50=0,0,VLOOKUP($C50,SDÖ3!$C$24:$O$99,4,FALSE))</f>
        <v>83</v>
      </c>
      <c r="F50" s="1692">
        <f>IF($C50=0,0,VLOOKUP($C50,SDÖ3!$C$24:$O$99,12,FALSE))</f>
        <v>0.27</v>
      </c>
      <c r="G50" s="1691">
        <f>IF($C50=0,0,VLOOKUP($C50,SDÖ3!$C$24:$O$99,13,FALSE))</f>
        <v>6.0564781894117647</v>
      </c>
      <c r="H50" s="1688">
        <v>2</v>
      </c>
      <c r="I50" s="1687">
        <f t="shared" si="4"/>
        <v>0.54</v>
      </c>
      <c r="J50" s="1686">
        <f t="shared" si="5"/>
        <v>12.112956378823529</v>
      </c>
      <c r="K50" s="1688">
        <v>2</v>
      </c>
      <c r="L50" s="1690">
        <f t="shared" si="6"/>
        <v>0.54</v>
      </c>
      <c r="M50" s="1689">
        <f t="shared" si="7"/>
        <v>12.112956378823529</v>
      </c>
      <c r="N50" s="1688">
        <v>2</v>
      </c>
      <c r="O50" s="1687">
        <f t="shared" si="8"/>
        <v>0.54</v>
      </c>
      <c r="P50" s="1686">
        <f t="shared" si="9"/>
        <v>12.112956378823529</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t="s">
        <v>403</v>
      </c>
      <c r="D53" s="4883"/>
      <c r="E53" s="1693">
        <f>IF($C53=0,0,VLOOKUP($C53,SDÖ3!$C$24:$O$99,4,FALSE))</f>
        <v>83</v>
      </c>
      <c r="F53" s="1692">
        <f>IF($C53=0,0,VLOOKUP($C53,SDÖ3!$C$24:$O$99,12,FALSE))</f>
        <v>0.56000000000000005</v>
      </c>
      <c r="G53" s="1691">
        <f>IF($C53=0,0,VLOOKUP($C53,SDÖ3!$C$24:$O$99,13,FALSE))</f>
        <v>9.6134362447058805</v>
      </c>
      <c r="H53" s="1688">
        <v>0.86250000000000004</v>
      </c>
      <c r="I53" s="1687">
        <f t="shared" si="4"/>
        <v>0.4830000000000001</v>
      </c>
      <c r="J53" s="1686">
        <f t="shared" si="5"/>
        <v>8.2915887610588221</v>
      </c>
      <c r="K53" s="1688">
        <v>1.05</v>
      </c>
      <c r="L53" s="1690">
        <f t="shared" si="6"/>
        <v>0.58800000000000008</v>
      </c>
      <c r="M53" s="1689">
        <f t="shared" si="7"/>
        <v>10.094108056941176</v>
      </c>
      <c r="N53" s="1688">
        <v>1.2375</v>
      </c>
      <c r="O53" s="1687">
        <f t="shared" si="8"/>
        <v>0.69300000000000006</v>
      </c>
      <c r="P53" s="1686">
        <f t="shared" si="9"/>
        <v>11.896627352823527</v>
      </c>
      <c r="Q53" s="32"/>
    </row>
    <row r="54" spans="1:17" s="42" customFormat="1" ht="15" customHeight="1">
      <c r="A54" s="1284"/>
      <c r="B54" s="1694"/>
      <c r="C54" s="4882" t="s">
        <v>459</v>
      </c>
      <c r="D54" s="4883"/>
      <c r="E54" s="1693">
        <f>IF($C54=0,0,VLOOKUP($C54,SDÖ3!$C$24:$O$99,4,FALSE))</f>
        <v>102</v>
      </c>
      <c r="F54" s="1692">
        <f>IF($C54=0,0,VLOOKUP($C54,SDÖ3!$C$24:$O$99,12,FALSE))</f>
        <v>0.79</v>
      </c>
      <c r="G54" s="1691">
        <f>IF($C54=0,0,VLOOKUP($C54,SDÖ3!$C$24:$O$99,13,FALSE))</f>
        <v>21.737240200000002</v>
      </c>
      <c r="H54" s="1688">
        <v>1</v>
      </c>
      <c r="I54" s="1687">
        <f t="shared" si="4"/>
        <v>0.79</v>
      </c>
      <c r="J54" s="1686">
        <f t="shared" si="5"/>
        <v>21.737240200000002</v>
      </c>
      <c r="K54" s="1688">
        <v>1</v>
      </c>
      <c r="L54" s="1690">
        <f t="shared" si="6"/>
        <v>0.79</v>
      </c>
      <c r="M54" s="1689">
        <f t="shared" si="7"/>
        <v>21.737240200000002</v>
      </c>
      <c r="N54" s="1688">
        <v>1</v>
      </c>
      <c r="O54" s="1687">
        <f t="shared" si="8"/>
        <v>0.79</v>
      </c>
      <c r="P54" s="1686">
        <f t="shared" si="9"/>
        <v>21.737240200000002</v>
      </c>
      <c r="Q54" s="32"/>
    </row>
    <row r="55" spans="1:17" s="42" customFormat="1" ht="15" customHeight="1">
      <c r="A55" s="1284"/>
      <c r="B55" s="1694"/>
      <c r="C55" s="4882"/>
      <c r="D55" s="4883"/>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0.67500000000000004</v>
      </c>
      <c r="I57" s="1671">
        <f t="shared" si="4"/>
        <v>0.45900000000000007</v>
      </c>
      <c r="J57" s="1670">
        <f t="shared" si="5"/>
        <v>7.8950129220000003</v>
      </c>
      <c r="K57" s="3635">
        <f>K11/35</f>
        <v>0.9</v>
      </c>
      <c r="L57" s="1673">
        <f t="shared" si="6"/>
        <v>0.6120000000000001</v>
      </c>
      <c r="M57" s="1620">
        <f t="shared" si="7"/>
        <v>10.526683896</v>
      </c>
      <c r="N57" s="3634">
        <f>N11/35</f>
        <v>1.125</v>
      </c>
      <c r="O57" s="1671">
        <f t="shared" si="8"/>
        <v>0.76500000000000001</v>
      </c>
      <c r="P57" s="1670">
        <f t="shared" si="9"/>
        <v>13.15835487</v>
      </c>
      <c r="Q57" s="3626"/>
    </row>
    <row r="58" spans="1:17" s="686" customFormat="1" ht="18.75" customHeight="1">
      <c r="A58" s="1248"/>
      <c r="B58" s="1254" t="s">
        <v>1167</v>
      </c>
      <c r="C58" s="1351"/>
      <c r="D58" s="1351"/>
      <c r="E58" s="1351"/>
      <c r="F58" s="38"/>
      <c r="G58" s="1588"/>
      <c r="H58" s="1665"/>
      <c r="I58" s="1664">
        <f>SUM($I$46:$I$57)</f>
        <v>4.7620000000000005</v>
      </c>
      <c r="J58" s="1669"/>
      <c r="K58" s="1668"/>
      <c r="L58" s="1667">
        <f>SUM($L$46:$L$57)</f>
        <v>5.0200000000000005</v>
      </c>
      <c r="M58" s="1666"/>
      <c r="N58" s="1665"/>
      <c r="O58" s="1664">
        <f>SUM($O$46:$O$57)</f>
        <v>5.2779999999999996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8.5716000000000001</v>
      </c>
      <c r="J59" s="1654"/>
      <c r="K59" s="1659"/>
      <c r="L59" s="1658">
        <f>IF(L58+SUM($L$46:$L$57)*$E$59%&gt;L58+10,L58+10,L58+SUM($L$46:$L$57)*$E$59%)</f>
        <v>9.0360000000000014</v>
      </c>
      <c r="M59" s="1657"/>
      <c r="N59" s="1656"/>
      <c r="O59" s="1655">
        <f>IF(O58+SUM($O$46:$O$57)*$E$59%&gt;O58+10,O58+10,O58+SUM($O$46:$O$57)*$E$59%)</f>
        <v>9.5003999999999991</v>
      </c>
      <c r="P59" s="1654"/>
      <c r="Q59" s="32"/>
    </row>
    <row r="60" spans="1:17" s="65" customFormat="1" ht="18.75" customHeight="1">
      <c r="A60" s="1351"/>
      <c r="B60" s="1254" t="s">
        <v>1164</v>
      </c>
      <c r="C60" s="1351"/>
      <c r="D60" s="1351"/>
      <c r="E60" s="45"/>
      <c r="F60" s="45"/>
      <c r="G60" s="1653"/>
      <c r="H60" s="1645"/>
      <c r="I60" s="1644"/>
      <c r="J60" s="1652">
        <f>IF(J6=0,0,SUM(I62:I64))</f>
        <v>233.25</v>
      </c>
      <c r="K60" s="1648"/>
      <c r="L60" s="1647"/>
      <c r="M60" s="1585">
        <f>IF(M6=0,0,SUM(L62:L64))</f>
        <v>255.29999999999998</v>
      </c>
      <c r="N60" s="1645"/>
      <c r="O60" s="1644"/>
      <c r="P60" s="1652">
        <f>IF(P6=0,0,SUM(O62:O64))</f>
        <v>277.35000000000002</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2.8</v>
      </c>
      <c r="H64" s="1619"/>
      <c r="I64" s="1618">
        <f>H11*$G$64</f>
        <v>66.149999999999991</v>
      </c>
      <c r="J64" s="227"/>
      <c r="K64" s="1622"/>
      <c r="L64" s="1621">
        <f>K11*$G$64</f>
        <v>88.199999999999989</v>
      </c>
      <c r="M64" s="1620"/>
      <c r="N64" s="1619"/>
      <c r="O64" s="1618">
        <f>N11*$G$64</f>
        <v>110.25</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47.381250000000001</v>
      </c>
      <c r="K67" s="1609" t="s">
        <v>1161</v>
      </c>
      <c r="L67" s="1608" t="s">
        <v>1160</v>
      </c>
      <c r="M67" s="1585">
        <f>S68*(K9+K10)*L68%+F68</f>
        <v>63.175000000000004</v>
      </c>
      <c r="N67" s="1607" t="s">
        <v>1161</v>
      </c>
      <c r="O67" s="1606" t="s">
        <v>1160</v>
      </c>
      <c r="P67" s="1582">
        <f>T68*(N9+N10)*O68%+F68</f>
        <v>118.34375</v>
      </c>
      <c r="Q67" s="32"/>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18</v>
      </c>
      <c r="O68" s="1601">
        <v>50</v>
      </c>
      <c r="P68" s="1600"/>
      <c r="Q68" s="32"/>
      <c r="R68" s="1599">
        <f>IF($H$68=0,0,VLOOKUP($H$68,'SD6'!B8:C101,'SD6'!C1,FALSE))*(1+'SDK1'!O11/100)</f>
        <v>3.6100000000000003</v>
      </c>
      <c r="S68" s="1599">
        <f>IF($K$68=0,0,VLOOKUP($K$68,'SD6'!B8:C101,'SD6'!C1,FALSE))*(1+'SDK1'!O11/100)</f>
        <v>3.6100000000000003</v>
      </c>
      <c r="T68" s="1599">
        <f>IF($N$68=0,0,VLOOKUP($N$68,'SD6'!B8:C101,'SD6'!C1,FALSE))*(1+'SDK1'!O11/100)</f>
        <v>5.41</v>
      </c>
    </row>
    <row r="69" spans="1:20" s="686" customFormat="1" ht="18.75" customHeight="1">
      <c r="A69" s="1248"/>
      <c r="B69" s="1254" t="s">
        <v>1158</v>
      </c>
      <c r="C69" s="1248"/>
      <c r="D69" s="1248"/>
      <c r="E69" s="38"/>
      <c r="F69" s="38"/>
      <c r="G69" s="1588"/>
      <c r="H69" s="44"/>
      <c r="I69" s="73"/>
      <c r="J69" s="1582">
        <f>H70*$F70/1000</f>
        <v>20.527499999999996</v>
      </c>
      <c r="K69" s="1598"/>
      <c r="L69" s="1597"/>
      <c r="M69" s="1585">
        <f>K70*$F70/1000</f>
        <v>27.37</v>
      </c>
      <c r="N69" s="44"/>
      <c r="O69" s="73"/>
      <c r="P69" s="1582">
        <f>N70*$F70/1000</f>
        <v>34.212499999999999</v>
      </c>
      <c r="Q69" s="32"/>
    </row>
    <row r="70" spans="1:20" s="686" customFormat="1" ht="15" customHeight="1">
      <c r="A70" s="1248"/>
      <c r="B70" s="1310"/>
      <c r="C70" s="1309" t="s">
        <v>840</v>
      </c>
      <c r="D70" s="346"/>
      <c r="E70" s="278"/>
      <c r="F70" s="1596">
        <f>'SDK7'!G101</f>
        <v>16</v>
      </c>
      <c r="G70" s="1595" t="s">
        <v>171</v>
      </c>
      <c r="H70" s="1591">
        <f>I9+I10</f>
        <v>1282.9687499999998</v>
      </c>
      <c r="I70" s="1590"/>
      <c r="J70" s="1589"/>
      <c r="K70" s="1594">
        <f>L9+L10</f>
        <v>1710.625</v>
      </c>
      <c r="L70" s="1593"/>
      <c r="M70" s="1592"/>
      <c r="N70" s="1591">
        <f>O9+O10</f>
        <v>2138.28125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10.064754869133726</v>
      </c>
      <c r="K75" s="3031"/>
      <c r="L75" s="1034"/>
      <c r="M75" s="1546">
        <f>(M23+M27+M34+M43+M60+M65+M67+M69+M71)*('SDK1'!$O$59%*$G$75/12)</f>
        <v>11.458556255615687</v>
      </c>
      <c r="N75" s="1548"/>
      <c r="O75" s="1547"/>
      <c r="P75" s="1546">
        <f>(P23+P27+P34+P43+P60+P65+P67+P69+P71)*('SDK1'!$O$59%*$G$75/12)</f>
        <v>13.311732642097649</v>
      </c>
      <c r="Q75" s="32"/>
    </row>
    <row r="76" spans="1:20">
      <c r="L76" s="3590"/>
      <c r="M76" s="3590"/>
      <c r="N76" s="3590"/>
      <c r="O76" s="3590"/>
      <c r="P76" s="3590"/>
      <c r="Q76" s="3590"/>
    </row>
    <row r="77" spans="1:20">
      <c r="L77" s="3590"/>
      <c r="M77" s="3590"/>
      <c r="N77" s="3590"/>
      <c r="O77" s="3590"/>
      <c r="P77" s="3590"/>
      <c r="Q77" s="3590"/>
    </row>
    <row r="78" spans="1:20" ht="14.25">
      <c r="C78" s="4950" t="s">
        <v>1888</v>
      </c>
      <c r="D78" s="4951"/>
      <c r="E78" s="4951"/>
      <c r="F78" s="4952"/>
      <c r="G78" s="3590"/>
      <c r="H78" s="3590"/>
      <c r="I78" s="3590"/>
      <c r="J78" s="3590"/>
      <c r="K78" s="3590"/>
      <c r="L78" s="3590"/>
      <c r="M78" s="3590"/>
      <c r="N78" s="3590"/>
      <c r="O78" s="3590"/>
      <c r="P78" s="3590"/>
      <c r="Q78" s="3590"/>
    </row>
    <row r="79" spans="1:20">
      <c r="C79" s="4943" t="s">
        <v>295</v>
      </c>
      <c r="D79" s="4944"/>
      <c r="E79" s="4944"/>
      <c r="F79" s="4945"/>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row>
    <row r="83" spans="2:17" ht="14.25">
      <c r="B83" s="3046"/>
      <c r="C83" s="3042" t="s">
        <v>1886</v>
      </c>
      <c r="D83" s="3043"/>
      <c r="E83" s="3043"/>
      <c r="F83" s="3044"/>
      <c r="G83" s="3590"/>
      <c r="H83" s="3590"/>
      <c r="I83" s="3590"/>
      <c r="J83" s="3590"/>
      <c r="K83" s="3590"/>
      <c r="L83" s="3590"/>
      <c r="M83" s="3590"/>
      <c r="N83" s="3590"/>
      <c r="O83" s="3590"/>
      <c r="P83" s="3590"/>
    </row>
    <row r="84" spans="2:17" ht="14.25">
      <c r="B84" s="3046"/>
      <c r="C84" s="3042" t="s">
        <v>1887</v>
      </c>
      <c r="D84" s="3043"/>
      <c r="E84" s="3043"/>
      <c r="F84" s="3044"/>
      <c r="G84" s="3590"/>
      <c r="H84" s="3590"/>
      <c r="I84" s="3590"/>
      <c r="J84" s="3590"/>
      <c r="K84" s="3590"/>
      <c r="L84" s="3590"/>
      <c r="M84" s="3590"/>
      <c r="N84" s="3590"/>
      <c r="O84" s="3590"/>
      <c r="P84" s="3590"/>
    </row>
    <row r="85" spans="2:17">
      <c r="B85" s="3046"/>
      <c r="C85" s="3034" t="s">
        <v>293</v>
      </c>
      <c r="D85" s="3035"/>
      <c r="E85" s="3035"/>
      <c r="F85" s="3036"/>
      <c r="G85" s="3590"/>
      <c r="H85" s="3590"/>
      <c r="I85" s="3590"/>
      <c r="J85" s="3590"/>
      <c r="K85" s="3590"/>
      <c r="L85" s="3590"/>
      <c r="M85" s="3590"/>
      <c r="N85" s="3590"/>
      <c r="O85" s="3590"/>
      <c r="P85" s="3590"/>
    </row>
    <row r="86" spans="2:17">
      <c r="B86" s="3046"/>
      <c r="C86" s="3034" t="s">
        <v>292</v>
      </c>
      <c r="D86" s="3035"/>
      <c r="E86" s="3035"/>
      <c r="F86" s="3036"/>
      <c r="G86" s="3590"/>
      <c r="H86" s="3590"/>
      <c r="I86" s="3590"/>
      <c r="J86" s="3590"/>
      <c r="K86" s="3590"/>
      <c r="L86" s="3590"/>
      <c r="M86" s="3590"/>
      <c r="N86" s="3590"/>
      <c r="O86" s="3590"/>
      <c r="P86" s="3590"/>
    </row>
    <row r="87" spans="2:17" ht="14.25">
      <c r="B87" s="3046"/>
      <c r="C87" s="3034" t="s">
        <v>291</v>
      </c>
      <c r="D87" s="3035"/>
      <c r="E87" s="3035"/>
      <c r="F87" s="3036"/>
      <c r="G87" s="3590"/>
      <c r="H87" s="3590"/>
      <c r="I87" s="3590"/>
      <c r="J87" s="3590"/>
      <c r="K87" s="3590"/>
      <c r="L87" s="3590"/>
      <c r="M87" s="3590"/>
      <c r="N87" s="3590"/>
      <c r="O87" s="3590"/>
      <c r="P87" s="3590"/>
    </row>
    <row r="88" spans="2:17" ht="13.15" customHeight="1">
      <c r="B88" s="3046"/>
      <c r="C88" s="3034" t="s">
        <v>290</v>
      </c>
      <c r="D88" s="3037"/>
      <c r="E88" s="3037"/>
      <c r="F88" s="3038"/>
      <c r="G88" s="3590"/>
      <c r="H88" s="3590"/>
      <c r="I88" s="3590"/>
      <c r="J88" s="3590"/>
      <c r="K88" s="3590"/>
      <c r="L88" s="3590"/>
      <c r="M88" s="3590"/>
      <c r="N88" s="3590"/>
      <c r="O88" s="3590"/>
      <c r="P88" s="3590"/>
    </row>
    <row r="89" spans="2:17">
      <c r="B89" s="3046"/>
      <c r="C89" s="3034" t="s">
        <v>289</v>
      </c>
      <c r="D89" s="3037"/>
      <c r="E89" s="3037"/>
      <c r="F89" s="3038"/>
      <c r="G89" s="3590"/>
      <c r="H89" s="3590"/>
      <c r="I89" s="3590"/>
      <c r="J89" s="3590"/>
      <c r="K89" s="3590"/>
      <c r="L89" s="3590"/>
      <c r="M89" s="3590"/>
      <c r="N89" s="3590"/>
      <c r="O89" s="3590"/>
      <c r="P89" s="3590"/>
    </row>
    <row r="90" spans="2:17" ht="25.5">
      <c r="B90" s="3046"/>
      <c r="C90" s="3039" t="s">
        <v>288</v>
      </c>
      <c r="D90" s="3040"/>
      <c r="E90" s="3040"/>
      <c r="F90" s="3041"/>
      <c r="G90" s="3590"/>
      <c r="H90" s="3590"/>
      <c r="I90" s="3590"/>
      <c r="J90" s="3590"/>
      <c r="K90" s="3590"/>
      <c r="L90" s="3590"/>
      <c r="M90" s="3590"/>
      <c r="N90" s="3590"/>
      <c r="O90" s="3590"/>
      <c r="P90" s="3590"/>
    </row>
    <row r="91" spans="2:17">
      <c r="C91" s="33"/>
      <c r="D91" s="33"/>
      <c r="E91" s="33"/>
      <c r="F91" s="2506"/>
      <c r="G91" s="3590"/>
      <c r="H91" s="3590"/>
      <c r="I91" s="3590"/>
      <c r="J91" s="3590"/>
      <c r="K91" s="3590"/>
      <c r="L91" s="3590"/>
      <c r="M91" s="3590"/>
      <c r="N91" s="3590"/>
      <c r="O91" s="3590"/>
      <c r="P91" s="3590"/>
    </row>
    <row r="92" spans="2:17">
      <c r="C92" s="33"/>
      <c r="D92" s="33"/>
      <c r="E92" s="33"/>
      <c r="F92" s="2506"/>
      <c r="G92" s="3590"/>
      <c r="H92" s="3590"/>
      <c r="I92" s="3590"/>
      <c r="J92" s="3590"/>
      <c r="K92" s="3590"/>
      <c r="L92" s="3590"/>
      <c r="M92" s="3590"/>
      <c r="N92" s="3590"/>
      <c r="O92" s="3590"/>
      <c r="P92" s="3590"/>
    </row>
    <row r="93" spans="2:17">
      <c r="C93" s="33"/>
      <c r="D93" s="33"/>
      <c r="E93" s="33"/>
      <c r="F93" s="2506"/>
      <c r="G93" s="3590"/>
      <c r="H93" s="3590"/>
      <c r="I93" s="3590"/>
      <c r="J93" s="3590"/>
      <c r="K93" s="3590"/>
      <c r="L93" s="3590"/>
      <c r="M93" s="3590"/>
      <c r="N93" s="3590"/>
      <c r="O93" s="3590"/>
      <c r="P93" s="3590"/>
    </row>
    <row r="94" spans="2:17">
      <c r="C94" s="33"/>
      <c r="D94" s="33"/>
      <c r="E94" s="33"/>
      <c r="F94" s="2506"/>
      <c r="G94" s="3590"/>
      <c r="H94" s="3590"/>
      <c r="I94" s="3590"/>
      <c r="J94" s="3590"/>
      <c r="K94" s="3590"/>
      <c r="L94" s="3590"/>
      <c r="M94" s="3590"/>
      <c r="N94" s="3590"/>
      <c r="O94" s="3590"/>
      <c r="P94" s="3590"/>
    </row>
    <row r="95" spans="2:17">
      <c r="C95" s="33"/>
      <c r="D95" s="33"/>
      <c r="E95" s="33"/>
      <c r="F95" s="2506"/>
      <c r="G95" s="3590"/>
      <c r="H95" s="3590"/>
      <c r="I95" s="3590"/>
      <c r="J95" s="3590"/>
      <c r="K95" s="3590"/>
      <c r="L95" s="3590"/>
      <c r="M95" s="3590"/>
      <c r="N95" s="3590"/>
      <c r="O95" s="3590"/>
      <c r="P95" s="3590"/>
    </row>
    <row r="96" spans="2:17">
      <c r="C96" s="33"/>
      <c r="D96" s="33"/>
      <c r="E96" s="33"/>
      <c r="F96" s="2506"/>
      <c r="G96" s="3590"/>
      <c r="H96" s="3590"/>
      <c r="I96" s="3590"/>
      <c r="J96" s="3590"/>
      <c r="K96" s="3590"/>
      <c r="L96" s="3590"/>
      <c r="M96" s="3590"/>
      <c r="N96" s="3590"/>
      <c r="O96" s="3590"/>
      <c r="P96" s="3590"/>
    </row>
    <row r="97" spans="2:17">
      <c r="C97" s="33"/>
      <c r="D97" s="33"/>
      <c r="E97" s="33"/>
      <c r="G97" s="3590"/>
      <c r="H97" s="3590"/>
      <c r="I97" s="3590"/>
      <c r="J97" s="3590"/>
      <c r="K97" s="3590"/>
      <c r="L97" s="3590"/>
      <c r="M97" s="3590"/>
      <c r="N97" s="3590"/>
      <c r="O97" s="3590"/>
      <c r="P97" s="3590"/>
    </row>
    <row r="98" spans="2:17">
      <c r="C98" s="33"/>
      <c r="D98" s="33"/>
      <c r="E98" s="33"/>
      <c r="G98" s="3590"/>
      <c r="H98" s="3590"/>
      <c r="I98" s="3590"/>
      <c r="J98" s="3590"/>
      <c r="K98" s="3590"/>
      <c r="L98" s="3590"/>
      <c r="M98" s="3590"/>
      <c r="N98" s="3590"/>
      <c r="O98" s="3590"/>
      <c r="P98" s="3590"/>
    </row>
    <row r="99" spans="2:17">
      <c r="B99" s="33"/>
      <c r="C99" s="33"/>
      <c r="D99" s="33"/>
      <c r="E99" s="33"/>
      <c r="G99" s="3590"/>
      <c r="H99" s="3590"/>
      <c r="I99" s="3590"/>
      <c r="J99" s="3590"/>
      <c r="K99" s="3590"/>
      <c r="L99" s="3590"/>
      <c r="M99" s="3590"/>
      <c r="N99" s="3590"/>
      <c r="O99" s="3590"/>
      <c r="P99" s="3590"/>
    </row>
    <row r="100" spans="2:17">
      <c r="B100" s="33"/>
      <c r="C100" s="33"/>
      <c r="D100" s="33"/>
      <c r="E100" s="33"/>
      <c r="G100" s="3590"/>
      <c r="H100" s="3590"/>
      <c r="I100" s="3590"/>
      <c r="J100" s="3590"/>
      <c r="K100" s="3590"/>
      <c r="L100" s="3590"/>
      <c r="M100" s="3590"/>
      <c r="N100" s="3590"/>
      <c r="O100" s="3590"/>
      <c r="P100" s="3590"/>
    </row>
    <row r="101" spans="2:17">
      <c r="B101" s="33"/>
      <c r="C101" s="33"/>
      <c r="D101" s="33"/>
      <c r="E101" s="33"/>
      <c r="G101" s="3590"/>
      <c r="H101" s="3590"/>
      <c r="I101" s="3590"/>
      <c r="J101" s="3590"/>
      <c r="K101" s="3590"/>
      <c r="L101" s="3590"/>
      <c r="M101" s="3590"/>
      <c r="N101" s="3590"/>
      <c r="O101" s="3590"/>
      <c r="P101" s="3590"/>
    </row>
    <row r="102" spans="2:17">
      <c r="B102" s="33"/>
      <c r="C102" s="33"/>
      <c r="D102" s="33"/>
      <c r="G102" s="3590"/>
      <c r="H102" s="3590"/>
      <c r="I102" s="3590"/>
      <c r="J102" s="3590"/>
      <c r="K102" s="3590"/>
      <c r="L102" s="3590"/>
      <c r="M102" s="3590"/>
      <c r="N102" s="3590"/>
      <c r="O102" s="3590"/>
      <c r="P102" s="3590"/>
    </row>
    <row r="103" spans="2:17">
      <c r="B103" s="33"/>
      <c r="C103" s="33"/>
      <c r="D103" s="33"/>
      <c r="G103" s="3590"/>
      <c r="H103" s="3590"/>
      <c r="I103" s="3590"/>
      <c r="J103" s="3590"/>
      <c r="K103" s="3590"/>
      <c r="L103" s="3590"/>
      <c r="M103" s="3590"/>
      <c r="N103" s="3590"/>
      <c r="O103" s="3590"/>
      <c r="P103" s="3590"/>
    </row>
    <row r="104" spans="2:17">
      <c r="B104" s="33"/>
      <c r="C104" s="33"/>
      <c r="D104" s="33"/>
      <c r="G104" s="3590"/>
      <c r="H104" s="3590"/>
      <c r="I104" s="3590"/>
      <c r="J104" s="3590"/>
      <c r="K104" s="3590"/>
      <c r="L104" s="3590"/>
      <c r="M104" s="3590"/>
      <c r="N104" s="3590"/>
      <c r="O104" s="3590"/>
      <c r="P104" s="3590"/>
    </row>
    <row r="105" spans="2:17">
      <c r="B105" s="33"/>
      <c r="C105" s="33"/>
      <c r="D105" s="33"/>
      <c r="G105" s="3590"/>
      <c r="H105" s="3590"/>
      <c r="I105" s="3590"/>
      <c r="J105" s="3590"/>
      <c r="K105" s="3590"/>
      <c r="L105" s="3590"/>
      <c r="M105" s="3590"/>
      <c r="N105" s="3590"/>
      <c r="O105" s="3590"/>
      <c r="P105" s="3590"/>
    </row>
    <row r="106" spans="2:17">
      <c r="B106" s="33"/>
      <c r="C106" s="33"/>
      <c r="D106" s="33"/>
      <c r="G106" s="3590"/>
      <c r="H106" s="3590"/>
      <c r="I106" s="3590"/>
      <c r="J106" s="3590"/>
      <c r="K106" s="3590"/>
      <c r="L106" s="3590"/>
      <c r="M106" s="3590"/>
      <c r="N106" s="3590"/>
      <c r="O106" s="3590"/>
      <c r="P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row>
    <row r="109" spans="2:17">
      <c r="G109" s="3590"/>
      <c r="H109" s="3590"/>
      <c r="I109" s="3590"/>
      <c r="J109" s="3590"/>
      <c r="K109" s="3590"/>
      <c r="L109" s="3590"/>
      <c r="M109" s="3590"/>
      <c r="N109" s="3590"/>
      <c r="O109" s="3590"/>
      <c r="P109" s="3590"/>
    </row>
    <row r="110" spans="2:17">
      <c r="G110" s="3590"/>
      <c r="H110" s="3590"/>
      <c r="I110" s="3590"/>
      <c r="J110" s="3590"/>
      <c r="K110" s="3590"/>
      <c r="L110" s="3590"/>
      <c r="M110" s="3590"/>
      <c r="N110" s="3590"/>
      <c r="O110" s="3590"/>
      <c r="P110" s="3590"/>
    </row>
    <row r="111" spans="2:17">
      <c r="G111" s="3590"/>
      <c r="H111" s="3590"/>
      <c r="I111" s="3590"/>
      <c r="J111" s="3590"/>
      <c r="K111" s="3590"/>
      <c r="L111" s="3590"/>
      <c r="M111" s="3590"/>
      <c r="N111" s="3590"/>
      <c r="O111" s="3590"/>
      <c r="P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G118" s="3590"/>
      <c r="H118" s="3590"/>
      <c r="I118" s="3590"/>
      <c r="J118" s="3590"/>
      <c r="K118" s="3590"/>
      <c r="L118" s="3590"/>
      <c r="M118" s="3590"/>
      <c r="N118" s="3590"/>
      <c r="O118" s="3590"/>
      <c r="P118" s="3590"/>
      <c r="Q118" s="3590"/>
    </row>
    <row r="119" spans="2:17">
      <c r="B119" s="600"/>
      <c r="C119" s="33"/>
      <c r="I119" s="3590"/>
      <c r="J119" s="3590"/>
      <c r="K119" s="3590"/>
      <c r="L119" s="3590"/>
      <c r="M119" s="3590"/>
      <c r="N119" s="3590"/>
      <c r="O119" s="3590"/>
      <c r="P119" s="3590"/>
      <c r="Q119" s="3590"/>
    </row>
    <row r="120" spans="2:17">
      <c r="B120" s="600"/>
      <c r="C120" s="33"/>
      <c r="I120" s="3590"/>
      <c r="J120" s="3590"/>
      <c r="K120" s="3590"/>
      <c r="L120" s="3590"/>
      <c r="M120" s="3590"/>
      <c r="N120" s="3590"/>
      <c r="O120" s="3590"/>
      <c r="P120" s="3590"/>
      <c r="Q120" s="3590"/>
    </row>
    <row r="121" spans="2:17">
      <c r="B121" s="600"/>
      <c r="C121" s="33"/>
      <c r="I121" s="3590"/>
      <c r="J121" s="3590"/>
      <c r="K121" s="3590"/>
      <c r="L121" s="3590"/>
      <c r="M121" s="3590"/>
      <c r="N121" s="3590"/>
      <c r="O121" s="3590"/>
      <c r="P121" s="3590"/>
      <c r="Q121" s="3590"/>
    </row>
    <row r="122" spans="2:17">
      <c r="B122" s="600"/>
      <c r="C122" s="33"/>
      <c r="I122" s="3590"/>
      <c r="J122" s="3590"/>
      <c r="K122" s="3590"/>
      <c r="L122" s="3590"/>
      <c r="M122" s="3590"/>
      <c r="N122" s="3590"/>
      <c r="O122" s="3590"/>
      <c r="P122" s="3590"/>
      <c r="Q122" s="3590"/>
    </row>
    <row r="123" spans="2:17">
      <c r="B123" s="600"/>
      <c r="C123" s="33"/>
      <c r="I123" s="3590"/>
      <c r="J123" s="3590"/>
      <c r="K123" s="3590"/>
      <c r="L123" s="3590"/>
      <c r="M123" s="3590"/>
      <c r="N123" s="3590"/>
      <c r="O123" s="3590"/>
      <c r="P123" s="3590"/>
      <c r="Q123" s="3590"/>
    </row>
    <row r="124" spans="2:17">
      <c r="B124" s="600"/>
      <c r="C124" s="33"/>
      <c r="I124" s="3590"/>
      <c r="J124" s="3590"/>
      <c r="K124" s="3590"/>
      <c r="L124" s="3590"/>
      <c r="M124" s="3590"/>
      <c r="N124" s="3590"/>
      <c r="O124" s="3590"/>
      <c r="P124" s="3590"/>
      <c r="Q124" s="3590"/>
    </row>
    <row r="125" spans="2:17">
      <c r="B125" s="600"/>
      <c r="C125" s="33"/>
      <c r="I125" s="3590"/>
      <c r="J125" s="3590"/>
      <c r="K125" s="3590"/>
      <c r="L125" s="3590"/>
      <c r="M125" s="3590"/>
      <c r="N125" s="3590"/>
      <c r="O125" s="3590"/>
      <c r="P125" s="3590"/>
      <c r="Q125" s="3590"/>
    </row>
    <row r="126" spans="2:17">
      <c r="B126" s="600"/>
      <c r="C126" s="33"/>
      <c r="I126" s="3590"/>
      <c r="J126" s="3590"/>
      <c r="K126" s="3590"/>
      <c r="L126" s="3590"/>
      <c r="M126" s="3590"/>
      <c r="N126" s="3590"/>
      <c r="O126" s="3590"/>
      <c r="P126" s="3590"/>
      <c r="Q126" s="3590"/>
    </row>
    <row r="127" spans="2:17">
      <c r="B127" s="600"/>
      <c r="C127" s="33"/>
      <c r="I127" s="3590"/>
      <c r="J127" s="3590"/>
      <c r="K127" s="3590"/>
      <c r="L127" s="3590"/>
      <c r="M127" s="3590"/>
      <c r="N127" s="3590"/>
      <c r="O127" s="3590"/>
      <c r="P127" s="3590"/>
      <c r="Q127" s="3590"/>
    </row>
    <row r="128" spans="2:17">
      <c r="B128" s="600"/>
      <c r="C128" s="33"/>
      <c r="I128" s="3590"/>
      <c r="J128" s="3590"/>
      <c r="K128" s="3590"/>
      <c r="L128" s="3590"/>
      <c r="M128" s="3590"/>
      <c r="N128" s="3590"/>
      <c r="O128" s="3590"/>
      <c r="P128" s="3590"/>
      <c r="Q128" s="3590"/>
    </row>
    <row r="129" spans="2:17">
      <c r="B129" s="600"/>
      <c r="C129" s="33"/>
      <c r="I129" s="3590"/>
      <c r="J129" s="3590"/>
      <c r="K129" s="3590"/>
      <c r="L129" s="3590"/>
      <c r="M129" s="3590"/>
      <c r="N129" s="3590"/>
      <c r="O129" s="3590"/>
      <c r="P129" s="3590"/>
      <c r="Q129" s="3590"/>
    </row>
    <row r="130" spans="2:17">
      <c r="B130" s="600"/>
      <c r="C130" s="33"/>
      <c r="I130" s="3590"/>
      <c r="J130" s="3590"/>
      <c r="K130" s="3590"/>
      <c r="L130" s="3590"/>
      <c r="M130" s="3590"/>
      <c r="N130" s="3590"/>
      <c r="O130" s="3590"/>
      <c r="P130" s="3590"/>
      <c r="Q130" s="3590"/>
    </row>
    <row r="131" spans="2:17">
      <c r="B131" s="600"/>
      <c r="C131" s="33"/>
      <c r="I131" s="3590"/>
      <c r="J131" s="3590"/>
      <c r="K131" s="3590"/>
      <c r="L131" s="3590"/>
      <c r="M131" s="3590"/>
      <c r="N131" s="3590"/>
      <c r="O131" s="3590"/>
      <c r="P131" s="3590"/>
      <c r="Q131" s="3590"/>
    </row>
    <row r="132" spans="2:17">
      <c r="B132" s="600"/>
      <c r="C132" s="33"/>
      <c r="I132" s="3590"/>
      <c r="J132" s="3590"/>
      <c r="K132" s="3590"/>
      <c r="L132" s="3590"/>
      <c r="M132" s="3590"/>
      <c r="N132" s="3590"/>
      <c r="O132" s="3590"/>
      <c r="P132" s="3590"/>
      <c r="Q132" s="3590"/>
    </row>
    <row r="133" spans="2:17">
      <c r="B133" s="600"/>
      <c r="C133" s="33"/>
      <c r="I133" s="3590"/>
      <c r="J133" s="3590"/>
      <c r="K133" s="3590"/>
      <c r="L133" s="3590"/>
      <c r="M133" s="3590"/>
      <c r="N133" s="3590"/>
      <c r="O133" s="3590"/>
      <c r="P133" s="3590"/>
      <c r="Q133" s="3590"/>
    </row>
    <row r="134" spans="2:17">
      <c r="B134" s="600"/>
      <c r="C134" s="33"/>
      <c r="I134" s="3590"/>
      <c r="J134" s="3590"/>
      <c r="K134" s="3590"/>
      <c r="L134" s="3590"/>
      <c r="M134" s="3590"/>
      <c r="N134" s="3590"/>
      <c r="O134" s="3590"/>
      <c r="P134" s="3590"/>
      <c r="Q134" s="3590"/>
    </row>
    <row r="135" spans="2:17">
      <c r="B135" s="600"/>
      <c r="C135" s="33"/>
      <c r="I135" s="3590"/>
      <c r="J135" s="3590"/>
      <c r="K135" s="3590"/>
      <c r="L135" s="3590"/>
      <c r="M135" s="3590"/>
      <c r="N135" s="3590"/>
      <c r="O135" s="3590"/>
      <c r="P135" s="3590"/>
      <c r="Q135" s="3590"/>
    </row>
    <row r="136" spans="2:17">
      <c r="B136" s="600"/>
      <c r="C136" s="33"/>
      <c r="I136" s="3590"/>
      <c r="J136" s="3590"/>
      <c r="K136" s="3590"/>
      <c r="L136" s="3590"/>
      <c r="M136" s="3590"/>
      <c r="N136" s="3590"/>
      <c r="O136" s="3590"/>
      <c r="P136" s="3590"/>
      <c r="Q136" s="3590"/>
    </row>
    <row r="137" spans="2:17">
      <c r="B137" s="600"/>
      <c r="C137" s="33"/>
      <c r="I137" s="3590"/>
      <c r="J137" s="3590"/>
      <c r="K137" s="3590"/>
      <c r="L137" s="3590"/>
      <c r="M137" s="3590"/>
      <c r="N137" s="3590"/>
      <c r="O137" s="3590"/>
      <c r="P137" s="3590"/>
      <c r="Q137" s="3590"/>
    </row>
    <row r="138" spans="2:17">
      <c r="B138" s="600"/>
      <c r="C138" s="33"/>
      <c r="I138" s="3590"/>
      <c r="J138" s="3590"/>
      <c r="K138" s="3590"/>
      <c r="L138" s="3590"/>
      <c r="M138" s="3590"/>
      <c r="N138" s="3590"/>
      <c r="O138" s="3590"/>
      <c r="P138" s="3590"/>
      <c r="Q138" s="3590"/>
    </row>
    <row r="139" spans="2:17">
      <c r="B139" s="600"/>
      <c r="C139" s="33"/>
      <c r="I139" s="3590"/>
      <c r="J139" s="3590"/>
      <c r="K139" s="3590"/>
      <c r="L139" s="3590"/>
      <c r="M139" s="3590"/>
      <c r="N139" s="3590"/>
      <c r="O139" s="3590"/>
      <c r="P139" s="3590"/>
      <c r="Q139" s="3590"/>
    </row>
    <row r="140" spans="2:17">
      <c r="B140" s="600"/>
      <c r="C140" s="33"/>
      <c r="I140" s="3590"/>
      <c r="J140" s="3590"/>
      <c r="K140" s="3590"/>
      <c r="L140" s="3590"/>
      <c r="M140" s="3590"/>
      <c r="N140" s="3590"/>
      <c r="O140" s="3590"/>
      <c r="P140" s="3590"/>
      <c r="Q140" s="3590"/>
    </row>
    <row r="141" spans="2:17">
      <c r="B141" s="600"/>
      <c r="C141" s="33"/>
      <c r="I141" s="3590"/>
      <c r="J141" s="3590"/>
      <c r="K141" s="3590"/>
      <c r="L141" s="3590"/>
      <c r="M141" s="3590"/>
      <c r="N141" s="3590"/>
      <c r="O141" s="3590"/>
      <c r="P141" s="3590"/>
      <c r="Q141" s="3590"/>
    </row>
    <row r="142" spans="2:17">
      <c r="B142" s="600"/>
      <c r="C142" s="33"/>
      <c r="I142" s="3590"/>
      <c r="J142" s="3590"/>
      <c r="K142" s="3590"/>
      <c r="L142" s="3590"/>
      <c r="M142" s="3590"/>
      <c r="N142" s="3590"/>
      <c r="O142" s="3590"/>
      <c r="P142" s="3590"/>
      <c r="Q142" s="3590"/>
    </row>
    <row r="143" spans="2:17">
      <c r="B143" s="600"/>
      <c r="C143" s="33"/>
      <c r="I143" s="3590"/>
      <c r="J143" s="3590"/>
      <c r="K143" s="3590"/>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20:F20"/>
    <mergeCell ref="C21:F21"/>
    <mergeCell ref="C78:F78"/>
    <mergeCell ref="C79:F79"/>
    <mergeCell ref="C74:E74"/>
    <mergeCell ref="B75:C75"/>
    <mergeCell ref="D26:E26"/>
    <mergeCell ref="F34:G34"/>
    <mergeCell ref="C42:E42"/>
    <mergeCell ref="C57:D57"/>
    <mergeCell ref="C47:D47"/>
    <mergeCell ref="C37:E37"/>
    <mergeCell ref="C46:D46"/>
    <mergeCell ref="C38:E38"/>
    <mergeCell ref="C39:E39"/>
    <mergeCell ref="C40:E40"/>
    <mergeCell ref="C48:D48"/>
    <mergeCell ref="E22:G22"/>
    <mergeCell ref="C36:E36"/>
    <mergeCell ref="F23:G23"/>
    <mergeCell ref="D25:E25"/>
    <mergeCell ref="N6:O6"/>
    <mergeCell ref="C16:F16"/>
    <mergeCell ref="K6:L6"/>
    <mergeCell ref="C17:F17"/>
    <mergeCell ref="C19:F19"/>
    <mergeCell ref="K1:L1"/>
    <mergeCell ref="N1:O1"/>
    <mergeCell ref="C41:E41"/>
    <mergeCell ref="H6:I6"/>
    <mergeCell ref="C56:D56"/>
    <mergeCell ref="C54:D54"/>
    <mergeCell ref="E10:F10"/>
    <mergeCell ref="K2:P2"/>
    <mergeCell ref="C14:F14"/>
    <mergeCell ref="C15:F15"/>
    <mergeCell ref="C51:D51"/>
    <mergeCell ref="E4:I4"/>
    <mergeCell ref="N3:O4"/>
    <mergeCell ref="J3:L3"/>
    <mergeCell ref="J4:L4"/>
    <mergeCell ref="G1:I1"/>
    <mergeCell ref="C55:D55"/>
    <mergeCell ref="C63:E63"/>
    <mergeCell ref="C68:E68"/>
    <mergeCell ref="C73:E73"/>
    <mergeCell ref="C49:D49"/>
    <mergeCell ref="C53:D53"/>
    <mergeCell ref="C64:E64"/>
    <mergeCell ref="C62:E62"/>
    <mergeCell ref="C52:D52"/>
    <mergeCell ref="C50:D50"/>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38" orientation="portrait" r:id="rId1"/>
  <headerFooter alignWithMargins="0">
    <oddFooter>&amp;L&amp;11LEL Schwäbisch Gmünd&amp;R&amp;11&amp;F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5791" r:id="rId4" name="Check Box 15">
              <controlPr defaultSize="0" autoFill="0" autoLine="0" autoPict="0">
                <anchor moveWithCells="1">
                  <from>
                    <xdr:col>12</xdr:col>
                    <xdr:colOff>0</xdr:colOff>
                    <xdr:row>3</xdr:row>
                    <xdr:rowOff>28575</xdr:rowOff>
                  </from>
                  <to>
                    <xdr:col>12</xdr:col>
                    <xdr:colOff>266700</xdr:colOff>
                    <xdr:row>4</xdr:row>
                    <xdr:rowOff>9525</xdr:rowOff>
                  </to>
                </anchor>
              </controlPr>
            </control>
          </mc:Choice>
        </mc:AlternateContent>
        <mc:AlternateContent xmlns:mc="http://schemas.openxmlformats.org/markup-compatibility/2006">
          <mc:Choice Requires="x14">
            <control shapeId="75792" r:id="rId5" name="Check Box 16">
              <controlPr defaultSize="0" autoFill="0" autoLine="0" autoPict="0">
                <anchor moveWithCells="1">
                  <from>
                    <xdr:col>12</xdr:col>
                    <xdr:colOff>19050</xdr:colOff>
                    <xdr:row>2</xdr:row>
                    <xdr:rowOff>38100</xdr:rowOff>
                  </from>
                  <to>
                    <xdr:col>12</xdr:col>
                    <xdr:colOff>295275</xdr:colOff>
                    <xdr:row>3</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6">
    <tabColor rgb="FFFFC00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7" width="10.5"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1439.1917593069129</v>
      </c>
      <c r="K1" s="4855">
        <f>M1-J1</f>
        <v>497.93287527120924</v>
      </c>
      <c r="L1" s="4855"/>
      <c r="M1" s="1874">
        <f>(M7+M13+M18+M22+L11+L12)-(M23+M27+M34+M43+M60+M65+M67+M69+M71+M75)</f>
        <v>1937.1246345781221</v>
      </c>
      <c r="N1" s="4855">
        <f>P1-M1</f>
        <v>437.23287527120897</v>
      </c>
      <c r="O1" s="4855"/>
      <c r="P1" s="1874">
        <f>(P7+P13+P18+P22+O11+O12)-(P23+P27+P34+P43+P60+P65+P67+P69+P71+P75)</f>
        <v>2374.3575098493311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1896</v>
      </c>
      <c r="L2" s="4867"/>
      <c r="M2" s="4867"/>
      <c r="N2" s="4867"/>
      <c r="O2" s="4867"/>
      <c r="P2" s="4867"/>
      <c r="Q2" s="2475"/>
    </row>
    <row r="3" spans="1:41" s="274" customFormat="1" ht="21.75" customHeight="1">
      <c r="A3" s="2475"/>
      <c r="B3" s="1871" t="s">
        <v>1635</v>
      </c>
      <c r="G3" s="1859"/>
      <c r="H3" s="1870"/>
      <c r="N3" s="4934"/>
      <c r="O3" s="4869"/>
      <c r="P3" s="1868"/>
      <c r="Q3" s="2475"/>
      <c r="T3" s="1886" t="b">
        <v>0</v>
      </c>
      <c r="X3" s="4863" t="s">
        <v>1205</v>
      </c>
      <c r="Y3" s="4937"/>
      <c r="Z3" s="4937"/>
      <c r="AA3" s="1869"/>
    </row>
    <row r="4" spans="1:41" s="274" customFormat="1" ht="20.25" customHeight="1">
      <c r="A4" s="2475"/>
      <c r="B4" s="370" t="s">
        <v>1098</v>
      </c>
      <c r="C4" s="31"/>
      <c r="D4" s="31"/>
      <c r="E4" s="2491" t="s">
        <v>1645</v>
      </c>
      <c r="F4" s="2491"/>
      <c r="G4" s="2491"/>
      <c r="H4" s="2491"/>
      <c r="I4" s="2491"/>
      <c r="J4" s="2491"/>
      <c r="N4" s="4869"/>
      <c r="O4" s="4869"/>
      <c r="P4" s="1864">
        <f>SDÖ1!O3</f>
        <v>0</v>
      </c>
      <c r="Q4" s="2475"/>
      <c r="T4" s="1886" t="b">
        <v>0</v>
      </c>
      <c r="X4" s="4863" t="s">
        <v>1194</v>
      </c>
      <c r="Y4" s="4937"/>
      <c r="Z4" s="4937"/>
      <c r="AA4" s="2490"/>
    </row>
    <row r="5" spans="1:41" ht="6" customHeight="1"/>
    <row r="6" spans="1:41" s="1853" customFormat="1" ht="24" customHeight="1">
      <c r="A6" s="48"/>
      <c r="B6" s="1858" t="s">
        <v>1151</v>
      </c>
      <c r="C6" s="1857"/>
      <c r="D6" s="1857"/>
      <c r="E6" s="1857"/>
      <c r="F6" s="1857"/>
      <c r="G6" s="1856" t="s">
        <v>1642</v>
      </c>
      <c r="H6" s="4861" t="s">
        <v>179</v>
      </c>
      <c r="I6" s="4862"/>
      <c r="J6" s="1855">
        <f>M6*0.75</f>
        <v>60</v>
      </c>
      <c r="K6" s="4874" t="s">
        <v>152</v>
      </c>
      <c r="L6" s="4875"/>
      <c r="M6" s="1855">
        <v>80</v>
      </c>
      <c r="N6" s="4861" t="s">
        <v>178</v>
      </c>
      <c r="O6" s="4862"/>
      <c r="P6" s="1854">
        <f>M6*1.25</f>
        <v>100</v>
      </c>
      <c r="Q6" s="2489"/>
    </row>
    <row r="7" spans="1:41" s="251" customFormat="1" ht="18.75" customHeight="1">
      <c r="A7" s="47"/>
      <c r="B7" s="305" t="s">
        <v>1633</v>
      </c>
      <c r="C7" s="47"/>
      <c r="D7" s="47"/>
      <c r="E7" s="47"/>
      <c r="F7" s="47"/>
      <c r="G7" s="1852" t="s">
        <v>171</v>
      </c>
      <c r="H7" s="1849"/>
      <c r="I7" s="1848"/>
      <c r="J7" s="1582">
        <f>SUM(I9:I10)</f>
        <v>2356.0000000000005</v>
      </c>
      <c r="K7" s="1851"/>
      <c r="L7" s="1850"/>
      <c r="M7" s="1585">
        <f>SUM(L9:L10)</f>
        <v>3141.3333333333339</v>
      </c>
      <c r="N7" s="1849"/>
      <c r="O7" s="1848"/>
      <c r="P7" s="1582">
        <f>SUM(O9:O10)</f>
        <v>3926.6666666666674</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SDÖ1!O26</f>
        <v>39.266666666666673</v>
      </c>
      <c r="H9" s="1845">
        <f>J6-H10</f>
        <v>60</v>
      </c>
      <c r="I9" s="1841">
        <f>H9*G9</f>
        <v>2356.0000000000005</v>
      </c>
      <c r="J9" s="43"/>
      <c r="K9" s="1844">
        <f>M6-K10</f>
        <v>80</v>
      </c>
      <c r="L9" s="1843">
        <f>K9*G9</f>
        <v>3141.3333333333339</v>
      </c>
      <c r="M9" s="1822"/>
      <c r="N9" s="1842">
        <f>P6-N10</f>
        <v>100</v>
      </c>
      <c r="O9" s="1841">
        <f>N9*G9</f>
        <v>3926.6666666666674</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t="s">
        <v>246</v>
      </c>
      <c r="X13" s="1802">
        <f>$X$12*F30</f>
        <v>0</v>
      </c>
      <c r="Y13" s="1802">
        <f>$Y$12*F30</f>
        <v>0</v>
      </c>
      <c r="Z13" s="1802">
        <f>$Z$12*F30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998</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997</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240</v>
      </c>
      <c r="X16" s="1802">
        <f>$X$12*F33</f>
        <v>0</v>
      </c>
      <c r="Y16" s="1802">
        <f>$Y$12*F33</f>
        <v>0</v>
      </c>
      <c r="Z16" s="1802">
        <f>$Z$12*F33</f>
        <v>0</v>
      </c>
    </row>
    <row r="17" spans="1:20"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row>
    <row r="18" spans="1:20"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0"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0"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0"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0" ht="15.6" customHeight="1">
      <c r="A22" s="370"/>
      <c r="B22" s="305" t="s">
        <v>1188</v>
      </c>
      <c r="C22" s="45"/>
      <c r="D22" s="1775"/>
      <c r="E22" s="4865" t="s">
        <v>1187</v>
      </c>
      <c r="F22" s="4865"/>
      <c r="G22" s="4866"/>
      <c r="H22" s="1772"/>
      <c r="I22" s="1771"/>
      <c r="J22" s="1770"/>
      <c r="K22" s="1774"/>
      <c r="L22" s="1773"/>
      <c r="M22" s="1770"/>
      <c r="N22" s="1772"/>
      <c r="O22" s="1771"/>
      <c r="P22" s="1770"/>
    </row>
    <row r="23" spans="1:20" s="42" customFormat="1" ht="18.75" customHeight="1">
      <c r="A23" s="1284"/>
      <c r="B23" s="264" t="s">
        <v>222</v>
      </c>
      <c r="C23" s="1769"/>
      <c r="D23" s="1769"/>
      <c r="E23" s="38"/>
      <c r="F23" s="4876"/>
      <c r="G23" s="4877" t="s">
        <v>171</v>
      </c>
      <c r="H23" s="1584"/>
      <c r="I23" s="1583"/>
      <c r="J23" s="1567">
        <f>SUM(I25:I26)</f>
        <v>210</v>
      </c>
      <c r="K23" s="1587"/>
      <c r="L23" s="1586"/>
      <c r="M23" s="1768">
        <f>SUM(L25:L26)</f>
        <v>210</v>
      </c>
      <c r="N23" s="1584"/>
      <c r="O23" s="1583"/>
      <c r="P23" s="1567">
        <f>SUM(O25:O26)</f>
        <v>210</v>
      </c>
      <c r="Q23" s="32"/>
    </row>
    <row r="24" spans="1:20"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0" s="686" customFormat="1" ht="18.75" customHeight="1">
      <c r="A25" s="1248"/>
      <c r="B25" s="1764"/>
      <c r="C25" s="1284" t="s">
        <v>1185</v>
      </c>
      <c r="D25" s="4878"/>
      <c r="E25" s="4879"/>
      <c r="F25" s="1763">
        <v>105</v>
      </c>
      <c r="G25" s="1762">
        <f>F25*(100+$D$24)/100</f>
        <v>105</v>
      </c>
      <c r="H25" s="1761">
        <v>2</v>
      </c>
      <c r="I25" s="1722">
        <f>H25*$G25</f>
        <v>210</v>
      </c>
      <c r="J25" s="45"/>
      <c r="K25" s="1761">
        <f>H25</f>
        <v>2</v>
      </c>
      <c r="L25" s="1564">
        <f>K25*$G25</f>
        <v>210</v>
      </c>
      <c r="M25" s="1557"/>
      <c r="N25" s="1761">
        <f>H25</f>
        <v>2</v>
      </c>
      <c r="O25" s="1722">
        <f>N25*$G25</f>
        <v>210</v>
      </c>
      <c r="P25" s="1686"/>
      <c r="Q25" s="32"/>
    </row>
    <row r="26" spans="1:20"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0"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561.68799999999999</v>
      </c>
      <c r="K27" s="1716"/>
      <c r="L27" s="1715"/>
      <c r="M27" s="1585">
        <f>SUM(L30:L33)</f>
        <v>719.78399999999999</v>
      </c>
      <c r="N27" s="1714"/>
      <c r="O27" s="1713"/>
      <c r="P27" s="1582">
        <f>SUM(O30:O33)</f>
        <v>877.88000000000011</v>
      </c>
      <c r="Q27" s="32"/>
    </row>
    <row r="28" spans="1:20" s="42" customFormat="1" ht="15" customHeight="1">
      <c r="A28" s="1284"/>
      <c r="B28" s="1312"/>
      <c r="C28" s="3048"/>
      <c r="D28" s="1754" t="s">
        <v>1019</v>
      </c>
      <c r="E28" s="1754" t="s">
        <v>1183</v>
      </c>
      <c r="F28" s="1754" t="s">
        <v>1183</v>
      </c>
      <c r="G28" s="1753" t="s">
        <v>1182</v>
      </c>
      <c r="H28" s="1713"/>
      <c r="I28" s="1750"/>
      <c r="J28" s="3049"/>
      <c r="K28" s="1716"/>
      <c r="L28" s="1646"/>
      <c r="M28" s="1751"/>
      <c r="N28" s="1714"/>
      <c r="O28" s="1750"/>
      <c r="P28" s="1567"/>
      <c r="Q28" s="32"/>
    </row>
    <row r="29" spans="1:20" s="42" customFormat="1" ht="15" customHeight="1">
      <c r="A29" s="1284"/>
      <c r="B29" s="1749"/>
      <c r="C29" s="1285" t="s">
        <v>1181</v>
      </c>
      <c r="D29" s="1575" t="s">
        <v>852</v>
      </c>
      <c r="E29" s="1575" t="s">
        <v>1180</v>
      </c>
      <c r="F29" s="1575" t="s">
        <v>1179</v>
      </c>
      <c r="G29" s="1575" t="s">
        <v>1628</v>
      </c>
      <c r="H29" s="1746" t="s">
        <v>853</v>
      </c>
      <c r="I29" s="1568" t="s">
        <v>171</v>
      </c>
      <c r="J29" s="3048"/>
      <c r="K29" s="1748" t="s">
        <v>853</v>
      </c>
      <c r="L29" s="1571" t="s">
        <v>171</v>
      </c>
      <c r="M29" s="1747"/>
      <c r="N29" s="1746" t="s">
        <v>853</v>
      </c>
      <c r="O29" s="1568" t="s">
        <v>171</v>
      </c>
      <c r="P29" s="1745"/>
      <c r="Q29" s="32"/>
    </row>
    <row r="30" spans="1:20" s="42" customFormat="1" ht="15" customHeight="1">
      <c r="A30" s="1284"/>
      <c r="B30" s="1744"/>
      <c r="C30" s="1743" t="s">
        <v>246</v>
      </c>
      <c r="D30" s="1691">
        <f>IF(SDÖ1!$U$17=TRUE,SDÖ1!O55,0)</f>
        <v>4.37</v>
      </c>
      <c r="E30" s="1742">
        <f>VLOOKUP('SD8'!B23,'SD8'!B9:K44,3,FALSE)</f>
        <v>1.38</v>
      </c>
      <c r="F30" s="1742"/>
      <c r="G30" s="1741">
        <v>20</v>
      </c>
      <c r="H30" s="1739">
        <f>IF(J$6=0,0,(J$6*$E30+$G30+X13))</f>
        <v>102.8</v>
      </c>
      <c r="I30" s="1722">
        <f>H30*$D30</f>
        <v>449.23599999999999</v>
      </c>
      <c r="J30" s="45"/>
      <c r="K30" s="1740">
        <f>IF(M$6=0,0,(M$6*$E30+$G30+AA14))</f>
        <v>130.39999999999998</v>
      </c>
      <c r="L30" s="1564">
        <f>K30*$D30</f>
        <v>569.84799999999996</v>
      </c>
      <c r="M30" s="1557"/>
      <c r="N30" s="1739">
        <f>IF(P$6=0,0,(P$6*$E30+$G30+AD14))</f>
        <v>158</v>
      </c>
      <c r="O30" s="1722">
        <f>N30*$D30</f>
        <v>690.46</v>
      </c>
      <c r="P30" s="1686"/>
      <c r="Q30" s="32"/>
    </row>
    <row r="31" spans="1:20" s="42" customFormat="1" ht="15" customHeight="1">
      <c r="A31" s="1284"/>
      <c r="B31" s="272"/>
      <c r="C31" s="1284" t="s">
        <v>244</v>
      </c>
      <c r="D31" s="1691">
        <f>IF(SDÖ1!$U$17=TRUE,SDÖ1!O56,0)</f>
        <v>1.3740000000000001</v>
      </c>
      <c r="E31" s="1742">
        <f>VLOOKUP('SD8'!B23,'SD8'!B9:K44,4,FALSE)</f>
        <v>0.8</v>
      </c>
      <c r="F31" s="1742"/>
      <c r="G31" s="1741"/>
      <c r="H31" s="1739">
        <f>IF(J$6=0,0,(J$6*$E31+$G31+X14))</f>
        <v>48</v>
      </c>
      <c r="I31" s="1722">
        <f>H31*$D31</f>
        <v>65.951999999999998</v>
      </c>
      <c r="J31" s="45"/>
      <c r="K31" s="1740">
        <f>IF(M$6=0,0,(M$6*$E31+$G31+Y14))</f>
        <v>64</v>
      </c>
      <c r="L31" s="1564">
        <f>K31*$D31</f>
        <v>87.936000000000007</v>
      </c>
      <c r="M31" s="1557"/>
      <c r="N31" s="1739">
        <f>IF(P$6=0,0,(P$6*$E31+$G31+Z14))</f>
        <v>80</v>
      </c>
      <c r="O31" s="1722">
        <f>N31*$D31</f>
        <v>109.92000000000002</v>
      </c>
      <c r="P31" s="1686"/>
      <c r="Q31" s="32"/>
    </row>
    <row r="32" spans="1:20" s="686" customFormat="1" ht="18.75" customHeight="1">
      <c r="A32" s="1248"/>
      <c r="B32" s="272"/>
      <c r="C32" s="1284" t="s">
        <v>242</v>
      </c>
      <c r="D32" s="1691">
        <f>IF(SDÖ1!$U$17=TRUE,SDÖ1!O57,0)</f>
        <v>1.35</v>
      </c>
      <c r="E32" s="1742">
        <f>VLOOKUP('SD8'!B23,'SD8'!B9:K44,5,FALSE)</f>
        <v>0.5</v>
      </c>
      <c r="F32" s="1742"/>
      <c r="G32" s="1741"/>
      <c r="H32" s="1739">
        <f>IF(J$6=0,0,(J$6*$E32+$G32+X15))</f>
        <v>30</v>
      </c>
      <c r="I32" s="1722">
        <f>H32*$D32</f>
        <v>40.5</v>
      </c>
      <c r="J32" s="45"/>
      <c r="K32" s="1740">
        <f>IF(M$6=0,0,(M$6*$E32+$G32+Y15))</f>
        <v>40</v>
      </c>
      <c r="L32" s="1564">
        <f>K32*$D32</f>
        <v>54</v>
      </c>
      <c r="M32" s="1557"/>
      <c r="N32" s="1739">
        <f>IF(P$6=0,0,(P$6*$E32+$G32+Z15))</f>
        <v>50</v>
      </c>
      <c r="O32" s="1722">
        <f>N32*$D32</f>
        <v>67.5</v>
      </c>
      <c r="P32" s="1686"/>
      <c r="Q32" s="32"/>
    </row>
    <row r="33" spans="1:17" s="686" customFormat="1" ht="13.15" customHeight="1">
      <c r="A33" s="1248"/>
      <c r="B33" s="239"/>
      <c r="C33" s="1309" t="s">
        <v>240</v>
      </c>
      <c r="D33" s="1674">
        <f>IF(SDÖ1!$U$17=TRUE,SDÖ1!O58,0)</f>
        <v>0.5</v>
      </c>
      <c r="E33" s="1738">
        <f>VLOOKUP('SD8'!B23,'SD8'!B9:K44,6,FALSE)</f>
        <v>0.2</v>
      </c>
      <c r="F33" s="1738"/>
      <c r="G33" s="1737"/>
      <c r="H33" s="1735">
        <f>IF(J$6=0,0,(J$6*$E33+$G33+X16))</f>
        <v>12</v>
      </c>
      <c r="I33" s="1718">
        <f>H33*$D33</f>
        <v>6</v>
      </c>
      <c r="J33" s="45"/>
      <c r="K33" s="1736">
        <f>IF(M$6=0,0,(M$6*$E33+$G33+Y16))</f>
        <v>16</v>
      </c>
      <c r="L33" s="1558">
        <f>K33*$D33</f>
        <v>8</v>
      </c>
      <c r="M33" s="1557"/>
      <c r="N33" s="1735">
        <f>IF(P$6=0,0,(P$6*$E33+$G33+Z16))</f>
        <v>20</v>
      </c>
      <c r="O33" s="1718">
        <f>N33*$D33</f>
        <v>10</v>
      </c>
      <c r="P33" s="1717"/>
      <c r="Q33" s="32"/>
    </row>
    <row r="34" spans="1:17" s="42" customFormat="1" ht="15" customHeight="1">
      <c r="A34" s="1284"/>
      <c r="B34" s="1254" t="s">
        <v>1627</v>
      </c>
      <c r="C34" s="1248"/>
      <c r="D34" s="3048"/>
      <c r="E34" s="3048"/>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164.98526592397477</v>
      </c>
      <c r="K43" s="1716"/>
      <c r="L43" s="1715"/>
      <c r="M43" s="1585">
        <f>SUM(M46:M57)</f>
        <v>168.41005258615124</v>
      </c>
      <c r="N43" s="1714"/>
      <c r="O43" s="1713"/>
      <c r="P43" s="1582">
        <f>SUM(P46:P57)</f>
        <v>171.83483924832771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8"/>
      <c r="C46" s="4858"/>
      <c r="D46" s="4859"/>
      <c r="E46" s="1693">
        <f>IF($C46=0,0,VLOOKUP($C46,SDÖ3!$C$24:$O$99,4,FALSE))</f>
        <v>0</v>
      </c>
      <c r="F46" s="1692">
        <f>IF($C46=0,0,VLOOKUP($C46,SDÖ3!$C$24:$O$99,12,FALSE))</f>
        <v>0</v>
      </c>
      <c r="G46" s="1691">
        <f>IF($C46=0,0,VLOOKUP($C46,SDÖ3!$C$24:$O$99,13,FALSE))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22" s="42" customFormat="1" ht="15" customHeight="1">
      <c r="A49" s="1284"/>
      <c r="B49" s="1694"/>
      <c r="C49" s="4882" t="s">
        <v>453</v>
      </c>
      <c r="D49" s="4883"/>
      <c r="E49" s="1693">
        <f>IF($C49=0,0,VLOOKUP($C49,SDÖ3!$C$24:$O$99,4,FALSE))</f>
        <v>83</v>
      </c>
      <c r="F49" s="1692">
        <f>IF($C49=0,0,VLOOKUP($C49,SDÖ3!$C$24:$O$99,12,FALSE))</f>
        <v>0.57999999999999996</v>
      </c>
      <c r="G49" s="1691">
        <f>IF($C49=0,0,VLOOKUP($C49,SDÖ3!$C$24:$O$99,13,FALSE))</f>
        <v>14.584165872268905</v>
      </c>
      <c r="H49" s="1688">
        <v>1</v>
      </c>
      <c r="I49" s="1687">
        <f t="shared" si="4"/>
        <v>0.57999999999999996</v>
      </c>
      <c r="J49" s="1686">
        <f t="shared" si="5"/>
        <v>14.584165872268905</v>
      </c>
      <c r="K49" s="1688">
        <v>1</v>
      </c>
      <c r="L49" s="1690">
        <f t="shared" si="6"/>
        <v>0.57999999999999996</v>
      </c>
      <c r="M49" s="1689">
        <f t="shared" si="7"/>
        <v>14.584165872268905</v>
      </c>
      <c r="N49" s="1688">
        <v>1</v>
      </c>
      <c r="O49" s="1687">
        <f t="shared" si="8"/>
        <v>0.57999999999999996</v>
      </c>
      <c r="P49" s="1686">
        <f t="shared" si="9"/>
        <v>14.584165872268905</v>
      </c>
      <c r="Q49" s="32"/>
    </row>
    <row r="50" spans="1:22" s="42" customFormat="1" ht="15" customHeight="1">
      <c r="A50" s="1284"/>
      <c r="B50" s="1694"/>
      <c r="C50" s="4882" t="s">
        <v>437</v>
      </c>
      <c r="D50" s="4883"/>
      <c r="E50" s="1693">
        <f>IF($C50=0,0,VLOOKUP($C50,SDÖ3!$C$24:$O$99,4,FALSE))</f>
        <v>83</v>
      </c>
      <c r="F50" s="1692">
        <f>IF($C50=0,0,VLOOKUP($C50,SDÖ3!$C$24:$O$99,12,FALSE))</f>
        <v>0.81</v>
      </c>
      <c r="G50" s="1691">
        <f>IF($C50=0,0,VLOOKUP($C50,SDÖ3!$C$24:$O$99,13,FALSE))</f>
        <v>20.979434568235291</v>
      </c>
      <c r="H50" s="1688">
        <v>1</v>
      </c>
      <c r="I50" s="1687">
        <f t="shared" si="4"/>
        <v>0.81</v>
      </c>
      <c r="J50" s="1686">
        <f t="shared" si="5"/>
        <v>20.979434568235291</v>
      </c>
      <c r="K50" s="1688">
        <v>1</v>
      </c>
      <c r="L50" s="1690">
        <f t="shared" si="6"/>
        <v>0.81</v>
      </c>
      <c r="M50" s="1689">
        <f t="shared" si="7"/>
        <v>20.979434568235291</v>
      </c>
      <c r="N50" s="1688">
        <v>1</v>
      </c>
      <c r="O50" s="1687">
        <f t="shared" si="8"/>
        <v>0.81</v>
      </c>
      <c r="P50" s="1686">
        <f t="shared" si="9"/>
        <v>20.979434568235291</v>
      </c>
      <c r="Q50" s="32"/>
    </row>
    <row r="51" spans="1:22"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22" s="42" customFormat="1" ht="15" customHeight="1">
      <c r="A52" s="1284"/>
      <c r="B52" s="1694"/>
      <c r="C52" s="4882" t="s">
        <v>407</v>
      </c>
      <c r="D52" s="4883"/>
      <c r="E52" s="1693">
        <f>IF($C52=0,0,VLOOKUP($C52,SDÖ3!$C$24:$O$99,4,FALSE))</f>
        <v>54</v>
      </c>
      <c r="F52" s="1692">
        <f>IF($C52=0,0,VLOOKUP($C52,SDÖ3!$C$24:$O$99,12,FALSE))</f>
        <v>1.1299999999999999</v>
      </c>
      <c r="G52" s="1691">
        <f>IF($C52=0,0,VLOOKUP($C52,SDÖ3!$C$24:$O$99,13,FALSE))</f>
        <v>17.668557917647057</v>
      </c>
      <c r="H52" s="1688">
        <v>2</v>
      </c>
      <c r="I52" s="1687">
        <f t="shared" si="4"/>
        <v>2.2599999999999998</v>
      </c>
      <c r="J52" s="1686">
        <f t="shared" si="5"/>
        <v>35.337115835294114</v>
      </c>
      <c r="K52" s="1688">
        <v>2</v>
      </c>
      <c r="L52" s="1690">
        <f t="shared" si="6"/>
        <v>2.2599999999999998</v>
      </c>
      <c r="M52" s="1689">
        <f t="shared" si="7"/>
        <v>35.337115835294114</v>
      </c>
      <c r="N52" s="1688">
        <v>2</v>
      </c>
      <c r="O52" s="1687">
        <f t="shared" si="8"/>
        <v>2.2599999999999998</v>
      </c>
      <c r="P52" s="1686">
        <f t="shared" si="9"/>
        <v>35.337115835294114</v>
      </c>
      <c r="Q52" s="32"/>
    </row>
    <row r="53" spans="1:22"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22" s="42" customFormat="1" ht="15" customHeight="1">
      <c r="A54" s="1284"/>
      <c r="B54" s="1694"/>
      <c r="C54" s="4882"/>
      <c r="D54" s="4883"/>
      <c r="E54" s="1693">
        <f>IF($C54=0,0,VLOOKUP($C54,SDÖ3!$C$24:$O$99,4,FALSE))</f>
        <v>0</v>
      </c>
      <c r="F54" s="1692">
        <f>IF($C54=0,0,VLOOKUP($C54,SDÖ3!$C$24:$O$99,12,FALSE))</f>
        <v>0</v>
      </c>
      <c r="G54" s="1691">
        <f>IF($C54=0,0,VLOOKUP($C54,SDÖ3!$C$24:$O$99,13,FALSE))</f>
        <v>0</v>
      </c>
      <c r="H54" s="1688">
        <v>2</v>
      </c>
      <c r="I54" s="1687">
        <f t="shared" si="4"/>
        <v>0</v>
      </c>
      <c r="J54" s="1686">
        <f t="shared" si="5"/>
        <v>0</v>
      </c>
      <c r="K54" s="1688">
        <v>2</v>
      </c>
      <c r="L54" s="1690">
        <f t="shared" si="6"/>
        <v>0</v>
      </c>
      <c r="M54" s="1689">
        <f t="shared" si="7"/>
        <v>0</v>
      </c>
      <c r="N54" s="1688">
        <v>2</v>
      </c>
      <c r="O54" s="1687">
        <f t="shared" si="8"/>
        <v>0</v>
      </c>
      <c r="P54" s="1686">
        <f t="shared" si="9"/>
        <v>0</v>
      </c>
      <c r="Q54" s="32"/>
    </row>
    <row r="55" spans="1:22" s="42" customFormat="1" ht="15" customHeight="1">
      <c r="A55" s="1284"/>
      <c r="B55" s="1694"/>
      <c r="C55" s="4882" t="s">
        <v>403</v>
      </c>
      <c r="D55" s="4883"/>
      <c r="E55" s="1693">
        <f>IF($C55=0,0,VLOOKUP($C55,SDÖ3!$C$24:$O$99,4,FALSE))</f>
        <v>83</v>
      </c>
      <c r="F55" s="1692">
        <f>IF($C55=0,0,VLOOKUP($C55,SDÖ3!$C$24:$O$99,12,FALSE))</f>
        <v>0.56000000000000005</v>
      </c>
      <c r="G55" s="1691">
        <f>IF($C55=0,0,VLOOKUP($C55,SDÖ3!$C$24:$O$99,13,FALSE))</f>
        <v>9.6134362447058805</v>
      </c>
      <c r="H55" s="1688">
        <v>1.3687500000000001</v>
      </c>
      <c r="I55" s="1687">
        <f t="shared" si="4"/>
        <v>0.76650000000000018</v>
      </c>
      <c r="J55" s="1686">
        <f t="shared" si="5"/>
        <v>13.158390859941175</v>
      </c>
      <c r="K55" s="1688">
        <v>1.7250000000000001</v>
      </c>
      <c r="L55" s="1690">
        <f t="shared" si="6"/>
        <v>0.96600000000000019</v>
      </c>
      <c r="M55" s="1689">
        <f t="shared" si="7"/>
        <v>16.583177522117644</v>
      </c>
      <c r="N55" s="1688">
        <v>2.0812499999999998</v>
      </c>
      <c r="O55" s="1687">
        <f t="shared" si="8"/>
        <v>1.1655</v>
      </c>
      <c r="P55" s="1686">
        <f t="shared" si="9"/>
        <v>20.007964184294114</v>
      </c>
      <c r="Q55" s="32"/>
    </row>
    <row r="56" spans="1:22" s="42" customFormat="1" ht="24.75" customHeight="1">
      <c r="A56" s="1284"/>
      <c r="B56" s="1885"/>
      <c r="C56" s="4889" t="s">
        <v>459</v>
      </c>
      <c r="D56" s="4890"/>
      <c r="E56" s="1693">
        <f>IF($C56=0,0,VLOOKUP($C56,SDÖ3!$C$24:$O$99,4,FALSE))</f>
        <v>102</v>
      </c>
      <c r="F56" s="1692">
        <f>IF($C56=0,0,VLOOKUP($C56,SDÖ3!$C$24:$O$99,12,FALSE))</f>
        <v>0.79</v>
      </c>
      <c r="G56" s="1691">
        <f>IF($C56=0,0,VLOOKUP($C56,SDÖ3!$C$24:$O$99,13,FALSE))</f>
        <v>21.737240200000002</v>
      </c>
      <c r="H56" s="1879">
        <v>1</v>
      </c>
      <c r="I56" s="1878">
        <f t="shared" si="4"/>
        <v>0.79</v>
      </c>
      <c r="J56" s="1877">
        <f t="shared" si="5"/>
        <v>21.737240200000002</v>
      </c>
      <c r="K56" s="1879">
        <v>1</v>
      </c>
      <c r="L56" s="1881">
        <f t="shared" si="6"/>
        <v>0.79</v>
      </c>
      <c r="M56" s="1880">
        <f t="shared" si="7"/>
        <v>21.737240200000002</v>
      </c>
      <c r="N56" s="1879">
        <v>1</v>
      </c>
      <c r="O56" s="1878">
        <f t="shared" si="8"/>
        <v>0.79</v>
      </c>
      <c r="P56" s="1877">
        <f t="shared" si="9"/>
        <v>21.737240200000002</v>
      </c>
      <c r="Q56" s="32"/>
    </row>
    <row r="57" spans="1:22"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6"/>
        <v>0</v>
      </c>
      <c r="M57" s="1620">
        <f t="shared" si="7"/>
        <v>0</v>
      </c>
      <c r="N57" s="3634">
        <f>N11/35</f>
        <v>0</v>
      </c>
      <c r="O57" s="1671">
        <f t="shared" si="8"/>
        <v>0</v>
      </c>
      <c r="P57" s="1670">
        <f t="shared" si="9"/>
        <v>0</v>
      </c>
      <c r="Q57" s="3626"/>
    </row>
    <row r="58" spans="1:22" s="686" customFormat="1" ht="18.75" customHeight="1">
      <c r="A58" s="1248"/>
      <c r="B58" s="1254" t="s">
        <v>1167</v>
      </c>
      <c r="C58" s="1351"/>
      <c r="D58" s="1351"/>
      <c r="E58" s="1351"/>
      <c r="F58" s="38"/>
      <c r="G58" s="1588"/>
      <c r="H58" s="1665"/>
      <c r="I58" s="1664">
        <f>SUM($I$46:$I$57)</f>
        <v>6.6465000000000005</v>
      </c>
      <c r="J58" s="1669"/>
      <c r="K58" s="1668"/>
      <c r="L58" s="1667">
        <f>SUM($L$46:$L$57)</f>
        <v>6.8460000000000001</v>
      </c>
      <c r="M58" s="1666"/>
      <c r="N58" s="1665"/>
      <c r="O58" s="1664">
        <f>SUM($O$46:$O$57)</f>
        <v>7.0454999999999997</v>
      </c>
      <c r="P58" s="1663"/>
      <c r="Q58" s="32"/>
    </row>
    <row r="59" spans="1:22" s="686" customFormat="1" ht="15" customHeight="1">
      <c r="A59" s="1248"/>
      <c r="B59" s="1662"/>
      <c r="C59" s="346"/>
      <c r="D59" s="278" t="s">
        <v>1166</v>
      </c>
      <c r="E59" s="1661">
        <v>80</v>
      </c>
      <c r="F59" s="346" t="s">
        <v>1165</v>
      </c>
      <c r="G59" s="1660"/>
      <c r="H59" s="1656"/>
      <c r="I59" s="1655">
        <f>IF(I58+SUM($I$46:$I$57)*$E$59%&gt;I58+10,I58+10,I58+SUM($I$46:$I$57)*$E$59%)</f>
        <v>11.963700000000001</v>
      </c>
      <c r="J59" s="1654"/>
      <c r="K59" s="1659"/>
      <c r="L59" s="1658">
        <f>IF(L58+SUM($L$46:$L$57)*$E$59%&gt;L58+10,L58+10,L58+SUM($L$46:$L$57)*$E$59%)</f>
        <v>12.322800000000001</v>
      </c>
      <c r="M59" s="1657"/>
      <c r="N59" s="1656"/>
      <c r="O59" s="1655">
        <f>IF(O58+SUM($O$46:$O$57)*$E$59%&gt;O58+10,O58+10,O58+SUM($O$46:$O$57)*$E$59%)</f>
        <v>12.681899999999999</v>
      </c>
      <c r="P59" s="1654"/>
      <c r="Q59" s="32"/>
      <c r="S59" s="656">
        <f>COLUMNS($S$59:S59)</f>
        <v>1</v>
      </c>
      <c r="T59" s="656">
        <f>COLUMNS($S$59:T59)</f>
        <v>2</v>
      </c>
      <c r="U59" s="656">
        <f>COLUMNS($S$59:U59)</f>
        <v>3</v>
      </c>
      <c r="V59" s="656">
        <f>COLUMNS($S$59:V59)</f>
        <v>4</v>
      </c>
    </row>
    <row r="60" spans="1:22" s="65" customFormat="1" ht="18.75" customHeight="1">
      <c r="A60" s="1351"/>
      <c r="B60" s="1254" t="s">
        <v>1164</v>
      </c>
      <c r="C60" s="1351"/>
      <c r="D60" s="1351"/>
      <c r="E60" s="45"/>
      <c r="F60" s="45"/>
      <c r="G60" s="1653"/>
      <c r="H60" s="1645"/>
      <c r="I60" s="1644"/>
      <c r="J60" s="1652">
        <f>IF(J6=0,0,SUM(I62:I64))</f>
        <v>190.4</v>
      </c>
      <c r="K60" s="1648"/>
      <c r="L60" s="1647"/>
      <c r="M60" s="1585">
        <f>IF(M6=0,0,SUM(L62:L64))</f>
        <v>190.4</v>
      </c>
      <c r="N60" s="1645"/>
      <c r="O60" s="1644"/>
      <c r="P60" s="1652">
        <f>IF(P6=0,0,SUM(O62:O64))</f>
        <v>190.4</v>
      </c>
      <c r="Q60" s="32"/>
    </row>
    <row r="61" spans="1:22"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22" s="42" customFormat="1" ht="18.75" customHeight="1">
      <c r="A62" s="1284"/>
      <c r="B62" s="1562"/>
      <c r="C62" s="4860" t="s">
        <v>326</v>
      </c>
      <c r="D62" s="4860"/>
      <c r="E62" s="4860"/>
      <c r="F62" s="1642">
        <f>IF($C62=0,0,VLOOKUP($C62,'SDK3'!$C$92:$D$106,2,FALSE))</f>
        <v>190.4</v>
      </c>
      <c r="G62" s="1641">
        <f>(100+$D$61)/100*F62</f>
        <v>190.4</v>
      </c>
      <c r="H62" s="227"/>
      <c r="I62" s="1637">
        <f>$G$62</f>
        <v>190.4</v>
      </c>
      <c r="J62" s="227"/>
      <c r="K62" s="1640"/>
      <c r="L62" s="1639">
        <f>$G$62</f>
        <v>190.4</v>
      </c>
      <c r="M62" s="1557"/>
      <c r="N62" s="1638"/>
      <c r="O62" s="1637">
        <f>$G$62</f>
        <v>190.4</v>
      </c>
      <c r="P62" s="1636"/>
      <c r="Q62" s="32"/>
    </row>
    <row r="63" spans="1:22"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22"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3"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3"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3" s="686" customFormat="1" ht="22.9" customHeight="1">
      <c r="A67" s="1248"/>
      <c r="B67" s="1254" t="s">
        <v>1162</v>
      </c>
      <c r="C67" s="1248"/>
      <c r="D67" s="1248"/>
      <c r="E67" s="229"/>
      <c r="F67" s="1610"/>
      <c r="G67" s="1588"/>
      <c r="H67" s="1607" t="s">
        <v>1161</v>
      </c>
      <c r="I67" s="1606" t="s">
        <v>1160</v>
      </c>
      <c r="J67" s="1582">
        <f>R68*(H9+H10)*I68%+F68</f>
        <v>330</v>
      </c>
      <c r="K67" s="1609" t="s">
        <v>1161</v>
      </c>
      <c r="L67" s="1608" t="s">
        <v>1160</v>
      </c>
      <c r="M67" s="1585">
        <f>S68*(K9+K10)*L68%+F68</f>
        <v>440</v>
      </c>
      <c r="N67" s="1607" t="s">
        <v>1161</v>
      </c>
      <c r="O67" s="1606" t="s">
        <v>1160</v>
      </c>
      <c r="P67" s="1582">
        <f>T68*(N9+N10)*O68%+F68</f>
        <v>610</v>
      </c>
      <c r="Q67" s="32"/>
      <c r="R67" s="33"/>
      <c r="S67" s="33"/>
      <c r="T67" s="33"/>
      <c r="U67" s="33"/>
      <c r="V67" s="33"/>
      <c r="W67" s="33"/>
    </row>
    <row r="68" spans="1:23" s="686" customFormat="1" ht="15" customHeight="1">
      <c r="A68" s="1248"/>
      <c r="B68" s="1605"/>
      <c r="C68" s="4888" t="s">
        <v>681</v>
      </c>
      <c r="D68" s="4888"/>
      <c r="E68" s="4888"/>
      <c r="F68" s="1604"/>
      <c r="G68" s="1595" t="s">
        <v>171</v>
      </c>
      <c r="H68" s="1602">
        <v>25</v>
      </c>
      <c r="I68" s="1601">
        <v>100</v>
      </c>
      <c r="J68" s="1600"/>
      <c r="K68" s="1602">
        <v>25</v>
      </c>
      <c r="L68" s="1601">
        <v>100</v>
      </c>
      <c r="M68" s="1603"/>
      <c r="N68" s="1602">
        <v>27</v>
      </c>
      <c r="O68" s="1601">
        <v>100</v>
      </c>
      <c r="P68" s="1600"/>
      <c r="Q68" s="32"/>
      <c r="R68" s="1912">
        <f>IF($H$68=0,0,VLOOKUP($H$68,'SD6'!H8:I256,'SD6'!I1,FALSE))*(1+'SDK1'!O11/100)</f>
        <v>5.5</v>
      </c>
      <c r="S68" s="1912">
        <f>IF($K$68=0,0,VLOOKUP($K$68,'SD6'!H8:I256,'SD6'!I1,FALSE))*(1+'SDK1'!O11/100)</f>
        <v>5.5</v>
      </c>
      <c r="T68" s="1912">
        <f>IF($N$68=0,0,VLOOKUP($N$68,'SD6'!H8:I256,'SD6'!I1,FALSE))*(1+'SDK1'!O11/100)</f>
        <v>6.1</v>
      </c>
      <c r="U68" s="33"/>
      <c r="V68" s="33"/>
      <c r="W68" s="33"/>
    </row>
    <row r="69" spans="1:23" s="686" customFormat="1" ht="18.75" customHeight="1">
      <c r="A69" s="1248"/>
      <c r="B69" s="1254" t="s">
        <v>1158</v>
      </c>
      <c r="C69" s="1248"/>
      <c r="D69" s="1248"/>
      <c r="E69" s="38"/>
      <c r="F69" s="38"/>
      <c r="G69" s="1588"/>
      <c r="H69" s="44"/>
      <c r="I69" s="73"/>
      <c r="J69" s="1582">
        <f>H70*$F70/1000</f>
        <v>37.696000000000005</v>
      </c>
      <c r="K69" s="1598"/>
      <c r="L69" s="1597"/>
      <c r="M69" s="1585">
        <f>K70*$F70/1000</f>
        <v>50.26133333333334</v>
      </c>
      <c r="N69" s="44"/>
      <c r="O69" s="73"/>
      <c r="P69" s="1582">
        <f>N70*$F70/1000</f>
        <v>62.826666666666682</v>
      </c>
      <c r="Q69" s="32"/>
      <c r="R69" s="33"/>
      <c r="S69" s="33"/>
      <c r="T69" s="33"/>
      <c r="U69" s="33"/>
      <c r="V69" s="33"/>
      <c r="W69" s="33"/>
    </row>
    <row r="70" spans="1:23" s="686" customFormat="1" ht="15" customHeight="1">
      <c r="A70" s="1248"/>
      <c r="B70" s="1310"/>
      <c r="C70" s="1309" t="s">
        <v>840</v>
      </c>
      <c r="D70" s="346"/>
      <c r="E70" s="278"/>
      <c r="F70" s="1596">
        <f>'SDK7'!G101</f>
        <v>16</v>
      </c>
      <c r="G70" s="1595" t="s">
        <v>171</v>
      </c>
      <c r="H70" s="1591">
        <f>I9+I10</f>
        <v>2356.0000000000005</v>
      </c>
      <c r="I70" s="1590"/>
      <c r="J70" s="1589"/>
      <c r="K70" s="1594">
        <f>L9+L10</f>
        <v>3141.3333333333339</v>
      </c>
      <c r="L70" s="1593"/>
      <c r="M70" s="1592"/>
      <c r="N70" s="1591">
        <f>O9+O10</f>
        <v>3926.6666666666674</v>
      </c>
      <c r="O70" s="1590"/>
      <c r="P70" s="1589"/>
      <c r="Q70" s="32"/>
      <c r="R70" s="33"/>
      <c r="S70" s="33"/>
      <c r="T70" s="33"/>
      <c r="U70" s="33"/>
      <c r="V70" s="33"/>
      <c r="W70" s="33"/>
    </row>
    <row r="71" spans="1:23"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c r="R71" s="33"/>
      <c r="S71" s="33"/>
      <c r="T71" s="33"/>
      <c r="U71" s="33"/>
      <c r="V71" s="33"/>
      <c r="W71" s="33"/>
    </row>
    <row r="72" spans="1:23"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c r="R72" s="33"/>
      <c r="S72" s="33"/>
      <c r="T72" s="33"/>
      <c r="U72" s="33"/>
      <c r="V72" s="33"/>
      <c r="W72" s="33"/>
    </row>
    <row r="73" spans="1:23"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c r="R73" s="33"/>
      <c r="S73" s="33"/>
      <c r="T73" s="33"/>
      <c r="U73" s="33"/>
      <c r="V73" s="33"/>
      <c r="W73" s="33"/>
    </row>
    <row r="74" spans="1:23"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c r="R74" s="33"/>
      <c r="S74" s="33"/>
      <c r="T74" s="33"/>
      <c r="U74" s="33"/>
      <c r="V74" s="33"/>
      <c r="W74" s="33"/>
    </row>
    <row r="75" spans="1:23" s="686" customFormat="1" ht="30.2" customHeight="1">
      <c r="A75" s="1248"/>
      <c r="B75" s="4886" t="s">
        <v>1154</v>
      </c>
      <c r="C75" s="4887"/>
      <c r="D75" s="1553" t="s">
        <v>1153</v>
      </c>
      <c r="E75" s="1552">
        <f>'SDK1'!$O$59/100</f>
        <v>0.02</v>
      </c>
      <c r="F75" s="1551" t="s">
        <v>1152</v>
      </c>
      <c r="G75" s="1550">
        <v>7</v>
      </c>
      <c r="H75" s="1548"/>
      <c r="I75" s="1549"/>
      <c r="J75" s="1546">
        <f>(J23+J27+J34+J43+J60+J65+J67+J69+J71)*('SDK1'!$O$59%*$G$75/12)</f>
        <v>17.438974769113038</v>
      </c>
      <c r="K75" s="3031"/>
      <c r="L75" s="1034"/>
      <c r="M75" s="1546">
        <f>(M23+M27+M34+M43+M60+M65+M67+M69+M71)*('SDK1'!$O$59%*$G$75/12)</f>
        <v>20.753312835727321</v>
      </c>
      <c r="N75" s="1548"/>
      <c r="O75" s="1547"/>
      <c r="P75" s="1546">
        <f>(P23+P27+P34+P43+P60+P65+P67+P69+P71)*('SDK1'!$O$59%*$G$75/12)</f>
        <v>24.767650902341604</v>
      </c>
      <c r="Q75" s="32"/>
    </row>
    <row r="76" spans="1:23">
      <c r="L76" s="33"/>
      <c r="M76" s="3590"/>
      <c r="N76" s="3590"/>
      <c r="O76" s="3590"/>
      <c r="P76" s="3590"/>
      <c r="Q76" s="3590"/>
    </row>
    <row r="77" spans="1:23">
      <c r="L77" s="33"/>
      <c r="M77" s="3590"/>
      <c r="N77" s="3590"/>
      <c r="O77" s="3590"/>
      <c r="P77" s="3590"/>
      <c r="Q77" s="3590"/>
    </row>
    <row r="78" spans="1:23" ht="14.25">
      <c r="C78" s="4950" t="s">
        <v>1888</v>
      </c>
      <c r="D78" s="4951"/>
      <c r="E78" s="4951"/>
      <c r="F78" s="4952"/>
      <c r="G78" s="3590"/>
      <c r="H78" s="3590"/>
      <c r="I78" s="3590"/>
      <c r="J78" s="3590"/>
      <c r="K78" s="3590"/>
      <c r="L78" s="3590"/>
      <c r="M78" s="3590"/>
      <c r="N78" s="3590"/>
      <c r="O78" s="3590"/>
      <c r="P78" s="3590"/>
      <c r="Q78" s="3590"/>
    </row>
    <row r="79" spans="1:23">
      <c r="C79" s="4943" t="s">
        <v>295</v>
      </c>
      <c r="D79" s="4944"/>
      <c r="E79" s="4944"/>
      <c r="F79" s="4945"/>
      <c r="G79" s="3590"/>
      <c r="H79" s="3590"/>
      <c r="I79" s="3590"/>
      <c r="J79" s="3590"/>
      <c r="K79" s="3590"/>
      <c r="L79" s="3590"/>
      <c r="M79" s="3590"/>
      <c r="N79" s="3590"/>
      <c r="O79" s="3590"/>
      <c r="P79" s="3590"/>
      <c r="Q79" s="3590"/>
    </row>
    <row r="80" spans="1:23"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2:16">
      <c r="C97" s="33"/>
      <c r="D97" s="33"/>
      <c r="E97" s="33"/>
      <c r="G97" s="3590"/>
      <c r="H97" s="3590"/>
      <c r="I97" s="3590"/>
      <c r="J97" s="3590"/>
      <c r="K97" s="3590"/>
      <c r="L97" s="3590"/>
      <c r="M97" s="3590"/>
      <c r="N97" s="3590"/>
      <c r="O97" s="3590"/>
      <c r="P97" s="3590"/>
    </row>
    <row r="98" spans="2:16">
      <c r="C98" s="33"/>
      <c r="D98" s="33"/>
      <c r="E98" s="33"/>
      <c r="G98" s="3590"/>
      <c r="H98" s="3590"/>
      <c r="I98" s="3590"/>
      <c r="J98" s="3590"/>
      <c r="K98" s="3590"/>
      <c r="L98" s="3590"/>
      <c r="M98" s="3590"/>
      <c r="N98" s="3590"/>
      <c r="O98" s="3590"/>
      <c r="P98" s="3590"/>
    </row>
    <row r="99" spans="2:16">
      <c r="B99" s="33"/>
      <c r="C99" s="33"/>
      <c r="D99" s="33"/>
      <c r="E99" s="33"/>
      <c r="G99" s="3590"/>
      <c r="H99" s="3590"/>
      <c r="I99" s="3590"/>
      <c r="J99" s="3590"/>
      <c r="K99" s="3590"/>
      <c r="L99" s="3590"/>
      <c r="M99" s="3590"/>
      <c r="N99" s="3590"/>
      <c r="O99" s="3590"/>
      <c r="P99" s="3590"/>
    </row>
    <row r="100" spans="2:16">
      <c r="B100" s="33"/>
      <c r="C100" s="33"/>
      <c r="D100" s="33"/>
      <c r="G100" s="3590"/>
      <c r="H100" s="3590"/>
      <c r="I100" s="3590"/>
      <c r="J100" s="3590"/>
      <c r="K100" s="3590"/>
      <c r="L100" s="3590"/>
      <c r="M100" s="3590"/>
      <c r="N100" s="3590"/>
      <c r="O100" s="3590"/>
      <c r="P100" s="3590"/>
    </row>
    <row r="101" spans="2:16">
      <c r="B101" s="33"/>
      <c r="C101" s="33"/>
      <c r="D101" s="33"/>
      <c r="G101" s="3590"/>
      <c r="H101" s="3590"/>
      <c r="I101" s="3590"/>
      <c r="J101" s="3590"/>
      <c r="K101" s="3590"/>
      <c r="L101" s="3590"/>
      <c r="M101" s="3590"/>
      <c r="N101" s="3590"/>
      <c r="O101" s="3590"/>
      <c r="P101" s="3590"/>
    </row>
    <row r="102" spans="2:16">
      <c r="B102" s="33"/>
      <c r="C102" s="33"/>
      <c r="D102" s="33"/>
      <c r="G102" s="3590"/>
      <c r="H102" s="3590"/>
      <c r="I102" s="3590"/>
      <c r="J102" s="3590"/>
      <c r="K102" s="3590"/>
      <c r="L102" s="3590"/>
      <c r="M102" s="3590"/>
      <c r="N102" s="3590"/>
      <c r="O102" s="3590"/>
      <c r="P102" s="3590"/>
    </row>
    <row r="103" spans="2:16">
      <c r="B103" s="33"/>
      <c r="C103" s="33"/>
      <c r="D103" s="33"/>
      <c r="G103" s="3590"/>
      <c r="H103" s="3590"/>
      <c r="I103" s="3590"/>
      <c r="J103" s="3590"/>
      <c r="K103" s="3590"/>
      <c r="L103" s="3590"/>
      <c r="M103" s="3590"/>
      <c r="N103" s="3590"/>
      <c r="O103" s="3590"/>
      <c r="P103" s="3590"/>
    </row>
    <row r="104" spans="2:16">
      <c r="B104" s="33"/>
      <c r="C104" s="33"/>
      <c r="D104" s="33"/>
      <c r="G104" s="3590"/>
      <c r="H104" s="3590"/>
      <c r="I104" s="3590"/>
      <c r="J104" s="3590"/>
      <c r="K104" s="3590"/>
      <c r="L104" s="3590"/>
      <c r="M104" s="3590"/>
      <c r="N104" s="3590"/>
      <c r="O104" s="3590"/>
      <c r="P104" s="3590"/>
    </row>
    <row r="105" spans="2:16">
      <c r="B105" s="33"/>
      <c r="C105" s="33"/>
      <c r="D105" s="33"/>
      <c r="G105" s="3590"/>
      <c r="H105" s="3590"/>
      <c r="I105" s="3590"/>
      <c r="J105" s="3590"/>
      <c r="K105" s="3590"/>
      <c r="L105" s="3590"/>
      <c r="M105" s="3590"/>
      <c r="N105" s="3590"/>
      <c r="O105" s="3590"/>
      <c r="P105" s="3590"/>
    </row>
    <row r="106" spans="2:16">
      <c r="B106" s="33"/>
      <c r="C106" s="33"/>
      <c r="D106" s="33"/>
      <c r="G106" s="3590"/>
      <c r="H106" s="3590"/>
      <c r="I106" s="3590"/>
      <c r="J106" s="3590"/>
      <c r="K106" s="3590"/>
      <c r="L106" s="3590"/>
      <c r="M106" s="3590"/>
      <c r="N106" s="3590"/>
      <c r="O106" s="3590"/>
      <c r="P106" s="3590"/>
    </row>
    <row r="107" spans="2:16">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L137" s="33"/>
    </row>
    <row r="138" spans="2:16">
      <c r="B138" s="600"/>
      <c r="C138" s="33"/>
      <c r="L138" s="33"/>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c r="D148" s="35"/>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N1:O1"/>
    <mergeCell ref="K1:L1"/>
    <mergeCell ref="C37:E37"/>
    <mergeCell ref="C16:F16"/>
    <mergeCell ref="G1:I1"/>
    <mergeCell ref="D25:E25"/>
    <mergeCell ref="D26:E26"/>
    <mergeCell ref="F34:G34"/>
    <mergeCell ref="H6:I6"/>
    <mergeCell ref="C20:F20"/>
    <mergeCell ref="C21:F21"/>
    <mergeCell ref="C78:F78"/>
    <mergeCell ref="C79:F79"/>
    <mergeCell ref="K2:P2"/>
    <mergeCell ref="C38:E38"/>
    <mergeCell ref="C48:D48"/>
    <mergeCell ref="C53:D53"/>
    <mergeCell ref="C50:D50"/>
    <mergeCell ref="C74:E74"/>
    <mergeCell ref="B75:C75"/>
    <mergeCell ref="C55:D55"/>
    <mergeCell ref="C63:E63"/>
    <mergeCell ref="C68:E68"/>
    <mergeCell ref="C73:E73"/>
    <mergeCell ref="C41:E41"/>
    <mergeCell ref="C54:D54"/>
    <mergeCell ref="C56:D56"/>
    <mergeCell ref="X3:Z3"/>
    <mergeCell ref="X4:Z4"/>
    <mergeCell ref="E10:F10"/>
    <mergeCell ref="C14:F14"/>
    <mergeCell ref="C40:E40"/>
    <mergeCell ref="N3:O4"/>
    <mergeCell ref="N6:O6"/>
    <mergeCell ref="K6:L6"/>
    <mergeCell ref="C39:E39"/>
    <mergeCell ref="C15:F15"/>
    <mergeCell ref="C17:F17"/>
    <mergeCell ref="C19:F19"/>
    <mergeCell ref="F23:G23"/>
    <mergeCell ref="E22:G22"/>
    <mergeCell ref="C64:E64"/>
    <mergeCell ref="C57:D57"/>
    <mergeCell ref="C62:E62"/>
    <mergeCell ref="C51:D51"/>
    <mergeCell ref="C49:D49"/>
    <mergeCell ref="C47:D47"/>
    <mergeCell ref="C52:D52"/>
    <mergeCell ref="C36:E36"/>
    <mergeCell ref="C46:D46"/>
    <mergeCell ref="C42:E42"/>
  </mergeCells>
  <dataValidations count="5">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14.1</formula1>
      <formula2>28.9</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14,1 und 22,0 % Wassergehalt." sqref="K68">
      <formula1>14.1</formula1>
      <formula2>39.9</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4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7">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1370.7249965373144</v>
      </c>
      <c r="K1" s="4855">
        <f>M1-J1</f>
        <v>383.38025079286581</v>
      </c>
      <c r="L1" s="4855"/>
      <c r="M1" s="1874">
        <f>(M7+M13+M18+M22+L11+L12)-(M23+M27+M34+M43+M60+M65+M67+M69+M71+M75)</f>
        <v>1754.1052473301802</v>
      </c>
      <c r="N1" s="4855">
        <f>P1-M1</f>
        <v>538.46875079286565</v>
      </c>
      <c r="O1" s="4855"/>
      <c r="P1" s="1874">
        <f>(P7+P13+P18+P22+O11+O12)-(P23+P27+P34+P43+P60+P65+P67+P69+P71+P75)</f>
        <v>2292.5739981230458</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1897</v>
      </c>
      <c r="L2" s="4867"/>
      <c r="M2" s="4867"/>
      <c r="N2" s="4867"/>
      <c r="O2" s="4867"/>
      <c r="P2" s="4867"/>
      <c r="Q2" s="2475"/>
    </row>
    <row r="3" spans="1:41" s="274" customFormat="1" ht="21.75" customHeight="1">
      <c r="A3" s="2475"/>
      <c r="B3" s="1871" t="s">
        <v>1635</v>
      </c>
      <c r="G3" s="1859"/>
      <c r="H3" s="1870"/>
      <c r="N3" s="4934"/>
      <c r="O3" s="4869"/>
      <c r="P3" s="1868"/>
      <c r="Q3" s="2475"/>
      <c r="T3" s="1886" t="b">
        <v>0</v>
      </c>
      <c r="W3" s="4863" t="s">
        <v>1205</v>
      </c>
      <c r="X3" s="4937"/>
      <c r="Y3" s="4937"/>
      <c r="Z3" s="1869"/>
    </row>
    <row r="4" spans="1:41" s="274" customFormat="1" ht="20.25" customHeight="1">
      <c r="A4" s="2475"/>
      <c r="B4" s="370" t="s">
        <v>1098</v>
      </c>
      <c r="C4" s="31"/>
      <c r="D4" s="31"/>
      <c r="E4" s="4898" t="s">
        <v>1646</v>
      </c>
      <c r="F4" s="4898"/>
      <c r="G4" s="4898"/>
      <c r="H4" s="4898"/>
      <c r="I4" s="4898"/>
      <c r="N4" s="4869"/>
      <c r="O4" s="4869"/>
      <c r="P4" s="1864">
        <f>SDÖ1!O3</f>
        <v>0</v>
      </c>
      <c r="Q4" s="2475"/>
      <c r="T4" s="1886" t="b">
        <v>0</v>
      </c>
      <c r="W4" s="4863" t="s">
        <v>1194</v>
      </c>
      <c r="X4" s="4937"/>
      <c r="Y4" s="4937"/>
      <c r="Z4" s="2490"/>
    </row>
    <row r="5" spans="1:41" ht="6" customHeight="1"/>
    <row r="6" spans="1:41" s="1853" customFormat="1" ht="24" customHeight="1">
      <c r="A6" s="48"/>
      <c r="B6" s="1858" t="s">
        <v>1151</v>
      </c>
      <c r="C6" s="1857"/>
      <c r="D6" s="1857"/>
      <c r="E6" s="1857"/>
      <c r="F6" s="1857"/>
      <c r="G6" s="1856" t="s">
        <v>1642</v>
      </c>
      <c r="H6" s="4861" t="s">
        <v>179</v>
      </c>
      <c r="I6" s="4862"/>
      <c r="J6" s="1855">
        <f>M6*0.75</f>
        <v>26.25</v>
      </c>
      <c r="K6" s="4874" t="s">
        <v>152</v>
      </c>
      <c r="L6" s="4875"/>
      <c r="M6" s="1855">
        <v>35</v>
      </c>
      <c r="N6" s="4861" t="s">
        <v>178</v>
      </c>
      <c r="O6" s="4862"/>
      <c r="P6" s="1854">
        <f>M6*1.25</f>
        <v>43.75</v>
      </c>
      <c r="Q6" s="70"/>
    </row>
    <row r="7" spans="1:41" s="251" customFormat="1" ht="18.75" customHeight="1">
      <c r="A7" s="47"/>
      <c r="B7" s="305" t="s">
        <v>1633</v>
      </c>
      <c r="C7" s="47"/>
      <c r="D7" s="47"/>
      <c r="E7" s="47"/>
      <c r="F7" s="47"/>
      <c r="G7" s="1852" t="s">
        <v>171</v>
      </c>
      <c r="H7" s="1849"/>
      <c r="I7" s="1848"/>
      <c r="J7" s="1582">
        <f>SUM(I9:I10)</f>
        <v>1462.9999999999998</v>
      </c>
      <c r="K7" s="1851"/>
      <c r="L7" s="1850"/>
      <c r="M7" s="1585">
        <f>SUM(L9:L10)</f>
        <v>1950.6666666666665</v>
      </c>
      <c r="N7" s="1849"/>
      <c r="O7" s="1848"/>
      <c r="P7" s="1582">
        <f>SUM(O9:O10)</f>
        <v>2438.333333333333</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SDÖ1!O23</f>
        <v>55.733333333333327</v>
      </c>
      <c r="H9" s="1845">
        <f>J6-H10</f>
        <v>26.25</v>
      </c>
      <c r="I9" s="1841">
        <f>H9*G9</f>
        <v>1462.9999999999998</v>
      </c>
      <c r="J9" s="43"/>
      <c r="K9" s="1844">
        <f>M6-K10</f>
        <v>35</v>
      </c>
      <c r="L9" s="1843">
        <f>K9*G9</f>
        <v>1950.6666666666665</v>
      </c>
      <c r="M9" s="1822"/>
      <c r="N9" s="1842">
        <f>P6-N10</f>
        <v>43.75</v>
      </c>
      <c r="O9" s="1841">
        <f>N9*G9</f>
        <v>2438.333333333333</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W13" s="42"/>
      <c r="X13" s="1806" t="str">
        <f>IF(OR(T4=TRUE,T5=TRUE),J7*$E$11,"0")</f>
        <v>0</v>
      </c>
      <c r="Y13" s="1807" t="str">
        <f>IF(OR(T4=TRUE,T5=TRUE),M7*$E$11,"0")</f>
        <v>0</v>
      </c>
      <c r="Z13" s="1806" t="str">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401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178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250</v>
      </c>
      <c r="K23" s="1587"/>
      <c r="L23" s="1586"/>
      <c r="M23" s="1768">
        <f>SUM(L25:L26)</f>
        <v>250</v>
      </c>
      <c r="N23" s="1584"/>
      <c r="O23" s="1583"/>
      <c r="P23" s="1567">
        <f>SUM(O25:O26)</f>
        <v>250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1</v>
      </c>
      <c r="G25" s="1762">
        <f>F25*(100+$D$24)/100</f>
        <v>1</v>
      </c>
      <c r="H25" s="1761">
        <v>250</v>
      </c>
      <c r="I25" s="1722">
        <f>H25*$G25</f>
        <v>250</v>
      </c>
      <c r="J25" s="45"/>
      <c r="K25" s="1761">
        <f>H25</f>
        <v>250</v>
      </c>
      <c r="L25" s="1564">
        <f>K25*$G25</f>
        <v>250</v>
      </c>
      <c r="M25" s="1557"/>
      <c r="N25" s="1761">
        <f>H25</f>
        <v>250</v>
      </c>
      <c r="O25" s="1722">
        <f>N25*$G25</f>
        <v>250</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-7.7227500000000404</v>
      </c>
      <c r="K27" s="1716"/>
      <c r="L27" s="1715"/>
      <c r="M27" s="1585">
        <f>SUM(L30:L33)</f>
        <v>-10.297000000000054</v>
      </c>
      <c r="N27" s="1714"/>
      <c r="O27" s="1713"/>
      <c r="P27" s="1582">
        <f>SUM(O30:O33)</f>
        <v>-12.871250000000074</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VLOOKUP('SD8'!B31,'SD8'!B9:K44,3,FALSE)</f>
        <v>-0.90000000000000036</v>
      </c>
      <c r="F30" s="1742"/>
      <c r="G30" s="1741"/>
      <c r="H30" s="1739">
        <f>IF(J$6=0,0,(J$6*$E30+$G30+X13))</f>
        <v>-23.625000000000011</v>
      </c>
      <c r="I30" s="1722">
        <f>H30*$D30</f>
        <v>-103.24125000000005</v>
      </c>
      <c r="J30" s="45"/>
      <c r="K30" s="1740">
        <f>IF(M$6=0,0,(M$6*$E30+$G30+AA14))</f>
        <v>-31.500000000000014</v>
      </c>
      <c r="L30" s="1564">
        <f>K30*$D30</f>
        <v>-137.65500000000006</v>
      </c>
      <c r="M30" s="1557"/>
      <c r="N30" s="1739">
        <f>IF(P$6=0,0,(P$6*$E30+$G30+AD14))</f>
        <v>-39.375000000000014</v>
      </c>
      <c r="O30" s="1722">
        <f>N30*$D30</f>
        <v>-172.06875000000008</v>
      </c>
      <c r="P30" s="1686"/>
      <c r="Q30" s="32"/>
    </row>
    <row r="31" spans="1:26" s="42" customFormat="1" ht="15" customHeight="1">
      <c r="A31" s="1284"/>
      <c r="B31" s="272"/>
      <c r="C31" s="1284" t="s">
        <v>244</v>
      </c>
      <c r="D31" s="1691">
        <f>IF(SDÖ1!$U$17=TRUE,SDÖ1!O56,0)</f>
        <v>1.3740000000000001</v>
      </c>
      <c r="E31" s="1742">
        <f>VLOOKUP('SD8'!B31,'SD8'!B9:K44,4,FALSE)</f>
        <v>1.2</v>
      </c>
      <c r="F31" s="1742"/>
      <c r="G31" s="1741"/>
      <c r="H31" s="1739">
        <f>IF(J$6=0,0,(J$6*$E31+$G31+X14))</f>
        <v>31.5</v>
      </c>
      <c r="I31" s="1722">
        <f>H31*$D31</f>
        <v>43.281000000000006</v>
      </c>
      <c r="J31" s="45"/>
      <c r="K31" s="1740">
        <f>IF(M$6=0,0,(M$6*$E31+$G31+Y14))</f>
        <v>42</v>
      </c>
      <c r="L31" s="1564">
        <f>K31*$D31</f>
        <v>57.708000000000006</v>
      </c>
      <c r="M31" s="1557"/>
      <c r="N31" s="1739">
        <f>IF(P$6=0,0,(P$6*$E31+$G31+Z14))</f>
        <v>52.5</v>
      </c>
      <c r="O31" s="1722">
        <f>N31*$D31</f>
        <v>72.135000000000005</v>
      </c>
      <c r="P31" s="1686"/>
      <c r="Q31" s="32"/>
    </row>
    <row r="32" spans="1:26" s="686" customFormat="1" ht="18.75" customHeight="1">
      <c r="A32" s="1248"/>
      <c r="B32" s="272"/>
      <c r="C32" s="1284" t="s">
        <v>242</v>
      </c>
      <c r="D32" s="1691">
        <f>IF(SDÖ1!$U$17=TRUE,SDÖ1!O57,0)</f>
        <v>1.35</v>
      </c>
      <c r="E32" s="1742">
        <f>VLOOKUP('SD8'!B31,'SD8'!B9:K44,5,FALSE)</f>
        <v>1.4</v>
      </c>
      <c r="F32" s="1742"/>
      <c r="G32" s="1741"/>
      <c r="H32" s="1739">
        <f>IF(J$6=0,0,(J$6*$E32+$G32+X15))</f>
        <v>36.75</v>
      </c>
      <c r="I32" s="1722">
        <f>H32*$D32</f>
        <v>49.612500000000004</v>
      </c>
      <c r="J32" s="45"/>
      <c r="K32" s="1740">
        <f>IF(M$6=0,0,(M$6*$E32+$G32+Y15))</f>
        <v>49</v>
      </c>
      <c r="L32" s="1564">
        <f>K32*$D32</f>
        <v>66.150000000000006</v>
      </c>
      <c r="M32" s="1557"/>
      <c r="N32" s="1739">
        <f>IF(P$6=0,0,(P$6*$E32+$G32+Z15))</f>
        <v>61.249999999999993</v>
      </c>
      <c r="O32" s="1722">
        <f>N32*$D32</f>
        <v>82.6875</v>
      </c>
      <c r="P32" s="1686"/>
      <c r="Q32" s="32"/>
    </row>
    <row r="33" spans="1:17" s="686" customFormat="1" ht="13.15" customHeight="1">
      <c r="A33" s="1248"/>
      <c r="B33" s="239"/>
      <c r="C33" s="1309" t="s">
        <v>240</v>
      </c>
      <c r="D33" s="1674">
        <f>IF(SDÖ1!$U$17=TRUE,SDÖ1!O58,0)</f>
        <v>0.5</v>
      </c>
      <c r="E33" s="1738">
        <f>VLOOKUP('SD8'!B31,'SD8'!B9:K44,6,FALSE)</f>
        <v>0.2</v>
      </c>
      <c r="F33" s="1738"/>
      <c r="G33" s="1737"/>
      <c r="H33" s="1735">
        <f>IF(J$6=0,0,(J$6*$E33+$G33+X16))</f>
        <v>5.25</v>
      </c>
      <c r="I33" s="1718">
        <f>H33*$D33</f>
        <v>2.625</v>
      </c>
      <c r="J33" s="45"/>
      <c r="K33" s="1736">
        <f>IF(M$6=0,0,(M$6*$E33+$G33+Y16))</f>
        <v>7</v>
      </c>
      <c r="L33" s="1558">
        <f>K33*$D33</f>
        <v>3.5</v>
      </c>
      <c r="M33" s="1557"/>
      <c r="N33" s="1735">
        <f>IF(P$6=0,0,(P$6*$E33+$G33+Z16))</f>
        <v>8.75</v>
      </c>
      <c r="O33" s="1718">
        <f>N33*$D33</f>
        <v>4.375</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162.07189922176468</v>
      </c>
      <c r="K43" s="1716"/>
      <c r="L43" s="1715"/>
      <c r="M43" s="1585">
        <f>SUM(M46:M57)</f>
        <v>164.11475442376468</v>
      </c>
      <c r="N43" s="1714"/>
      <c r="O43" s="1713"/>
      <c r="P43" s="1582">
        <f>SUM(P46:P57)</f>
        <v>166.15760962576468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462</v>
      </c>
      <c r="D46" s="4883"/>
      <c r="E46" s="1693">
        <f>IF($C46=0,0,VLOOKUP($C46,SDÖ3!$C$24:$O$99,4,FALSE))</f>
        <v>120</v>
      </c>
      <c r="F46" s="1692">
        <f>IF($C46=0,0,VLOOKUP($C46,SDÖ3!$C$24:$O$99,12,FALSE))</f>
        <v>1.44</v>
      </c>
      <c r="G46" s="1691">
        <f>IF($C46=0,0,VLOOKUP($C46,SDÖ3!$C$24:$O$99,13,FALSE))</f>
        <v>59.188918588235289</v>
      </c>
      <c r="H46" s="1688">
        <v>1</v>
      </c>
      <c r="I46" s="1687">
        <f t="shared" ref="I46:I57" si="4">$F46*H46</f>
        <v>1.44</v>
      </c>
      <c r="J46" s="1686">
        <f t="shared" ref="J46:J57" si="5">H46*$G46</f>
        <v>59.188918588235289</v>
      </c>
      <c r="K46" s="1688">
        <v>1</v>
      </c>
      <c r="L46" s="1690">
        <f>$F46*K46</f>
        <v>1.44</v>
      </c>
      <c r="M46" s="1689">
        <f t="shared" ref="M46:M57" si="6">K46*$G46</f>
        <v>59.188918588235289</v>
      </c>
      <c r="N46" s="1688">
        <v>1</v>
      </c>
      <c r="O46" s="1687">
        <f t="shared" ref="O46:O57" si="7">$F46*N46</f>
        <v>1.44</v>
      </c>
      <c r="P46" s="1686">
        <f t="shared" ref="P46:P57" si="8">N46*$G46</f>
        <v>59.188918588235289</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$F47*K47</f>
        <v>0</v>
      </c>
      <c r="M47" s="1689">
        <f t="shared" si="6"/>
        <v>0</v>
      </c>
      <c r="N47" s="1688"/>
      <c r="O47" s="1687">
        <f t="shared" si="7"/>
        <v>0</v>
      </c>
      <c r="P47" s="1686">
        <f t="shared" si="8"/>
        <v>0</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$F48*K48</f>
        <v>1.05</v>
      </c>
      <c r="M48" s="1689">
        <f t="shared" si="6"/>
        <v>36.26405764705882</v>
      </c>
      <c r="N48" s="1688">
        <v>1</v>
      </c>
      <c r="O48" s="1687">
        <f t="shared" si="7"/>
        <v>1.05</v>
      </c>
      <c r="P48" s="1686">
        <f t="shared" si="8"/>
        <v>36.26405764705882</v>
      </c>
      <c r="Q48" s="32"/>
    </row>
    <row r="49" spans="1:17" s="42" customFormat="1" ht="15" customHeight="1">
      <c r="A49" s="1284"/>
      <c r="B49" s="1694"/>
      <c r="C49" s="4882">
        <v>0</v>
      </c>
      <c r="D49" s="4883"/>
      <c r="E49" s="1693">
        <f>IF($C49=0,0,VLOOKUP($C49,SDÖ3!$C$24:$O$99,4,FALSE))</f>
        <v>0</v>
      </c>
      <c r="F49" s="1692">
        <f>IF($C49=0,0,VLOOKUP($C49,SDÖ3!$C$24:$O$99,12,FALSE))</f>
        <v>0</v>
      </c>
      <c r="G49" s="1691">
        <f>IF($C49=0,0,VLOOKUP($C49,SDÖ3!$C$24:$O$99,13,FALSE))</f>
        <v>0</v>
      </c>
      <c r="H49" s="1688"/>
      <c r="I49" s="1687">
        <f t="shared" si="4"/>
        <v>0</v>
      </c>
      <c r="J49" s="1686">
        <f t="shared" si="5"/>
        <v>0</v>
      </c>
      <c r="K49" s="1688"/>
      <c r="L49" s="1690"/>
      <c r="M49" s="1689">
        <f t="shared" si="6"/>
        <v>0</v>
      </c>
      <c r="N49" s="1688"/>
      <c r="O49" s="1687">
        <f t="shared" si="7"/>
        <v>0</v>
      </c>
      <c r="P49" s="1686">
        <f t="shared" si="8"/>
        <v>0</v>
      </c>
      <c r="Q49" s="32"/>
    </row>
    <row r="50" spans="1:17" s="42" customFormat="1" ht="15" customHeight="1">
      <c r="A50" s="1284"/>
      <c r="B50" s="1694"/>
      <c r="C50" s="4882" t="s">
        <v>410</v>
      </c>
      <c r="D50" s="4883"/>
      <c r="E50" s="1693">
        <f>IF($C50=0,0,VLOOKUP($C50,SDÖ3!$C$24:$O$99,4,FALSE))</f>
        <v>83</v>
      </c>
      <c r="F50" s="1692">
        <f>IF($C50=0,0,VLOOKUP($C50,SDÖ3!$C$24:$O$99,12,FALSE))</f>
        <v>0.27</v>
      </c>
      <c r="G50" s="1691">
        <f>IF($C50=0,0,VLOOKUP($C50,SDÖ3!$C$24:$O$99,13,FALSE))</f>
        <v>6.0564781894117647</v>
      </c>
      <c r="H50" s="1688">
        <v>1</v>
      </c>
      <c r="I50" s="1687">
        <f t="shared" si="4"/>
        <v>0.27</v>
      </c>
      <c r="J50" s="1686">
        <f t="shared" si="5"/>
        <v>6.0564781894117647</v>
      </c>
      <c r="K50" s="1688">
        <v>1</v>
      </c>
      <c r="L50" s="1690">
        <f t="shared" ref="L50:L57" si="9">$F50*K50</f>
        <v>0.27</v>
      </c>
      <c r="M50" s="1689">
        <f t="shared" si="6"/>
        <v>6.0564781894117647</v>
      </c>
      <c r="N50" s="1688">
        <v>1</v>
      </c>
      <c r="O50" s="1687">
        <f t="shared" si="7"/>
        <v>0.27</v>
      </c>
      <c r="P50" s="1686">
        <f t="shared" si="8"/>
        <v>6.0564781894117647</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9"/>
        <v>0</v>
      </c>
      <c r="M51" s="1689">
        <f t="shared" si="6"/>
        <v>0</v>
      </c>
      <c r="N51" s="1688"/>
      <c r="O51" s="1687">
        <f t="shared" si="7"/>
        <v>0</v>
      </c>
      <c r="P51" s="1686">
        <f t="shared" si="8"/>
        <v>0</v>
      </c>
      <c r="Q51" s="32"/>
    </row>
    <row r="52" spans="1:17" s="42" customFormat="1" ht="15" customHeight="1">
      <c r="A52" s="1284"/>
      <c r="B52" s="1694"/>
      <c r="C52" s="4882" t="s">
        <v>407</v>
      </c>
      <c r="D52" s="4883"/>
      <c r="E52" s="1693">
        <f>IF($C52=0,0,VLOOKUP($C52,SDÖ3!$C$24:$O$99,4,FALSE))</f>
        <v>54</v>
      </c>
      <c r="F52" s="1692">
        <f>IF($C52=0,0,VLOOKUP($C52,SDÖ3!$C$24:$O$99,12,FALSE))</f>
        <v>1.1299999999999999</v>
      </c>
      <c r="G52" s="1691">
        <f>IF($C52=0,0,VLOOKUP($C52,SDÖ3!$C$24:$O$99,13,FALSE))</f>
        <v>17.668557917647057</v>
      </c>
      <c r="H52" s="1688">
        <v>1</v>
      </c>
      <c r="I52" s="1687">
        <f t="shared" si="4"/>
        <v>1.1299999999999999</v>
      </c>
      <c r="J52" s="1686">
        <f t="shared" si="5"/>
        <v>17.668557917647057</v>
      </c>
      <c r="K52" s="1688">
        <v>1</v>
      </c>
      <c r="L52" s="1690">
        <f t="shared" si="9"/>
        <v>1.1299999999999999</v>
      </c>
      <c r="M52" s="1689">
        <f t="shared" si="6"/>
        <v>17.668557917647057</v>
      </c>
      <c r="N52" s="1688">
        <v>1</v>
      </c>
      <c r="O52" s="1687">
        <f t="shared" si="7"/>
        <v>1.1299999999999999</v>
      </c>
      <c r="P52" s="1686">
        <f t="shared" si="8"/>
        <v>17.668557917647057</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9"/>
        <v>0</v>
      </c>
      <c r="M53" s="1689">
        <f t="shared" si="6"/>
        <v>0</v>
      </c>
      <c r="N53" s="1688"/>
      <c r="O53" s="1687">
        <f t="shared" si="7"/>
        <v>0</v>
      </c>
      <c r="P53" s="1686">
        <f t="shared" si="8"/>
        <v>0</v>
      </c>
      <c r="Q53" s="32"/>
    </row>
    <row r="54" spans="1:17" s="42" customFormat="1" ht="15" customHeight="1">
      <c r="A54" s="1284"/>
      <c r="B54" s="1694"/>
      <c r="C54" s="4882" t="s">
        <v>403</v>
      </c>
      <c r="D54" s="4883"/>
      <c r="E54" s="1693">
        <f>IF($C54=0,0,VLOOKUP($C54,SDÖ3!$C$24:$O$99,4,FALSE))</f>
        <v>83</v>
      </c>
      <c r="F54" s="1692">
        <f>IF($C54=0,0,VLOOKUP($C54,SDÖ3!$C$24:$O$99,12,FALSE))</f>
        <v>0.56000000000000005</v>
      </c>
      <c r="G54" s="1691">
        <f>IF($C54=0,0,VLOOKUP($C54,SDÖ3!$C$24:$O$99,13,FALSE))</f>
        <v>9.6134362447058805</v>
      </c>
      <c r="H54" s="1688">
        <v>0.9375</v>
      </c>
      <c r="I54" s="1687">
        <f t="shared" si="4"/>
        <v>0.52500000000000002</v>
      </c>
      <c r="J54" s="1686">
        <f t="shared" si="5"/>
        <v>9.0125964794117621</v>
      </c>
      <c r="K54" s="1688">
        <v>1.1499999999999999</v>
      </c>
      <c r="L54" s="1690">
        <f t="shared" si="9"/>
        <v>0.64400000000000002</v>
      </c>
      <c r="M54" s="1689">
        <f t="shared" si="6"/>
        <v>11.055451681411762</v>
      </c>
      <c r="N54" s="1688">
        <v>1.3625</v>
      </c>
      <c r="O54" s="1687">
        <f t="shared" si="7"/>
        <v>0.76300000000000012</v>
      </c>
      <c r="P54" s="1686">
        <f t="shared" si="8"/>
        <v>13.098306883411762</v>
      </c>
      <c r="Q54" s="32"/>
    </row>
    <row r="55" spans="1:17" s="42" customFormat="1" ht="15" customHeight="1">
      <c r="A55" s="1284"/>
      <c r="B55" s="1694"/>
      <c r="C55" s="4882" t="s">
        <v>456</v>
      </c>
      <c r="D55" s="4883"/>
      <c r="E55" s="1693">
        <f>IF($C55=0,0,VLOOKUP($C55,SDÖ3!$C$24:$O$99,4,FALSE))</f>
        <v>102</v>
      </c>
      <c r="F55" s="1692">
        <f>IF($C55=0,0,VLOOKUP($C55,SDÖ3!$C$24:$O$99,12,FALSE))</f>
        <v>0.54</v>
      </c>
      <c r="G55" s="1691">
        <f>IF($C55=0,0,VLOOKUP($C55,SDÖ3!$C$24:$O$99,13,FALSE))</f>
        <v>16.940645199999999</v>
      </c>
      <c r="H55" s="1688">
        <v>2</v>
      </c>
      <c r="I55" s="1687">
        <f t="shared" si="4"/>
        <v>1.08</v>
      </c>
      <c r="J55" s="1686">
        <f t="shared" si="5"/>
        <v>33.881290399999997</v>
      </c>
      <c r="K55" s="1688">
        <v>2</v>
      </c>
      <c r="L55" s="1690">
        <f t="shared" si="9"/>
        <v>1.08</v>
      </c>
      <c r="M55" s="1689">
        <f t="shared" si="6"/>
        <v>33.881290399999997</v>
      </c>
      <c r="N55" s="1688">
        <v>2</v>
      </c>
      <c r="O55" s="1687">
        <f t="shared" si="7"/>
        <v>1.08</v>
      </c>
      <c r="P55" s="1686">
        <f t="shared" si="8"/>
        <v>33.881290399999997</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9"/>
        <v>0</v>
      </c>
      <c r="M56" s="1880">
        <f t="shared" si="6"/>
        <v>0</v>
      </c>
      <c r="N56" s="1879"/>
      <c r="O56" s="1878">
        <f t="shared" si="7"/>
        <v>0</v>
      </c>
      <c r="P56" s="1877">
        <f t="shared" si="8"/>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9"/>
        <v>0</v>
      </c>
      <c r="M57" s="1620">
        <f t="shared" si="6"/>
        <v>0</v>
      </c>
      <c r="N57" s="3634">
        <f>N11/35</f>
        <v>0</v>
      </c>
      <c r="O57" s="1671">
        <f t="shared" si="7"/>
        <v>0</v>
      </c>
      <c r="P57" s="1670">
        <f t="shared" si="8"/>
        <v>0</v>
      </c>
      <c r="Q57" s="3626"/>
    </row>
    <row r="58" spans="1:17" s="686" customFormat="1" ht="18.75" customHeight="1">
      <c r="A58" s="1248"/>
      <c r="B58" s="1254" t="s">
        <v>1167</v>
      </c>
      <c r="C58" s="1351"/>
      <c r="D58" s="1351"/>
      <c r="E58" s="1351"/>
      <c r="F58" s="38"/>
      <c r="G58" s="1588"/>
      <c r="H58" s="1665"/>
      <c r="I58" s="1664">
        <f>SUM($I$46:$I$57)</f>
        <v>5.4950000000000001</v>
      </c>
      <c r="J58" s="1669"/>
      <c r="K58" s="1668"/>
      <c r="L58" s="1667">
        <f>SUM($L$46:$L$57)</f>
        <v>5.6139999999999999</v>
      </c>
      <c r="M58" s="1666"/>
      <c r="N58" s="1665"/>
      <c r="O58" s="1664">
        <f>SUM($O$46:$O$57)</f>
        <v>5.7330000000000005</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9.891</v>
      </c>
      <c r="J59" s="1654"/>
      <c r="K59" s="1659"/>
      <c r="L59" s="1658">
        <f>IF(L58+SUM($L$46:$L$57)*$E$59%&gt;L58+10,L58+10,L58+SUM($L$46:$L$57)*$E$59%)</f>
        <v>10.1052</v>
      </c>
      <c r="M59" s="1657"/>
      <c r="N59" s="1656"/>
      <c r="O59" s="1655">
        <f>IF(O58+SUM($O$46:$O$57)*$E$59%&gt;O58+10,O58+10,O58+SUM($O$46:$O$57)*$E$59%)</f>
        <v>10.319400000000002</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57.487499999999997</v>
      </c>
      <c r="K67" s="1609" t="s">
        <v>1161</v>
      </c>
      <c r="L67" s="1608" t="s">
        <v>1160</v>
      </c>
      <c r="M67" s="1585">
        <f>S68*(K9+K10)*L68%+F68</f>
        <v>153.29999999999998</v>
      </c>
      <c r="N67" s="1607" t="s">
        <v>1161</v>
      </c>
      <c r="O67" s="1606" t="s">
        <v>1160</v>
      </c>
      <c r="P67" s="1582">
        <f>T68*(N9+N10)*O68%+F68</f>
        <v>95.8125</v>
      </c>
      <c r="Q67" s="32"/>
    </row>
    <row r="68" spans="1:20" s="686" customFormat="1" ht="15" customHeight="1">
      <c r="A68" s="1248"/>
      <c r="B68" s="1605"/>
      <c r="C68" s="4888" t="s">
        <v>1159</v>
      </c>
      <c r="D68" s="4888"/>
      <c r="E68" s="4888"/>
      <c r="F68" s="1604"/>
      <c r="G68" s="1595" t="s">
        <v>171</v>
      </c>
      <c r="H68" s="1602">
        <v>16</v>
      </c>
      <c r="I68" s="1601">
        <v>50</v>
      </c>
      <c r="J68" s="1600"/>
      <c r="K68" s="1602">
        <v>16</v>
      </c>
      <c r="L68" s="1601">
        <v>100</v>
      </c>
      <c r="M68" s="1603"/>
      <c r="N68" s="1602">
        <v>16</v>
      </c>
      <c r="O68" s="1601">
        <v>50</v>
      </c>
      <c r="P68" s="1600"/>
      <c r="Q68" s="32"/>
      <c r="R68" s="1599">
        <f>IF($H$68=0,0,VLOOKUP($H$68,'SD6'!D8:E155,'SD6'!E1,FALSE))*(1+'SDK1'!O11/100)</f>
        <v>4.38</v>
      </c>
      <c r="S68" s="1599">
        <f>IF($K$68=0,0,VLOOKUP($K$68,'SD6'!D8:E155,'SD6'!E1,FALSE))*(1+'SDK1'!O11/100)</f>
        <v>4.38</v>
      </c>
      <c r="T68" s="1599">
        <f>IF($N$68=0,0,VLOOKUP($N$68,'SD6'!D8:E155,'SD6'!E1,FALSE))*(1+'SDK1'!O11/100)</f>
        <v>4.38</v>
      </c>
    </row>
    <row r="69" spans="1:20" s="686" customFormat="1" ht="18.75" customHeight="1">
      <c r="A69" s="1248"/>
      <c r="B69" s="1254" t="s">
        <v>1158</v>
      </c>
      <c r="C69" s="1248"/>
      <c r="D69" s="1248"/>
      <c r="E69" s="38"/>
      <c r="F69" s="38"/>
      <c r="G69" s="1588"/>
      <c r="H69" s="44"/>
      <c r="I69" s="73"/>
      <c r="J69" s="1582">
        <f>H70*$F70/1000</f>
        <v>23.407999999999998</v>
      </c>
      <c r="K69" s="1598"/>
      <c r="L69" s="1597"/>
      <c r="M69" s="1585">
        <f>K70*$F70/1000</f>
        <v>31.210666666666665</v>
      </c>
      <c r="N69" s="44"/>
      <c r="O69" s="73"/>
      <c r="P69" s="1582">
        <f>N70*$F70/1000</f>
        <v>39.013333333333328</v>
      </c>
      <c r="Q69" s="32"/>
    </row>
    <row r="70" spans="1:20" s="686" customFormat="1" ht="15" customHeight="1">
      <c r="A70" s="1248"/>
      <c r="B70" s="1310"/>
      <c r="C70" s="1309" t="s">
        <v>840</v>
      </c>
      <c r="D70" s="346"/>
      <c r="E70" s="278"/>
      <c r="F70" s="1596">
        <f>'SDK7'!G101</f>
        <v>16</v>
      </c>
      <c r="G70" s="1595" t="s">
        <v>171</v>
      </c>
      <c r="H70" s="1591">
        <f>I9+I10</f>
        <v>1462.9999999999998</v>
      </c>
      <c r="I70" s="1590"/>
      <c r="J70" s="1589"/>
      <c r="K70" s="1594">
        <f>L9+L10</f>
        <v>1950.6666666666665</v>
      </c>
      <c r="L70" s="1593"/>
      <c r="M70" s="1592"/>
      <c r="N70" s="1591">
        <f>O9+O10</f>
        <v>2438.333333333333</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7.9303542409205869</v>
      </c>
      <c r="K75" s="3031"/>
      <c r="L75" s="1034"/>
      <c r="M75" s="1546">
        <f>(M23+M27+M34+M43+M60+M65+M67+M69+M71)*('SDK1'!$O$59%*$G$75/12)</f>
        <v>9.1329982460550312</v>
      </c>
      <c r="N75" s="1548"/>
      <c r="O75" s="1547"/>
      <c r="P75" s="1546">
        <f>(P23+P27+P34+P43+P60+P65+P67+P69+P71)*('SDK1'!$O$59%*$G$75/12)</f>
        <v>8.5471422511894755</v>
      </c>
      <c r="Q75" s="32"/>
    </row>
    <row r="76" spans="1:20">
      <c r="L76" s="33"/>
    </row>
    <row r="77" spans="1:20">
      <c r="L77" s="33"/>
      <c r="M77" s="33"/>
      <c r="N77" s="33"/>
      <c r="O77" s="33"/>
      <c r="P77" s="33"/>
    </row>
    <row r="78" spans="1:20" ht="14.25">
      <c r="C78" s="4950" t="s">
        <v>1888</v>
      </c>
      <c r="D78" s="4951"/>
      <c r="E78" s="4951"/>
      <c r="F78" s="4952"/>
      <c r="G78" s="33"/>
      <c r="H78" s="33"/>
      <c r="I78" s="33"/>
      <c r="J78" s="33"/>
      <c r="K78" s="33"/>
      <c r="L78" s="33"/>
      <c r="M78" s="33"/>
      <c r="N78" s="33"/>
      <c r="O78" s="33"/>
      <c r="P78" s="33"/>
      <c r="Q78" s="33"/>
    </row>
    <row r="79" spans="1:20">
      <c r="C79" s="4943" t="s">
        <v>295</v>
      </c>
      <c r="D79" s="4944"/>
      <c r="E79" s="4944"/>
      <c r="F79" s="4945"/>
      <c r="G79" s="33"/>
      <c r="H79" s="33"/>
      <c r="I79" s="33"/>
      <c r="J79" s="33"/>
      <c r="K79" s="33"/>
      <c r="L79" s="33"/>
      <c r="M79" s="33"/>
      <c r="N79" s="33"/>
      <c r="O79" s="33"/>
      <c r="P79" s="33"/>
      <c r="Q79" s="33"/>
    </row>
    <row r="80" spans="1:20" ht="14.25">
      <c r="B80" s="3046"/>
      <c r="C80" s="3042" t="s">
        <v>1884</v>
      </c>
      <c r="D80" s="3043"/>
      <c r="E80" s="3043"/>
      <c r="F80" s="3044"/>
      <c r="G80" s="33"/>
      <c r="H80" s="33"/>
      <c r="I80" s="33"/>
      <c r="J80" s="33"/>
      <c r="K80" s="33"/>
      <c r="L80" s="33"/>
      <c r="M80" s="33"/>
      <c r="N80" s="33"/>
      <c r="O80" s="33"/>
      <c r="P80" s="33"/>
      <c r="Q80" s="33"/>
    </row>
    <row r="81" spans="2:17" ht="14.25">
      <c r="B81" s="3046"/>
      <c r="C81" s="3042" t="s">
        <v>1885</v>
      </c>
      <c r="D81" s="3043"/>
      <c r="E81" s="3043"/>
      <c r="F81" s="3044"/>
      <c r="G81" s="33"/>
      <c r="H81" s="33"/>
      <c r="I81" s="33"/>
      <c r="J81" s="33"/>
      <c r="K81" s="33"/>
      <c r="L81" s="33"/>
      <c r="M81" s="33"/>
      <c r="N81" s="33"/>
      <c r="O81" s="33"/>
      <c r="P81" s="33"/>
      <c r="Q81" s="33"/>
    </row>
    <row r="82" spans="2:17">
      <c r="B82" s="3046"/>
      <c r="C82" s="3034" t="s">
        <v>294</v>
      </c>
      <c r="D82" s="3035"/>
      <c r="E82" s="3035"/>
      <c r="F82" s="3036"/>
      <c r="G82" s="33"/>
      <c r="H82" s="33"/>
      <c r="I82" s="33"/>
      <c r="J82" s="33"/>
      <c r="K82" s="33"/>
      <c r="L82" s="33"/>
      <c r="M82" s="33"/>
      <c r="N82" s="33"/>
      <c r="O82" s="33"/>
      <c r="P82" s="33"/>
      <c r="Q82" s="33"/>
    </row>
    <row r="83" spans="2:17" ht="14.25">
      <c r="B83" s="3046"/>
      <c r="C83" s="3042" t="s">
        <v>1886</v>
      </c>
      <c r="D83" s="3043"/>
      <c r="E83" s="3043"/>
      <c r="F83" s="3044"/>
      <c r="G83" s="33"/>
      <c r="H83" s="33"/>
      <c r="I83" s="33"/>
      <c r="J83" s="33"/>
      <c r="K83" s="33"/>
      <c r="L83" s="33"/>
      <c r="M83" s="33"/>
      <c r="N83" s="33"/>
      <c r="O83" s="33"/>
      <c r="P83" s="33"/>
      <c r="Q83" s="33"/>
    </row>
    <row r="84" spans="2:17" ht="14.25">
      <c r="B84" s="3046"/>
      <c r="C84" s="3042" t="s">
        <v>1887</v>
      </c>
      <c r="D84" s="3043"/>
      <c r="E84" s="3043"/>
      <c r="F84" s="3044"/>
      <c r="G84" s="33"/>
      <c r="H84" s="33"/>
      <c r="I84" s="33"/>
      <c r="J84" s="33"/>
      <c r="K84" s="33"/>
      <c r="L84" s="33"/>
      <c r="M84" s="33"/>
      <c r="N84" s="33"/>
      <c r="O84" s="33"/>
      <c r="P84" s="33"/>
      <c r="Q84" s="33"/>
    </row>
    <row r="85" spans="2:17">
      <c r="B85" s="3046"/>
      <c r="C85" s="3034" t="s">
        <v>293</v>
      </c>
      <c r="D85" s="3035"/>
      <c r="E85" s="3035"/>
      <c r="F85" s="3036"/>
      <c r="G85" s="33"/>
      <c r="H85" s="33"/>
      <c r="I85" s="33"/>
      <c r="J85" s="33"/>
      <c r="K85" s="33"/>
      <c r="L85" s="33"/>
      <c r="M85" s="33"/>
      <c r="N85" s="33"/>
      <c r="O85" s="33"/>
      <c r="P85" s="33"/>
      <c r="Q85" s="33"/>
    </row>
    <row r="86" spans="2:17">
      <c r="B86" s="3046"/>
      <c r="C86" s="3034" t="s">
        <v>292</v>
      </c>
      <c r="D86" s="3035"/>
      <c r="E86" s="3035"/>
      <c r="F86" s="3036"/>
      <c r="G86" s="33"/>
      <c r="H86" s="33"/>
      <c r="I86" s="33"/>
      <c r="J86" s="33"/>
      <c r="K86" s="33"/>
      <c r="L86" s="33"/>
      <c r="M86" s="33"/>
      <c r="N86" s="33"/>
      <c r="O86" s="33"/>
      <c r="P86" s="33"/>
      <c r="Q86" s="33"/>
    </row>
    <row r="87" spans="2:17" ht="14.25">
      <c r="B87" s="3046"/>
      <c r="C87" s="3034" t="s">
        <v>291</v>
      </c>
      <c r="D87" s="3035"/>
      <c r="E87" s="3035"/>
      <c r="F87" s="3036"/>
      <c r="G87" s="33"/>
      <c r="H87" s="33"/>
      <c r="I87" s="33"/>
      <c r="J87" s="33"/>
      <c r="K87" s="33"/>
      <c r="L87" s="33"/>
      <c r="M87" s="33"/>
      <c r="N87" s="33"/>
      <c r="O87" s="33"/>
      <c r="P87" s="33"/>
      <c r="Q87" s="33"/>
    </row>
    <row r="88" spans="2:17" ht="13.15" customHeight="1">
      <c r="B88" s="3046"/>
      <c r="C88" s="3034" t="s">
        <v>290</v>
      </c>
      <c r="D88" s="3037"/>
      <c r="E88" s="3037"/>
      <c r="F88" s="3038"/>
      <c r="G88" s="33"/>
      <c r="H88" s="33"/>
      <c r="I88" s="33"/>
      <c r="J88" s="33"/>
      <c r="K88" s="33"/>
      <c r="L88" s="33"/>
      <c r="M88" s="33"/>
      <c r="N88" s="33"/>
      <c r="O88" s="33"/>
      <c r="P88" s="33"/>
      <c r="Q88" s="33"/>
    </row>
    <row r="89" spans="2:17">
      <c r="B89" s="3046"/>
      <c r="C89" s="3034" t="s">
        <v>289</v>
      </c>
      <c r="D89" s="3037"/>
      <c r="E89" s="3037"/>
      <c r="F89" s="3038"/>
      <c r="G89" s="33"/>
      <c r="H89" s="33"/>
      <c r="I89" s="33"/>
      <c r="J89" s="33"/>
      <c r="K89" s="33"/>
      <c r="L89" s="33"/>
      <c r="M89" s="33"/>
      <c r="N89" s="33"/>
      <c r="O89" s="33"/>
      <c r="P89" s="33"/>
      <c r="Q89" s="33"/>
    </row>
    <row r="90" spans="2:17" ht="25.5">
      <c r="B90" s="3046"/>
      <c r="C90" s="3039" t="s">
        <v>288</v>
      </c>
      <c r="D90" s="3040"/>
      <c r="E90" s="3040"/>
      <c r="F90" s="3041"/>
      <c r="G90" s="33"/>
      <c r="H90" s="33"/>
      <c r="I90" s="33"/>
      <c r="J90" s="33"/>
      <c r="K90" s="33"/>
      <c r="L90" s="33"/>
      <c r="M90" s="33"/>
      <c r="N90" s="33"/>
      <c r="O90" s="33"/>
      <c r="P90" s="33"/>
      <c r="Q90" s="33"/>
    </row>
    <row r="91" spans="2:17">
      <c r="C91" s="33"/>
      <c r="D91" s="33"/>
      <c r="E91" s="33"/>
      <c r="F91" s="2506"/>
      <c r="G91" s="33"/>
      <c r="H91" s="33"/>
      <c r="I91" s="33"/>
      <c r="J91" s="33"/>
      <c r="K91" s="33"/>
      <c r="L91" s="33"/>
      <c r="M91" s="33"/>
      <c r="N91" s="33"/>
      <c r="O91" s="33"/>
      <c r="P91" s="33"/>
      <c r="Q91" s="33"/>
    </row>
    <row r="92" spans="2:17">
      <c r="C92" s="33"/>
      <c r="D92" s="33"/>
      <c r="E92" s="33"/>
      <c r="F92" s="2506"/>
      <c r="G92" s="33"/>
      <c r="H92" s="33"/>
      <c r="I92" s="33"/>
      <c r="J92" s="33"/>
      <c r="K92" s="33"/>
      <c r="L92" s="33"/>
      <c r="M92" s="33"/>
      <c r="N92" s="33"/>
      <c r="O92" s="33"/>
      <c r="P92" s="33"/>
      <c r="Q92" s="33"/>
    </row>
    <row r="93" spans="2:17">
      <c r="C93" s="33"/>
      <c r="D93" s="33"/>
      <c r="E93" s="33"/>
      <c r="F93" s="2506"/>
      <c r="G93" s="33"/>
      <c r="H93" s="33"/>
      <c r="I93" s="33"/>
      <c r="J93" s="33"/>
      <c r="K93" s="33"/>
      <c r="L93" s="33"/>
      <c r="M93" s="33"/>
      <c r="N93" s="33"/>
      <c r="O93" s="33"/>
      <c r="P93" s="33"/>
      <c r="Q93" s="33"/>
    </row>
    <row r="94" spans="2:17">
      <c r="C94" s="33"/>
      <c r="D94" s="33"/>
      <c r="E94" s="33"/>
      <c r="F94" s="2506"/>
      <c r="G94" s="33"/>
      <c r="H94" s="33"/>
      <c r="I94" s="33"/>
      <c r="J94" s="33"/>
      <c r="K94" s="33"/>
      <c r="L94" s="33"/>
      <c r="M94" s="33"/>
      <c r="N94" s="33"/>
      <c r="O94" s="33"/>
      <c r="P94" s="33"/>
      <c r="Q94" s="33"/>
    </row>
    <row r="95" spans="2:17">
      <c r="C95" s="33"/>
      <c r="D95" s="33"/>
      <c r="E95" s="33"/>
      <c r="F95" s="2506"/>
      <c r="G95" s="33"/>
      <c r="H95" s="33"/>
      <c r="I95" s="33"/>
      <c r="J95" s="33"/>
      <c r="K95" s="33"/>
      <c r="L95" s="33"/>
      <c r="M95" s="33"/>
      <c r="N95" s="33"/>
      <c r="O95" s="33"/>
      <c r="P95" s="33"/>
      <c r="Q95" s="33"/>
    </row>
    <row r="96" spans="2:17">
      <c r="C96" s="33"/>
      <c r="D96" s="33"/>
      <c r="E96" s="33"/>
      <c r="F96" s="2506"/>
      <c r="G96" s="33"/>
      <c r="H96" s="33"/>
      <c r="I96" s="33"/>
      <c r="J96" s="33"/>
      <c r="K96" s="33"/>
      <c r="L96" s="33"/>
      <c r="M96" s="33"/>
      <c r="N96" s="33"/>
      <c r="O96" s="33"/>
      <c r="P96" s="33"/>
      <c r="Q96" s="33"/>
    </row>
    <row r="97" spans="3:17">
      <c r="C97" s="33"/>
      <c r="D97" s="33"/>
      <c r="E97" s="33"/>
      <c r="G97" s="33"/>
      <c r="H97" s="33"/>
      <c r="I97" s="33"/>
      <c r="J97" s="33"/>
      <c r="K97" s="33"/>
      <c r="L97" s="33"/>
      <c r="M97" s="33"/>
      <c r="N97" s="33"/>
      <c r="O97" s="33"/>
      <c r="P97" s="33"/>
      <c r="Q97" s="33"/>
    </row>
    <row r="98" spans="3:17">
      <c r="C98" s="33"/>
      <c r="D98" s="33"/>
      <c r="E98" s="33"/>
      <c r="G98" s="33"/>
      <c r="H98" s="33"/>
      <c r="I98" s="33"/>
      <c r="J98" s="33"/>
      <c r="K98" s="33"/>
      <c r="L98" s="33"/>
      <c r="M98" s="33"/>
      <c r="N98" s="33"/>
      <c r="O98" s="33"/>
      <c r="P98" s="33"/>
      <c r="Q98" s="33"/>
    </row>
    <row r="99" spans="3:17">
      <c r="C99" s="33"/>
      <c r="D99" s="33"/>
      <c r="E99" s="33"/>
      <c r="G99" s="33"/>
      <c r="H99" s="33"/>
      <c r="I99" s="33"/>
      <c r="J99" s="33"/>
      <c r="K99" s="33"/>
      <c r="L99" s="33"/>
      <c r="M99" s="33"/>
      <c r="N99" s="33"/>
      <c r="O99" s="33"/>
      <c r="P99" s="33"/>
      <c r="Q99" s="33"/>
    </row>
    <row r="100" spans="3:17">
      <c r="C100" s="33"/>
      <c r="D100" s="33"/>
      <c r="G100" s="33"/>
      <c r="H100" s="33"/>
      <c r="I100" s="33"/>
      <c r="J100" s="33"/>
      <c r="K100" s="33"/>
      <c r="L100" s="33"/>
      <c r="M100" s="33"/>
      <c r="N100" s="33"/>
      <c r="O100" s="33"/>
      <c r="P100" s="33"/>
      <c r="Q100" s="33"/>
    </row>
    <row r="101" spans="3:17">
      <c r="C101" s="33"/>
      <c r="D101" s="33"/>
      <c r="G101" s="33"/>
      <c r="H101" s="33"/>
      <c r="I101" s="33"/>
      <c r="J101" s="33"/>
      <c r="K101" s="33"/>
      <c r="L101" s="33"/>
      <c r="M101" s="33"/>
      <c r="N101" s="33"/>
      <c r="O101" s="33"/>
      <c r="P101" s="33"/>
      <c r="Q101" s="33"/>
    </row>
    <row r="102" spans="3:17">
      <c r="C102" s="33"/>
      <c r="D102" s="33"/>
      <c r="F102" s="33"/>
      <c r="G102" s="33"/>
      <c r="H102" s="33"/>
      <c r="I102" s="33"/>
      <c r="J102" s="33"/>
      <c r="K102" s="33"/>
      <c r="L102" s="33"/>
      <c r="M102" s="33"/>
      <c r="N102" s="33"/>
      <c r="O102" s="33"/>
      <c r="P102" s="33"/>
      <c r="Q102" s="33"/>
    </row>
    <row r="103" spans="3:17">
      <c r="C103" s="33"/>
      <c r="D103" s="33"/>
      <c r="F103" s="33"/>
      <c r="G103" s="33"/>
      <c r="H103" s="33"/>
      <c r="I103" s="33"/>
      <c r="J103" s="33"/>
      <c r="K103" s="33"/>
      <c r="L103" s="33"/>
      <c r="M103" s="33"/>
      <c r="N103" s="33"/>
      <c r="O103" s="33"/>
      <c r="P103" s="33"/>
      <c r="Q103" s="33"/>
    </row>
    <row r="104" spans="3:17">
      <c r="C104" s="33"/>
      <c r="D104" s="33"/>
      <c r="F104" s="33"/>
      <c r="G104" s="33"/>
      <c r="H104" s="33"/>
      <c r="I104" s="33"/>
      <c r="J104" s="33"/>
      <c r="K104" s="33"/>
      <c r="L104" s="33"/>
      <c r="M104" s="33"/>
      <c r="N104" s="33"/>
      <c r="O104" s="33"/>
      <c r="P104" s="33"/>
      <c r="Q104" s="33"/>
    </row>
    <row r="105" spans="3:17">
      <c r="C105" s="33"/>
      <c r="D105" s="33"/>
      <c r="F105" s="33"/>
      <c r="G105" s="33"/>
      <c r="H105" s="33"/>
      <c r="I105" s="33"/>
      <c r="J105" s="33"/>
      <c r="K105" s="33"/>
      <c r="L105" s="33"/>
      <c r="M105" s="33"/>
      <c r="N105" s="33"/>
      <c r="O105" s="33"/>
      <c r="P105" s="33"/>
      <c r="Q105" s="33"/>
    </row>
    <row r="106" spans="3:17">
      <c r="C106" s="33"/>
      <c r="D106" s="33"/>
      <c r="F106" s="33"/>
      <c r="G106" s="33"/>
      <c r="H106" s="33"/>
      <c r="I106" s="33"/>
      <c r="J106" s="33"/>
      <c r="K106" s="33"/>
      <c r="L106" s="33"/>
      <c r="M106" s="33"/>
      <c r="N106" s="33"/>
      <c r="O106" s="33"/>
      <c r="P106" s="33"/>
      <c r="Q106" s="33"/>
    </row>
    <row r="107" spans="3:17">
      <c r="F107" s="33"/>
      <c r="G107" s="33"/>
      <c r="H107" s="33"/>
      <c r="I107" s="33"/>
      <c r="J107" s="33"/>
      <c r="K107" s="33"/>
      <c r="L107" s="33"/>
      <c r="M107" s="33"/>
      <c r="N107" s="33"/>
      <c r="O107" s="33"/>
      <c r="P107" s="33"/>
      <c r="Q107" s="33"/>
    </row>
    <row r="108" spans="3:17">
      <c r="F108" s="33"/>
      <c r="G108" s="33"/>
      <c r="H108" s="33"/>
      <c r="I108" s="33"/>
      <c r="J108" s="33"/>
      <c r="K108" s="33"/>
      <c r="L108" s="33"/>
      <c r="M108" s="33"/>
      <c r="N108" s="33"/>
      <c r="O108" s="33"/>
      <c r="P108" s="33"/>
      <c r="Q108" s="33"/>
    </row>
    <row r="109" spans="3:17">
      <c r="F109" s="33"/>
      <c r="G109" s="33"/>
      <c r="H109" s="33"/>
      <c r="I109" s="33"/>
      <c r="J109" s="33"/>
      <c r="K109" s="33"/>
      <c r="L109" s="33"/>
      <c r="M109" s="33"/>
      <c r="N109" s="33"/>
      <c r="O109" s="33"/>
      <c r="P109" s="33"/>
      <c r="Q109" s="33"/>
    </row>
    <row r="110" spans="3:17">
      <c r="F110" s="33"/>
      <c r="G110" s="33"/>
      <c r="H110" s="33"/>
      <c r="I110" s="33"/>
      <c r="J110" s="33"/>
      <c r="K110" s="33"/>
      <c r="L110" s="33"/>
      <c r="M110" s="33"/>
      <c r="N110" s="33"/>
      <c r="O110" s="33"/>
      <c r="P110" s="33"/>
      <c r="Q110" s="33"/>
    </row>
    <row r="111" spans="3:17">
      <c r="F111" s="33"/>
      <c r="G111" s="33"/>
      <c r="H111" s="33"/>
      <c r="I111" s="33"/>
      <c r="J111" s="33"/>
      <c r="K111" s="33"/>
      <c r="L111" s="33"/>
      <c r="M111" s="33"/>
      <c r="N111" s="33"/>
      <c r="O111" s="33"/>
      <c r="P111" s="33"/>
      <c r="Q111" s="33"/>
    </row>
    <row r="112" spans="3:17">
      <c r="F112" s="33"/>
      <c r="G112" s="33"/>
      <c r="H112" s="33"/>
      <c r="I112" s="33"/>
      <c r="J112" s="33"/>
      <c r="K112" s="33"/>
      <c r="L112" s="33"/>
      <c r="M112" s="33"/>
      <c r="N112" s="33"/>
      <c r="O112" s="33"/>
      <c r="P112" s="33"/>
      <c r="Q112" s="33"/>
    </row>
    <row r="113" spans="2:17">
      <c r="F113" s="33"/>
      <c r="G113" s="33"/>
      <c r="H113" s="33"/>
      <c r="I113" s="33"/>
      <c r="J113" s="33"/>
      <c r="K113" s="33"/>
      <c r="L113" s="33"/>
      <c r="M113" s="33"/>
      <c r="N113" s="33"/>
      <c r="O113" s="33"/>
      <c r="P113" s="33"/>
      <c r="Q113" s="33"/>
    </row>
    <row r="114" spans="2:17">
      <c r="F114" s="33"/>
      <c r="G114" s="33"/>
      <c r="H114" s="33"/>
      <c r="I114" s="33"/>
      <c r="J114" s="33"/>
      <c r="K114" s="33"/>
      <c r="L114" s="33"/>
      <c r="M114" s="33"/>
      <c r="N114" s="33"/>
      <c r="O114" s="33"/>
      <c r="P114" s="33"/>
      <c r="Q114" s="33"/>
    </row>
    <row r="115" spans="2:17">
      <c r="F115" s="33"/>
      <c r="G115" s="33"/>
      <c r="H115" s="33"/>
      <c r="I115" s="33"/>
      <c r="J115" s="33"/>
      <c r="K115" s="33"/>
      <c r="L115" s="33"/>
      <c r="M115" s="33"/>
      <c r="N115" s="33"/>
      <c r="O115" s="33"/>
      <c r="P115" s="33"/>
      <c r="Q115" s="33"/>
    </row>
    <row r="116" spans="2:17">
      <c r="F116" s="33"/>
      <c r="G116" s="33"/>
      <c r="H116" s="33"/>
      <c r="I116" s="33"/>
      <c r="J116" s="33"/>
      <c r="K116" s="33"/>
      <c r="L116" s="33"/>
      <c r="M116" s="33"/>
      <c r="N116" s="33"/>
      <c r="O116" s="33"/>
      <c r="P116" s="33"/>
      <c r="Q116" s="33"/>
    </row>
    <row r="117" spans="2:17">
      <c r="F117" s="33"/>
      <c r="G117" s="33"/>
      <c r="H117" s="33"/>
      <c r="I117" s="33"/>
      <c r="J117" s="33"/>
      <c r="K117" s="33"/>
      <c r="L117" s="33"/>
      <c r="M117" s="33"/>
      <c r="N117" s="33"/>
      <c r="O117" s="33"/>
      <c r="P117" s="33"/>
      <c r="Q117" s="33"/>
    </row>
    <row r="118" spans="2:17">
      <c r="B118" s="600"/>
      <c r="C118" s="33"/>
      <c r="F118" s="33"/>
      <c r="G118" s="33"/>
      <c r="H118" s="33"/>
      <c r="I118" s="33"/>
      <c r="J118" s="33"/>
      <c r="K118" s="33"/>
      <c r="L118" s="33"/>
      <c r="M118" s="33"/>
      <c r="N118" s="33"/>
      <c r="O118" s="33"/>
      <c r="P118" s="33"/>
      <c r="Q118" s="33"/>
    </row>
    <row r="119" spans="2:17">
      <c r="B119" s="600"/>
      <c r="C119" s="33"/>
      <c r="F119" s="33"/>
      <c r="G119" s="33"/>
      <c r="H119" s="33"/>
      <c r="I119" s="33"/>
      <c r="J119" s="33"/>
      <c r="K119" s="33"/>
      <c r="L119" s="33"/>
      <c r="M119" s="33"/>
      <c r="N119" s="33"/>
      <c r="O119" s="33"/>
      <c r="P119" s="33"/>
      <c r="Q119" s="33"/>
    </row>
    <row r="120" spans="2:17">
      <c r="B120" s="600"/>
      <c r="C120" s="33"/>
      <c r="F120" s="33"/>
      <c r="G120" s="33"/>
      <c r="H120" s="33"/>
      <c r="I120" s="33"/>
      <c r="J120" s="33"/>
      <c r="K120" s="33"/>
      <c r="L120" s="33"/>
      <c r="M120" s="33"/>
      <c r="N120" s="33"/>
      <c r="O120" s="33"/>
      <c r="P120" s="33"/>
      <c r="Q120" s="33"/>
    </row>
    <row r="121" spans="2:17">
      <c r="B121" s="600"/>
      <c r="C121" s="33"/>
      <c r="F121" s="33"/>
      <c r="G121" s="33"/>
      <c r="H121" s="33"/>
      <c r="I121" s="33"/>
      <c r="J121" s="33"/>
      <c r="K121" s="33"/>
      <c r="L121" s="33"/>
      <c r="M121" s="33"/>
      <c r="N121" s="33"/>
      <c r="O121" s="33"/>
      <c r="P121" s="33"/>
      <c r="Q121" s="33"/>
    </row>
    <row r="122" spans="2:17">
      <c r="B122" s="600"/>
      <c r="C122" s="33"/>
      <c r="F122" s="33"/>
      <c r="G122" s="33"/>
      <c r="H122" s="33"/>
      <c r="I122" s="33"/>
      <c r="J122" s="33"/>
      <c r="K122" s="33"/>
      <c r="L122" s="33"/>
      <c r="M122" s="33"/>
      <c r="N122" s="33"/>
      <c r="O122" s="33"/>
      <c r="P122" s="33"/>
      <c r="Q122" s="33"/>
    </row>
    <row r="123" spans="2:17">
      <c r="B123" s="600"/>
      <c r="C123" s="33"/>
      <c r="F123" s="33"/>
      <c r="G123" s="33"/>
      <c r="H123" s="33"/>
      <c r="I123" s="33"/>
      <c r="J123" s="33"/>
      <c r="K123" s="33"/>
      <c r="L123" s="33"/>
      <c r="M123" s="33"/>
      <c r="N123" s="33"/>
      <c r="O123" s="33"/>
      <c r="P123" s="33"/>
      <c r="Q123" s="33"/>
    </row>
    <row r="124" spans="2:17">
      <c r="B124" s="600"/>
      <c r="C124" s="33"/>
      <c r="F124" s="33"/>
      <c r="G124" s="33"/>
      <c r="H124" s="33"/>
      <c r="I124" s="33"/>
      <c r="J124" s="33"/>
      <c r="K124" s="33"/>
      <c r="L124" s="33"/>
      <c r="M124" s="33"/>
      <c r="N124" s="33"/>
      <c r="O124" s="33"/>
      <c r="P124" s="33"/>
      <c r="Q124" s="33"/>
    </row>
    <row r="125" spans="2:17">
      <c r="B125" s="600"/>
      <c r="C125" s="33"/>
      <c r="F125" s="33"/>
      <c r="G125" s="33"/>
      <c r="H125" s="33"/>
      <c r="I125" s="33"/>
      <c r="J125" s="33"/>
      <c r="K125" s="33"/>
      <c r="L125" s="33"/>
      <c r="M125" s="33"/>
      <c r="N125" s="33"/>
      <c r="O125" s="33"/>
      <c r="P125" s="33"/>
      <c r="Q125" s="33"/>
    </row>
    <row r="126" spans="2:17">
      <c r="B126" s="600"/>
      <c r="C126" s="33"/>
      <c r="F126" s="33"/>
      <c r="G126" s="33"/>
      <c r="H126" s="33"/>
      <c r="I126" s="33"/>
      <c r="J126" s="33"/>
      <c r="K126" s="33"/>
      <c r="L126" s="33"/>
      <c r="M126" s="33"/>
      <c r="N126" s="33"/>
      <c r="O126" s="33"/>
      <c r="P126" s="33"/>
      <c r="Q126" s="33"/>
    </row>
    <row r="127" spans="2:17">
      <c r="B127" s="600"/>
      <c r="C127" s="33"/>
      <c r="F127" s="33"/>
      <c r="G127" s="33"/>
      <c r="H127" s="33"/>
      <c r="I127" s="33"/>
      <c r="J127" s="33"/>
      <c r="K127" s="33"/>
      <c r="L127" s="33"/>
      <c r="M127" s="33"/>
      <c r="N127" s="33"/>
      <c r="O127" s="33"/>
      <c r="P127" s="33"/>
      <c r="Q127" s="33"/>
    </row>
    <row r="128" spans="2:17">
      <c r="B128" s="600"/>
      <c r="C128" s="33"/>
      <c r="F128" s="33"/>
      <c r="G128" s="33"/>
      <c r="H128" s="33"/>
      <c r="I128" s="33"/>
      <c r="J128" s="33"/>
      <c r="K128" s="33"/>
      <c r="L128" s="33"/>
      <c r="M128" s="33"/>
      <c r="N128" s="33"/>
      <c r="O128" s="33"/>
      <c r="P128" s="33"/>
      <c r="Q128" s="33"/>
    </row>
    <row r="129" spans="2:17">
      <c r="B129" s="600"/>
      <c r="C129" s="33"/>
      <c r="F129" s="33"/>
      <c r="G129" s="33"/>
      <c r="H129" s="33"/>
      <c r="I129" s="33"/>
      <c r="J129" s="33"/>
      <c r="K129" s="33"/>
      <c r="L129" s="33"/>
      <c r="M129" s="33"/>
      <c r="N129" s="33"/>
      <c r="O129" s="33"/>
      <c r="P129" s="33"/>
      <c r="Q129" s="33"/>
    </row>
    <row r="130" spans="2:17">
      <c r="B130" s="600"/>
      <c r="C130" s="33"/>
      <c r="F130" s="33"/>
      <c r="G130" s="33"/>
      <c r="H130" s="33"/>
      <c r="I130" s="33"/>
      <c r="J130" s="33"/>
      <c r="K130" s="33"/>
      <c r="L130" s="33"/>
      <c r="M130" s="33"/>
      <c r="N130" s="33"/>
      <c r="O130" s="33"/>
      <c r="P130" s="33"/>
      <c r="Q130" s="33"/>
    </row>
    <row r="131" spans="2:17">
      <c r="B131" s="600"/>
      <c r="C131" s="33"/>
      <c r="F131" s="33"/>
      <c r="G131" s="33"/>
      <c r="H131" s="33"/>
      <c r="I131" s="33"/>
      <c r="J131" s="33"/>
      <c r="K131" s="33"/>
      <c r="L131" s="33"/>
      <c r="M131" s="33"/>
      <c r="N131" s="33"/>
      <c r="O131" s="33"/>
      <c r="P131" s="33"/>
      <c r="Q131" s="33"/>
    </row>
    <row r="132" spans="2:17">
      <c r="B132" s="600"/>
      <c r="C132" s="33"/>
      <c r="F132" s="33"/>
      <c r="G132" s="33"/>
      <c r="H132" s="33"/>
      <c r="I132" s="33"/>
      <c r="J132" s="33"/>
      <c r="K132" s="33"/>
      <c r="L132" s="33"/>
      <c r="M132" s="33"/>
      <c r="N132" s="33"/>
      <c r="O132" s="33"/>
      <c r="P132" s="33"/>
      <c r="Q132" s="33"/>
    </row>
    <row r="133" spans="2:17">
      <c r="B133" s="600"/>
      <c r="C133" s="33"/>
      <c r="F133" s="33"/>
      <c r="G133" s="33"/>
      <c r="H133" s="33"/>
      <c r="I133" s="33"/>
      <c r="J133" s="33"/>
      <c r="K133" s="33"/>
      <c r="L133" s="33"/>
      <c r="M133" s="33"/>
      <c r="N133" s="33"/>
      <c r="O133" s="33"/>
      <c r="P133" s="33"/>
      <c r="Q133" s="33"/>
    </row>
    <row r="134" spans="2:17">
      <c r="B134" s="600"/>
      <c r="C134" s="33"/>
      <c r="F134" s="33"/>
      <c r="G134" s="33"/>
      <c r="H134" s="33"/>
      <c r="I134" s="33"/>
      <c r="J134" s="33"/>
      <c r="K134" s="33"/>
      <c r="L134" s="33"/>
      <c r="M134" s="33"/>
      <c r="N134" s="33"/>
      <c r="O134" s="33"/>
      <c r="P134" s="33"/>
      <c r="Q134" s="33"/>
    </row>
    <row r="135" spans="2:17">
      <c r="B135" s="600"/>
      <c r="C135" s="33"/>
      <c r="F135" s="33"/>
      <c r="G135" s="33"/>
      <c r="H135" s="33"/>
      <c r="I135" s="33"/>
      <c r="J135" s="33"/>
      <c r="K135" s="33"/>
      <c r="L135" s="33"/>
      <c r="M135" s="33"/>
      <c r="N135" s="33"/>
      <c r="O135" s="33"/>
      <c r="P135" s="33"/>
      <c r="Q135" s="33"/>
    </row>
    <row r="136" spans="2:17">
      <c r="B136" s="600"/>
      <c r="C136" s="33"/>
      <c r="F136" s="33"/>
      <c r="G136" s="33"/>
      <c r="H136" s="33"/>
      <c r="I136" s="33"/>
      <c r="J136" s="33"/>
      <c r="K136" s="33"/>
      <c r="L136" s="33"/>
      <c r="M136" s="33"/>
      <c r="N136" s="33"/>
      <c r="O136" s="33"/>
      <c r="P136" s="33"/>
      <c r="Q136" s="33"/>
    </row>
    <row r="137" spans="2:17">
      <c r="B137" s="600"/>
      <c r="C137" s="33"/>
      <c r="F137" s="33"/>
      <c r="G137" s="33"/>
      <c r="H137" s="33"/>
      <c r="I137" s="33"/>
      <c r="J137" s="33"/>
      <c r="K137" s="33"/>
      <c r="L137" s="33"/>
      <c r="M137" s="33"/>
      <c r="N137" s="33"/>
      <c r="O137" s="33"/>
      <c r="P137" s="33"/>
      <c r="Q137" s="33"/>
    </row>
    <row r="138" spans="2:17">
      <c r="B138" s="600"/>
      <c r="C138" s="33"/>
      <c r="L138" s="33"/>
    </row>
    <row r="139" spans="2:17">
      <c r="B139" s="600"/>
      <c r="C139" s="33"/>
      <c r="L139" s="33"/>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8:F78"/>
    <mergeCell ref="C79:F79"/>
    <mergeCell ref="C52:D52"/>
    <mergeCell ref="C48:D48"/>
    <mergeCell ref="C49:D49"/>
    <mergeCell ref="C73:E73"/>
    <mergeCell ref="C74:E74"/>
    <mergeCell ref="B75:C75"/>
    <mergeCell ref="C57:D57"/>
    <mergeCell ref="C55:D55"/>
    <mergeCell ref="C62:E62"/>
    <mergeCell ref="C63:E63"/>
    <mergeCell ref="C68:E68"/>
    <mergeCell ref="C64:E64"/>
    <mergeCell ref="N1:O1"/>
    <mergeCell ref="G1:I1"/>
    <mergeCell ref="K6:L6"/>
    <mergeCell ref="N3:O4"/>
    <mergeCell ref="K1:L1"/>
    <mergeCell ref="E4:I4"/>
    <mergeCell ref="K2:P2"/>
    <mergeCell ref="C16:F16"/>
    <mergeCell ref="C15:F15"/>
    <mergeCell ref="W3:Y3"/>
    <mergeCell ref="W4:Y4"/>
    <mergeCell ref="H6:I6"/>
    <mergeCell ref="C14:F14"/>
    <mergeCell ref="N6:O6"/>
    <mergeCell ref="E10:F10"/>
    <mergeCell ref="C17:F17"/>
    <mergeCell ref="C19:F19"/>
    <mergeCell ref="C40:E40"/>
    <mergeCell ref="C37:E37"/>
    <mergeCell ref="E22:G22"/>
    <mergeCell ref="C36:E36"/>
    <mergeCell ref="F23:G23"/>
    <mergeCell ref="D25:E25"/>
    <mergeCell ref="D26:E26"/>
    <mergeCell ref="F34:G34"/>
    <mergeCell ref="C21:F21"/>
    <mergeCell ref="C20:F20"/>
    <mergeCell ref="C42:E42"/>
    <mergeCell ref="C38:E38"/>
    <mergeCell ref="C46:D46"/>
    <mergeCell ref="C54:D54"/>
    <mergeCell ref="C56:D56"/>
    <mergeCell ref="C50:D50"/>
    <mergeCell ref="C53:D53"/>
    <mergeCell ref="C47:D47"/>
    <mergeCell ref="C51:D51"/>
    <mergeCell ref="C41:E41"/>
    <mergeCell ref="C39:E39"/>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8">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1" width="10.5" style="31" customWidth="1"/>
    <col min="32" max="16384" width="10.5" style="31"/>
  </cols>
  <sheetData>
    <row r="1" spans="1:41" s="274" customFormat="1" ht="30.2" customHeight="1">
      <c r="A1" s="2475"/>
      <c r="B1" s="319"/>
      <c r="C1" s="1876"/>
      <c r="D1" s="136"/>
      <c r="E1" s="316"/>
      <c r="F1" s="316"/>
      <c r="G1" s="4933" t="s">
        <v>1636</v>
      </c>
      <c r="H1" s="4933"/>
      <c r="I1" s="4933"/>
      <c r="J1" s="1874">
        <f>(J7+J13+J18+J22+I11+I12)-(J23+J27+J34+J43+J60+J65+J67+J69+J71+J75)</f>
        <v>1158.5597962541133</v>
      </c>
      <c r="K1" s="4855">
        <f>M1-J1</f>
        <v>382.91469381233219</v>
      </c>
      <c r="L1" s="4855"/>
      <c r="M1" s="1874">
        <f>(M7+M13+M18+M22+L11+L12)-(M23+M27+M34+M43+M60+M65+M67+M69+M71+M75)</f>
        <v>1541.4744900664455</v>
      </c>
      <c r="N1" s="4855">
        <f>P1-M1</f>
        <v>365.04000271897962</v>
      </c>
      <c r="O1" s="4855"/>
      <c r="P1" s="1874">
        <f>(P7+P13+P18+P22+O11+O12)-(P23+P27+P34+P43+P60+P65+P67+P69+P71+P75)</f>
        <v>1906.5144927854251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1898</v>
      </c>
      <c r="L2" s="4867"/>
      <c r="M2" s="4867"/>
      <c r="N2" s="4867"/>
      <c r="O2" s="4867"/>
      <c r="P2" s="4867"/>
      <c r="Q2" s="2475"/>
    </row>
    <row r="3" spans="1:41" s="274" customFormat="1" ht="21.75" customHeight="1">
      <c r="A3" s="2475"/>
      <c r="B3" s="1871" t="s">
        <v>1635</v>
      </c>
      <c r="G3" s="1859"/>
      <c r="H3" s="1870"/>
      <c r="N3" s="4934"/>
      <c r="O3" s="4869"/>
      <c r="P3" s="1868"/>
      <c r="Q3" s="2475"/>
      <c r="T3" s="1886" t="b">
        <v>0</v>
      </c>
      <c r="W3" s="4863" t="s">
        <v>1205</v>
      </c>
      <c r="X3" s="4937"/>
      <c r="Y3" s="4937"/>
      <c r="Z3" s="1869"/>
    </row>
    <row r="4" spans="1:41" s="274" customFormat="1" ht="20.25" customHeight="1">
      <c r="A4" s="2475"/>
      <c r="B4" s="370" t="s">
        <v>1098</v>
      </c>
      <c r="C4" s="31"/>
      <c r="D4" s="31"/>
      <c r="E4" s="4898" t="s">
        <v>1211</v>
      </c>
      <c r="F4" s="4898"/>
      <c r="G4" s="4898"/>
      <c r="H4" s="4898"/>
      <c r="I4" s="4898"/>
      <c r="N4" s="4869"/>
      <c r="O4" s="4869"/>
      <c r="P4" s="1864">
        <f>SDÖ1!O3</f>
        <v>0</v>
      </c>
      <c r="Q4" s="2475"/>
      <c r="T4" s="1886"/>
      <c r="W4" s="4863" t="s">
        <v>1194</v>
      </c>
      <c r="X4" s="4937"/>
      <c r="Y4" s="4937"/>
      <c r="Z4" s="2490"/>
    </row>
    <row r="5" spans="1:41" ht="6" customHeight="1"/>
    <row r="6" spans="1:41" s="1853" customFormat="1" ht="24" customHeight="1">
      <c r="A6" s="48"/>
      <c r="B6" s="1858" t="s">
        <v>1151</v>
      </c>
      <c r="C6" s="1857"/>
      <c r="D6" s="1857"/>
      <c r="E6" s="1857"/>
      <c r="F6" s="1857"/>
      <c r="G6" s="1856" t="s">
        <v>1642</v>
      </c>
      <c r="H6" s="4861" t="s">
        <v>179</v>
      </c>
      <c r="I6" s="4862"/>
      <c r="J6" s="1855">
        <f>M6*0.75</f>
        <v>22.5</v>
      </c>
      <c r="K6" s="4874" t="s">
        <v>152</v>
      </c>
      <c r="L6" s="4875"/>
      <c r="M6" s="1855">
        <v>30</v>
      </c>
      <c r="N6" s="4861" t="s">
        <v>178</v>
      </c>
      <c r="O6" s="4862"/>
      <c r="P6" s="1854">
        <f>M6*1.25</f>
        <v>37.5</v>
      </c>
      <c r="Q6" s="70"/>
    </row>
    <row r="7" spans="1:41" s="251" customFormat="1" ht="18.75" customHeight="1">
      <c r="A7" s="47"/>
      <c r="B7" s="305" t="s">
        <v>1633</v>
      </c>
      <c r="C7" s="47"/>
      <c r="D7" s="47"/>
      <c r="E7" s="47"/>
      <c r="F7" s="47"/>
      <c r="G7" s="1852" t="s">
        <v>171</v>
      </c>
      <c r="H7" s="1849"/>
      <c r="I7" s="1848"/>
      <c r="J7" s="1582">
        <f>SUM(I9:I10)</f>
        <v>1224</v>
      </c>
      <c r="K7" s="1851"/>
      <c r="L7" s="1850"/>
      <c r="M7" s="1585">
        <f>SUM(L9:L10)</f>
        <v>1632</v>
      </c>
      <c r="N7" s="1849"/>
      <c r="O7" s="1848"/>
      <c r="P7" s="1582">
        <f>SUM(O9:O10)</f>
        <v>2040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SDÖ1!O24</f>
        <v>54.4</v>
      </c>
      <c r="H9" s="1845">
        <f>J6-H10</f>
        <v>22.5</v>
      </c>
      <c r="I9" s="1841">
        <f>H9*G9</f>
        <v>1224</v>
      </c>
      <c r="J9" s="43"/>
      <c r="K9" s="1844">
        <f>M6-K10</f>
        <v>30</v>
      </c>
      <c r="L9" s="1843">
        <f>K9*G9</f>
        <v>1632</v>
      </c>
      <c r="M9" s="1822"/>
      <c r="N9" s="1842">
        <f>P6-N10</f>
        <v>37.5</v>
      </c>
      <c r="O9" s="1841">
        <f>N9*G9</f>
        <v>2040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1"/>
      <c r="C19" s="4860" t="s">
        <v>2109</v>
      </c>
      <c r="D19" s="4860"/>
      <c r="E19" s="4860"/>
      <c r="F19" s="4860"/>
      <c r="G19" s="4018" t="s">
        <v>171</v>
      </c>
      <c r="H19" s="1786"/>
      <c r="I19" s="3909">
        <f>IF(OR($C19=0,$J$6=0),0,VLOOKUP($C19,'SD2'!C59:N75,12,FALSE))</f>
        <v>158</v>
      </c>
      <c r="J19" s="3852">
        <f>SUM(I23:I24)</f>
        <v>0</v>
      </c>
      <c r="K19" s="1787"/>
      <c r="L19" s="3899">
        <f>IF(OR($C19=0,$M$6=0),0,VLOOKUP($C19,'SD2'!$C$59:$N$75,12,FALSE))</f>
        <v>158</v>
      </c>
      <c r="M19" s="3864">
        <f>SUM(L23:L24)</f>
        <v>0</v>
      </c>
      <c r="N19" s="1786"/>
      <c r="O19" s="3909">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1788"/>
      <c r="H20" s="1786"/>
      <c r="I20" s="3909">
        <f>IF(OR($C20=0,$J$6=0),0,VLOOKUP($C20,'SD2'!C60:N76,12,FALSE))</f>
        <v>63.4</v>
      </c>
      <c r="J20" s="43"/>
      <c r="K20" s="1787"/>
      <c r="L20" s="3899">
        <f>IF(OR($C20=0,$M$6=0),0,VLOOKUP($C20,'SD2'!$C$59:$N$75,12,FALSE))</f>
        <v>63.4</v>
      </c>
      <c r="M20" s="1822"/>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43"/>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240</v>
      </c>
      <c r="K23" s="1587"/>
      <c r="L23" s="1586"/>
      <c r="M23" s="1768">
        <f>SUM(L25:L26)</f>
        <v>240</v>
      </c>
      <c r="N23" s="1584"/>
      <c r="O23" s="1583"/>
      <c r="P23" s="1567">
        <f>SUM(O25:O26)</f>
        <v>240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1</v>
      </c>
      <c r="G25" s="1762">
        <f>F25*(100+$D$24)/100</f>
        <v>1</v>
      </c>
      <c r="H25" s="1761">
        <v>240</v>
      </c>
      <c r="I25" s="1722">
        <f>H25*$G25</f>
        <v>240</v>
      </c>
      <c r="J25" s="45"/>
      <c r="K25" s="1761">
        <f>H25</f>
        <v>240</v>
      </c>
      <c r="L25" s="1564">
        <f>K25*$G25</f>
        <v>240</v>
      </c>
      <c r="M25" s="1557"/>
      <c r="N25" s="1761">
        <f>H25</f>
        <v>240</v>
      </c>
      <c r="O25" s="1722">
        <f>N25*$G25</f>
        <v>240</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0.12149999999996908</v>
      </c>
      <c r="K27" s="1716"/>
      <c r="L27" s="1715"/>
      <c r="M27" s="1585">
        <f>SUM(L30:L33)</f>
        <v>0.16199999999997061</v>
      </c>
      <c r="N27" s="1714"/>
      <c r="O27" s="1713"/>
      <c r="P27" s="1582">
        <f>SUM(O30:O33)</f>
        <v>0.20249999999995794</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VLOOKUP('SD8'!B30,'SD8'!B9:K44,3,FALSE)</f>
        <v>-0.80000000000000027</v>
      </c>
      <c r="F30" s="1742"/>
      <c r="G30" s="1741">
        <v>0</v>
      </c>
      <c r="H30" s="1739">
        <f>IF(J$6=0,0,(J$6*$E30+$G30+X13))</f>
        <v>-18.000000000000007</v>
      </c>
      <c r="I30" s="1722">
        <f>H30*$D30</f>
        <v>-78.660000000000039</v>
      </c>
      <c r="J30" s="45"/>
      <c r="K30" s="1740">
        <f>IF(M$6=0,0,(M$6*$E30+$G30+AA14))</f>
        <v>-24.000000000000007</v>
      </c>
      <c r="L30" s="1564">
        <f>K30*$D30</f>
        <v>-104.88000000000004</v>
      </c>
      <c r="M30" s="1557"/>
      <c r="N30" s="1739">
        <f>IF(P$6=0,0,(P$6*$E30+$G30+AD14))</f>
        <v>-30.000000000000011</v>
      </c>
      <c r="O30" s="1722">
        <f>N30*$D30</f>
        <v>-131.10000000000005</v>
      </c>
      <c r="P30" s="1686"/>
      <c r="Q30" s="32"/>
    </row>
    <row r="31" spans="1:26" s="42" customFormat="1" ht="15" customHeight="1">
      <c r="A31" s="1284"/>
      <c r="B31" s="272"/>
      <c r="C31" s="1284" t="s">
        <v>244</v>
      </c>
      <c r="D31" s="1691">
        <f>IF(SDÖ1!$U$17=TRUE,SDÖ1!O56,0)</f>
        <v>1.3740000000000001</v>
      </c>
      <c r="E31" s="1742">
        <f>VLOOKUP('SD8'!B30,'SD8'!B9:K44,4,FALSE)</f>
        <v>1.1000000000000001</v>
      </c>
      <c r="F31" s="1742"/>
      <c r="G31" s="1741"/>
      <c r="H31" s="1739">
        <f>IF(J$6=0,0,(J$6*$E31+$G31+X14))</f>
        <v>24.750000000000004</v>
      </c>
      <c r="I31" s="1722">
        <f>H31*$D31</f>
        <v>34.00650000000001</v>
      </c>
      <c r="J31" s="45"/>
      <c r="K31" s="1740">
        <f>IF(M$6=0,0,(M$6*$E31+$G31+Y14))</f>
        <v>33</v>
      </c>
      <c r="L31" s="1564">
        <f>K31*$D31</f>
        <v>45.342000000000006</v>
      </c>
      <c r="M31" s="1557"/>
      <c r="N31" s="1739">
        <f>IF(P$6=0,0,(P$6*$E31+$G31+Z14))</f>
        <v>41.25</v>
      </c>
      <c r="O31" s="1722">
        <f>N31*$D31</f>
        <v>56.677500000000002</v>
      </c>
      <c r="P31" s="1686"/>
      <c r="Q31" s="32"/>
    </row>
    <row r="32" spans="1:26" s="686" customFormat="1" ht="18.75" customHeight="1">
      <c r="A32" s="1248"/>
      <c r="B32" s="272"/>
      <c r="C32" s="1284" t="s">
        <v>242</v>
      </c>
      <c r="D32" s="1691">
        <f>IF(SDÖ1!$U$17=TRUE,SDÖ1!O57,0)</f>
        <v>1.35</v>
      </c>
      <c r="E32" s="1742">
        <f>VLOOKUP('SD8'!B30,'SD8'!B9:K44,5,FALSE)</f>
        <v>1.4</v>
      </c>
      <c r="F32" s="1742"/>
      <c r="G32" s="1741"/>
      <c r="H32" s="1739">
        <f>IF(J$6=0,0,(J$6*$E32+$G32+X15))</f>
        <v>31.499999999999996</v>
      </c>
      <c r="I32" s="1722">
        <f>H32*$D32</f>
        <v>42.524999999999999</v>
      </c>
      <c r="J32" s="45"/>
      <c r="K32" s="1740">
        <f>IF(M$6=0,0,(M$6*$E32+$G32+Y15))</f>
        <v>42</v>
      </c>
      <c r="L32" s="1564">
        <f>K32*$D32</f>
        <v>56.7</v>
      </c>
      <c r="M32" s="1557"/>
      <c r="N32" s="1739">
        <f>IF(P$6=0,0,(P$6*$E32+$G32+Z15))</f>
        <v>52.5</v>
      </c>
      <c r="O32" s="1722">
        <f>N32*$D32</f>
        <v>70.875</v>
      </c>
      <c r="P32" s="1686"/>
      <c r="Q32" s="32"/>
    </row>
    <row r="33" spans="1:17" s="686" customFormat="1" ht="13.15" customHeight="1">
      <c r="A33" s="1248"/>
      <c r="B33" s="239"/>
      <c r="C33" s="1309" t="s">
        <v>240</v>
      </c>
      <c r="D33" s="1674">
        <f>IF(SDÖ1!$U$17=TRUE,SDÖ1!O58,0)</f>
        <v>0.5</v>
      </c>
      <c r="E33" s="1738">
        <f>VLOOKUP('SD8'!B30,'SD8'!B9:K44,6,FALSE)</f>
        <v>0.2</v>
      </c>
      <c r="F33" s="1738"/>
      <c r="G33" s="1737"/>
      <c r="H33" s="1735">
        <f>IF(J$6=0,0,(J$6*$E33+$G33+X16))</f>
        <v>4.5</v>
      </c>
      <c r="I33" s="1718">
        <f>H33*$D33</f>
        <v>2.25</v>
      </c>
      <c r="J33" s="45"/>
      <c r="K33" s="1736">
        <f>IF(M$6=0,0,(M$6*$E33+$G33+Y16))</f>
        <v>6</v>
      </c>
      <c r="L33" s="1558">
        <f>K33*$D33</f>
        <v>3</v>
      </c>
      <c r="M33" s="1557"/>
      <c r="N33" s="1735">
        <f>IF(P$6=0,0,(P$6*$E33+$G33+Z16))</f>
        <v>7.5</v>
      </c>
      <c r="O33" s="1718">
        <f>N33*$D33</f>
        <v>3.75</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149.73881177517643</v>
      </c>
      <c r="K43" s="1716"/>
      <c r="L43" s="1715"/>
      <c r="M43" s="1585">
        <f>SUM(M46:M57)</f>
        <v>151.54133107105881</v>
      </c>
      <c r="N43" s="1714"/>
      <c r="O43" s="1713"/>
      <c r="P43" s="1582">
        <f>SUM(P46:P57)</f>
        <v>171.01240828458822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462</v>
      </c>
      <c r="D46" s="4883"/>
      <c r="E46" s="1693">
        <f>IF($C46=0,0,VLOOKUP($C46,SDÖ3!$C$24:$O$99,4,FALSE))</f>
        <v>120</v>
      </c>
      <c r="F46" s="1692">
        <f>IF($C46=0,0,VLOOKUP($C46,SDÖ3!$C$24:$O$99,12,FALSE))</f>
        <v>1.44</v>
      </c>
      <c r="G46" s="1691">
        <f>IF($C46=0,0,VLOOKUP($C46,SDÖ3!$C$24:$O$99,13,FALSE))</f>
        <v>59.188918588235289</v>
      </c>
      <c r="H46" s="1688">
        <v>1</v>
      </c>
      <c r="I46" s="1687">
        <f t="shared" ref="I46:I57" si="4">$F46*H46</f>
        <v>1.44</v>
      </c>
      <c r="J46" s="1686">
        <f t="shared" ref="J46:J57" si="5">H46*$G46</f>
        <v>59.188918588235289</v>
      </c>
      <c r="K46" s="1688">
        <v>1</v>
      </c>
      <c r="L46" s="1690">
        <f>$F46*K46</f>
        <v>1.44</v>
      </c>
      <c r="M46" s="1689">
        <f>K46*$G46</f>
        <v>59.188918588235289</v>
      </c>
      <c r="N46" s="1688">
        <v>1</v>
      </c>
      <c r="O46" s="1687">
        <f>$F46*N46</f>
        <v>1.44</v>
      </c>
      <c r="P46" s="1686">
        <f>N46*$G46</f>
        <v>59.188918588235289</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v>0</v>
      </c>
      <c r="I47" s="1687">
        <f t="shared" si="4"/>
        <v>0</v>
      </c>
      <c r="J47" s="1686">
        <f t="shared" si="5"/>
        <v>0</v>
      </c>
      <c r="K47" s="1688"/>
      <c r="L47" s="1690">
        <f>$F47*K47</f>
        <v>0</v>
      </c>
      <c r="M47" s="1689">
        <f>K47*$G47</f>
        <v>0</v>
      </c>
      <c r="N47" s="1688"/>
      <c r="O47" s="1687">
        <f>$F47*N47</f>
        <v>0</v>
      </c>
      <c r="P47" s="1686">
        <f>N47*$G47</f>
        <v>0</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$F48*K48</f>
        <v>1.05</v>
      </c>
      <c r="M48" s="1689">
        <f>K48*$G48</f>
        <v>36.26405764705882</v>
      </c>
      <c r="N48" s="1688">
        <v>1</v>
      </c>
      <c r="O48" s="1687">
        <f>$F48*N48</f>
        <v>1.05</v>
      </c>
      <c r="P48" s="1686">
        <f>N48*$G48</f>
        <v>36.26405764705882</v>
      </c>
      <c r="Q48" s="32"/>
    </row>
    <row r="49" spans="1:17" s="42" customFormat="1" ht="15" customHeight="1">
      <c r="A49" s="1284"/>
      <c r="B49" s="1694"/>
      <c r="C49" s="4882" t="s">
        <v>410</v>
      </c>
      <c r="D49" s="4883"/>
      <c r="E49" s="1693">
        <f>IF($C49=0,0,VLOOKUP($C49,SDÖ3!$C$24:$O$99,4,FALSE))</f>
        <v>83</v>
      </c>
      <c r="F49" s="1692">
        <f>IF($C49=0,0,VLOOKUP($C49,SDÖ3!$C$24:$O$99,12,FALSE))</f>
        <v>0.27</v>
      </c>
      <c r="G49" s="1691">
        <f>IF($C49=0,0,VLOOKUP($C49,SDÖ3!$C$24:$O$99,13,FALSE))</f>
        <v>6.0564781894117647</v>
      </c>
      <c r="H49" s="1688">
        <v>2</v>
      </c>
      <c r="I49" s="1687">
        <f t="shared" si="4"/>
        <v>0.54</v>
      </c>
      <c r="J49" s="1686">
        <f t="shared" si="5"/>
        <v>12.112956378823529</v>
      </c>
      <c r="K49" s="1688">
        <v>2</v>
      </c>
      <c r="L49" s="1690">
        <f>$F49*K49</f>
        <v>0.54</v>
      </c>
      <c r="M49" s="1689">
        <f>K49*$G49</f>
        <v>12.112956378823529</v>
      </c>
      <c r="N49" s="1688">
        <v>2</v>
      </c>
      <c r="O49" s="1687">
        <f>$F49*N49</f>
        <v>0.54</v>
      </c>
      <c r="P49" s="1686">
        <f>N49*$G49</f>
        <v>12.112956378823529</v>
      </c>
      <c r="Q49" s="32"/>
    </row>
    <row r="50" spans="1:17" s="42" customFormat="1" ht="15" customHeight="1">
      <c r="A50" s="1284"/>
      <c r="B50" s="1694"/>
      <c r="C50" s="4882" t="s">
        <v>407</v>
      </c>
      <c r="D50" s="4883"/>
      <c r="E50" s="1693">
        <f>IF($C50=0,0,VLOOKUP($C50,SDÖ3!$C$24:$O$99,4,FALSE))</f>
        <v>54</v>
      </c>
      <c r="F50" s="1692">
        <f>IF($C50=0,0,VLOOKUP($C50,SDÖ3!$C$24:$O$99,12,FALSE))</f>
        <v>1.1299999999999999</v>
      </c>
      <c r="G50" s="1691">
        <f>IF($C50=0,0,VLOOKUP($C50,SDÖ3!$C$24:$O$99,13,FALSE))</f>
        <v>17.668557917647057</v>
      </c>
      <c r="H50" s="1688"/>
      <c r="I50" s="1687">
        <f t="shared" si="4"/>
        <v>0</v>
      </c>
      <c r="J50" s="1686">
        <f t="shared" si="5"/>
        <v>0</v>
      </c>
      <c r="K50" s="1688"/>
      <c r="L50" s="1690">
        <f t="shared" ref="L50:L57" si="6">$F50*K50</f>
        <v>0</v>
      </c>
      <c r="M50" s="1689">
        <f t="shared" ref="M50:M57" si="7">K50*$G50</f>
        <v>0</v>
      </c>
      <c r="N50" s="1688">
        <v>1</v>
      </c>
      <c r="O50" s="1687">
        <f t="shared" ref="O50:O57" si="8">$F50*N50</f>
        <v>1.1299999999999999</v>
      </c>
      <c r="P50" s="1686">
        <f t="shared" ref="P50:P57" si="9">N50*$G50</f>
        <v>17.668557917647057</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t="s">
        <v>403</v>
      </c>
      <c r="D53" s="4883"/>
      <c r="E53" s="1693">
        <f>IF($C53=0,0,VLOOKUP($C53,SDÖ3!$C$24:$O$99,4,FALSE))</f>
        <v>83</v>
      </c>
      <c r="F53" s="1692">
        <f>IF($C53=0,0,VLOOKUP($C53,SDÖ3!$C$24:$O$99,12,FALSE))</f>
        <v>0.56000000000000005</v>
      </c>
      <c r="G53" s="1691">
        <f>IF($C53=0,0,VLOOKUP($C53,SDÖ3!$C$24:$O$99,13,FALSE))</f>
        <v>9.6134362447058805</v>
      </c>
      <c r="H53" s="1688">
        <v>0.86250000000000004</v>
      </c>
      <c r="I53" s="1687">
        <f t="shared" si="4"/>
        <v>0.4830000000000001</v>
      </c>
      <c r="J53" s="1686">
        <f t="shared" si="5"/>
        <v>8.2915887610588221</v>
      </c>
      <c r="K53" s="1688">
        <v>1.05</v>
      </c>
      <c r="L53" s="1690">
        <f t="shared" si="6"/>
        <v>0.58800000000000008</v>
      </c>
      <c r="M53" s="1689">
        <f t="shared" si="7"/>
        <v>10.094108056941176</v>
      </c>
      <c r="N53" s="1688">
        <v>1.2375</v>
      </c>
      <c r="O53" s="1687">
        <f t="shared" si="8"/>
        <v>0.69300000000000006</v>
      </c>
      <c r="P53" s="1686">
        <f t="shared" si="9"/>
        <v>11.896627352823527</v>
      </c>
      <c r="Q53" s="32"/>
    </row>
    <row r="54" spans="1:17" s="42" customFormat="1" ht="15" customHeight="1">
      <c r="A54" s="1284"/>
      <c r="B54" s="1694"/>
      <c r="C54" s="4882" t="s">
        <v>456</v>
      </c>
      <c r="D54" s="4883"/>
      <c r="E54" s="1693">
        <f>IF($C54=0,0,VLOOKUP($C54,SDÖ3!$C$24:$O$99,4,FALSE))</f>
        <v>102</v>
      </c>
      <c r="F54" s="1692">
        <f>IF($C54=0,0,VLOOKUP($C54,SDÖ3!$C$24:$O$99,12,FALSE))</f>
        <v>0.54</v>
      </c>
      <c r="G54" s="1691">
        <f>IF($C54=0,0,VLOOKUP($C54,SDÖ3!$C$24:$O$99,13,FALSE))</f>
        <v>16.940645199999999</v>
      </c>
      <c r="H54" s="1688">
        <v>2</v>
      </c>
      <c r="I54" s="1687">
        <f t="shared" si="4"/>
        <v>1.08</v>
      </c>
      <c r="J54" s="1686">
        <f t="shared" si="5"/>
        <v>33.881290399999997</v>
      </c>
      <c r="K54" s="1688">
        <v>2</v>
      </c>
      <c r="L54" s="1690">
        <f t="shared" si="6"/>
        <v>1.08</v>
      </c>
      <c r="M54" s="1689">
        <f t="shared" si="7"/>
        <v>33.881290399999997</v>
      </c>
      <c r="N54" s="1688">
        <v>2</v>
      </c>
      <c r="O54" s="1687">
        <f t="shared" si="8"/>
        <v>1.08</v>
      </c>
      <c r="P54" s="1686">
        <f t="shared" si="9"/>
        <v>33.881290399999997</v>
      </c>
      <c r="Q54" s="32"/>
    </row>
    <row r="55" spans="1:17" s="42" customFormat="1" ht="15" customHeight="1">
      <c r="A55" s="1284"/>
      <c r="B55" s="1694"/>
      <c r="C55" s="4935"/>
      <c r="D55" s="4936"/>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v>
      </c>
      <c r="I57" s="1671">
        <f t="shared" si="4"/>
        <v>0</v>
      </c>
      <c r="J57" s="1670">
        <f t="shared" si="5"/>
        <v>0</v>
      </c>
      <c r="K57" s="3635">
        <f>K11/35</f>
        <v>0</v>
      </c>
      <c r="L57" s="1673">
        <f t="shared" si="6"/>
        <v>0</v>
      </c>
      <c r="M57" s="1620">
        <f t="shared" si="7"/>
        <v>0</v>
      </c>
      <c r="N57" s="3634">
        <f>N11/35</f>
        <v>0</v>
      </c>
      <c r="O57" s="1671">
        <f t="shared" si="8"/>
        <v>0</v>
      </c>
      <c r="P57" s="1670">
        <f t="shared" si="9"/>
        <v>0</v>
      </c>
      <c r="Q57" s="3626"/>
    </row>
    <row r="58" spans="1:17" s="686" customFormat="1" ht="18.75" customHeight="1">
      <c r="A58" s="1248"/>
      <c r="B58" s="1254" t="s">
        <v>1167</v>
      </c>
      <c r="C58" s="1351"/>
      <c r="D58" s="1351"/>
      <c r="E58" s="1351"/>
      <c r="F58" s="38"/>
      <c r="G58" s="1588"/>
      <c r="H58" s="1665"/>
      <c r="I58" s="1664">
        <f>SUM($I$46:$I$57)</f>
        <v>4.593</v>
      </c>
      <c r="J58" s="1669"/>
      <c r="K58" s="1668"/>
      <c r="L58" s="1667">
        <f>SUM($L$46:$L$57)</f>
        <v>4.6980000000000004</v>
      </c>
      <c r="M58" s="1666"/>
      <c r="N58" s="1665"/>
      <c r="O58" s="1664">
        <f>SUM($O$46:$O$57)</f>
        <v>5.9329999999999998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8.2674000000000003</v>
      </c>
      <c r="J59" s="1654"/>
      <c r="K59" s="1659"/>
      <c r="L59" s="1658">
        <f>IF(L58+SUM($L$46:$L$57)*$E$59%&gt;L58+10,L58+10,L58+SUM($L$46:$L$57)*$E$59%)</f>
        <v>8.4564000000000004</v>
      </c>
      <c r="M59" s="1657"/>
      <c r="N59" s="1656"/>
      <c r="O59" s="1655">
        <f>IF(O58+SUM($O$46:$O$57)*$E$59%&gt;O58+10,O58+10,O58+SUM($O$46:$O$57)*$E$59%)</f>
        <v>10.679400000000001</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49.274999999999999</v>
      </c>
      <c r="K67" s="1609" t="s">
        <v>1161</v>
      </c>
      <c r="L67" s="1608" t="s">
        <v>1160</v>
      </c>
      <c r="M67" s="1585">
        <f>S68*(K9+K10)*L68%+F68</f>
        <v>65.7</v>
      </c>
      <c r="N67" s="1607" t="s">
        <v>1161</v>
      </c>
      <c r="O67" s="1606" t="s">
        <v>1160</v>
      </c>
      <c r="P67" s="1582">
        <f>T68*(N9+N10)*O68%+F68</f>
        <v>82.125</v>
      </c>
      <c r="Q67" s="32"/>
    </row>
    <row r="68" spans="1:20" s="686" customFormat="1" ht="15" customHeight="1">
      <c r="A68" s="1248"/>
      <c r="B68" s="1605"/>
      <c r="C68" s="4888" t="s">
        <v>1159</v>
      </c>
      <c r="D68" s="4888"/>
      <c r="E68" s="4888"/>
      <c r="F68" s="1604"/>
      <c r="G68" s="1595" t="s">
        <v>171</v>
      </c>
      <c r="H68" s="1602">
        <v>16</v>
      </c>
      <c r="I68" s="1601">
        <v>50</v>
      </c>
      <c r="J68" s="1600"/>
      <c r="K68" s="1602">
        <v>16</v>
      </c>
      <c r="L68" s="1601">
        <v>50</v>
      </c>
      <c r="M68" s="1603"/>
      <c r="N68" s="1602">
        <v>16</v>
      </c>
      <c r="O68" s="1601">
        <v>50</v>
      </c>
      <c r="P68" s="1600"/>
      <c r="Q68" s="32"/>
      <c r="R68" s="1599">
        <f>IF($H$68=0,0,VLOOKUP($H$68,'SD6'!D8:E155,'SD6'!E1,FALSE))*(1+'SDK1'!O11/100)</f>
        <v>4.38</v>
      </c>
      <c r="S68" s="1599">
        <f>IF($K$68=0,0,VLOOKUP($K$68,'SD6'!D8:E155,'SD6'!E1,FALSE))*(1+'SDK1'!O11/100)</f>
        <v>4.38</v>
      </c>
      <c r="T68" s="1599">
        <f>IF($N$68=0,0,VLOOKUP($N$68,'SD6'!D8:E155,'SD6'!E1,FALSE))*(1+'SDK1'!O11/100)</f>
        <v>4.38</v>
      </c>
    </row>
    <row r="69" spans="1:20" s="686" customFormat="1" ht="18.75" customHeight="1">
      <c r="A69" s="1248"/>
      <c r="B69" s="1254" t="s">
        <v>1158</v>
      </c>
      <c r="C69" s="1248"/>
      <c r="D69" s="1248"/>
      <c r="E69" s="38"/>
      <c r="F69" s="38"/>
      <c r="G69" s="1588"/>
      <c r="H69" s="44"/>
      <c r="I69" s="73"/>
      <c r="J69" s="1582">
        <f>H70*$F70/1000</f>
        <v>19.584</v>
      </c>
      <c r="K69" s="1598"/>
      <c r="L69" s="1597"/>
      <c r="M69" s="1585">
        <f>K70*$F70/1000</f>
        <v>26.111999999999998</v>
      </c>
      <c r="N69" s="44"/>
      <c r="O69" s="73"/>
      <c r="P69" s="1582">
        <f>N70*$F70/1000</f>
        <v>32.64</v>
      </c>
      <c r="Q69" s="32"/>
    </row>
    <row r="70" spans="1:20" s="686" customFormat="1" ht="15" customHeight="1">
      <c r="A70" s="1248"/>
      <c r="B70" s="1310"/>
      <c r="C70" s="1309" t="s">
        <v>840</v>
      </c>
      <c r="D70" s="346"/>
      <c r="E70" s="278"/>
      <c r="F70" s="1596">
        <f>'SDK7'!G101</f>
        <v>16</v>
      </c>
      <c r="G70" s="1595" t="s">
        <v>171</v>
      </c>
      <c r="H70" s="1591">
        <f>I9+I10</f>
        <v>1224</v>
      </c>
      <c r="I70" s="1590"/>
      <c r="J70" s="1589"/>
      <c r="K70" s="1594">
        <f>L9+L10</f>
        <v>1632</v>
      </c>
      <c r="L70" s="1593"/>
      <c r="M70" s="1592"/>
      <c r="N70" s="1591">
        <f>O9+O10</f>
        <v>2040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7.6208919707103897</v>
      </c>
      <c r="K75" s="3031"/>
      <c r="L75" s="1034"/>
      <c r="M75" s="1546">
        <f>(M23+M27+M34+M43+M60+M65+M67+M69+M71)*('SDK1'!$O$59%*$G$75/12)</f>
        <v>7.9101788624956857</v>
      </c>
      <c r="N75" s="1548"/>
      <c r="O75" s="1547"/>
      <c r="P75" s="1546">
        <f>(P23+P27+P34+P43+P60+P65+P67+P69+P71)*('SDK1'!$O$59%*$G$75/12)</f>
        <v>8.4055989299868621</v>
      </c>
      <c r="Q75" s="32"/>
    </row>
    <row r="76" spans="1:20">
      <c r="L76" s="33"/>
    </row>
    <row r="77" spans="1:20">
      <c r="G77" s="3590"/>
      <c r="H77" s="3590"/>
      <c r="I77" s="3590"/>
      <c r="J77" s="3590"/>
      <c r="K77" s="3590"/>
      <c r="L77" s="3590"/>
      <c r="M77" s="3590"/>
      <c r="N77" s="3590"/>
      <c r="O77" s="3590"/>
      <c r="P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2506"/>
      <c r="E91" s="2506"/>
      <c r="F91" s="2506"/>
      <c r="G91" s="3590"/>
      <c r="H91" s="3590"/>
      <c r="I91" s="3590"/>
      <c r="J91" s="3590"/>
      <c r="K91" s="3590"/>
      <c r="L91" s="3590"/>
      <c r="M91" s="3590"/>
      <c r="N91" s="3590"/>
      <c r="O91" s="3590"/>
      <c r="P91" s="3590"/>
    </row>
    <row r="92" spans="2:16">
      <c r="C92" s="33"/>
      <c r="D92" s="2506"/>
      <c r="E92" s="2506"/>
      <c r="F92" s="2506"/>
      <c r="G92" s="3590"/>
      <c r="H92" s="3590"/>
      <c r="I92" s="3590"/>
      <c r="J92" s="3590"/>
      <c r="K92" s="3590"/>
      <c r="L92" s="3590"/>
      <c r="M92" s="3590"/>
      <c r="N92" s="3590"/>
      <c r="O92" s="3590"/>
      <c r="P92" s="3590"/>
    </row>
    <row r="93" spans="2:16">
      <c r="C93" s="33"/>
      <c r="D93" s="2506"/>
      <c r="E93" s="2506"/>
      <c r="F93" s="2506"/>
      <c r="G93" s="3590"/>
      <c r="H93" s="3590"/>
      <c r="I93" s="3590"/>
      <c r="J93" s="3590"/>
      <c r="K93" s="3590"/>
      <c r="L93" s="3590"/>
      <c r="M93" s="3590"/>
      <c r="N93" s="3590"/>
      <c r="O93" s="3590"/>
      <c r="P93" s="3590"/>
    </row>
    <row r="94" spans="2:16">
      <c r="C94" s="33"/>
      <c r="D94" s="2506"/>
      <c r="E94" s="2506"/>
      <c r="F94" s="2506"/>
      <c r="G94" s="3590"/>
      <c r="H94" s="3590"/>
      <c r="I94" s="3590"/>
      <c r="J94" s="3590"/>
      <c r="K94" s="3590"/>
      <c r="L94" s="3590"/>
      <c r="M94" s="3590"/>
      <c r="N94" s="3590"/>
      <c r="O94" s="3590"/>
      <c r="P94" s="3590"/>
    </row>
    <row r="95" spans="2:16">
      <c r="C95" s="33"/>
      <c r="D95" s="2506"/>
      <c r="E95" s="2506"/>
      <c r="F95" s="2506"/>
      <c r="G95" s="3590"/>
      <c r="H95" s="3590"/>
      <c r="I95" s="3590"/>
      <c r="J95" s="3590"/>
      <c r="K95" s="3590"/>
      <c r="L95" s="3590"/>
      <c r="M95" s="3590"/>
      <c r="N95" s="3590"/>
      <c r="O95" s="3590"/>
      <c r="P95" s="3590"/>
    </row>
    <row r="96" spans="2:16">
      <c r="C96" s="33"/>
      <c r="D96" s="2506"/>
      <c r="E96" s="2506"/>
      <c r="F96" s="2506"/>
      <c r="G96" s="3590"/>
      <c r="H96" s="3590"/>
      <c r="I96" s="3590"/>
      <c r="J96" s="3590"/>
      <c r="K96" s="3590"/>
      <c r="L96" s="3590"/>
      <c r="M96" s="3590"/>
      <c r="N96" s="3590"/>
      <c r="O96" s="3590"/>
      <c r="P96" s="3590"/>
    </row>
    <row r="97" spans="2:17">
      <c r="C97" s="33"/>
      <c r="D97" s="2506"/>
      <c r="E97" s="2506"/>
      <c r="G97" s="3590"/>
      <c r="H97" s="3590"/>
      <c r="I97" s="3590"/>
      <c r="J97" s="3590"/>
      <c r="K97" s="3590"/>
      <c r="L97" s="3590"/>
      <c r="M97" s="3590"/>
      <c r="N97" s="3590"/>
      <c r="O97" s="3590"/>
      <c r="P97" s="3590"/>
    </row>
    <row r="98" spans="2:17">
      <c r="C98" s="33"/>
      <c r="D98" s="2506"/>
      <c r="E98" s="2506"/>
      <c r="G98" s="3590"/>
      <c r="H98" s="3590"/>
      <c r="I98" s="3590"/>
      <c r="J98" s="3590"/>
      <c r="K98" s="3590"/>
      <c r="L98" s="3590"/>
      <c r="M98" s="3590"/>
      <c r="N98" s="3590"/>
      <c r="O98" s="3590"/>
      <c r="P98" s="3590"/>
    </row>
    <row r="99" spans="2:17">
      <c r="B99" s="33"/>
      <c r="C99" s="33"/>
      <c r="D99" s="3590"/>
      <c r="E99" s="2506"/>
      <c r="G99" s="3590"/>
      <c r="H99" s="3590"/>
      <c r="I99" s="3590"/>
      <c r="J99" s="3590"/>
      <c r="K99" s="3590"/>
      <c r="L99" s="3590"/>
      <c r="M99" s="3590"/>
      <c r="N99" s="3590"/>
      <c r="O99" s="3590"/>
      <c r="P99" s="3590"/>
    </row>
    <row r="100" spans="2:17">
      <c r="B100" s="33"/>
      <c r="C100" s="33"/>
      <c r="D100" s="33"/>
      <c r="G100" s="3590"/>
      <c r="H100" s="3590"/>
      <c r="I100" s="3590"/>
      <c r="J100" s="3590"/>
      <c r="K100" s="3590"/>
      <c r="L100" s="3590"/>
      <c r="M100" s="3590"/>
      <c r="N100" s="3590"/>
      <c r="O100" s="3590"/>
      <c r="P100" s="3590"/>
    </row>
    <row r="101" spans="2:17">
      <c r="B101" s="33"/>
      <c r="C101" s="33"/>
      <c r="D101" s="33"/>
      <c r="G101" s="3590"/>
      <c r="H101" s="3590"/>
      <c r="I101" s="3590"/>
      <c r="J101" s="3590"/>
      <c r="K101" s="3590"/>
      <c r="L101" s="3590"/>
      <c r="M101" s="3590"/>
      <c r="N101" s="3590"/>
      <c r="O101" s="3590"/>
      <c r="P101" s="3590"/>
    </row>
    <row r="102" spans="2:17">
      <c r="B102" s="33"/>
      <c r="C102" s="33"/>
      <c r="D102" s="33"/>
      <c r="G102" s="3590"/>
      <c r="H102" s="3590"/>
      <c r="I102" s="3590"/>
      <c r="J102" s="3590"/>
      <c r="K102" s="3590"/>
      <c r="L102" s="3590"/>
      <c r="M102" s="3590"/>
      <c r="N102" s="3590"/>
      <c r="O102" s="3590"/>
      <c r="P102" s="3590"/>
    </row>
    <row r="103" spans="2:17">
      <c r="B103" s="33"/>
      <c r="C103" s="33"/>
      <c r="D103" s="33"/>
      <c r="G103" s="3590"/>
      <c r="H103" s="3590"/>
      <c r="I103" s="3590"/>
      <c r="J103" s="3590"/>
      <c r="K103" s="3590"/>
      <c r="L103" s="3590"/>
      <c r="M103" s="3590"/>
      <c r="N103" s="3590"/>
      <c r="O103" s="3590"/>
      <c r="P103" s="3590"/>
    </row>
    <row r="104" spans="2:17">
      <c r="B104" s="33"/>
      <c r="C104" s="33"/>
      <c r="D104" s="33"/>
      <c r="G104" s="3590"/>
      <c r="H104" s="3590"/>
      <c r="I104" s="3590"/>
      <c r="J104" s="3590"/>
      <c r="K104" s="3590"/>
      <c r="L104" s="3590"/>
      <c r="M104" s="3590"/>
      <c r="N104" s="3590"/>
      <c r="O104" s="3590"/>
      <c r="P104" s="3590"/>
    </row>
    <row r="105" spans="2:17">
      <c r="B105" s="33"/>
      <c r="C105" s="33"/>
      <c r="D105" s="33"/>
      <c r="G105" s="3590"/>
      <c r="H105" s="3590"/>
      <c r="I105" s="3590"/>
      <c r="J105" s="3590"/>
      <c r="K105" s="3590"/>
      <c r="L105" s="3590"/>
      <c r="M105" s="3590"/>
      <c r="N105" s="3590"/>
      <c r="O105" s="3590"/>
      <c r="P105" s="3590"/>
    </row>
    <row r="106" spans="2:17">
      <c r="B106" s="33"/>
      <c r="C106" s="33"/>
      <c r="D106" s="33"/>
      <c r="F106" s="3590"/>
      <c r="G106" s="3590"/>
      <c r="H106" s="3590"/>
      <c r="I106" s="3590"/>
      <c r="J106" s="3590"/>
      <c r="K106" s="3590"/>
      <c r="L106" s="3590"/>
      <c r="M106" s="3590"/>
      <c r="N106" s="3590"/>
      <c r="O106" s="3590"/>
      <c r="P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590"/>
      <c r="M144" s="3590"/>
      <c r="N144" s="3590"/>
      <c r="O144" s="3590"/>
      <c r="P144" s="3590"/>
      <c r="Q144" s="3590"/>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H157" s="1897"/>
      <c r="J157" s="2357"/>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8:F78"/>
    <mergeCell ref="C79:F79"/>
    <mergeCell ref="C46:D46"/>
    <mergeCell ref="C53:D53"/>
    <mergeCell ref="C64:E64"/>
    <mergeCell ref="C51:D51"/>
    <mergeCell ref="C56:D56"/>
    <mergeCell ref="C54:D54"/>
    <mergeCell ref="C52:D52"/>
    <mergeCell ref="C73:E73"/>
    <mergeCell ref="C74:E74"/>
    <mergeCell ref="B75:C75"/>
    <mergeCell ref="C62:E62"/>
    <mergeCell ref="C63:E63"/>
    <mergeCell ref="C68:E68"/>
    <mergeCell ref="K1:L1"/>
    <mergeCell ref="N1:O1"/>
    <mergeCell ref="C41:E41"/>
    <mergeCell ref="H6:I6"/>
    <mergeCell ref="C37:E37"/>
    <mergeCell ref="E4:I4"/>
    <mergeCell ref="G1:I1"/>
    <mergeCell ref="C38:E38"/>
    <mergeCell ref="C39:E39"/>
    <mergeCell ref="K2:P2"/>
    <mergeCell ref="C14:F14"/>
    <mergeCell ref="C36:E36"/>
    <mergeCell ref="F34:G34"/>
    <mergeCell ref="E22:G22"/>
    <mergeCell ref="C40:E40"/>
    <mergeCell ref="C15:F15"/>
    <mergeCell ref="C16:F16"/>
    <mergeCell ref="C17:F17"/>
    <mergeCell ref="C19:F19"/>
    <mergeCell ref="F23:G23"/>
    <mergeCell ref="W3:Y3"/>
    <mergeCell ref="W4:Y4"/>
    <mergeCell ref="E10:F10"/>
    <mergeCell ref="N6:O6"/>
    <mergeCell ref="K6:L6"/>
    <mergeCell ref="N3:O4"/>
    <mergeCell ref="C21:F21"/>
    <mergeCell ref="C20:F20"/>
    <mergeCell ref="D25:E25"/>
    <mergeCell ref="D26:E26"/>
    <mergeCell ref="C42:E42"/>
    <mergeCell ref="C57:D57"/>
    <mergeCell ref="C47:D47"/>
    <mergeCell ref="C48:D48"/>
    <mergeCell ref="C49:D49"/>
    <mergeCell ref="C50:D50"/>
    <mergeCell ref="C55:D55"/>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4" orientation="portrait" r:id="rId1"/>
  <headerFooter alignWithMargins="0">
    <oddFooter>&amp;L&amp;11LEL Schwäbisch Gmünd&amp;C38&amp;R&amp;11&amp;F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9">
    <tabColor rgb="FF00B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6" width="10.5" style="31" hidden="1" customWidth="1"/>
    <col min="27" max="30" width="10.5" style="31" customWidth="1"/>
    <col min="31" max="16384" width="10.5" style="31"/>
  </cols>
  <sheetData>
    <row r="1" spans="1:41" s="274" customFormat="1" ht="30.2" customHeight="1">
      <c r="A1" s="2475"/>
      <c r="B1" s="319"/>
      <c r="C1" s="1876"/>
      <c r="D1" s="136"/>
      <c r="E1" s="316"/>
      <c r="F1" s="316"/>
      <c r="G1" s="4933" t="s">
        <v>1636</v>
      </c>
      <c r="H1" s="4933"/>
      <c r="I1" s="4933"/>
      <c r="J1" s="1874">
        <f>(J7+J13+J18+J22+I11+I12)-(J23+J27+J34+J43+J60+J65+J67+J69+J71+J75)</f>
        <v>1913.8612297589975</v>
      </c>
      <c r="K1" s="4855">
        <f>M1-J1</f>
        <v>349.07915460367303</v>
      </c>
      <c r="L1" s="4855"/>
      <c r="M1" s="1874">
        <f>(M7+M13+M18+M22+L11+L12)-(M23+M27+M34+M43+M60+M65+M67+M69+M71+M75)</f>
        <v>2262.9403843626706</v>
      </c>
      <c r="N1" s="4855">
        <f>P1-M1</f>
        <v>287.1080175020511</v>
      </c>
      <c r="O1" s="4855"/>
      <c r="P1" s="1874">
        <f>(P7+P13+P18+P22+O11+O12)-(P23+P27+P34+P43+P60+P65+P67+P69+P71+P75)</f>
        <v>2550.0484018647217</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1899</v>
      </c>
      <c r="L2" s="4867"/>
      <c r="M2" s="4867"/>
      <c r="N2" s="4867"/>
      <c r="O2" s="4867"/>
      <c r="P2" s="4867"/>
      <c r="Q2" s="2475"/>
    </row>
    <row r="3" spans="1:41" s="274" customFormat="1" ht="21.75" customHeight="1">
      <c r="A3" s="2475"/>
      <c r="B3" s="1871" t="s">
        <v>1635</v>
      </c>
      <c r="G3" s="1859"/>
      <c r="H3" s="1870"/>
      <c r="N3" s="4934"/>
      <c r="O3" s="4869"/>
      <c r="P3" s="1868"/>
      <c r="Q3" s="2475"/>
      <c r="T3" s="1886" t="b">
        <v>0</v>
      </c>
      <c r="W3" s="4863" t="s">
        <v>1205</v>
      </c>
      <c r="X3" s="4937"/>
      <c r="Y3" s="4937"/>
      <c r="Z3" s="1869"/>
    </row>
    <row r="4" spans="1:41" s="274" customFormat="1" ht="20.25" customHeight="1">
      <c r="A4" s="2475"/>
      <c r="B4" s="370" t="s">
        <v>1098</v>
      </c>
      <c r="C4" s="31"/>
      <c r="D4" s="31"/>
      <c r="E4" s="4898" t="s">
        <v>1211</v>
      </c>
      <c r="F4" s="4898"/>
      <c r="G4" s="4898"/>
      <c r="H4" s="4898"/>
      <c r="I4" s="4898"/>
      <c r="N4" s="4869"/>
      <c r="O4" s="4869"/>
      <c r="P4" s="1864">
        <f>SDÖ1!O3</f>
        <v>0</v>
      </c>
      <c r="Q4" s="2475"/>
      <c r="T4" s="1886"/>
      <c r="W4" s="4863" t="s">
        <v>1194</v>
      </c>
      <c r="X4" s="4937"/>
      <c r="Y4" s="4937"/>
      <c r="Z4" s="2490"/>
    </row>
    <row r="5" spans="1:41" ht="6" customHeight="1"/>
    <row r="6" spans="1:41" s="1853" customFormat="1" ht="24" customHeight="1">
      <c r="A6" s="48"/>
      <c r="B6" s="1858" t="s">
        <v>1151</v>
      </c>
      <c r="C6" s="1857"/>
      <c r="D6" s="1857"/>
      <c r="E6" s="1857"/>
      <c r="F6" s="1857"/>
      <c r="G6" s="1856" t="s">
        <v>1642</v>
      </c>
      <c r="H6" s="4861" t="s">
        <v>179</v>
      </c>
      <c r="I6" s="4862"/>
      <c r="J6" s="1855">
        <f>M6*0.85</f>
        <v>25.5</v>
      </c>
      <c r="K6" s="4874" t="s">
        <v>152</v>
      </c>
      <c r="L6" s="4875"/>
      <c r="M6" s="1855">
        <v>30</v>
      </c>
      <c r="N6" s="4861" t="s">
        <v>178</v>
      </c>
      <c r="O6" s="4862"/>
      <c r="P6" s="1854">
        <f>M6*1.15</f>
        <v>34.5</v>
      </c>
      <c r="Q6" s="70"/>
    </row>
    <row r="7" spans="1:41" s="251" customFormat="1" ht="18.75" customHeight="1">
      <c r="A7" s="47"/>
      <c r="B7" s="305" t="s">
        <v>1633</v>
      </c>
      <c r="C7" s="47"/>
      <c r="D7" s="47"/>
      <c r="E7" s="47"/>
      <c r="F7" s="47"/>
      <c r="G7" s="1852" t="s">
        <v>171</v>
      </c>
      <c r="H7" s="1849"/>
      <c r="I7" s="1848"/>
      <c r="J7" s="1582">
        <f>SUM(I9:I10)</f>
        <v>2246.5499999999997</v>
      </c>
      <c r="K7" s="1851"/>
      <c r="L7" s="1850"/>
      <c r="M7" s="1585">
        <f>SUM(L9:L10)</f>
        <v>2643</v>
      </c>
      <c r="N7" s="1849"/>
      <c r="O7" s="1848"/>
      <c r="P7" s="1582">
        <f>SUM(O9:O10)</f>
        <v>3039.45</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SDÖ1!O30</f>
        <v>88.1</v>
      </c>
      <c r="H9" s="1845">
        <f>J6-H10</f>
        <v>25.5</v>
      </c>
      <c r="I9" s="1841">
        <f>H9*G9</f>
        <v>2246.5499999999997</v>
      </c>
      <c r="J9" s="43"/>
      <c r="K9" s="1844">
        <f>M6-K10</f>
        <v>30</v>
      </c>
      <c r="L9" s="1843">
        <f>K9*G9</f>
        <v>2643</v>
      </c>
      <c r="M9" s="1822"/>
      <c r="N9" s="1842">
        <f>P6-N10</f>
        <v>34.5</v>
      </c>
      <c r="O9" s="1841">
        <f>N9*G9</f>
        <v>3039.45</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IF(OR($C19=0,$M$6=0),0,VLOOKUP($C19,'SD2'!$C$59:$N$75,12,FALSE))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IF(OR($C20=0,$M$6=0),0,VLOOKUP($C20,'SD2'!$C$59:$N$75,12,FALSE))</f>
        <v>63.4</v>
      </c>
      <c r="M20" s="3864"/>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IF(OR($C21=0,$M$6=0),0,VLOOKUP($C21,'SD2'!$C$59:$N$75,12,FALSE))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272</v>
      </c>
      <c r="K23" s="1587"/>
      <c r="L23" s="1586"/>
      <c r="M23" s="1768">
        <f>SUM(L25:L26)</f>
        <v>272</v>
      </c>
      <c r="N23" s="1584"/>
      <c r="O23" s="1583"/>
      <c r="P23" s="1567">
        <f>SUM(O25:O26)</f>
        <v>272</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68</v>
      </c>
      <c r="G25" s="1762">
        <f>F25*(100+$D$24)/100</f>
        <v>68</v>
      </c>
      <c r="H25" s="1761">
        <v>4</v>
      </c>
      <c r="I25" s="1722">
        <f>H25*$G25</f>
        <v>272</v>
      </c>
      <c r="J25" s="45"/>
      <c r="K25" s="1761">
        <f>H25</f>
        <v>4</v>
      </c>
      <c r="L25" s="1564">
        <f>K25*$G25</f>
        <v>272</v>
      </c>
      <c r="M25" s="1557"/>
      <c r="N25" s="1761">
        <f>H25</f>
        <v>4</v>
      </c>
      <c r="O25" s="1722">
        <f>N25*$G25</f>
        <v>272</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22.735800000000058</v>
      </c>
      <c r="K27" s="1716"/>
      <c r="L27" s="1715"/>
      <c r="M27" s="1585">
        <f>SUM(L30:L33)</f>
        <v>26.748000000000069</v>
      </c>
      <c r="N27" s="1714"/>
      <c r="O27" s="1713"/>
      <c r="P27" s="1582">
        <f>SUM(O30:O33)</f>
        <v>30.760200000000086</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VLOOKUP('SD8'!B28,'SD8'!B9:K44,3,FALSE)</f>
        <v>-0.89999999999999947</v>
      </c>
      <c r="F30" s="1742"/>
      <c r="G30" s="1741">
        <v>0</v>
      </c>
      <c r="H30" s="1739">
        <f>IF(J$6=0,0,(J$6*$E30+$G30+X13))</f>
        <v>-22.949999999999985</v>
      </c>
      <c r="I30" s="1722">
        <f>H30*$D30</f>
        <v>-100.29149999999994</v>
      </c>
      <c r="J30" s="45"/>
      <c r="K30" s="1740">
        <f>IF(M$6=0,0,(M$6*$E30+$G30+AA14))</f>
        <v>-26.999999999999986</v>
      </c>
      <c r="L30" s="1564">
        <f>K30*$D30</f>
        <v>-117.98999999999994</v>
      </c>
      <c r="M30" s="1557"/>
      <c r="N30" s="1739">
        <f>IF(P$6=0,0,(P$6*$E30+$G30+AD14))</f>
        <v>-31.049999999999983</v>
      </c>
      <c r="O30" s="1722">
        <f>N30*$D30</f>
        <v>-135.68849999999992</v>
      </c>
      <c r="P30" s="1686"/>
      <c r="Q30" s="32"/>
    </row>
    <row r="31" spans="1:26" s="42" customFormat="1" ht="15" customHeight="1">
      <c r="A31" s="1284"/>
      <c r="B31" s="272"/>
      <c r="C31" s="1284" t="s">
        <v>244</v>
      </c>
      <c r="D31" s="1691">
        <f>IF(SDÖ1!$U$17=TRUE,SDÖ1!O56,0)</f>
        <v>1.3740000000000001</v>
      </c>
      <c r="E31" s="1742">
        <f>VLOOKUP('SD8'!B28,'SD8'!B9:K44,4,FALSE)</f>
        <v>1.5</v>
      </c>
      <c r="F31" s="1742"/>
      <c r="G31" s="1741"/>
      <c r="H31" s="1739">
        <f>IF(J$6=0,0,(J$6*$E31+$G31+X14))</f>
        <v>38.25</v>
      </c>
      <c r="I31" s="1722">
        <f>H31*$D31</f>
        <v>52.555500000000002</v>
      </c>
      <c r="J31" s="45"/>
      <c r="K31" s="1740">
        <f>IF(M$6=0,0,(M$6*$E31+$G31+Y14))</f>
        <v>45</v>
      </c>
      <c r="L31" s="1564">
        <f>K31*$D31</f>
        <v>61.830000000000005</v>
      </c>
      <c r="M31" s="1557"/>
      <c r="N31" s="1739">
        <f>IF(P$6=0,0,(P$6*$E31+$G31+Z14))</f>
        <v>51.75</v>
      </c>
      <c r="O31" s="1722">
        <f>N31*$D31</f>
        <v>71.104500000000002</v>
      </c>
      <c r="P31" s="1686"/>
      <c r="Q31" s="32"/>
    </row>
    <row r="32" spans="1:26" s="686" customFormat="1" ht="18.75" customHeight="1">
      <c r="A32" s="1248"/>
      <c r="B32" s="272"/>
      <c r="C32" s="1284" t="s">
        <v>242</v>
      </c>
      <c r="D32" s="1691">
        <f>IF(SDÖ1!$U$17=TRUE,SDÖ1!O57,0)</f>
        <v>1.35</v>
      </c>
      <c r="E32" s="1742">
        <f>VLOOKUP('SD8'!B28,'SD8'!B9:K44,5,FALSE)</f>
        <v>1.9359999999999999</v>
      </c>
      <c r="F32" s="1742"/>
      <c r="G32" s="1741"/>
      <c r="H32" s="1739">
        <f>IF(J$6=0,0,(J$6*$E32+$G32+X15))</f>
        <v>49.367999999999995</v>
      </c>
      <c r="I32" s="1722">
        <f>H32*$D32</f>
        <v>66.646799999999999</v>
      </c>
      <c r="J32" s="45"/>
      <c r="K32" s="1740">
        <f>IF(M$6=0,0,(M$6*$E32+$G32+Y15))</f>
        <v>58.08</v>
      </c>
      <c r="L32" s="1564">
        <f>K32*$D32</f>
        <v>78.408000000000001</v>
      </c>
      <c r="M32" s="1557"/>
      <c r="N32" s="1739">
        <f>IF(P$6=0,0,(P$6*$E32+$G32+Z15))</f>
        <v>66.792000000000002</v>
      </c>
      <c r="O32" s="1722">
        <f>N32*$D32</f>
        <v>90.169200000000004</v>
      </c>
      <c r="P32" s="1686"/>
      <c r="Q32" s="32"/>
    </row>
    <row r="33" spans="1:17" s="686" customFormat="1" ht="13.15" customHeight="1">
      <c r="A33" s="1248"/>
      <c r="B33" s="239"/>
      <c r="C33" s="1309" t="s">
        <v>240</v>
      </c>
      <c r="D33" s="1674">
        <f>IF(SDÖ1!$U$17=TRUE,SDÖ1!O58,0)</f>
        <v>0.5</v>
      </c>
      <c r="E33" s="1738">
        <f>VLOOKUP('SD8'!B28,'SD8'!B9:K44,6,FALSE)</f>
        <v>0.3</v>
      </c>
      <c r="F33" s="1738"/>
      <c r="G33" s="1737"/>
      <c r="H33" s="1735">
        <f>IF(J$6=0,0,(J$6*$E33+$G33+X16))</f>
        <v>7.6499999999999995</v>
      </c>
      <c r="I33" s="1718">
        <f>H33*$D33</f>
        <v>3.8249999999999997</v>
      </c>
      <c r="J33" s="45"/>
      <c r="K33" s="1736">
        <f>IF(M$6=0,0,(M$6*$E33+$G33+Y16))</f>
        <v>9</v>
      </c>
      <c r="L33" s="1558">
        <f>K33*$D33</f>
        <v>4.5</v>
      </c>
      <c r="M33" s="1557"/>
      <c r="N33" s="1735">
        <f>IF(P$6=0,0,(P$6*$E33+$G33+Z16))</f>
        <v>10.35</v>
      </c>
      <c r="O33" s="1718">
        <f>N33*$D33</f>
        <v>5.1749999999999998</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190.24533434036465</v>
      </c>
      <c r="K43" s="1716"/>
      <c r="L43" s="1715"/>
      <c r="M43" s="1585">
        <f>SUM(M46:M57)</f>
        <v>191.07449321647056</v>
      </c>
      <c r="N43" s="1714"/>
      <c r="O43" s="1713"/>
      <c r="P43" s="1582">
        <f>SUM(P46:P57)</f>
        <v>197.9601302819882</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c r="D46" s="4883"/>
      <c r="E46" s="1693">
        <f>IF($C46=0,0,VLOOKUP($C46,SDÖ3!$C$24:$O$99,4,FALSE))</f>
        <v>0</v>
      </c>
      <c r="F46" s="1692">
        <f>IF($C46=0,0,VLOOKUP($C46,SDÖ3!$C$24:$O$99,12,FALSE))</f>
        <v>0</v>
      </c>
      <c r="G46" s="1691">
        <f>IF($C46=0,0,VLOOKUP($C46,SDÖ3!$C$24:$O$99,13,FALSE))</f>
        <v>0</v>
      </c>
      <c r="H46" s="1688"/>
      <c r="I46" s="1687">
        <f t="shared" ref="I46:I57" si="4">$F46*H46</f>
        <v>0</v>
      </c>
      <c r="J46" s="1686">
        <f t="shared" ref="J46:J55" si="5">H46*$G46</f>
        <v>0</v>
      </c>
      <c r="K46" s="1688"/>
      <c r="L46" s="1690">
        <f t="shared" ref="L46:L57" si="6">$F46*K46</f>
        <v>0</v>
      </c>
      <c r="M46" s="1689">
        <f t="shared" ref="M46:M57" si="7">K46*$G46</f>
        <v>0</v>
      </c>
      <c r="N46" s="1688"/>
      <c r="O46" s="1687">
        <f t="shared" ref="O46:O57" si="8">$F46*N46</f>
        <v>0</v>
      </c>
      <c r="P46" s="1686">
        <f t="shared" ref="P46:P57"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t="s">
        <v>446</v>
      </c>
      <c r="D49" s="4883"/>
      <c r="E49" s="1693">
        <f>IF($C49=0,0,VLOOKUP($C49,SDÖ3!$C$24:$O$99,4,FALSE))</f>
        <v>120</v>
      </c>
      <c r="F49" s="1692">
        <f>IF($C49=0,0,VLOOKUP($C49,SDÖ3!$C$24:$O$99,12,FALSE))</f>
        <v>1.05</v>
      </c>
      <c r="G49" s="1691">
        <f>IF($C49=0,0,VLOOKUP($C49,SDÖ3!$C$24:$O$99,13,FALSE))</f>
        <v>36.26405764705882</v>
      </c>
      <c r="H49" s="1688">
        <v>1</v>
      </c>
      <c r="I49" s="1687">
        <f t="shared" si="4"/>
        <v>1.05</v>
      </c>
      <c r="J49" s="1686">
        <f t="shared" si="5"/>
        <v>36.26405764705882</v>
      </c>
      <c r="K49" s="1688">
        <v>1</v>
      </c>
      <c r="L49" s="1690">
        <f t="shared" si="6"/>
        <v>1.05</v>
      </c>
      <c r="M49" s="1689">
        <f t="shared" si="7"/>
        <v>36.26405764705882</v>
      </c>
      <c r="N49" s="1688">
        <v>1</v>
      </c>
      <c r="O49" s="1687">
        <f t="shared" si="8"/>
        <v>1.05</v>
      </c>
      <c r="P49" s="1686">
        <f t="shared" si="9"/>
        <v>36.26405764705882</v>
      </c>
      <c r="Q49" s="32"/>
    </row>
    <row r="50" spans="1:17" s="42" customFormat="1" ht="15" customHeight="1">
      <c r="A50" s="1284"/>
      <c r="B50" s="1694"/>
      <c r="C50" s="4882" t="s">
        <v>449</v>
      </c>
      <c r="D50" s="4883"/>
      <c r="E50" s="1693">
        <f>IF($C50=0,0,VLOOKUP($C50,SDÖ3!$C$24:$O$99,4,FALSE))</f>
        <v>83</v>
      </c>
      <c r="F50" s="1692">
        <f>IF($C50=0,0,VLOOKUP($C50,SDÖ3!$C$24:$O$99,12,FALSE))</f>
        <v>0.62</v>
      </c>
      <c r="G50" s="1691">
        <f>IF($C50=0,0,VLOOKUP($C50,SDÖ3!$C$24:$O$99,13,FALSE))</f>
        <v>11.934875842352939</v>
      </c>
      <c r="H50" s="1688">
        <v>1</v>
      </c>
      <c r="I50" s="1687">
        <f t="shared" si="4"/>
        <v>0.62</v>
      </c>
      <c r="J50" s="1686">
        <f t="shared" si="5"/>
        <v>11.934875842352939</v>
      </c>
      <c r="K50" s="1688">
        <v>1</v>
      </c>
      <c r="L50" s="1690">
        <f t="shared" si="6"/>
        <v>0.62</v>
      </c>
      <c r="M50" s="1689">
        <f t="shared" si="7"/>
        <v>11.934875842352939</v>
      </c>
      <c r="N50" s="1688">
        <v>1</v>
      </c>
      <c r="O50" s="1687">
        <f t="shared" si="8"/>
        <v>0.62</v>
      </c>
      <c r="P50" s="1686">
        <f t="shared" si="9"/>
        <v>11.934875842352939</v>
      </c>
      <c r="Q50" s="32"/>
    </row>
    <row r="51" spans="1:17" s="42" customFormat="1" ht="15" customHeight="1">
      <c r="A51" s="1284"/>
      <c r="B51" s="1694"/>
      <c r="C51" s="4882" t="s">
        <v>410</v>
      </c>
      <c r="D51" s="4883"/>
      <c r="E51" s="1693">
        <f>IF($C51=0,0,VLOOKUP($C51,SDÖ3!$C$24:$O$99,4,FALSE))</f>
        <v>83</v>
      </c>
      <c r="F51" s="1692">
        <f>IF($C51=0,0,VLOOKUP($C51,SDÖ3!$C$24:$O$99,12,FALSE))</f>
        <v>0.27</v>
      </c>
      <c r="G51" s="1691">
        <f>IF($C51=0,0,VLOOKUP($C51,SDÖ3!$C$24:$O$99,13,FALSE))</f>
        <v>6.0564781894117647</v>
      </c>
      <c r="H51" s="1688">
        <v>1</v>
      </c>
      <c r="I51" s="1687">
        <f t="shared" si="4"/>
        <v>0.27</v>
      </c>
      <c r="J51" s="1686">
        <f t="shared" si="5"/>
        <v>6.0564781894117647</v>
      </c>
      <c r="K51" s="1688">
        <v>1</v>
      </c>
      <c r="L51" s="1690">
        <f t="shared" si="6"/>
        <v>0.27</v>
      </c>
      <c r="M51" s="1689">
        <f t="shared" si="7"/>
        <v>6.0564781894117647</v>
      </c>
      <c r="N51" s="1688">
        <v>2</v>
      </c>
      <c r="O51" s="1687">
        <f t="shared" si="8"/>
        <v>0.54</v>
      </c>
      <c r="P51" s="1686">
        <f t="shared" si="9"/>
        <v>12.112956378823529</v>
      </c>
      <c r="Q51" s="32"/>
    </row>
    <row r="52" spans="1:17" s="42" customFormat="1" ht="15" customHeight="1">
      <c r="A52" s="1284"/>
      <c r="B52" s="1694"/>
      <c r="C52" s="4882" t="s">
        <v>407</v>
      </c>
      <c r="D52" s="4883"/>
      <c r="E52" s="1693">
        <f>IF($C52=0,0,VLOOKUP($C52,SDÖ3!$C$24:$O$99,4,FALSE))</f>
        <v>54</v>
      </c>
      <c r="F52" s="1692">
        <f>IF($C52=0,0,VLOOKUP($C52,SDÖ3!$C$24:$O$99,12,FALSE))</f>
        <v>1.1299999999999999</v>
      </c>
      <c r="G52" s="1691">
        <f>IF($C52=0,0,VLOOKUP($C52,SDÖ3!$C$24:$O$99,13,FALSE))</f>
        <v>17.668557917647057</v>
      </c>
      <c r="H52" s="1688">
        <v>2</v>
      </c>
      <c r="I52" s="1687">
        <f t="shared" si="4"/>
        <v>2.2599999999999998</v>
      </c>
      <c r="J52" s="1686">
        <f t="shared" si="5"/>
        <v>35.337115835294114</v>
      </c>
      <c r="K52" s="1688">
        <v>2</v>
      </c>
      <c r="L52" s="1690">
        <f t="shared" si="6"/>
        <v>2.2599999999999998</v>
      </c>
      <c r="M52" s="1689">
        <f t="shared" si="7"/>
        <v>35.337115835294114</v>
      </c>
      <c r="N52" s="1688">
        <v>2</v>
      </c>
      <c r="O52" s="1687">
        <f t="shared" si="8"/>
        <v>2.2599999999999998</v>
      </c>
      <c r="P52" s="1686">
        <f t="shared" si="9"/>
        <v>35.337115835294114</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8"/>
    </row>
    <row r="54" spans="1:17" s="42" customFormat="1" ht="15" customHeight="1">
      <c r="A54" s="1284"/>
      <c r="B54" s="1694"/>
      <c r="C54" s="4960" t="s">
        <v>403</v>
      </c>
      <c r="D54" s="4961"/>
      <c r="E54" s="1693">
        <f>IF($C54=0,0,VLOOKUP($C54,SDÖ3!$C$24:$O$99,4,FALSE))</f>
        <v>83</v>
      </c>
      <c r="F54" s="1692">
        <f>IF($C54=0,0,VLOOKUP($C54,SDÖ3!$C$24:$O$99,12,FALSE))</f>
        <v>0.56000000000000005</v>
      </c>
      <c r="G54" s="1691">
        <f>IF($C54=0,0,VLOOKUP($C54,SDÖ3!$C$24:$O$99,13,FALSE))</f>
        <v>9.6134362447058805</v>
      </c>
      <c r="H54" s="1688">
        <v>0.78875000000000006</v>
      </c>
      <c r="I54" s="1687">
        <f t="shared" si="4"/>
        <v>0.44170000000000009</v>
      </c>
      <c r="J54" s="1686">
        <f t="shared" si="5"/>
        <v>7.5825978380117638</v>
      </c>
      <c r="K54" s="1688">
        <v>0.875</v>
      </c>
      <c r="L54" s="1690">
        <f t="shared" si="6"/>
        <v>0.49000000000000005</v>
      </c>
      <c r="M54" s="1689">
        <f t="shared" si="7"/>
        <v>8.4117567141176455</v>
      </c>
      <c r="N54" s="1688">
        <v>0.96124999999999994</v>
      </c>
      <c r="O54" s="1687">
        <f t="shared" si="8"/>
        <v>0.5383</v>
      </c>
      <c r="P54" s="1686">
        <f t="shared" si="9"/>
        <v>9.2409155902235263</v>
      </c>
      <c r="Q54" s="32"/>
    </row>
    <row r="55" spans="1:17" s="42" customFormat="1" ht="15" customHeight="1">
      <c r="A55" s="1284"/>
      <c r="B55" s="1694"/>
      <c r="C55" s="4960" t="s">
        <v>456</v>
      </c>
      <c r="D55" s="4961"/>
      <c r="E55" s="1693">
        <f>IF($C55=0,0,VLOOKUP($C55,SDÖ3!$C$24:$O$99,4,FALSE))</f>
        <v>102</v>
      </c>
      <c r="F55" s="1692">
        <f>IF($C55=0,0,VLOOKUP($C55,SDÖ3!$C$24:$O$99,12,FALSE))</f>
        <v>0.54</v>
      </c>
      <c r="G55" s="1691">
        <f>IF($C55=0,0,VLOOKUP($C55,SDÖ3!$C$24:$O$99,13,FALSE))</f>
        <v>16.940645199999999</v>
      </c>
      <c r="H55" s="1688">
        <v>2</v>
      </c>
      <c r="I55" s="1687">
        <f t="shared" si="4"/>
        <v>1.08</v>
      </c>
      <c r="J55" s="1686">
        <f t="shared" si="5"/>
        <v>33.881290399999997</v>
      </c>
      <c r="K55" s="1688">
        <v>2</v>
      </c>
      <c r="L55" s="1690">
        <f t="shared" si="6"/>
        <v>1.08</v>
      </c>
      <c r="M55" s="1689">
        <f t="shared" si="7"/>
        <v>33.881290399999997</v>
      </c>
      <c r="N55" s="1688">
        <v>2</v>
      </c>
      <c r="O55" s="1687">
        <f t="shared" si="8"/>
        <v>1.08</v>
      </c>
      <c r="P55" s="1686">
        <f t="shared" si="9"/>
        <v>33.881290399999997</v>
      </c>
      <c r="Q55" s="32"/>
    </row>
    <row r="56" spans="1:17" s="42" customFormat="1" ht="14.25">
      <c r="A56" s="1284"/>
      <c r="B56" s="1885"/>
      <c r="C56" s="4962"/>
      <c r="D56" s="4963"/>
      <c r="E56" s="1693">
        <f>IF($C56=0,0,VLOOKUP($C56,SDÖ3!$C$24:$O$99,4,FALSE))</f>
        <v>0</v>
      </c>
      <c r="F56" s="1692">
        <f>IF($C56=0,0,VLOOKUP($C56,SDÖ3!$C$24:$O$99,12,FALSE))</f>
        <v>0</v>
      </c>
      <c r="G56" s="1691">
        <f>IF($C56=0,0,VLOOKUP($C56,SDÖ3!$C$24:$O$99,13,FALSE))</f>
        <v>0</v>
      </c>
      <c r="H56" s="1879"/>
      <c r="I56" s="1878">
        <f t="shared" si="4"/>
        <v>0</v>
      </c>
      <c r="J56" s="1877"/>
      <c r="K56" s="1879"/>
      <c r="L56" s="1881">
        <f t="shared" si="6"/>
        <v>0</v>
      </c>
      <c r="M56" s="1880">
        <f t="shared" si="7"/>
        <v>0</v>
      </c>
      <c r="N56" s="1879"/>
      <c r="O56" s="1878">
        <f t="shared" si="8"/>
        <v>0</v>
      </c>
      <c r="P56" s="1877">
        <f t="shared" si="9"/>
        <v>0</v>
      </c>
      <c r="Q56" s="32"/>
    </row>
    <row r="57" spans="1:17" s="42" customFormat="1" ht="24.75" customHeight="1">
      <c r="A57" s="1284"/>
      <c r="B57" s="1625"/>
      <c r="C57" s="4954" t="s">
        <v>396</v>
      </c>
      <c r="D57" s="4955"/>
      <c r="E57" s="3565">
        <f>IF($C57=0,0,VLOOKUP($C57,SDÖ3!$C$24:$O$99,4,FALSE))</f>
        <v>83</v>
      </c>
      <c r="F57" s="3566">
        <f>IF($C57=0,0,VLOOKUP($C57,SDÖ3!$C$24:$O$99,12,FALSE))</f>
        <v>0.68</v>
      </c>
      <c r="G57" s="3567">
        <f>IF($C57=0,0,VLOOKUP($C57,SDÖ3!$C$24:$O$99,13,FALSE))</f>
        <v>11.696315439999999</v>
      </c>
      <c r="H57" s="3634">
        <f>H11/35</f>
        <v>0</v>
      </c>
      <c r="I57" s="1671">
        <f t="shared" si="4"/>
        <v>0</v>
      </c>
      <c r="J57" s="1670">
        <f>H57*$G57</f>
        <v>0</v>
      </c>
      <c r="K57" s="3635">
        <f>K11/35</f>
        <v>0</v>
      </c>
      <c r="L57" s="1673">
        <f t="shared" si="6"/>
        <v>0</v>
      </c>
      <c r="M57" s="1620">
        <f t="shared" si="7"/>
        <v>0</v>
      </c>
      <c r="N57" s="3634">
        <f>N11/35</f>
        <v>0</v>
      </c>
      <c r="O57" s="1671">
        <f t="shared" si="8"/>
        <v>0</v>
      </c>
      <c r="P57" s="1670">
        <f t="shared" si="9"/>
        <v>0</v>
      </c>
      <c r="Q57" s="3626"/>
    </row>
    <row r="58" spans="1:17" s="686" customFormat="1" ht="18.75" customHeight="1">
      <c r="A58" s="1248"/>
      <c r="B58" s="1254" t="s">
        <v>1167</v>
      </c>
      <c r="C58" s="1351"/>
      <c r="D58" s="1351"/>
      <c r="E58" s="1351"/>
      <c r="F58" s="38"/>
      <c r="G58" s="1588"/>
      <c r="H58" s="1665"/>
      <c r="I58" s="1664">
        <f>SUM($I$46:$I$57)</f>
        <v>7.1617000000000006</v>
      </c>
      <c r="J58" s="1669"/>
      <c r="K58" s="1668"/>
      <c r="L58" s="1667">
        <f>SUM($L$46:$L$57)</f>
        <v>7.2100000000000009</v>
      </c>
      <c r="M58" s="1666"/>
      <c r="N58" s="1665"/>
      <c r="O58" s="1664">
        <f>SUM($O$46:$O$57)</f>
        <v>7.5282999999999998</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12.891060000000001</v>
      </c>
      <c r="J59" s="1654"/>
      <c r="K59" s="1659"/>
      <c r="L59" s="1658">
        <f>IF(L58+SUM($L$46:$L$57)*$E$59%&gt;L58+10,L58+10,L58+SUM($L$46:$L$57)*$E$59%)</f>
        <v>12.978000000000002</v>
      </c>
      <c r="M59" s="1657"/>
      <c r="N59" s="1656"/>
      <c r="O59" s="1655">
        <f>IF(O58+SUM($O$46:$O$57)*$E$59%&gt;O58+10,O58+10,O58+SUM($O$46:$O$57)*$E$59%)</f>
        <v>13.550940000000001</v>
      </c>
      <c r="P59" s="1654"/>
      <c r="Q59" s="32"/>
    </row>
    <row r="60" spans="1:17" s="65" customFormat="1" ht="18.75" customHeight="1">
      <c r="A60" s="1351"/>
      <c r="B60" s="1254" t="s">
        <v>1164</v>
      </c>
      <c r="C60" s="1351"/>
      <c r="D60" s="1351"/>
      <c r="E60" s="45"/>
      <c r="F60" s="45"/>
      <c r="G60" s="1653"/>
      <c r="H60" s="1645"/>
      <c r="I60" s="1644"/>
      <c r="J60" s="1652">
        <f>IF(J6=0,0,SUM(I62:I64))</f>
        <v>194.5</v>
      </c>
      <c r="K60" s="1648"/>
      <c r="L60" s="1647"/>
      <c r="M60" s="1585">
        <f>IF(M6=0,0,SUM(L62:L64))</f>
        <v>194.5</v>
      </c>
      <c r="N60" s="1645"/>
      <c r="O60" s="1644"/>
      <c r="P60" s="1652">
        <f>IF(P6=0,0,SUM(O62:O64))</f>
        <v>194.5</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328</v>
      </c>
      <c r="D62" s="4860"/>
      <c r="E62" s="4860"/>
      <c r="F62" s="1642">
        <f>IF($C62=0,0,VLOOKUP($C62,'SDK3'!$C$92:$D$106,2,FALSE))</f>
        <v>194.5</v>
      </c>
      <c r="G62" s="1641">
        <f>(100+$D$61)/100*F62</f>
        <v>194.5</v>
      </c>
      <c r="H62" s="227"/>
      <c r="I62" s="1637">
        <f>$G$62</f>
        <v>194.5</v>
      </c>
      <c r="J62" s="227"/>
      <c r="K62" s="1640"/>
      <c r="L62" s="1639">
        <f>$G$62</f>
        <v>194.5</v>
      </c>
      <c r="M62" s="1557"/>
      <c r="N62" s="1638"/>
      <c r="O62" s="1637">
        <f>$G$62</f>
        <v>194.5</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201.96</v>
      </c>
      <c r="K67" s="1609" t="s">
        <v>1161</v>
      </c>
      <c r="L67" s="1608" t="s">
        <v>1160</v>
      </c>
      <c r="M67" s="1585">
        <f>S68*(K9+K10)*L68%+F68</f>
        <v>237.6</v>
      </c>
      <c r="N67" s="1607" t="s">
        <v>1161</v>
      </c>
      <c r="O67" s="1606" t="s">
        <v>1160</v>
      </c>
      <c r="P67" s="1582">
        <f>T68*(N9+N10)*O68%+F68</f>
        <v>328.44</v>
      </c>
      <c r="Q67" s="32"/>
    </row>
    <row r="68" spans="1:20" s="686" customFormat="1" ht="15" customHeight="1">
      <c r="A68" s="1248"/>
      <c r="B68" s="1605"/>
      <c r="C68" s="4888" t="s">
        <v>1159</v>
      </c>
      <c r="D68" s="4888"/>
      <c r="E68" s="4888"/>
      <c r="F68" s="1604"/>
      <c r="G68" s="1595" t="s">
        <v>171</v>
      </c>
      <c r="H68" s="1602">
        <v>20</v>
      </c>
      <c r="I68" s="1601">
        <v>100</v>
      </c>
      <c r="J68" s="1600"/>
      <c r="K68" s="1602">
        <v>20</v>
      </c>
      <c r="L68" s="1601">
        <v>100</v>
      </c>
      <c r="M68" s="1603"/>
      <c r="N68" s="1602">
        <v>22</v>
      </c>
      <c r="O68" s="1601">
        <v>100</v>
      </c>
      <c r="P68" s="1600"/>
      <c r="Q68" s="32"/>
      <c r="R68" s="1599">
        <f>IF($H$68=0,0,VLOOKUP($H$68,'SD6'!F8:G146,'SD6'!G1,FALSE))*(1+'SDK1'!O11/100)</f>
        <v>7.92</v>
      </c>
      <c r="S68" s="1599">
        <f>IF($K$68=0,0,VLOOKUP($K$68,'SD6'!F8:G146,'SD6'!G1,FALSE))*(1+'SDK1'!O11/100)</f>
        <v>7.92</v>
      </c>
      <c r="T68" s="1599">
        <f>IF($N$68=0,0,VLOOKUP($N$68,'SD6'!F8:G146,'SD6'!G1,FALSE))*(1+'SDK1'!O11/100)</f>
        <v>9.52</v>
      </c>
    </row>
    <row r="69" spans="1:20" s="686" customFormat="1" ht="18.75" customHeight="1">
      <c r="A69" s="1248"/>
      <c r="B69" s="1254" t="s">
        <v>1158</v>
      </c>
      <c r="C69" s="1248"/>
      <c r="D69" s="1248"/>
      <c r="E69" s="38"/>
      <c r="F69" s="38"/>
      <c r="G69" s="1588"/>
      <c r="H69" s="44"/>
      <c r="I69" s="73"/>
      <c r="J69" s="1582">
        <f>H70*$F70/1000</f>
        <v>35.944799999999994</v>
      </c>
      <c r="K69" s="1598"/>
      <c r="L69" s="1597"/>
      <c r="M69" s="1585">
        <f>K70*$F70/1000</f>
        <v>42.287999999999997</v>
      </c>
      <c r="N69" s="44"/>
      <c r="O69" s="73"/>
      <c r="P69" s="1582">
        <f>N70*$F70/1000</f>
        <v>48.6312</v>
      </c>
      <c r="Q69" s="32"/>
    </row>
    <row r="70" spans="1:20" s="686" customFormat="1" ht="15" customHeight="1">
      <c r="A70" s="1248"/>
      <c r="B70" s="1310"/>
      <c r="C70" s="1309" t="s">
        <v>840</v>
      </c>
      <c r="D70" s="346"/>
      <c r="E70" s="278"/>
      <c r="F70" s="1596">
        <f>'SDK7'!G101</f>
        <v>16</v>
      </c>
      <c r="G70" s="1595" t="s">
        <v>171</v>
      </c>
      <c r="H70" s="1591">
        <f>I9+I10</f>
        <v>2246.5499999999997</v>
      </c>
      <c r="I70" s="1590"/>
      <c r="J70" s="1589"/>
      <c r="K70" s="1594">
        <f>L9+L10</f>
        <v>2643</v>
      </c>
      <c r="L70" s="1593"/>
      <c r="M70" s="1592"/>
      <c r="N70" s="1591">
        <f>O9+O10</f>
        <v>3039.45</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10.702835900637588</v>
      </c>
      <c r="K75" s="3031"/>
      <c r="L75" s="1034"/>
      <c r="M75" s="1546">
        <f>(M23+M27+M34+M43+M60+M65+M67+M69+M71)*('SDK1'!$O$59%*$G$75/12)</f>
        <v>11.249122420858823</v>
      </c>
      <c r="N75" s="1548"/>
      <c r="O75" s="1547"/>
      <c r="P75" s="1546">
        <f>(P23+P27+P34+P43+P60+P65+P67+P69+P71)*('SDK1'!$O$59%*$G$75/12)</f>
        <v>12.510067853289865</v>
      </c>
      <c r="Q75" s="32"/>
    </row>
    <row r="76" spans="1:20">
      <c r="L76" s="33"/>
    </row>
    <row r="77" spans="1:20">
      <c r="L77" s="33"/>
      <c r="M77" s="3590"/>
      <c r="N77" s="3590"/>
      <c r="O77" s="3590"/>
      <c r="P77" s="3590"/>
      <c r="Q77" s="3590"/>
    </row>
    <row r="78" spans="1:20" ht="14.25">
      <c r="C78" s="4950" t="s">
        <v>1888</v>
      </c>
      <c r="D78" s="4951"/>
      <c r="E78" s="4951"/>
      <c r="F78" s="4952"/>
      <c r="G78" s="3590"/>
      <c r="H78" s="3590"/>
      <c r="I78" s="3590"/>
      <c r="J78" s="3590"/>
      <c r="K78" s="3590"/>
      <c r="L78" s="3590"/>
      <c r="M78" s="3590"/>
      <c r="N78" s="3590"/>
      <c r="O78" s="3590"/>
      <c r="P78" s="3590"/>
      <c r="Q78" s="3590"/>
    </row>
    <row r="79" spans="1:20">
      <c r="C79" s="4943" t="s">
        <v>295</v>
      </c>
      <c r="D79" s="4944"/>
      <c r="E79" s="4944"/>
      <c r="F79" s="4945"/>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c r="Q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E99" s="33"/>
      <c r="G99" s="3590"/>
      <c r="H99" s="3590"/>
      <c r="I99" s="3590"/>
      <c r="J99" s="3590"/>
      <c r="K99" s="3590"/>
      <c r="L99" s="3590"/>
      <c r="M99" s="3590"/>
      <c r="N99" s="3590"/>
      <c r="O99" s="3590"/>
      <c r="P99" s="3590"/>
      <c r="Q99" s="3590"/>
    </row>
    <row r="100" spans="2:17">
      <c r="B100" s="33"/>
      <c r="C100" s="33"/>
      <c r="D100" s="33"/>
      <c r="E100" s="33"/>
      <c r="G100" s="3590"/>
      <c r="H100" s="3590"/>
      <c r="I100" s="3590"/>
      <c r="J100" s="3590"/>
      <c r="K100" s="3590"/>
      <c r="L100" s="3590"/>
      <c r="M100" s="3590"/>
      <c r="N100" s="3590"/>
      <c r="O100" s="3590"/>
      <c r="P100" s="3590"/>
      <c r="Q100" s="3590"/>
    </row>
    <row r="101" spans="2:17">
      <c r="B101" s="33"/>
      <c r="C101" s="33"/>
      <c r="D101" s="33"/>
      <c r="E101" s="33"/>
      <c r="G101" s="3590"/>
      <c r="H101" s="3590"/>
      <c r="I101" s="3590"/>
      <c r="J101" s="3590"/>
      <c r="K101" s="3590"/>
      <c r="L101" s="3590"/>
      <c r="M101" s="3590"/>
      <c r="N101" s="3590"/>
      <c r="O101" s="3590"/>
      <c r="P101" s="3590"/>
      <c r="Q101" s="3590"/>
    </row>
    <row r="102" spans="2:17">
      <c r="B102" s="33"/>
      <c r="C102" s="33"/>
      <c r="D102" s="33"/>
      <c r="E102" s="33"/>
      <c r="G102" s="3590"/>
      <c r="H102" s="3590"/>
      <c r="I102" s="3590"/>
      <c r="J102" s="3590"/>
      <c r="K102" s="3590"/>
      <c r="L102" s="3590"/>
      <c r="M102" s="3590"/>
      <c r="N102" s="3590"/>
      <c r="O102" s="3590"/>
      <c r="P102" s="3590"/>
      <c r="Q102" s="3590"/>
    </row>
    <row r="103" spans="2:17">
      <c r="B103" s="33"/>
      <c r="C103" s="33"/>
      <c r="D103" s="33"/>
      <c r="G103" s="3590"/>
      <c r="H103" s="3590"/>
      <c r="I103" s="3590"/>
      <c r="J103" s="3590"/>
      <c r="K103" s="3590"/>
      <c r="L103" s="3590"/>
      <c r="M103" s="3590"/>
      <c r="N103" s="3590"/>
      <c r="O103" s="3590"/>
      <c r="P103" s="3590"/>
      <c r="Q103" s="3590"/>
    </row>
    <row r="104" spans="2:17">
      <c r="B104" s="33"/>
      <c r="C104" s="33"/>
      <c r="D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G107" s="3590"/>
      <c r="H107" s="3590"/>
      <c r="I107" s="3590"/>
      <c r="J107" s="3590"/>
      <c r="K107" s="3590"/>
      <c r="L107" s="3590"/>
      <c r="M107" s="3590"/>
      <c r="N107" s="3590"/>
      <c r="O107" s="3590"/>
      <c r="P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K118" s="3590"/>
      <c r="L118" s="3590"/>
      <c r="M118" s="3590"/>
      <c r="N118" s="3590"/>
      <c r="O118" s="3590"/>
      <c r="P118" s="3590"/>
      <c r="Q118" s="3590"/>
    </row>
    <row r="119" spans="2:17">
      <c r="B119" s="600"/>
      <c r="C119" s="33"/>
      <c r="K119" s="3590"/>
      <c r="L119" s="3590"/>
      <c r="M119" s="3590"/>
      <c r="N119" s="3590"/>
      <c r="O119" s="3590"/>
      <c r="P119" s="3590"/>
      <c r="Q119" s="3590"/>
    </row>
    <row r="120" spans="2:17">
      <c r="B120" s="600"/>
      <c r="C120" s="33"/>
      <c r="K120" s="3590"/>
      <c r="L120" s="3590"/>
      <c r="M120" s="3590"/>
      <c r="N120" s="3590"/>
      <c r="O120" s="3590"/>
      <c r="P120" s="3590"/>
      <c r="Q120" s="3590"/>
    </row>
    <row r="121" spans="2:17">
      <c r="B121" s="600"/>
      <c r="C121" s="33"/>
      <c r="K121" s="3590"/>
      <c r="L121" s="3590"/>
      <c r="M121" s="3590"/>
      <c r="N121" s="3590"/>
      <c r="O121" s="3590"/>
      <c r="P121" s="3590"/>
      <c r="Q121" s="3590"/>
    </row>
    <row r="122" spans="2:17">
      <c r="B122" s="600"/>
      <c r="C122" s="33"/>
      <c r="K122" s="3590"/>
      <c r="L122" s="3590"/>
      <c r="M122" s="3590"/>
      <c r="N122" s="3590"/>
      <c r="O122" s="3590"/>
      <c r="P122" s="3590"/>
      <c r="Q122" s="3590"/>
    </row>
    <row r="123" spans="2:17">
      <c r="B123" s="600"/>
      <c r="C123" s="33"/>
      <c r="K123" s="3590"/>
      <c r="L123" s="3590"/>
      <c r="M123" s="3590"/>
      <c r="N123" s="3590"/>
      <c r="O123" s="3590"/>
      <c r="P123" s="3590"/>
      <c r="Q123" s="3590"/>
    </row>
    <row r="124" spans="2:17">
      <c r="B124" s="600"/>
      <c r="C124" s="33"/>
      <c r="K124" s="3590"/>
      <c r="L124" s="3590"/>
      <c r="M124" s="3590"/>
      <c r="N124" s="3590"/>
      <c r="O124" s="3590"/>
      <c r="P124" s="3590"/>
      <c r="Q124" s="3590"/>
    </row>
    <row r="125" spans="2:17">
      <c r="B125" s="600"/>
      <c r="C125" s="33"/>
      <c r="K125" s="3590"/>
      <c r="L125" s="3590"/>
      <c r="M125" s="3590"/>
      <c r="N125" s="3590"/>
      <c r="O125" s="3590"/>
      <c r="P125" s="3590"/>
      <c r="Q125" s="3590"/>
    </row>
    <row r="126" spans="2:17">
      <c r="B126" s="600"/>
      <c r="C126" s="33"/>
      <c r="K126" s="3590"/>
      <c r="L126" s="3590"/>
      <c r="M126" s="3590"/>
      <c r="N126" s="3590"/>
      <c r="O126" s="3590"/>
      <c r="P126" s="3590"/>
      <c r="Q126" s="3590"/>
    </row>
    <row r="127" spans="2:17">
      <c r="B127" s="600"/>
      <c r="C127" s="33"/>
      <c r="K127" s="3590"/>
      <c r="L127" s="3590"/>
      <c r="M127" s="3590"/>
      <c r="N127" s="3590"/>
      <c r="O127" s="3590"/>
      <c r="P127" s="3590"/>
      <c r="Q127" s="3590"/>
    </row>
    <row r="128" spans="2:17">
      <c r="B128" s="600"/>
      <c r="C128" s="33"/>
      <c r="K128" s="3590"/>
      <c r="L128" s="3590"/>
      <c r="M128" s="3590"/>
      <c r="N128" s="3590"/>
      <c r="O128" s="3590"/>
      <c r="P128" s="3590"/>
      <c r="Q128" s="3590"/>
    </row>
    <row r="129" spans="2:17">
      <c r="B129" s="600"/>
      <c r="C129" s="33"/>
      <c r="K129" s="3590"/>
      <c r="L129" s="3590"/>
      <c r="M129" s="3590"/>
      <c r="N129" s="3590"/>
      <c r="O129" s="3590"/>
      <c r="P129" s="3590"/>
      <c r="Q129" s="3590"/>
    </row>
    <row r="130" spans="2:17">
      <c r="B130" s="600"/>
      <c r="C130" s="33"/>
      <c r="K130" s="3590"/>
      <c r="L130" s="3590"/>
      <c r="M130" s="3590"/>
      <c r="N130" s="3590"/>
      <c r="O130" s="3590"/>
      <c r="P130" s="3590"/>
      <c r="Q130" s="3590"/>
    </row>
    <row r="131" spans="2:17">
      <c r="B131" s="600"/>
      <c r="C131" s="33"/>
      <c r="K131" s="3590"/>
      <c r="L131" s="3590"/>
      <c r="M131" s="3590"/>
      <c r="N131" s="3590"/>
      <c r="O131" s="3590"/>
      <c r="P131" s="3590"/>
      <c r="Q131" s="3590"/>
    </row>
    <row r="132" spans="2:17">
      <c r="B132" s="600"/>
      <c r="C132" s="33"/>
      <c r="K132" s="3590"/>
      <c r="L132" s="3590"/>
      <c r="M132" s="3590"/>
      <c r="N132" s="3590"/>
      <c r="O132" s="3590"/>
      <c r="P132" s="3590"/>
      <c r="Q132" s="3590"/>
    </row>
    <row r="133" spans="2:17">
      <c r="B133" s="600"/>
      <c r="C133" s="33"/>
      <c r="K133" s="3590"/>
      <c r="L133" s="3590"/>
      <c r="M133" s="3590"/>
      <c r="N133" s="3590"/>
      <c r="O133" s="3590"/>
      <c r="P133" s="3590"/>
      <c r="Q133" s="3590"/>
    </row>
    <row r="134" spans="2:17">
      <c r="B134" s="600"/>
      <c r="C134" s="33"/>
      <c r="K134" s="3590"/>
      <c r="L134" s="3590"/>
      <c r="M134" s="3590"/>
      <c r="N134" s="3590"/>
      <c r="O134" s="3590"/>
      <c r="P134" s="3590"/>
      <c r="Q134" s="3590"/>
    </row>
    <row r="135" spans="2:17">
      <c r="B135" s="600"/>
      <c r="C135" s="33"/>
      <c r="K135" s="3590"/>
      <c r="L135" s="3590"/>
      <c r="M135" s="3590"/>
      <c r="N135" s="3590"/>
      <c r="O135" s="3590"/>
      <c r="P135" s="3590"/>
      <c r="Q135" s="3590"/>
    </row>
    <row r="136" spans="2:17">
      <c r="B136" s="600"/>
      <c r="C136" s="33"/>
      <c r="K136" s="3590"/>
      <c r="L136" s="3590"/>
      <c r="M136" s="3590"/>
      <c r="N136" s="3590"/>
      <c r="O136" s="3590"/>
      <c r="P136" s="3590"/>
      <c r="Q136" s="3590"/>
    </row>
    <row r="137" spans="2:17">
      <c r="B137" s="600"/>
      <c r="C137" s="33"/>
      <c r="L137" s="33"/>
    </row>
    <row r="138" spans="2:17">
      <c r="B138" s="600"/>
      <c r="C138" s="33"/>
      <c r="L138" s="33"/>
    </row>
    <row r="139" spans="2:17">
      <c r="B139" s="600"/>
      <c r="C139" s="33"/>
      <c r="L139" s="33"/>
    </row>
    <row r="140" spans="2:17">
      <c r="B140" s="600"/>
      <c r="C140" s="33"/>
      <c r="L140" s="33"/>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D157" s="33"/>
      <c r="F157" s="33"/>
      <c r="G157" s="33"/>
      <c r="H157" s="33"/>
      <c r="I157" s="33"/>
      <c r="J157" s="33"/>
      <c r="K157" s="33"/>
    </row>
    <row r="158" spans="2:12">
      <c r="B158" s="600"/>
      <c r="C158" s="33"/>
      <c r="D158" s="33"/>
      <c r="F158" s="33"/>
      <c r="G158" s="33"/>
      <c r="H158" s="33"/>
      <c r="I158" s="33"/>
      <c r="J158" s="33"/>
      <c r="K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2">
    <mergeCell ref="C78:F78"/>
    <mergeCell ref="C79:F79"/>
    <mergeCell ref="G1:I1"/>
    <mergeCell ref="C73:E73"/>
    <mergeCell ref="C74:E74"/>
    <mergeCell ref="B75:C75"/>
    <mergeCell ref="F34:G34"/>
    <mergeCell ref="C42:E42"/>
    <mergeCell ref="C57:D57"/>
    <mergeCell ref="C52:D52"/>
    <mergeCell ref="C64:E64"/>
    <mergeCell ref="C53:D53"/>
    <mergeCell ref="C54:D54"/>
    <mergeCell ref="C56:D56"/>
    <mergeCell ref="C51:D51"/>
    <mergeCell ref="C55:D55"/>
    <mergeCell ref="C50:D50"/>
    <mergeCell ref="E10:F10"/>
    <mergeCell ref="C46:D46"/>
    <mergeCell ref="C41:E41"/>
    <mergeCell ref="C17:F17"/>
    <mergeCell ref="C19:F19"/>
    <mergeCell ref="D25:E25"/>
    <mergeCell ref="D26:E26"/>
    <mergeCell ref="E22:G22"/>
    <mergeCell ref="C21:F21"/>
    <mergeCell ref="C20:F20"/>
    <mergeCell ref="F23:G23"/>
    <mergeCell ref="K1:L1"/>
    <mergeCell ref="N1:O1"/>
    <mergeCell ref="C16:F16"/>
    <mergeCell ref="K2:P2"/>
    <mergeCell ref="C14:F14"/>
    <mergeCell ref="C15:F15"/>
    <mergeCell ref="K6:L6"/>
    <mergeCell ref="E4:I4"/>
    <mergeCell ref="C62:E62"/>
    <mergeCell ref="C63:E63"/>
    <mergeCell ref="C68:E68"/>
    <mergeCell ref="W3:Y3"/>
    <mergeCell ref="W4:Y4"/>
    <mergeCell ref="H6:I6"/>
    <mergeCell ref="C49:D49"/>
    <mergeCell ref="C48:D48"/>
    <mergeCell ref="N6:O6"/>
    <mergeCell ref="C38:E38"/>
    <mergeCell ref="C39:E39"/>
    <mergeCell ref="C36:E36"/>
    <mergeCell ref="C47:D47"/>
    <mergeCell ref="C37:E37"/>
    <mergeCell ref="C40:E40"/>
    <mergeCell ref="N3:O4"/>
  </mergeCells>
  <dataValidations count="4">
    <dataValidation type="decimal" allowBlank="1" showInputMessage="1" showErrorMessage="1" errorTitle="Wassergehalt Getreide" error="Zulässig sind nur Werte zwischen 14,1 und 22,0 % Wassergehalt." sqref="N68 H68 K68">
      <formula1>14.1</formula1>
      <formula2>26.9</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5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C46:D57</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2">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25.625" style="32" customWidth="1"/>
    <col min="18" max="24" width="10.5" style="31" hidden="1" customWidth="1"/>
    <col min="25" max="28" width="10.5" style="3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971.42083935877076</v>
      </c>
      <c r="K1" s="4855">
        <f>M1-J1</f>
        <v>414.95505108310999</v>
      </c>
      <c r="L1" s="4855"/>
      <c r="M1" s="1874">
        <f>(M7+M13+M18+M22+L11+L12)-(M23+M27+M34+M43+M60+M65+M67+M69+M71+M75)</f>
        <v>1386.3758904418808</v>
      </c>
      <c r="N1" s="4855">
        <f>P1-M1</f>
        <v>379.91567530008888</v>
      </c>
      <c r="O1" s="4855"/>
      <c r="P1" s="1874">
        <f>(P7+P13+P18+P22+O11+O12)-(P23+P27+P34+P43+P60+P65+P67+P69+P71+P75)</f>
        <v>1766.2915657419696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1901</v>
      </c>
      <c r="L2" s="4867"/>
      <c r="M2" s="4867"/>
      <c r="N2" s="4867"/>
      <c r="O2" s="4867"/>
      <c r="P2" s="4867"/>
      <c r="Q2" s="2475"/>
    </row>
    <row r="3" spans="1:41" s="274" customFormat="1" ht="21.75" customHeight="1">
      <c r="A3" s="2475"/>
      <c r="B3" s="1871" t="s">
        <v>1635</v>
      </c>
      <c r="G3" s="1859"/>
      <c r="H3" s="1870"/>
      <c r="J3" s="33"/>
      <c r="K3" s="33"/>
      <c r="L3" s="33"/>
      <c r="M3" s="33"/>
      <c r="N3" s="33"/>
      <c r="O3" s="33"/>
      <c r="P3" s="1868"/>
      <c r="Q3" s="2475"/>
      <c r="T3" s="1886" t="b">
        <v>1</v>
      </c>
    </row>
    <row r="4" spans="1:41" s="274" customFormat="1" ht="20.25" customHeight="1">
      <c r="A4" s="2475"/>
      <c r="B4" s="370" t="s">
        <v>1098</v>
      </c>
      <c r="C4" s="31"/>
      <c r="D4" s="31"/>
      <c r="E4" s="4898" t="s">
        <v>1648</v>
      </c>
      <c r="F4" s="4898"/>
      <c r="G4" s="4898"/>
      <c r="H4" s="4898"/>
      <c r="I4" s="4898"/>
      <c r="J4" s="33"/>
      <c r="K4" s="33"/>
      <c r="L4" s="33"/>
      <c r="M4" s="33"/>
      <c r="N4" s="33"/>
      <c r="O4" s="33"/>
      <c r="P4" s="1864">
        <f>SDÖ1!O3</f>
        <v>0</v>
      </c>
      <c r="Q4" s="2475"/>
      <c r="T4" s="1886" t="b">
        <v>1</v>
      </c>
    </row>
    <row r="5" spans="1:41" ht="6" customHeight="1"/>
    <row r="6" spans="1:41" s="1853" customFormat="1" ht="24" customHeight="1">
      <c r="A6" s="48"/>
      <c r="B6" s="1858" t="s">
        <v>1151</v>
      </c>
      <c r="C6" s="1857"/>
      <c r="D6" s="1857"/>
      <c r="E6" s="1857"/>
      <c r="F6" s="1857"/>
      <c r="G6" s="1856" t="s">
        <v>1642</v>
      </c>
      <c r="H6" s="4861"/>
      <c r="I6" s="4862"/>
      <c r="J6" s="1855">
        <v>20</v>
      </c>
      <c r="K6" s="4874"/>
      <c r="L6" s="4875"/>
      <c r="M6" s="1855">
        <v>30</v>
      </c>
      <c r="N6" s="4861"/>
      <c r="O6" s="4862"/>
      <c r="P6" s="1854">
        <v>40</v>
      </c>
      <c r="Q6" s="70"/>
    </row>
    <row r="7" spans="1:41" s="251" customFormat="1" ht="18.75" customHeight="1">
      <c r="A7" s="47"/>
      <c r="B7" s="305" t="s">
        <v>1633</v>
      </c>
      <c r="C7" s="47"/>
      <c r="D7" s="47"/>
      <c r="E7" s="47"/>
      <c r="F7" s="47"/>
      <c r="G7" s="1852" t="s">
        <v>171</v>
      </c>
      <c r="H7" s="1849"/>
      <c r="I7" s="1848"/>
      <c r="J7" s="1582">
        <f>SUM(I9:I10)</f>
        <v>1550.4</v>
      </c>
      <c r="K7" s="1851"/>
      <c r="L7" s="1850"/>
      <c r="M7" s="1585">
        <f>SUM(L9:L10)</f>
        <v>2325.6000000000004</v>
      </c>
      <c r="N7" s="1849"/>
      <c r="O7" s="1848"/>
      <c r="P7" s="1582">
        <f>SUM(O9:O10)</f>
        <v>3100.8</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SDÖ1!O44</f>
        <v>77.52000000000001</v>
      </c>
      <c r="H9" s="1845">
        <f>J6-H10</f>
        <v>20</v>
      </c>
      <c r="I9" s="1841">
        <f>H9*G9</f>
        <v>1550.4</v>
      </c>
      <c r="J9" s="43"/>
      <c r="K9" s="1844">
        <f>M6-K10</f>
        <v>30</v>
      </c>
      <c r="L9" s="1843">
        <f>K9*G9</f>
        <v>2325.6000000000004</v>
      </c>
      <c r="M9" s="1822"/>
      <c r="N9" s="1842">
        <f>P6-N10</f>
        <v>40</v>
      </c>
      <c r="O9" s="1841">
        <f>N9*G9</f>
        <v>3100.8</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f>IF(OR(T4=TRUE,T5=TRUE),J7*$E$11,"0")</f>
        <v>0</v>
      </c>
      <c r="Y13" s="1807">
        <f>IF(OR(T4=TRUE,T5=TRUE),M7*$E$11,"0")</f>
        <v>0</v>
      </c>
      <c r="Z13" s="1806">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401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225</v>
      </c>
      <c r="K23" s="1587"/>
      <c r="L23" s="1586"/>
      <c r="M23" s="1768">
        <f>SUM(L25:L26)</f>
        <v>225</v>
      </c>
      <c r="N23" s="1584"/>
      <c r="O23" s="1583"/>
      <c r="P23" s="1567">
        <f>SUM(O25:O26)</f>
        <v>225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225</v>
      </c>
      <c r="G25" s="1762">
        <f>F25*(100+$D$24)/100</f>
        <v>225</v>
      </c>
      <c r="H25" s="1761">
        <v>1</v>
      </c>
      <c r="I25" s="1722">
        <f>H25*$G25</f>
        <v>225</v>
      </c>
      <c r="J25" s="45"/>
      <c r="K25" s="1761">
        <f>H25</f>
        <v>1</v>
      </c>
      <c r="L25" s="1564">
        <f>K25*$G25</f>
        <v>225</v>
      </c>
      <c r="M25" s="1557"/>
      <c r="N25" s="1761">
        <f>H25</f>
        <v>1</v>
      </c>
      <c r="O25" s="1722">
        <f>N25*$G25</f>
        <v>225</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290.56800000000004</v>
      </c>
      <c r="K27" s="1716"/>
      <c r="L27" s="1715"/>
      <c r="M27" s="1585">
        <f>SUM(L30:L33)</f>
        <v>435.85199999999998</v>
      </c>
      <c r="N27" s="1714"/>
      <c r="O27" s="1713"/>
      <c r="P27" s="1582">
        <f>SUM(O30:O33)</f>
        <v>581.13600000000008</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2</v>
      </c>
      <c r="F30" s="1742"/>
      <c r="G30" s="1741">
        <v>0</v>
      </c>
      <c r="H30" s="1739">
        <f>IF(J$6=0,0,(J$6*$E30+$G30+X13))</f>
        <v>40</v>
      </c>
      <c r="I30" s="1722">
        <f>H30*$D30</f>
        <v>174.8</v>
      </c>
      <c r="J30" s="45"/>
      <c r="K30" s="1740">
        <f>IF(M$6=0,0,(M$6*$E30+$G30+AA14))</f>
        <v>60</v>
      </c>
      <c r="L30" s="1564">
        <f>K30*$D30</f>
        <v>262.2</v>
      </c>
      <c r="M30" s="1557"/>
      <c r="N30" s="1739">
        <f>IF(P$6=0,0,(P$6*$E30+$G30+AD14))</f>
        <v>80</v>
      </c>
      <c r="O30" s="1722">
        <f>N30*$D30</f>
        <v>349.6</v>
      </c>
      <c r="P30" s="1686"/>
      <c r="Q30" s="32"/>
    </row>
    <row r="31" spans="1:26" s="42" customFormat="1" ht="15" customHeight="1">
      <c r="A31" s="1284"/>
      <c r="B31" s="272"/>
      <c r="C31" s="1284" t="s">
        <v>244</v>
      </c>
      <c r="D31" s="1691">
        <f>IF(SDÖ1!$U$17=TRUE,SDÖ1!O56,0)</f>
        <v>1.3740000000000001</v>
      </c>
      <c r="E31" s="1742">
        <f>VLOOKUP('SD8'!B27,'SD8'!B9:K44,4,FALSE)</f>
        <v>1.6</v>
      </c>
      <c r="F31" s="1742"/>
      <c r="G31" s="1741"/>
      <c r="H31" s="1739">
        <f>IF(J$6=0,0,(J$6*$E31+$G31+X14))</f>
        <v>32</v>
      </c>
      <c r="I31" s="1722">
        <f>H31*$D31</f>
        <v>43.968000000000004</v>
      </c>
      <c r="J31" s="45"/>
      <c r="K31" s="1740">
        <f>IF(M$6=0,0,(M$6*$E31+$G31+Y14))</f>
        <v>48</v>
      </c>
      <c r="L31" s="1564">
        <f>K31*$D31</f>
        <v>65.951999999999998</v>
      </c>
      <c r="M31" s="1557"/>
      <c r="N31" s="1739">
        <f>IF(P$6=0,0,(P$6*$E31+$G31+Z14))</f>
        <v>64</v>
      </c>
      <c r="O31" s="1722">
        <f>N31*$D31</f>
        <v>87.936000000000007</v>
      </c>
      <c r="P31" s="1686"/>
      <c r="Q31" s="32"/>
    </row>
    <row r="32" spans="1:26" s="686" customFormat="1" ht="18.75" customHeight="1">
      <c r="A32" s="1248"/>
      <c r="B32" s="272"/>
      <c r="C32" s="1284" t="s">
        <v>242</v>
      </c>
      <c r="D32" s="1691">
        <f>IF(SDÖ1!$U$17=TRUE,SDÖ1!O57,0)</f>
        <v>1.35</v>
      </c>
      <c r="E32" s="1742">
        <f>VLOOKUP('SD8'!B27,'SD8'!B9:K44,5,FALSE)</f>
        <v>2.4</v>
      </c>
      <c r="F32" s="1742"/>
      <c r="G32" s="1741"/>
      <c r="H32" s="1739">
        <f>IF(J$6=0,0,(J$6*$E32+$G32+X15))</f>
        <v>48</v>
      </c>
      <c r="I32" s="1722">
        <f>H32*$D32</f>
        <v>64.800000000000011</v>
      </c>
      <c r="J32" s="45"/>
      <c r="K32" s="1740">
        <f>IF(M$6=0,0,(M$6*$E32+$G32+Y15))</f>
        <v>72</v>
      </c>
      <c r="L32" s="1564">
        <f>K32*$D32</f>
        <v>97.2</v>
      </c>
      <c r="M32" s="1557"/>
      <c r="N32" s="1739">
        <f>IF(P$6=0,0,(P$6*$E32+$G32+Z15))</f>
        <v>96</v>
      </c>
      <c r="O32" s="1722">
        <f>N32*$D32</f>
        <v>129.60000000000002</v>
      </c>
      <c r="P32" s="1686"/>
      <c r="Q32" s="32"/>
    </row>
    <row r="33" spans="1:17" s="686" customFormat="1" ht="13.15" customHeight="1">
      <c r="A33" s="1248"/>
      <c r="B33" s="239"/>
      <c r="C33" s="1309" t="s">
        <v>240</v>
      </c>
      <c r="D33" s="1674">
        <f>IF(SDÖ1!$U$17=TRUE,SDÖ1!O58,0)</f>
        <v>0.5</v>
      </c>
      <c r="E33" s="1738">
        <f>VLOOKUP('SD8'!B27,'SD8'!B9:K44,6,FALSE)</f>
        <v>0.7</v>
      </c>
      <c r="F33" s="1738"/>
      <c r="G33" s="1737"/>
      <c r="H33" s="1735">
        <f>IF(J$6=0,0,(J$6*$E33+$G33+X16))</f>
        <v>14</v>
      </c>
      <c r="I33" s="1718">
        <f>H33*$D33</f>
        <v>7</v>
      </c>
      <c r="J33" s="45"/>
      <c r="K33" s="1736">
        <f>IF(M$6=0,0,(M$6*$E33+$G33+Y16))</f>
        <v>21</v>
      </c>
      <c r="L33" s="1558">
        <f>K33*$D33</f>
        <v>10.5</v>
      </c>
      <c r="M33" s="1557"/>
      <c r="N33" s="1735">
        <f>IF(P$6=0,0,(P$6*$E33+$G33+Z16))</f>
        <v>28</v>
      </c>
      <c r="O33" s="1718">
        <f>N33*$D33</f>
        <v>14</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175.36167312147899</v>
      </c>
      <c r="K43" s="1716"/>
      <c r="L43" s="1715"/>
      <c r="M43" s="1585">
        <f>SUM(M46:M57)</f>
        <v>177.76503218265546</v>
      </c>
      <c r="N43" s="1714"/>
      <c r="O43" s="1713"/>
      <c r="P43" s="1582">
        <f>SUM(P46:P57)</f>
        <v>176.80368855818489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58" t="s">
        <v>462</v>
      </c>
      <c r="D46" s="4859"/>
      <c r="E46" s="1693">
        <f>IF($C46=0,0,VLOOKUP($C46,SDÖ3!$C$24:$O$99,4,FALSE))</f>
        <v>120</v>
      </c>
      <c r="F46" s="1692">
        <f>IF($C46=0,0,VLOOKUP($C46,SDÖ3!$C$24:$O$99,12,FALSE))</f>
        <v>1.44</v>
      </c>
      <c r="G46" s="1691">
        <f>IF($C46=0,0,VLOOKUP($C46,SDÖ3!$C$24:$O$99,13,FALSE))</f>
        <v>59.188918588235289</v>
      </c>
      <c r="H46" s="1688">
        <v>1</v>
      </c>
      <c r="I46" s="1687">
        <f t="shared" ref="I46:I51" si="4">$F46*H46</f>
        <v>1.44</v>
      </c>
      <c r="J46" s="1686">
        <f t="shared" ref="J46:J51" si="5">H46*$G46</f>
        <v>59.188918588235289</v>
      </c>
      <c r="K46" s="1688">
        <v>1</v>
      </c>
      <c r="L46" s="1690">
        <f t="shared" ref="L46:L56" si="6">$F46*K46</f>
        <v>1.44</v>
      </c>
      <c r="M46" s="1689">
        <f t="shared" ref="M46:M56" si="7">K46*$G46</f>
        <v>59.188918588235289</v>
      </c>
      <c r="N46" s="1688">
        <v>1</v>
      </c>
      <c r="O46" s="1687">
        <f t="shared" ref="O46:O56" si="8">$F46*N46</f>
        <v>1.44</v>
      </c>
      <c r="P46" s="1686">
        <f t="shared" ref="P46:P56" si="9">N46*$G46</f>
        <v>59.188918588235289</v>
      </c>
      <c r="Q46" s="32"/>
    </row>
    <row r="47" spans="1:17" s="42" customFormat="1" ht="15" customHeight="1">
      <c r="A47" s="1284"/>
      <c r="B47" s="1694"/>
      <c r="C47" s="4882" t="s">
        <v>453</v>
      </c>
      <c r="D47" s="4883"/>
      <c r="E47" s="1693">
        <f>IF($C47=0,0,VLOOKUP($C47,SDÖ3!$C$24:$O$99,4,FALSE))</f>
        <v>83</v>
      </c>
      <c r="F47" s="1692">
        <f>IF($C47=0,0,VLOOKUP($C47,SDÖ3!$C$24:$O$99,12,FALSE))</f>
        <v>0.57999999999999996</v>
      </c>
      <c r="G47" s="1691">
        <f>IF($C47=0,0,VLOOKUP($C47,SDÖ3!$C$24:$O$99,13,FALSE))</f>
        <v>14.584165872268905</v>
      </c>
      <c r="H47" s="1688">
        <v>2</v>
      </c>
      <c r="I47" s="1687">
        <f t="shared" si="4"/>
        <v>1.1599999999999999</v>
      </c>
      <c r="J47" s="1686">
        <f t="shared" si="5"/>
        <v>29.168331744537809</v>
      </c>
      <c r="K47" s="1688">
        <v>2</v>
      </c>
      <c r="L47" s="1690">
        <f t="shared" si="6"/>
        <v>1.1599999999999999</v>
      </c>
      <c r="M47" s="1689">
        <f t="shared" si="7"/>
        <v>29.168331744537809</v>
      </c>
      <c r="N47" s="1688">
        <v>2</v>
      </c>
      <c r="O47" s="1687">
        <f t="shared" si="8"/>
        <v>1.1599999999999999</v>
      </c>
      <c r="P47" s="1686">
        <f t="shared" si="9"/>
        <v>29.168331744537809</v>
      </c>
      <c r="Q47" s="32"/>
    </row>
    <row r="48" spans="1:17" s="42" customFormat="1" ht="15" customHeight="1">
      <c r="A48" s="1284"/>
      <c r="B48" s="1694"/>
      <c r="C48" s="4882" t="s">
        <v>437</v>
      </c>
      <c r="D48" s="4883"/>
      <c r="E48" s="1693">
        <f>IF($C48=0,0,VLOOKUP($C48,SDÖ3!$C$24:$O$99,4,FALSE))</f>
        <v>83</v>
      </c>
      <c r="F48" s="1692">
        <f>IF($C48=0,0,VLOOKUP($C48,SDÖ3!$C$24:$O$99,12,FALSE))</f>
        <v>0.81</v>
      </c>
      <c r="G48" s="1691">
        <f>IF($C48=0,0,VLOOKUP($C48,SDÖ3!$C$24:$O$99,13,FALSE))</f>
        <v>20.979434568235291</v>
      </c>
      <c r="H48" s="1688">
        <v>1</v>
      </c>
      <c r="I48" s="1687">
        <f t="shared" si="4"/>
        <v>0.81</v>
      </c>
      <c r="J48" s="1686">
        <f t="shared" si="5"/>
        <v>20.979434568235291</v>
      </c>
      <c r="K48" s="1688">
        <v>1</v>
      </c>
      <c r="L48" s="1690">
        <f t="shared" si="6"/>
        <v>0.81</v>
      </c>
      <c r="M48" s="1689">
        <f t="shared" si="7"/>
        <v>20.979434568235291</v>
      </c>
      <c r="N48" s="1688">
        <v>1</v>
      </c>
      <c r="O48" s="1687">
        <f t="shared" si="8"/>
        <v>0.81</v>
      </c>
      <c r="P48" s="1686">
        <f t="shared" si="9"/>
        <v>20.979434568235291</v>
      </c>
      <c r="Q48" s="32"/>
    </row>
    <row r="49" spans="1:17" s="42" customFormat="1" ht="15" customHeight="1">
      <c r="A49" s="1284"/>
      <c r="B49" s="1694"/>
      <c r="C49" s="4882"/>
      <c r="D49" s="4883"/>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82" t="s">
        <v>410</v>
      </c>
      <c r="D50" s="4883"/>
      <c r="E50" s="1693">
        <f>IF($C50=0,0,VLOOKUP($C50,SDÖ3!$C$24:$O$99,4,FALSE))</f>
        <v>83</v>
      </c>
      <c r="F50" s="1692">
        <f>IF($C50=0,0,VLOOKUP($C50,SDÖ3!$C$24:$O$99,12,FALSE))</f>
        <v>0.27</v>
      </c>
      <c r="G50" s="1691">
        <f>IF($C50=0,0,VLOOKUP($C50,SDÖ3!$C$24:$O$99,13,FALSE))</f>
        <v>6.0564781894117647</v>
      </c>
      <c r="H50" s="1688">
        <v>1</v>
      </c>
      <c r="I50" s="1687">
        <f t="shared" si="4"/>
        <v>0.27</v>
      </c>
      <c r="J50" s="1686">
        <f t="shared" si="5"/>
        <v>6.0564781894117647</v>
      </c>
      <c r="K50" s="1688">
        <v>1</v>
      </c>
      <c r="L50" s="1690">
        <f t="shared" si="6"/>
        <v>0.27</v>
      </c>
      <c r="M50" s="1689">
        <f t="shared" si="7"/>
        <v>6.0564781894117647</v>
      </c>
      <c r="N50" s="1688">
        <v>1</v>
      </c>
      <c r="O50" s="1687">
        <f t="shared" si="8"/>
        <v>0.27</v>
      </c>
      <c r="P50" s="1686">
        <f t="shared" si="9"/>
        <v>6.0564781894117647</v>
      </c>
      <c r="Q50" s="32"/>
    </row>
    <row r="51" spans="1:17" s="42" customFormat="1" ht="15" customHeight="1">
      <c r="A51" s="1284"/>
      <c r="B51" s="1694"/>
      <c r="C51" s="4882" t="s">
        <v>407</v>
      </c>
      <c r="D51" s="4883"/>
      <c r="E51" s="1693">
        <f>IF($C51=0,0,VLOOKUP($C51,SDÖ3!$C$24:$O$99,4,FALSE))</f>
        <v>54</v>
      </c>
      <c r="F51" s="1692">
        <f>IF($C51=0,0,VLOOKUP($C51,SDÖ3!$C$24:$O$99,12,FALSE))</f>
        <v>1.1299999999999999</v>
      </c>
      <c r="G51" s="1691">
        <f>IF($C51=0,0,VLOOKUP($C51,SDÖ3!$C$24:$O$99,13,FALSE))</f>
        <v>17.668557917647057</v>
      </c>
      <c r="H51" s="1688">
        <v>2</v>
      </c>
      <c r="I51" s="1687">
        <f t="shared" si="4"/>
        <v>2.2599999999999998</v>
      </c>
      <c r="J51" s="1686">
        <f t="shared" si="5"/>
        <v>35.337115835294114</v>
      </c>
      <c r="K51" s="1688">
        <v>2</v>
      </c>
      <c r="L51" s="1690">
        <f t="shared" si="6"/>
        <v>2.2599999999999998</v>
      </c>
      <c r="M51" s="1689">
        <f t="shared" si="7"/>
        <v>35.337115835294114</v>
      </c>
      <c r="N51" s="1688">
        <v>2</v>
      </c>
      <c r="O51" s="1687">
        <f t="shared" si="8"/>
        <v>2.2599999999999998</v>
      </c>
      <c r="P51" s="1686">
        <f t="shared" si="9"/>
        <v>35.337115835294114</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$F52*H52</f>
        <v>0</v>
      </c>
      <c r="J52" s="1686">
        <f>H52*$G52</f>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$F53*H53</f>
        <v>0</v>
      </c>
      <c r="J53" s="1686">
        <f>H53*$G53</f>
        <v>0</v>
      </c>
      <c r="K53" s="1688"/>
      <c r="L53" s="1690">
        <f t="shared" si="6"/>
        <v>0</v>
      </c>
      <c r="M53" s="1689">
        <f t="shared" si="7"/>
        <v>0</v>
      </c>
      <c r="N53" s="1688"/>
      <c r="O53" s="1687">
        <f t="shared" si="8"/>
        <v>0</v>
      </c>
      <c r="P53" s="1686">
        <f t="shared" si="9"/>
        <v>0</v>
      </c>
      <c r="Q53" s="32"/>
    </row>
    <row r="54" spans="1:17" s="42" customFormat="1" ht="15" customHeight="1">
      <c r="A54" s="1284"/>
      <c r="B54" s="1694"/>
      <c r="C54" s="4882" t="s">
        <v>403</v>
      </c>
      <c r="D54" s="4883"/>
      <c r="E54" s="1693">
        <f>IF($C54=0,0,VLOOKUP($C54,SDÖ3!$C$24:$O$99,4,FALSE))</f>
        <v>83</v>
      </c>
      <c r="F54" s="1692">
        <f>IF($C54=0,0,VLOOKUP($C54,SDÖ3!$C$24:$O$99,12,FALSE))</f>
        <v>0.56000000000000005</v>
      </c>
      <c r="G54" s="1691">
        <f>IF($C54=0,0,VLOOKUP($C54,SDÖ3!$C$24:$O$99,13,FALSE))</f>
        <v>9.6134362447058805</v>
      </c>
      <c r="H54" s="1688">
        <v>0.8</v>
      </c>
      <c r="I54" s="1687">
        <f>$F54*H54</f>
        <v>0.44800000000000006</v>
      </c>
      <c r="J54" s="1686">
        <f>H54*$G54</f>
        <v>7.6907489957647046</v>
      </c>
      <c r="K54" s="1688">
        <v>1.05</v>
      </c>
      <c r="L54" s="1690">
        <f t="shared" si="6"/>
        <v>0.58800000000000008</v>
      </c>
      <c r="M54" s="1689">
        <f t="shared" si="7"/>
        <v>10.094108056941176</v>
      </c>
      <c r="N54" s="1688">
        <v>0.95</v>
      </c>
      <c r="O54" s="1687">
        <f t="shared" si="8"/>
        <v>0.53200000000000003</v>
      </c>
      <c r="P54" s="1686">
        <f t="shared" si="9"/>
        <v>9.1327644324705854</v>
      </c>
      <c r="Q54" s="32"/>
    </row>
    <row r="55" spans="1:17" s="42" customFormat="1" ht="15" customHeight="1">
      <c r="A55" s="1284"/>
      <c r="B55" s="1694"/>
      <c r="C55" s="4882" t="s">
        <v>456</v>
      </c>
      <c r="D55" s="4883"/>
      <c r="E55" s="1693">
        <f>IF($C55=0,0,VLOOKUP($C55,SDÖ3!$C$24:$O$99,4,FALSE))</f>
        <v>102</v>
      </c>
      <c r="F55" s="1692">
        <f>IF($C55=0,0,VLOOKUP($C55,SDÖ3!$C$24:$O$99,12,FALSE))</f>
        <v>0.54</v>
      </c>
      <c r="G55" s="1691">
        <f>IF($C55=0,0,VLOOKUP($C55,SDÖ3!$C$24:$O$99,13,FALSE))</f>
        <v>16.940645199999999</v>
      </c>
      <c r="H55" s="1688">
        <v>1</v>
      </c>
      <c r="I55" s="1687">
        <f>$F55*H55</f>
        <v>0.54</v>
      </c>
      <c r="J55" s="1686">
        <f>H55*$G55</f>
        <v>16.940645199999999</v>
      </c>
      <c r="K55" s="1688">
        <v>1</v>
      </c>
      <c r="L55" s="1690">
        <f t="shared" si="6"/>
        <v>0.54</v>
      </c>
      <c r="M55" s="1689">
        <f t="shared" si="7"/>
        <v>16.940645199999999</v>
      </c>
      <c r="N55" s="1688">
        <v>1</v>
      </c>
      <c r="O55" s="1687">
        <f t="shared" si="8"/>
        <v>0.54</v>
      </c>
      <c r="P55" s="1686">
        <f t="shared" si="9"/>
        <v>16.940645199999999</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$F56*H56</f>
        <v>0</v>
      </c>
      <c r="J56" s="1877">
        <f>H56*$G56</f>
        <v>0</v>
      </c>
      <c r="K56" s="1879"/>
      <c r="L56" s="1881">
        <f t="shared" si="6"/>
        <v>0</v>
      </c>
      <c r="M56" s="1880">
        <f t="shared" si="7"/>
        <v>0</v>
      </c>
      <c r="N56" s="1879"/>
      <c r="O56" s="1878">
        <f t="shared" si="8"/>
        <v>0</v>
      </c>
      <c r="P56" s="1877">
        <f t="shared" si="9"/>
        <v>0</v>
      </c>
      <c r="Q56" s="32"/>
    </row>
    <row r="57" spans="1:17" s="42" customFormat="1" ht="24.75" customHeight="1">
      <c r="A57" s="1284"/>
      <c r="B57" s="1625"/>
      <c r="C57" s="4896"/>
      <c r="D57" s="4897"/>
      <c r="E57" s="3565">
        <f>IF($C57=0,0,VLOOKUP($C57,SDÖ3!$C$24:$O$99,4,FALSE))</f>
        <v>0</v>
      </c>
      <c r="F57" s="3566">
        <f>IF($C57=0,0,VLOOKUP($C57,SDÖ3!$C$24:$O$99,12,FALSE))</f>
        <v>0</v>
      </c>
      <c r="G57" s="3567">
        <f>IF($C57=0,0,VLOOKUP($C57,SDÖ3!$C$24:$O$99,13,FALSE))</f>
        <v>0</v>
      </c>
      <c r="H57" s="1672"/>
      <c r="I57" s="1671">
        <f>SUM(I44:I56)</f>
        <v>6.9279999999999999</v>
      </c>
      <c r="J57" s="1670"/>
      <c r="K57" s="1672"/>
      <c r="L57" s="1673">
        <f>SUM(L44:L56)</f>
        <v>7.0679999999999996</v>
      </c>
      <c r="M57" s="1620"/>
      <c r="N57" s="1672"/>
      <c r="O57" s="1671">
        <f>SUM(O44:O56)</f>
        <v>7.0119999999999996</v>
      </c>
      <c r="P57" s="1670"/>
      <c r="Q57" s="32"/>
    </row>
    <row r="58" spans="1:17" s="686" customFormat="1" ht="18.75" customHeight="1">
      <c r="A58" s="1248"/>
      <c r="B58" s="1254" t="s">
        <v>1167</v>
      </c>
      <c r="C58" s="1351"/>
      <c r="D58" s="1351"/>
      <c r="E58" s="1351"/>
      <c r="F58" s="38"/>
      <c r="G58" s="1588"/>
      <c r="H58" s="1665"/>
      <c r="I58" s="1664">
        <f>SUM($I$46:$I$57)</f>
        <v>13.856</v>
      </c>
      <c r="J58" s="1669"/>
      <c r="K58" s="1668"/>
      <c r="L58" s="1667">
        <f>SUM($L$46:$L$57)</f>
        <v>14.135999999999999</v>
      </c>
      <c r="M58" s="1666"/>
      <c r="N58" s="1665"/>
      <c r="O58" s="1664">
        <f>SUM($O$46:$O$57)</f>
        <v>14.023999999999999</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23.856000000000002</v>
      </c>
      <c r="J59" s="1654"/>
      <c r="K59" s="1659"/>
      <c r="L59" s="1658">
        <f>IF(L58+SUM($L$46:$L$57)*$E$59%&gt;L58+10,L58+10,L58+SUM($L$46:$L$57)*$E$59%)</f>
        <v>24.135999999999999</v>
      </c>
      <c r="M59" s="1657"/>
      <c r="N59" s="1656"/>
      <c r="O59" s="1655">
        <f>IF(O58+SUM($O$46:$O$57)*$E$59%&gt;O58+10,O58+10,O58+SUM($O$46:$O$57)*$E$59%)</f>
        <v>24.024000000000001</v>
      </c>
      <c r="P59" s="1654"/>
      <c r="Q59" s="32"/>
    </row>
    <row r="60" spans="1:17" s="65" customFormat="1" ht="18.75" customHeight="1">
      <c r="A60" s="1351"/>
      <c r="B60" s="3859" t="s">
        <v>1164</v>
      </c>
      <c r="C60" s="3862"/>
      <c r="D60" s="3862"/>
      <c r="E60" s="3852"/>
      <c r="F60" s="3852"/>
      <c r="G60" s="3908"/>
      <c r="H60" s="3904"/>
      <c r="I60" s="3903"/>
      <c r="J60" s="1652">
        <f>IF(J6=0,0,SUM(I62:I64))</f>
        <v>167.1</v>
      </c>
      <c r="K60" s="3906"/>
      <c r="L60" s="3905"/>
      <c r="M60" s="1585">
        <f>IF(M6=0,0,SUM(L62:L64))</f>
        <v>167.1</v>
      </c>
      <c r="N60" s="3904"/>
      <c r="O60" s="3903"/>
      <c r="P60" s="1652">
        <f>IF(P6=0,0,SUM(O62:O64))</f>
        <v>167.1</v>
      </c>
      <c r="Q60" s="32"/>
    </row>
    <row r="61" spans="1:17" s="65" customFormat="1" ht="15" customHeight="1">
      <c r="A61" s="1351"/>
      <c r="B61" s="3871"/>
      <c r="C61" s="3870" t="s">
        <v>1156</v>
      </c>
      <c r="D61" s="3907">
        <f>SDÖ1!$O$11</f>
        <v>0</v>
      </c>
      <c r="E61" s="1578"/>
      <c r="F61" s="1574" t="s">
        <v>249</v>
      </c>
      <c r="G61" s="1650" t="s">
        <v>1155</v>
      </c>
      <c r="H61" s="3904"/>
      <c r="I61" s="3903"/>
      <c r="J61" s="1649"/>
      <c r="K61" s="3906"/>
      <c r="L61" s="3905"/>
      <c r="M61" s="1646"/>
      <c r="N61" s="3904"/>
      <c r="O61" s="3903"/>
      <c r="P61" s="1643"/>
      <c r="Q61" s="32"/>
    </row>
    <row r="62" spans="1:17" s="42" customFormat="1" ht="18.75" customHeight="1">
      <c r="A62" s="1284"/>
      <c r="B62" s="3866"/>
      <c r="C62" s="4860" t="s">
        <v>324</v>
      </c>
      <c r="D62" s="4860"/>
      <c r="E62" s="4860"/>
      <c r="F62" s="3902">
        <f>IF($C62=0,0,VLOOKUP($C62,'SDK3'!$C$92:$D$106,2,FALSE))</f>
        <v>167.1</v>
      </c>
      <c r="G62" s="3901">
        <f>(100+$D$61)/100*F62</f>
        <v>167.1</v>
      </c>
      <c r="H62" s="3853"/>
      <c r="I62" s="3897">
        <f>$G$62</f>
        <v>167.1</v>
      </c>
      <c r="J62" s="3853"/>
      <c r="K62" s="3900"/>
      <c r="L62" s="3899">
        <f>$G$62</f>
        <v>167.1</v>
      </c>
      <c r="M62" s="3864"/>
      <c r="N62" s="3898"/>
      <c r="O62" s="3897">
        <f>$G$62</f>
        <v>167.1</v>
      </c>
      <c r="P62" s="3896"/>
      <c r="Q62" s="32"/>
    </row>
    <row r="63" spans="1:17" s="42" customFormat="1" ht="13.15" customHeight="1">
      <c r="A63" s="1284"/>
      <c r="B63" s="3895"/>
      <c r="C63" s="4892"/>
      <c r="D63" s="4892"/>
      <c r="E63" s="4893"/>
      <c r="F63" s="3894">
        <f>IF($C63=0,0,VLOOKUP($C63,'SDK3'!$C$92:$D$106,2,FALSE))</f>
        <v>0</v>
      </c>
      <c r="G63" s="3893">
        <f>(100+$D$61)/100*F63</f>
        <v>0</v>
      </c>
      <c r="H63" s="3892"/>
      <c r="I63" s="3887">
        <f>$G$63</f>
        <v>0</v>
      </c>
      <c r="J63" s="3892"/>
      <c r="K63" s="3891"/>
      <c r="L63" s="3890">
        <f>$G$63</f>
        <v>0</v>
      </c>
      <c r="M63" s="3889"/>
      <c r="N63" s="3888"/>
      <c r="O63" s="3887">
        <f>$G$63</f>
        <v>0</v>
      </c>
      <c r="P63" s="3886"/>
      <c r="Q63" s="32"/>
    </row>
    <row r="64" spans="1:17" s="42" customFormat="1" ht="15" customHeight="1">
      <c r="A64" s="1284"/>
      <c r="B64" s="3885"/>
      <c r="C64" s="4891" t="s">
        <v>307</v>
      </c>
      <c r="D64" s="4891"/>
      <c r="E64" s="4891"/>
      <c r="F64" s="3884">
        <f>IF($T$3=FALSE,0,VLOOKUP($C64,'SDK3'!$C$92:$D$106,2,FALSE))</f>
        <v>2.8</v>
      </c>
      <c r="G64" s="3883">
        <f>(100+$D$61)/100*F64</f>
        <v>2.8</v>
      </c>
      <c r="H64" s="3880"/>
      <c r="I64" s="3879">
        <f>H11*$G$64</f>
        <v>0</v>
      </c>
      <c r="J64" s="3853"/>
      <c r="K64" s="3882"/>
      <c r="L64" s="3881">
        <f>K11*$G$64</f>
        <v>0</v>
      </c>
      <c r="M64" s="1620"/>
      <c r="N64" s="3880"/>
      <c r="O64" s="3879">
        <f>N11*$G$64</f>
        <v>0</v>
      </c>
      <c r="P64" s="3878"/>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278</v>
      </c>
      <c r="K67" s="1609" t="s">
        <v>1161</v>
      </c>
      <c r="L67" s="1608" t="s">
        <v>1160</v>
      </c>
      <c r="M67" s="1585">
        <f>S68*(K9+K10)*L68%+F68</f>
        <v>474</v>
      </c>
      <c r="N67" s="1607" t="s">
        <v>1161</v>
      </c>
      <c r="O67" s="1606" t="s">
        <v>1160</v>
      </c>
      <c r="P67" s="1582">
        <f>T68*(N9+N10)*O68%+F68</f>
        <v>708</v>
      </c>
      <c r="Q67" s="32"/>
    </row>
    <row r="68" spans="1:20" s="686" customFormat="1" ht="15" customHeight="1">
      <c r="A68" s="1248"/>
      <c r="B68" s="1605"/>
      <c r="C68" s="4888" t="s">
        <v>1159</v>
      </c>
      <c r="D68" s="4888"/>
      <c r="E68" s="4888"/>
      <c r="F68" s="1604"/>
      <c r="G68" s="1595" t="s">
        <v>171</v>
      </c>
      <c r="H68" s="1602">
        <v>20</v>
      </c>
      <c r="I68" s="1601">
        <v>100</v>
      </c>
      <c r="J68" s="1600"/>
      <c r="K68" s="1602">
        <v>22</v>
      </c>
      <c r="L68" s="1601">
        <v>100</v>
      </c>
      <c r="M68" s="1603"/>
      <c r="N68" s="1602">
        <v>23.9</v>
      </c>
      <c r="O68" s="1601">
        <v>100</v>
      </c>
      <c r="P68" s="1600"/>
      <c r="Q68" s="32"/>
      <c r="R68" s="1916">
        <f>IF(H68=0,0,VLOOKUP(H68,'SD6'!L8:M156,'SD6'!M1))*(1+'SDK1'!O11/100)</f>
        <v>13.9</v>
      </c>
      <c r="S68" s="1916">
        <f>IF(K68=0,0,VLOOKUP(K68,'SD6'!L8:M156,'SD6'!M1))*(1+'SDK1'!O11/100)</f>
        <v>15.8</v>
      </c>
      <c r="T68" s="1915">
        <f>IF(N68=0,0,VLOOKUP(N68,'SD6'!L8:M156,'SD6'!M1))*(1+'SDK1'!O11/100)</f>
        <v>17.7</v>
      </c>
    </row>
    <row r="69" spans="1:20" s="686" customFormat="1" ht="18.75" customHeight="1">
      <c r="A69" s="1248"/>
      <c r="B69" s="1254" t="s">
        <v>1158</v>
      </c>
      <c r="C69" s="1248"/>
      <c r="D69" s="1248"/>
      <c r="E69" s="38"/>
      <c r="F69" s="38"/>
      <c r="G69" s="1588"/>
      <c r="H69" s="44"/>
      <c r="I69" s="73"/>
      <c r="J69" s="1582">
        <f>H70*$F70/1000</f>
        <v>24.8064</v>
      </c>
      <c r="K69" s="1598"/>
      <c r="L69" s="1597"/>
      <c r="M69" s="1585">
        <f>K70*$F70/1000</f>
        <v>37.209600000000009</v>
      </c>
      <c r="N69" s="44"/>
      <c r="O69" s="73"/>
      <c r="P69" s="1582">
        <f>N70*$F70/1000</f>
        <v>49.6128</v>
      </c>
      <c r="Q69" s="32"/>
    </row>
    <row r="70" spans="1:20" s="686" customFormat="1" ht="15" customHeight="1">
      <c r="A70" s="1248"/>
      <c r="B70" s="1310"/>
      <c r="C70" s="1309" t="s">
        <v>840</v>
      </c>
      <c r="D70" s="346"/>
      <c r="E70" s="278"/>
      <c r="F70" s="1596">
        <f>'SDK7'!G101</f>
        <v>16</v>
      </c>
      <c r="G70" s="1595" t="s">
        <v>171</v>
      </c>
      <c r="H70" s="1591">
        <f>I9+I10</f>
        <v>1550.4</v>
      </c>
      <c r="I70" s="1590"/>
      <c r="J70" s="1589"/>
      <c r="K70" s="1594">
        <f>L9+L10</f>
        <v>2325.6000000000004</v>
      </c>
      <c r="L70" s="1593"/>
      <c r="M70" s="1592"/>
      <c r="N70" s="1591">
        <f>O9+O10</f>
        <v>3100.8</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13.543087519750587</v>
      </c>
      <c r="K75" s="3031"/>
      <c r="L75" s="1034"/>
      <c r="M75" s="1546">
        <f>(M23+M27+M34+M43+M60+M65+M67+M69+M71)*('SDK1'!$O$59%*$G$75/12)</f>
        <v>17.697477375464313</v>
      </c>
      <c r="N75" s="1548"/>
      <c r="O75" s="1547"/>
      <c r="P75" s="1546">
        <f>(P23+P27+P34+P43+P60+P65+P67+P69+P71)*('SDK1'!$O$59%*$G$75/12)</f>
        <v>22.255945699845494</v>
      </c>
      <c r="Q75" s="32"/>
    </row>
    <row r="76" spans="1:20">
      <c r="L76" s="33"/>
    </row>
    <row r="77" spans="1:20">
      <c r="G77" s="3590"/>
      <c r="H77" s="3590"/>
      <c r="I77" s="3590"/>
      <c r="J77" s="3590"/>
      <c r="K77" s="3590"/>
      <c r="L77" s="3590"/>
      <c r="M77" s="3590"/>
      <c r="N77" s="3590"/>
      <c r="O77" s="3590"/>
      <c r="P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2506"/>
      <c r="D91" s="2506"/>
      <c r="E91" s="2506"/>
      <c r="F91" s="2506"/>
      <c r="G91" s="3590"/>
      <c r="H91" s="3590"/>
      <c r="I91" s="3590"/>
      <c r="J91" s="3590"/>
      <c r="K91" s="3590"/>
      <c r="L91" s="3590"/>
      <c r="M91" s="3590"/>
      <c r="N91" s="3590"/>
      <c r="O91" s="3590"/>
      <c r="P91" s="3590"/>
    </row>
    <row r="92" spans="2:16">
      <c r="C92" s="2506"/>
      <c r="D92" s="2506"/>
      <c r="E92" s="2506"/>
      <c r="F92" s="2506"/>
      <c r="G92" s="3590"/>
      <c r="H92" s="3590"/>
      <c r="I92" s="3590"/>
      <c r="J92" s="3590"/>
      <c r="K92" s="3590"/>
      <c r="L92" s="3590"/>
      <c r="M92" s="3590"/>
      <c r="N92" s="3590"/>
      <c r="O92" s="3590"/>
      <c r="P92" s="3590"/>
    </row>
    <row r="93" spans="2:16">
      <c r="C93" s="2506"/>
      <c r="D93" s="2506"/>
      <c r="E93" s="2506"/>
      <c r="F93" s="2506"/>
      <c r="G93" s="3590"/>
      <c r="H93" s="3590"/>
      <c r="I93" s="3590"/>
      <c r="J93" s="3590"/>
      <c r="K93" s="3590"/>
      <c r="L93" s="3590"/>
      <c r="M93" s="3590"/>
      <c r="N93" s="3590"/>
      <c r="O93" s="3590"/>
      <c r="P93" s="3590"/>
    </row>
    <row r="94" spans="2:16">
      <c r="C94" s="2506"/>
      <c r="D94" s="2506"/>
      <c r="E94" s="2506"/>
      <c r="F94" s="2506"/>
      <c r="G94" s="3590"/>
      <c r="H94" s="3590"/>
      <c r="I94" s="3590"/>
      <c r="J94" s="3590"/>
      <c r="K94" s="3590"/>
      <c r="L94" s="3590"/>
      <c r="M94" s="3590"/>
      <c r="N94" s="3590"/>
      <c r="O94" s="3590"/>
      <c r="P94" s="3590"/>
    </row>
    <row r="95" spans="2:16">
      <c r="C95" s="2506"/>
      <c r="D95" s="2506"/>
      <c r="E95" s="2506"/>
      <c r="F95" s="2506"/>
      <c r="G95" s="3590"/>
      <c r="H95" s="3590"/>
      <c r="I95" s="3590"/>
      <c r="J95" s="3590"/>
      <c r="K95" s="3590"/>
      <c r="L95" s="3590"/>
      <c r="M95" s="3590"/>
      <c r="N95" s="3590"/>
      <c r="O95" s="3590"/>
      <c r="P95" s="3590"/>
    </row>
    <row r="96" spans="2:16">
      <c r="C96" s="2506"/>
      <c r="D96" s="2506"/>
      <c r="E96" s="2506"/>
      <c r="F96" s="2506"/>
      <c r="G96" s="3590"/>
      <c r="H96" s="3590"/>
      <c r="I96" s="3590"/>
      <c r="J96" s="3590"/>
      <c r="K96" s="3590"/>
      <c r="L96" s="3590"/>
      <c r="M96" s="3590"/>
      <c r="N96" s="3590"/>
      <c r="O96" s="3590"/>
      <c r="P96" s="3590"/>
    </row>
    <row r="97" spans="2:16">
      <c r="C97" s="2506"/>
      <c r="D97" s="2506"/>
      <c r="E97" s="2506"/>
      <c r="G97" s="3590"/>
      <c r="H97" s="3590"/>
      <c r="I97" s="3590"/>
      <c r="J97" s="3590"/>
      <c r="K97" s="3590"/>
      <c r="L97" s="3590"/>
      <c r="M97" s="3590"/>
      <c r="N97" s="3590"/>
      <c r="O97" s="3590"/>
      <c r="P97" s="3590"/>
    </row>
    <row r="98" spans="2:16">
      <c r="B98" s="3590"/>
      <c r="C98" s="3590"/>
      <c r="D98" s="3590"/>
      <c r="E98" s="2506"/>
      <c r="G98" s="3590"/>
      <c r="H98" s="3590"/>
      <c r="I98" s="3590"/>
      <c r="J98" s="3590"/>
      <c r="K98" s="3590"/>
      <c r="L98" s="3590"/>
      <c r="M98" s="3590"/>
      <c r="N98" s="3590"/>
      <c r="O98" s="3590"/>
      <c r="P98" s="3590"/>
    </row>
    <row r="99" spans="2:16">
      <c r="B99" s="3590"/>
      <c r="C99" s="3590"/>
      <c r="D99" s="3590"/>
      <c r="G99" s="3590"/>
      <c r="H99" s="3590"/>
      <c r="I99" s="3590"/>
      <c r="J99" s="3590"/>
      <c r="K99" s="3590"/>
      <c r="L99" s="3590"/>
      <c r="M99" s="3590"/>
      <c r="N99" s="3590"/>
      <c r="O99" s="3590"/>
      <c r="P99" s="3590"/>
    </row>
    <row r="100" spans="2:16">
      <c r="B100" s="3590"/>
      <c r="C100" s="3590"/>
      <c r="D100" s="3590"/>
      <c r="G100" s="3590"/>
      <c r="I100" s="3590"/>
      <c r="J100" s="3590"/>
      <c r="K100" s="3590"/>
      <c r="L100" s="3590"/>
      <c r="M100" s="3590"/>
      <c r="N100" s="3590"/>
      <c r="O100" s="3590"/>
      <c r="P100" s="3590"/>
    </row>
    <row r="101" spans="2:16">
      <c r="B101" s="3590"/>
      <c r="C101" s="3590"/>
      <c r="D101" s="3590"/>
      <c r="G101" s="3590"/>
      <c r="H101" s="3590"/>
      <c r="I101" s="3590"/>
      <c r="J101" s="3590"/>
      <c r="K101" s="3590"/>
      <c r="L101" s="3590"/>
      <c r="M101" s="3590"/>
      <c r="N101" s="3590"/>
      <c r="O101" s="3590"/>
      <c r="P101" s="3590"/>
    </row>
    <row r="102" spans="2:16">
      <c r="B102" s="3590"/>
      <c r="C102" s="3590"/>
      <c r="D102" s="3590"/>
      <c r="G102" s="3590"/>
      <c r="H102" s="3590"/>
      <c r="I102" s="3590"/>
      <c r="J102" s="3590"/>
      <c r="K102" s="3590"/>
      <c r="L102" s="3590"/>
      <c r="M102" s="3590"/>
      <c r="N102" s="3590"/>
      <c r="O102" s="3590"/>
      <c r="P102" s="3590"/>
    </row>
    <row r="103" spans="2:16">
      <c r="B103" s="3590"/>
      <c r="C103" s="3590"/>
      <c r="D103" s="3590"/>
      <c r="G103" s="3590"/>
      <c r="H103" s="3590"/>
      <c r="I103" s="3590"/>
      <c r="J103" s="3590"/>
      <c r="K103" s="3590"/>
      <c r="L103" s="3590"/>
      <c r="M103" s="3590"/>
      <c r="N103" s="3590"/>
      <c r="O103" s="3590"/>
      <c r="P103" s="3590"/>
    </row>
    <row r="104" spans="2:16">
      <c r="B104" s="3590"/>
      <c r="C104" s="3590"/>
      <c r="D104" s="3590"/>
      <c r="G104" s="3590"/>
      <c r="H104" s="3590"/>
      <c r="I104" s="3590"/>
      <c r="J104" s="3590"/>
      <c r="K104" s="3590"/>
      <c r="L104" s="3590"/>
      <c r="M104" s="3590"/>
      <c r="N104" s="3590"/>
      <c r="O104" s="3590"/>
      <c r="P104" s="3590"/>
    </row>
    <row r="105" spans="2:16">
      <c r="B105" s="3590"/>
      <c r="C105" s="3590"/>
      <c r="D105" s="3590"/>
      <c r="G105" s="3590"/>
      <c r="H105" s="3590"/>
      <c r="I105" s="3590"/>
      <c r="J105" s="3590"/>
      <c r="K105" s="3590"/>
      <c r="L105" s="3590"/>
      <c r="M105" s="3590"/>
      <c r="N105" s="3590"/>
      <c r="O105" s="3590"/>
      <c r="P105" s="3590"/>
    </row>
    <row r="106" spans="2:16">
      <c r="B106" s="3590"/>
      <c r="C106" s="3590"/>
      <c r="D106" s="3590"/>
      <c r="G106" s="3590"/>
      <c r="H106" s="3590"/>
      <c r="I106" s="3590"/>
      <c r="J106" s="3590"/>
      <c r="K106" s="3590"/>
      <c r="L106" s="3590"/>
      <c r="M106" s="3590"/>
      <c r="N106" s="3590"/>
      <c r="O106" s="3590"/>
      <c r="P106" s="3590"/>
    </row>
    <row r="107" spans="2:16">
      <c r="B107" s="3590"/>
      <c r="C107" s="3590"/>
      <c r="D107" s="3590"/>
      <c r="G107" s="3590"/>
      <c r="H107" s="3590"/>
      <c r="I107" s="3590"/>
      <c r="J107" s="3590"/>
      <c r="K107" s="3590"/>
      <c r="L107" s="3590"/>
      <c r="M107" s="3590"/>
      <c r="N107" s="3590"/>
      <c r="O107" s="3590"/>
      <c r="P107" s="3590"/>
    </row>
    <row r="108" spans="2:16">
      <c r="B108" s="3590"/>
      <c r="C108" s="3590"/>
      <c r="D108" s="3590"/>
      <c r="G108" s="3590"/>
      <c r="H108" s="3590"/>
      <c r="I108" s="3590"/>
      <c r="J108" s="3590"/>
      <c r="K108" s="3590"/>
      <c r="L108" s="3590"/>
      <c r="M108" s="3590"/>
      <c r="N108" s="3590"/>
      <c r="O108" s="3590"/>
      <c r="P108" s="3590"/>
    </row>
    <row r="109" spans="2:16">
      <c r="B109" s="3590"/>
      <c r="C109" s="3590"/>
      <c r="D109" s="3590"/>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49">
    <mergeCell ref="C21:F21"/>
    <mergeCell ref="C20:F20"/>
    <mergeCell ref="C78:F78"/>
    <mergeCell ref="C79:F79"/>
    <mergeCell ref="C15:F15"/>
    <mergeCell ref="C16:F16"/>
    <mergeCell ref="C17:F17"/>
    <mergeCell ref="C41:E41"/>
    <mergeCell ref="C36:E36"/>
    <mergeCell ref="C37:E37"/>
    <mergeCell ref="C19:F19"/>
    <mergeCell ref="F23:G23"/>
    <mergeCell ref="D25:E25"/>
    <mergeCell ref="D26:E26"/>
    <mergeCell ref="C38:E38"/>
    <mergeCell ref="E22:G22"/>
    <mergeCell ref="B75:C75"/>
    <mergeCell ref="F34:G34"/>
    <mergeCell ref="K1:L1"/>
    <mergeCell ref="N1:O1"/>
    <mergeCell ref="K2:P2"/>
    <mergeCell ref="E4:I4"/>
    <mergeCell ref="G1:I1"/>
    <mergeCell ref="H6:I6"/>
    <mergeCell ref="K6:L6"/>
    <mergeCell ref="N6:O6"/>
    <mergeCell ref="E10:F10"/>
    <mergeCell ref="C14:F14"/>
    <mergeCell ref="C42:E42"/>
    <mergeCell ref="C57:D57"/>
    <mergeCell ref="C64:E64"/>
    <mergeCell ref="C39:E39"/>
    <mergeCell ref="C40:E40"/>
    <mergeCell ref="C62:E62"/>
    <mergeCell ref="C63:E63"/>
    <mergeCell ref="C68:E68"/>
    <mergeCell ref="C73:E73"/>
    <mergeCell ref="C74:E74"/>
    <mergeCell ref="C46:D46"/>
    <mergeCell ref="C49:D49"/>
    <mergeCell ref="C50:D50"/>
    <mergeCell ref="C47:D47"/>
    <mergeCell ref="C48:D48"/>
    <mergeCell ref="C56:D56"/>
    <mergeCell ref="C51:D51"/>
    <mergeCell ref="C52:D52"/>
    <mergeCell ref="C55:D55"/>
    <mergeCell ref="C53:D53"/>
    <mergeCell ref="C54:D54"/>
  </mergeCells>
  <dataValidations count="6">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N68">
      <formula1>9</formula1>
      <formula2>30</formula2>
    </dataValidation>
    <dataValidation type="list" allowBlank="1" showInputMessage="1" showErrorMessage="1" sqref="C37:E42">
      <formula1>$C$120:$C$145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 type="decimal" allowBlank="1" showInputMessage="1" showErrorMessage="1" errorTitle="Wassergehalt Getreide" error="Zulässig sind nur Werte zwischen 9,0 und 23,9 % Wassergehalt." sqref="K68">
      <formula1>9</formula1>
      <formula2>30</formula2>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x14:formula1>
            <xm:f>SDÖ5!$C$5:$C$33</xm:f>
          </x14:formula1>
          <xm:sqref>C36:E36</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3">
    <tabColor rgb="FFFF0000"/>
    <pageSetUpPr fitToPage="1"/>
  </sheetPr>
  <dimension ref="A1:N85"/>
  <sheetViews>
    <sheetView showZeros="0" topLeftCell="A3" workbookViewId="0"/>
  </sheetViews>
  <sheetFormatPr baseColWidth="10" defaultColWidth="10.5" defaultRowHeight="12.75"/>
  <cols>
    <col min="1" max="1" width="1" style="136" customWidth="1"/>
    <col min="2" max="2" width="21.875" style="136" customWidth="1"/>
    <col min="3" max="3" width="4.25" style="137" customWidth="1"/>
    <col min="4" max="4" width="11.625" style="136" customWidth="1"/>
    <col min="5" max="5" width="11" style="136" customWidth="1"/>
    <col min="6" max="6" width="11.375" style="136" customWidth="1"/>
    <col min="7" max="7" width="10.25" style="136" customWidth="1"/>
    <col min="8" max="8" width="11.25" style="136" customWidth="1"/>
    <col min="9" max="11" width="9.625" style="136" customWidth="1"/>
    <col min="12" max="12" width="10.75" style="136" customWidth="1"/>
    <col min="13" max="13" width="41.5" style="136" customWidth="1"/>
    <col min="14" max="14" width="0" style="136" hidden="1" customWidth="1"/>
    <col min="15" max="16384" width="10.5" style="136"/>
  </cols>
  <sheetData>
    <row r="1" spans="1:14" ht="1.9" hidden="1" customHeight="1">
      <c r="D1" s="1974"/>
      <c r="E1" s="1974"/>
      <c r="F1" s="1974"/>
      <c r="G1" s="1972">
        <f>COLUMNS($G$1:G1)</f>
        <v>1</v>
      </c>
      <c r="H1" s="1972">
        <f>COLUMNS($G$1:H1)</f>
        <v>2</v>
      </c>
      <c r="I1" s="1972">
        <f>COLUMNS($G$1:I1)</f>
        <v>3</v>
      </c>
      <c r="J1" s="1972">
        <f>COLUMNS($G$1:J1)</f>
        <v>4</v>
      </c>
      <c r="K1" s="1972">
        <f>COLUMNS($G$1:K1)</f>
        <v>5</v>
      </c>
      <c r="L1" s="1972">
        <f>COLUMNS($G$1:L1)</f>
        <v>6</v>
      </c>
      <c r="M1" s="1950">
        <f>COLUMNS($G$1:M1)</f>
        <v>7</v>
      </c>
      <c r="N1" s="1950">
        <f>COLUMNS($G$1:N1)</f>
        <v>8</v>
      </c>
    </row>
    <row r="2" spans="1:14" s="1949" customFormat="1" ht="13.9" hidden="1" customHeight="1">
      <c r="A2" s="4157" t="str">
        <f>IF(L8=100,0,   "Flächenanteile ergeben nicht 100% !")</f>
        <v>Flächenanteile ergeben nicht 100% !</v>
      </c>
      <c r="B2" s="4157"/>
      <c r="C2" s="1973"/>
      <c r="D2" s="1972">
        <f>VLOOKUP(D7,$D$52:$F$74,3,FALSE)</f>
        <v>34</v>
      </c>
      <c r="E2" s="1972">
        <f t="shared" ref="E2:K2" si="0">VLOOKUP(E7,$D$52:$F$74,3,FALSE)</f>
        <v>41</v>
      </c>
      <c r="F2" s="1972">
        <f t="shared" si="0"/>
        <v>46</v>
      </c>
      <c r="G2" s="1972">
        <f t="shared" si="0"/>
        <v>37</v>
      </c>
      <c r="H2" s="1972">
        <f t="shared" si="0"/>
        <v>52</v>
      </c>
      <c r="I2" s="1972">
        <f t="shared" si="0"/>
        <v>52</v>
      </c>
      <c r="J2" s="1972">
        <f t="shared" si="0"/>
        <v>52</v>
      </c>
      <c r="K2" s="1972">
        <f t="shared" si="0"/>
        <v>52</v>
      </c>
      <c r="L2" s="1971"/>
    </row>
    <row r="3" spans="1:14" ht="21.2" customHeight="1">
      <c r="B3" s="205" t="str">
        <f>"Deckungsbeitrag je ha Ackerfläche " &amp; 'SDK1'!O8</f>
        <v>Deckungsbeitrag je ha Ackerfläche ohne MwSt.</v>
      </c>
      <c r="D3" s="202"/>
      <c r="F3" s="1970"/>
      <c r="G3" s="202"/>
      <c r="H3" s="140"/>
      <c r="I3" s="140"/>
      <c r="J3" s="140"/>
      <c r="K3" s="140"/>
      <c r="L3" s="201" t="s">
        <v>1276</v>
      </c>
      <c r="M3" s="201"/>
    </row>
    <row r="4" spans="1:14" ht="18">
      <c r="B4" s="1940"/>
      <c r="D4" s="140"/>
      <c r="E4" s="140"/>
      <c r="F4" s="140"/>
      <c r="G4" s="140"/>
      <c r="H4" s="140"/>
      <c r="I4" s="140"/>
      <c r="J4" s="140"/>
      <c r="K4" s="140"/>
      <c r="L4" s="201">
        <f>SDÖ1!O3</f>
        <v>0</v>
      </c>
    </row>
    <row r="5" spans="1:14" ht="21.2" customHeight="1" thickBot="1">
      <c r="B5" s="4153" t="s">
        <v>212</v>
      </c>
      <c r="C5" s="4153"/>
      <c r="D5" s="1969">
        <f>VLOOKUP(B5,G51:L54,L1,FALSE)</f>
        <v>3</v>
      </c>
      <c r="E5" s="65"/>
      <c r="F5" s="1968"/>
      <c r="G5" s="1968"/>
      <c r="H5" s="1967"/>
      <c r="I5" s="1967"/>
      <c r="J5" s="1967"/>
      <c r="K5" s="1967"/>
      <c r="L5" s="226"/>
      <c r="M5" s="201"/>
    </row>
    <row r="6" spans="1:14" ht="19.899999999999999" hidden="1" customHeight="1" thickBot="1">
      <c r="D6" s="1966">
        <f t="shared" ref="D6:K6" si="1">$D$5*100+D2</f>
        <v>334</v>
      </c>
      <c r="E6" s="1966">
        <f t="shared" si="1"/>
        <v>341</v>
      </c>
      <c r="F6" s="1966">
        <f t="shared" si="1"/>
        <v>346</v>
      </c>
      <c r="G6" s="1966">
        <f t="shared" si="1"/>
        <v>337</v>
      </c>
      <c r="H6" s="1966">
        <f t="shared" si="1"/>
        <v>352</v>
      </c>
      <c r="I6" s="1966">
        <f t="shared" si="1"/>
        <v>352</v>
      </c>
      <c r="J6" s="1966">
        <f t="shared" si="1"/>
        <v>352</v>
      </c>
      <c r="K6" s="1966">
        <f t="shared" si="1"/>
        <v>352</v>
      </c>
    </row>
    <row r="7" spans="1:14" ht="36.75" customHeight="1">
      <c r="B7" s="1965"/>
      <c r="C7" s="1964" t="s">
        <v>232</v>
      </c>
      <c r="D7" s="3362" t="s">
        <v>1289</v>
      </c>
      <c r="E7" s="3362" t="s">
        <v>1893</v>
      </c>
      <c r="F7" s="3362" t="s">
        <v>1897</v>
      </c>
      <c r="G7" s="3362" t="s">
        <v>1889</v>
      </c>
      <c r="H7" s="3362"/>
      <c r="I7" s="3362"/>
      <c r="J7" s="3362"/>
      <c r="K7" s="3362"/>
      <c r="L7" s="196" t="s">
        <v>231</v>
      </c>
      <c r="M7" s="195"/>
      <c r="N7" s="1948" t="s">
        <v>1277</v>
      </c>
    </row>
    <row r="8" spans="1:14" ht="18.75" customHeight="1">
      <c r="B8" s="1963" t="s">
        <v>230</v>
      </c>
      <c r="C8" s="193" t="s">
        <v>113</v>
      </c>
      <c r="D8" s="3359">
        <v>20</v>
      </c>
      <c r="E8" s="3359"/>
      <c r="F8" s="3359"/>
      <c r="G8" s="3359"/>
      <c r="H8" s="3359"/>
      <c r="I8" s="3363"/>
      <c r="J8" s="3359"/>
      <c r="K8" s="3360"/>
      <c r="L8" s="1962">
        <f>SUM(D8:K8)</f>
        <v>20</v>
      </c>
      <c r="N8" s="1947">
        <v>100</v>
      </c>
    </row>
    <row r="9" spans="1:14" ht="17.45" customHeight="1">
      <c r="B9" s="1957" t="s">
        <v>229</v>
      </c>
      <c r="C9" s="165" t="s">
        <v>172</v>
      </c>
      <c r="D9" s="164">
        <f>IFERROR(IF(D$6&lt;200,0,HLOOKUP(D$6,Daten!$CX$1:$FM$6,6,FALSE)),"")</f>
        <v>500</v>
      </c>
      <c r="E9" s="164">
        <f>IFERROR(IF(E$6&lt;200,0,HLOOKUP(E$6,Daten!$CX$1:$FM$6,6,FALSE)),"")</f>
        <v>40</v>
      </c>
      <c r="F9" s="164">
        <f>IFERROR(IF(F$6&lt;200,0,HLOOKUP(F$6,Daten!$CX$1:$FM$6,6,FALSE)),"")</f>
        <v>35</v>
      </c>
      <c r="G9" s="164">
        <f>IFERROR(IF(G$6&lt;200,0,HLOOKUP(G$6,Daten!$CX$1:$FM$6,6,FALSE)),"")</f>
        <v>40</v>
      </c>
      <c r="H9" s="164">
        <f>IFERROR(IF(H$6&lt;200,0,HLOOKUP(H$6,Daten!$CX$1:$FM$6,6,FALSE)),"")</f>
        <v>0</v>
      </c>
      <c r="I9" s="164">
        <f>IFERROR(IF(I$6&lt;200,0,HLOOKUP(I$6,Daten!$CX$1:$FM$6,6,FALSE)),"")</f>
        <v>0</v>
      </c>
      <c r="J9" s="164">
        <f>IFERROR(IF(J$6&lt;200,0,HLOOKUP(J$6,Daten!$CX$1:$FM$6,6,FALSE)),"")</f>
        <v>0</v>
      </c>
      <c r="K9" s="164">
        <f>IFERROR(IF(K$6&lt;200,0,HLOOKUP(K$6,Daten!$CX$1:$FM$6,6,FALSE)),"")</f>
        <v>0</v>
      </c>
      <c r="L9" s="1956"/>
      <c r="M9" s="176"/>
    </row>
    <row r="10" spans="1:14" ht="17.45" customHeight="1">
      <c r="B10" s="1957" t="str">
        <f>"Preis "&amp;SDÖ1!O8</f>
        <v>Preis ohne MwSt.</v>
      </c>
      <c r="C10" s="165" t="s">
        <v>228</v>
      </c>
      <c r="D10" s="164">
        <f>IFERROR(IF(D$6&lt;200,0,HLOOKUP(D$6,Daten!$CX$1:$FM$7,7,FALSE)),"")</f>
        <v>0</v>
      </c>
      <c r="E10" s="164">
        <f>IFERROR(IF(E$6&lt;200,0,HLOOKUP(E$6,Daten!$CX$1:$FM$7,7,FALSE)),"")</f>
        <v>36.300000000000004</v>
      </c>
      <c r="F10" s="164">
        <f>IFERROR(IF(F$6&lt;200,0,HLOOKUP(F$6,Daten!$CX$1:$FM$7,7,FALSE)),"")</f>
        <v>55.733333333333327</v>
      </c>
      <c r="G10" s="164">
        <f>IFERROR(IF(G$6&lt;200,0,HLOOKUP(G$6,Daten!$CX$1:$FM$7,7,FALSE)),"")</f>
        <v>37.533333333333339</v>
      </c>
      <c r="H10" s="164">
        <f>IFERROR(IF(H$6&lt;200,0,HLOOKUP(H$6,Daten!$CX$1:$FM$7,7,FALSE)),"")</f>
        <v>0</v>
      </c>
      <c r="I10" s="164">
        <f>IFERROR(IF(I$6&lt;200,0,HLOOKUP(I$6,Daten!$CX$1:$FM$7,7,FALSE)),"")</f>
        <v>0</v>
      </c>
      <c r="J10" s="164">
        <f>IFERROR(IF(J$6&lt;200,0,HLOOKUP(J$6,Daten!$CX$1:$FM$7,7,FALSE)),"")</f>
        <v>0</v>
      </c>
      <c r="K10" s="164">
        <f>IFERROR(IF(K$6&lt;200,0,HLOOKUP(K$6,Daten!$CX$1:$FM$7,7,FALSE)),"")</f>
        <v>0</v>
      </c>
      <c r="L10" s="1959"/>
      <c r="M10" s="184"/>
      <c r="N10" s="1961"/>
    </row>
    <row r="11" spans="1:14" ht="17.45" customHeight="1">
      <c r="B11" s="1957" t="s">
        <v>1286</v>
      </c>
      <c r="C11" s="165" t="s">
        <v>171</v>
      </c>
      <c r="D11" s="164">
        <f>IFERROR(IF(D$6&lt;200,0,HLOOKUP(D$6,Daten!$CX$1:$FM$8,8,FALSE)),"")</f>
        <v>0</v>
      </c>
      <c r="E11" s="164">
        <f>IFERROR(IF(E$6&lt;200,0,HLOOKUP(E$6,Daten!$CX$1:$FM$8,8,FALSE)),"")</f>
        <v>1452.0000000000002</v>
      </c>
      <c r="F11" s="164">
        <f>IFERROR(IF(F$6&lt;200,0,HLOOKUP(F$6,Daten!$CX$1:$FM$8,8,FALSE)),"")</f>
        <v>1950.6666666666665</v>
      </c>
      <c r="G11" s="164">
        <f>IFERROR(IF(G$6&lt;200,0,HLOOKUP(G$6,Daten!$CX$1:$FM$8,8,FALSE)),"")</f>
        <v>1501.3333333333335</v>
      </c>
      <c r="H11" s="164">
        <f>IFERROR(IF(H$6&lt;200,0,HLOOKUP(H$6,Daten!$CX$1:$FM$8,8,FALSE)),"")</f>
        <v>0</v>
      </c>
      <c r="I11" s="164">
        <f>IFERROR(IF(I$6&lt;200,0,HLOOKUP(I$6,Daten!$CX$1:$FM$8,8,FALSE)),"")</f>
        <v>0</v>
      </c>
      <c r="J11" s="164">
        <f>IFERROR(IF(J$6&lt;200,0,HLOOKUP(J$6,Daten!$CX$1:$FM$8,8,FALSE)),"")</f>
        <v>0</v>
      </c>
      <c r="K11" s="164">
        <f>IFERROR(IF(K$6&lt;200,0,HLOOKUP(K$6,Daten!$CX$1:$FM$8,8,FALSE)),"")</f>
        <v>0</v>
      </c>
      <c r="L11" s="1959"/>
      <c r="M11" s="1960"/>
    </row>
    <row r="12" spans="1:14" ht="17.45" customHeight="1">
      <c r="B12" s="1957" t="s">
        <v>1285</v>
      </c>
      <c r="C12" s="165" t="s">
        <v>171</v>
      </c>
      <c r="D12" s="164">
        <f>IFERROR(IF(D$6&lt;200,0,HLOOKUP(D$6,Daten!$CX$1:$FM$9,9,FALSE)),"")</f>
        <v>0</v>
      </c>
      <c r="E12" s="164">
        <f>IFERROR(IF(E$6&lt;200,0,HLOOKUP(E$6,Daten!$CX$1:$FM$9,9,FALSE)),"")</f>
        <v>432</v>
      </c>
      <c r="F12" s="164">
        <f>IFERROR(IF(F$6&lt;200,0,HLOOKUP(F$6,Daten!$CX$1:$FM$9,9,FALSE)),"")</f>
        <v>0</v>
      </c>
      <c r="G12" s="164">
        <f>IFERROR(IF(G$6&lt;200,0,HLOOKUP(G$6,Daten!$CX$1:$FM$9,9,FALSE)),"")</f>
        <v>384</v>
      </c>
      <c r="H12" s="164">
        <f>IFERROR(IF(H$6&lt;200,0,HLOOKUP(H$6,Daten!$CX$1:$FM$9,9,FALSE)),"")</f>
        <v>0</v>
      </c>
      <c r="I12" s="164">
        <f>IFERROR(IF(I$6&lt;200,0,HLOOKUP(I$6,Daten!$CX$1:$FM$9,9,FALSE)),"")</f>
        <v>0</v>
      </c>
      <c r="J12" s="164">
        <f>IFERROR(IF(J$6&lt;200,0,HLOOKUP(J$6,Daten!$CX$1:$FM$9,9,FALSE)),"")</f>
        <v>0</v>
      </c>
      <c r="K12" s="164">
        <f>IFERROR(IF(K$6&lt;200,0,HLOOKUP(K$6,Daten!$CX$1:$FM$9,9,FALSE)),"")</f>
        <v>0</v>
      </c>
      <c r="L12" s="1959"/>
      <c r="M12" s="33"/>
    </row>
    <row r="13" spans="1:14" ht="17.45" customHeight="1">
      <c r="B13" s="1957" t="s">
        <v>845</v>
      </c>
      <c r="C13" s="165" t="s">
        <v>171</v>
      </c>
      <c r="D13" s="164">
        <f>IFERROR(IF(D$6&lt;200,0,HLOOKUP(D$6,Daten!$CX$1:$FM$10,10,FALSE)),"")</f>
        <v>0</v>
      </c>
      <c r="E13" s="164">
        <f>IFERROR(IF(E$6&lt;200,0,HLOOKUP(E$6,Daten!$CX$1:$FM$10,10,FALSE)),"")</f>
        <v>0</v>
      </c>
      <c r="F13" s="164">
        <f>IFERROR(IF(F$6&lt;200,0,HLOOKUP(F$6,Daten!$CX$1:$FM$10,10,FALSE)),"")</f>
        <v>0</v>
      </c>
      <c r="G13" s="164">
        <f>IFERROR(IF(G$6&lt;200,0,HLOOKUP(G$6,Daten!$CX$1:$FM$10,10,FALSE)),"")</f>
        <v>0</v>
      </c>
      <c r="H13" s="164">
        <f>IFERROR(IF(H$6&lt;200,0,HLOOKUP(H$6,Daten!$CX$1:$FM$10,10,FALSE)),"")</f>
        <v>0</v>
      </c>
      <c r="I13" s="164">
        <f>IFERROR(IF(I$6&lt;200,0,HLOOKUP(I$6,Daten!$CX$1:$FM$10,10,FALSE)),"")</f>
        <v>0</v>
      </c>
      <c r="J13" s="164">
        <f>IFERROR(IF(J$6&lt;200,0,HLOOKUP(J$6,Daten!$CX$1:$FM$10,10,FALSE)),"")</f>
        <v>0</v>
      </c>
      <c r="K13" s="164">
        <f>IFERROR(IF(K$6&lt;200,0,HLOOKUP(K$6,Daten!$CX$1:$FM$10,10,FALSE)),"")</f>
        <v>0</v>
      </c>
      <c r="L13" s="1959"/>
      <c r="M13" s="184"/>
      <c r="N13" s="33"/>
    </row>
    <row r="14" spans="1:14" ht="17.45" customHeight="1">
      <c r="B14" s="1957" t="s">
        <v>1284</v>
      </c>
      <c r="C14" s="165" t="s">
        <v>171</v>
      </c>
      <c r="D14" s="164">
        <f>IFERROR(IF(D$6&lt;200,0,HLOOKUP(D$6,Daten!$CX$1:$FM$23,23,FALSE)),"")</f>
        <v>695.4</v>
      </c>
      <c r="E14" s="164">
        <f>IFERROR(IF(E$6&lt;200,0,HLOOKUP(E$6,Daten!$CX$1:$FM$23,23,FALSE)),"")</f>
        <v>595.4</v>
      </c>
      <c r="F14" s="164">
        <f>IFERROR(IF(F$6&lt;200,0,HLOOKUP(F$6,Daten!$CX$1:$FM$23,23,FALSE)),"")</f>
        <v>595.4</v>
      </c>
      <c r="G14" s="164">
        <f>IFERROR(IF(G$6&lt;200,0,HLOOKUP(G$6,Daten!$CX$1:$FM$23,23,FALSE)),"")</f>
        <v>595.4</v>
      </c>
      <c r="H14" s="164">
        <f>IFERROR(IF(H$6&lt;200,0,HLOOKUP(H$6,Daten!$CX$1:$FM$23,23,FALSE)),"")</f>
        <v>0</v>
      </c>
      <c r="I14" s="164">
        <f>IFERROR(IF(I$6&lt;200,0,HLOOKUP(I$6,Daten!$CX$1:$FM$23,23,FALSE)),"")</f>
        <v>0</v>
      </c>
      <c r="J14" s="164">
        <f>IFERROR(IF(J$6&lt;200,0,HLOOKUP(J$6,Daten!$CX$1:$FM$23,23,FALSE)),"")</f>
        <v>0</v>
      </c>
      <c r="K14" s="164">
        <f>IFERROR(IF(K$6&lt;200,0,HLOOKUP(K$6,Daten!$CX$1:$FM$23,23,FALSE)),"")</f>
        <v>0</v>
      </c>
      <c r="L14" s="1959"/>
      <c r="M14" s="184"/>
      <c r="N14" s="172"/>
    </row>
    <row r="15" spans="1:14" ht="19.899999999999999" customHeight="1">
      <c r="B15" s="1955" t="s">
        <v>223</v>
      </c>
      <c r="C15" s="183" t="s">
        <v>171</v>
      </c>
      <c r="D15" s="170">
        <f>IF(ISERROR(IF(D6&lt;200,0,(HLOOKUP(D6,Daten!$CX$1:$FM$63,11,FALSE))+(HLOOKUP(D6,Daten!$CX$1:$FM$63,23,FALSE)))),"",IF(D6&lt;200,0,(HLOOKUP(D6,Daten!$CX$1:$FM$63,11,FALSE))+(HLOOKUP(D6,Daten!$CX$1:$FM$63,23,FALSE))))</f>
        <v>695.4</v>
      </c>
      <c r="E15" s="170">
        <f>IF(ISERROR(IF(E6&lt;200,0,(HLOOKUP(E6,Daten!$CX$1:$FM$63,11,FALSE))+(HLOOKUP(E6,Daten!$CX$1:$FM$63,23,FALSE)))),"",IF(E6&lt;200,0,(HLOOKUP(E6,Daten!$CX$1:$FM$63,11,FALSE))+(HLOOKUP(E6,Daten!$CX$1:$FM$63,23,FALSE))))</f>
        <v>2479.4</v>
      </c>
      <c r="F15" s="170">
        <f>IF(ISERROR(IF(F6&lt;200,0,(HLOOKUP(F6,Daten!$CX$1:$FM$63,11,FALSE))+(HLOOKUP(F6,Daten!$CX$1:$FM$63,23,FALSE)))),"",IF(F6&lt;200,0,(HLOOKUP(F6,Daten!$CX$1:$FM$63,11,FALSE))+(HLOOKUP(F6,Daten!$CX$1:$FM$63,23,FALSE))))</f>
        <v>2546.0666666666666</v>
      </c>
      <c r="G15" s="170">
        <f>IF(ISERROR(IF(G6&lt;200,0,(HLOOKUP(G6,Daten!$CX$1:$FM$63,11,FALSE))+(HLOOKUP(G6,Daten!$CX$1:$FM$63,23,FALSE)))),"",IF(G6&lt;200,0,(HLOOKUP(G6,Daten!$CX$1:$FM$63,11,FALSE))+(HLOOKUP(G6,Daten!$CX$1:$FM$63,23,FALSE))))</f>
        <v>2480.7333333333336</v>
      </c>
      <c r="H15" s="170">
        <f>IF(ISERROR(IF(H6&lt;200,0,(HLOOKUP(H6,Daten!$CX$1:$FM$63,11,FALSE))+(HLOOKUP(H6,Daten!$CX$1:$FM$63,23,FALSE)))),"",IF(H6&lt;200,0,(HLOOKUP(H6,Daten!$CX$1:$FM$63,11,FALSE))+(HLOOKUP(H6,Daten!$CX$1:$FM$63,23,FALSE))))</f>
        <v>0</v>
      </c>
      <c r="I15" s="170">
        <f>IF(ISERROR(IF(I6&lt;200,0,(HLOOKUP(I6,Daten!$CX$1:$FM$63,11,FALSE))+(HLOOKUP(I6,Daten!$CX$1:$FM$63,23,FALSE)))),"",IF(I6&lt;200,0,(HLOOKUP(I6,Daten!$CX$1:$FM$63,11,FALSE))+(HLOOKUP(I6,Daten!$CX$1:$FM$63,23,FALSE))))</f>
        <v>0</v>
      </c>
      <c r="J15" s="170">
        <f>IF(ISERROR(IF(J6&lt;200,0,(HLOOKUP(J6,Daten!$CX$1:$FM$63,11,FALSE))+(HLOOKUP(J6,Daten!$CX$1:$FM$63,23,FALSE)))),"",IF(J6&lt;200,0,(HLOOKUP(J6,Daten!$CX$1:$FM$63,11,FALSE))+(HLOOKUP(J6,Daten!$CX$1:$FM$63,23,FALSE))))</f>
        <v>0</v>
      </c>
      <c r="K15" s="170">
        <f>IF(ISERROR(IF(K6&lt;200,0,(HLOOKUP(K6,Daten!$CX$1:$FM$63,11,FALSE))+(HLOOKUP(K6,Daten!$CX$1:$FM$63,23,FALSE)))),"",IF(K6&lt;200,0,(HLOOKUP(K6,Daten!$CX$1:$FM$63,11,FALSE))+(HLOOKUP(K6,Daten!$CX$1:$FM$63,23,FALSE))))</f>
        <v>0</v>
      </c>
      <c r="L15" s="1958"/>
      <c r="M15" s="181"/>
      <c r="N15" s="172">
        <f t="shared" ref="N15:N23" si="2">IF(ISERROR((D15*$D$8+E15*$E$8+F15*$F$8+G15*$G$8+H15*$H$8+I15*$I$8)/$L$8),"",(D15*$D$8+E15*$E$8+F15*$F$8+G15*$G$8+H15*$H$8+I15*$I$8)/$L$8)</f>
        <v>695.4</v>
      </c>
    </row>
    <row r="16" spans="1:14" ht="15" customHeight="1">
      <c r="B16" s="1957" t="s">
        <v>222</v>
      </c>
      <c r="C16" s="165" t="s">
        <v>171</v>
      </c>
      <c r="D16" s="164">
        <f>IFERROR(IF(D$6&lt;200,0,HLOOKUP(D$6,Daten!$CX$1:$FM$12,12,FALSE)),"")</f>
        <v>90</v>
      </c>
      <c r="E16" s="164">
        <f>IFERROR(IF(E$6&lt;200,0,HLOOKUP(E$6,Daten!$CX$1:$FM$12,12,FALSE)),"")</f>
        <v>122.99999999999999</v>
      </c>
      <c r="F16" s="164">
        <f>IFERROR(IF(F$6&lt;200,0,HLOOKUP(F$6,Daten!$CX$1:$FM$12,12,FALSE)),"")</f>
        <v>250</v>
      </c>
      <c r="G16" s="164">
        <f>IFERROR(IF(G$6&lt;200,0,HLOOKUP(G$6,Daten!$CX$1:$FM$12,12,FALSE)),"")</f>
        <v>147.6</v>
      </c>
      <c r="H16" s="164">
        <f>IFERROR(IF(H$6&lt;200,0,HLOOKUP(H$6,Daten!$CX$1:$FM$12,12,FALSE)),"")</f>
        <v>0</v>
      </c>
      <c r="I16" s="164">
        <f>IFERROR(IF(I$6&lt;200,0,HLOOKUP(I$6,Daten!$CX$1:$FM$12,12,FALSE)),"")</f>
        <v>0</v>
      </c>
      <c r="J16" s="164">
        <f>IFERROR(IF(J$6&lt;200,0,HLOOKUP(J$6,Daten!$CX$1:$FM$12,12,FALSE)),"")</f>
        <v>0</v>
      </c>
      <c r="K16" s="164">
        <f>IFERROR(IF(K$6&lt;200,0,HLOOKUP(K$6,Daten!$CX$1:$FM$12,12,FALSE)),"")</f>
        <v>0</v>
      </c>
      <c r="L16" s="1956"/>
      <c r="M16" s="176"/>
      <c r="N16" s="172">
        <f t="shared" si="2"/>
        <v>90</v>
      </c>
    </row>
    <row r="17" spans="2:14" ht="15" customHeight="1">
      <c r="B17" s="1957" t="s">
        <v>1283</v>
      </c>
      <c r="C17" s="165" t="s">
        <v>171</v>
      </c>
      <c r="D17" s="164">
        <f>IFERROR(IF(D$6&lt;200,0,HLOOKUP(D$6,Daten!$CX$1:$FM$13,13,FALSE)),"")</f>
        <v>-513.47500000000002</v>
      </c>
      <c r="E17" s="164">
        <f>IFERROR(IF(E$6&lt;200,0,HLOOKUP(E$6,Daten!$CX$1:$FM$13,13,FALSE)),"")</f>
        <v>431.71600000000001</v>
      </c>
      <c r="F17" s="164">
        <f>IFERROR(IF(F$6&lt;200,0,HLOOKUP(F$6,Daten!$CX$1:$FM$13,13,FALSE)),"")</f>
        <v>-10.297000000000054</v>
      </c>
      <c r="G17" s="164">
        <f>IFERROR(IF(G$6&lt;200,0,HLOOKUP(G$6,Daten!$CX$1:$FM$13,13,FALSE)),"")</f>
        <v>456.18799999999999</v>
      </c>
      <c r="H17" s="164">
        <f>IFERROR(IF(H$6&lt;200,0,HLOOKUP(H$6,Daten!$CX$1:$FM$13,13,FALSE)),"")</f>
        <v>0</v>
      </c>
      <c r="I17" s="164">
        <f>IFERROR(IF(I$6&lt;200,0,HLOOKUP(I$6,Daten!$CX$1:$FM$13,13,FALSE)),"")</f>
        <v>0</v>
      </c>
      <c r="J17" s="164">
        <f>IFERROR(IF(J$6&lt;200,0,HLOOKUP(J$6,Daten!$CX$1:$FM$13,13,FALSE)),"")</f>
        <v>0</v>
      </c>
      <c r="K17" s="164">
        <f>IFERROR(IF(K$6&lt;200,0,HLOOKUP(K$6,Daten!$CX$1:$FM$13,13,FALSE)),"")</f>
        <v>0</v>
      </c>
      <c r="L17" s="1956"/>
      <c r="M17" s="176"/>
      <c r="N17" s="173">
        <f t="shared" si="2"/>
        <v>-513.47500000000002</v>
      </c>
    </row>
    <row r="18" spans="2:14" ht="15" customHeight="1">
      <c r="B18" s="1957" t="s">
        <v>220</v>
      </c>
      <c r="C18" s="165" t="s">
        <v>171</v>
      </c>
      <c r="D18" s="164">
        <f>IFERROR(IF(D$6&lt;200,0,HLOOKUP(D$6,Daten!$CX$1:$FM$14,14,FALSE)),"")</f>
        <v>0</v>
      </c>
      <c r="E18" s="164">
        <f>IFERROR(IF(E$6&lt;200,0,HLOOKUP(E$6,Daten!$CX$1:$FM$14,14,FALSE)),"")</f>
        <v>0</v>
      </c>
      <c r="F18" s="164">
        <f>IFERROR(IF(F$6&lt;200,0,HLOOKUP(F$6,Daten!$CX$1:$FM$14,14,FALSE)),"")</f>
        <v>0</v>
      </c>
      <c r="G18" s="164">
        <f>IFERROR(IF(G$6&lt;200,0,HLOOKUP(G$6,Daten!$CX$1:$FM$14,14,FALSE)),"")</f>
        <v>0</v>
      </c>
      <c r="H18" s="164">
        <f>IFERROR(IF(H$6&lt;200,0,HLOOKUP(H$6,Daten!$CX$1:$FM$14,14,FALSE)),"")</f>
        <v>0</v>
      </c>
      <c r="I18" s="164">
        <f>IFERROR(IF(I$6&lt;200,0,HLOOKUP(I$6,Daten!$CX$1:$FM$14,14,FALSE)),"")</f>
        <v>0</v>
      </c>
      <c r="J18" s="164">
        <f>IFERROR(IF(J$6&lt;200,0,HLOOKUP(J$6,Daten!$CX$1:$FM$14,14,FALSE)),"")</f>
        <v>0</v>
      </c>
      <c r="K18" s="164">
        <f>IFERROR(IF(K$6&lt;200,0,HLOOKUP(K$6,Daten!$CX$1:$FM$14,14,FALSE)),"")</f>
        <v>0</v>
      </c>
      <c r="L18" s="1956"/>
      <c r="M18" s="176"/>
      <c r="N18" s="173">
        <f t="shared" si="2"/>
        <v>0</v>
      </c>
    </row>
    <row r="19" spans="2:14" ht="15" customHeight="1">
      <c r="B19" s="1957" t="s">
        <v>219</v>
      </c>
      <c r="C19" s="165" t="s">
        <v>171</v>
      </c>
      <c r="D19" s="164">
        <f>IFERROR(IF(D$6&lt;200,0,HLOOKUP(D$6,Daten!$CX$1:$FM$60,60,FALSE)),"")</f>
        <v>119.03161878605039</v>
      </c>
      <c r="E19" s="164">
        <f>IFERROR(IF(E$6&lt;200,0,HLOOKUP(E$6,Daten!$CX$1:$FM$60,60,FALSE)),"")</f>
        <v>404.2311358133781</v>
      </c>
      <c r="F19" s="164">
        <f>IFERROR(IF(F$6&lt;200,0,HLOOKUP(F$6,Daten!$CX$1:$FM$60,60,FALSE)),"")</f>
        <v>358.61475442376468</v>
      </c>
      <c r="G19" s="164">
        <f>IFERROR(IF(G$6&lt;200,0,HLOOKUP(G$6,Daten!$CX$1:$FM$60,60,FALSE)),"")</f>
        <v>391.69441404880672</v>
      </c>
      <c r="H19" s="164">
        <f>IFERROR(IF(H$6&lt;200,0,HLOOKUP(H$6,Daten!$CX$1:$FM$60,60,FALSE)),"")</f>
        <v>0</v>
      </c>
      <c r="I19" s="164">
        <f>IFERROR(IF(I$6&lt;200,0,HLOOKUP(I$6,Daten!$CX$1:$FM$60,60,FALSE)),"")</f>
        <v>0</v>
      </c>
      <c r="J19" s="164">
        <f>IFERROR(IF(J$6&lt;200,0,HLOOKUP(J$6,Daten!$CX$1:$FM$60,60,FALSE)),"")</f>
        <v>0</v>
      </c>
      <c r="K19" s="164">
        <f>IFERROR(IF(K$6&lt;200,0,HLOOKUP(K$6,Daten!$CX$1:$FM$60,60,FALSE)),"")</f>
        <v>0</v>
      </c>
      <c r="L19" s="1956"/>
      <c r="M19" s="176"/>
      <c r="N19" s="173">
        <f t="shared" si="2"/>
        <v>119.03161878605037</v>
      </c>
    </row>
    <row r="20" spans="2:14" ht="15" customHeight="1">
      <c r="B20" s="1957" t="s">
        <v>1282</v>
      </c>
      <c r="C20" s="165" t="s">
        <v>171</v>
      </c>
      <c r="D20" s="164">
        <f>IFERROR(IF(D$6&lt;200,0,HLOOKUP(D$6,Daten!$CX$1:$FM$59,59,FALSE)),"")</f>
        <v>-3.551839447496079</v>
      </c>
      <c r="E20" s="164">
        <f>IFERROR(IF(E$6&lt;200,0,HLOOKUP(E$6,Daten!$CX$1:$FM$59,59,FALSE)),"")</f>
        <v>107.73308991782275</v>
      </c>
      <c r="F20" s="164">
        <f>IFERROR(IF(F$6&lt;200,0,HLOOKUP(F$6,Daten!$CX$1:$FM$59,59,FALSE)),"")</f>
        <v>193.64366491272168</v>
      </c>
      <c r="G20" s="164">
        <f>IFERROR(IF(G$6&lt;200,0,HLOOKUP(G$6,Daten!$CX$1:$FM$59,59,FALSE)),"")</f>
        <v>108.95787705279163</v>
      </c>
      <c r="H20" s="164">
        <f>IFERROR(IF(H$6&lt;200,0,HLOOKUP(H$6,Daten!$CX$1:$FM$59,59,FALSE)),"")</f>
        <v>0</v>
      </c>
      <c r="I20" s="164">
        <f>IFERROR(IF(I$6&lt;200,0,HLOOKUP(I$6,Daten!$CX$1:$FM$59,59,FALSE)),"")</f>
        <v>0</v>
      </c>
      <c r="J20" s="164">
        <f>IFERROR(IF(J$6&lt;200,0,HLOOKUP(J$6,Daten!$CX$1:$FM$59,59,FALSE)),"")</f>
        <v>0</v>
      </c>
      <c r="K20" s="164">
        <f>IFERROR(IF(K$6&lt;200,0,HLOOKUP(K$6,Daten!$CX$1:$FM$59,59,FALSE)),"")</f>
        <v>0</v>
      </c>
      <c r="L20" s="1956"/>
      <c r="M20" s="176"/>
      <c r="N20" s="173">
        <f t="shared" si="2"/>
        <v>-3.5518394474960795</v>
      </c>
    </row>
    <row r="21" spans="2:14" ht="15" customHeight="1">
      <c r="B21" s="1955" t="s">
        <v>1281</v>
      </c>
      <c r="C21" s="171" t="s">
        <v>171</v>
      </c>
      <c r="D21" s="170">
        <f>IF(ISERROR(IF(D6&lt;200,0,HLOOKUP(D6,Daten!$CX$1:$FM$63,21,FALSE))),"",IF(D6&lt;200,0,HLOOKUP(D6,Daten!$CX$1:$FM$63,21,FALSE)))</f>
        <v>-304.44338121394964</v>
      </c>
      <c r="E21" s="170">
        <f>IF(ISERROR(IF(E6&lt;200,0,HLOOKUP(E6,Daten!$CX$1:$FM$63,21,FALSE))),"",IF(E6&lt;200,0,HLOOKUP(E6,Daten!$CX$1:$FM$63,21,FALSE)))</f>
        <v>1054.3791358133781</v>
      </c>
      <c r="F21" s="170">
        <f>IF(ISERROR(IF(F6&lt;200,0,HLOOKUP(F6,Daten!$CX$1:$FM$63,21,FALSE))),"",IF(F6&lt;200,0,HLOOKUP(F6,Daten!$CX$1:$FM$63,21,FALSE)))</f>
        <v>782.82842109043122</v>
      </c>
      <c r="G21" s="170">
        <f>IF(ISERROR(IF(G6&lt;200,0,HLOOKUP(G6,Daten!$CX$1:$FM$63,21,FALSE))),"",IF(G6&lt;200,0,HLOOKUP(G6,Daten!$CX$1:$FM$63,21,FALSE)))</f>
        <v>1091.7037473821401</v>
      </c>
      <c r="H21" s="170">
        <f>IF(ISERROR(IF(H6&lt;200,0,HLOOKUP(H6,Daten!$CX$1:$FM$63,21,FALSE))),"",IF(H6&lt;200,0,HLOOKUP(H6,Daten!$CX$1:$FM$63,21,FALSE)))</f>
        <v>0</v>
      </c>
      <c r="I21" s="170">
        <f>IF(ISERROR(IF(I6&lt;200,0,HLOOKUP(I6,Daten!$CX$1:$FM$63,21,FALSE))),"",IF(I6&lt;200,0,HLOOKUP(I6,Daten!$CX$1:$FM$63,21,FALSE)))</f>
        <v>0</v>
      </c>
      <c r="J21" s="170">
        <f>IF(ISERROR(IF(J6&lt;200,0,HLOOKUP(J6,Daten!$CX$1:$FM$63,21,FALSE))),"",IF(J6&lt;200,0,HLOOKUP(J6,Daten!$CX$1:$FM$63,21,FALSE)))</f>
        <v>0</v>
      </c>
      <c r="K21" s="170">
        <f>IF(ISERROR(IF(K6&lt;200,0,HLOOKUP(K6,Daten!$CX$1:$FM$63,21,FALSE))),"",IF(K6&lt;200,0,HLOOKUP(K6,Daten!$CX$1:$FM$63,21,FALSE)))</f>
        <v>0</v>
      </c>
      <c r="L21" s="1954"/>
      <c r="M21" s="162"/>
      <c r="N21" s="173">
        <f t="shared" si="2"/>
        <v>-304.44338121394964</v>
      </c>
    </row>
    <row r="22" spans="2:14" ht="33" customHeight="1" thickBot="1">
      <c r="B22" s="3223" t="s">
        <v>1280</v>
      </c>
      <c r="C22" s="171" t="s">
        <v>171</v>
      </c>
      <c r="D22" s="170">
        <f>IFERROR(IF(D$6&lt;200,0,HLOOKUP(D$6,Daten!$CX$1:$FM$22,22,FALSE)),"")</f>
        <v>304.44338121394964</v>
      </c>
      <c r="E22" s="170">
        <f>IFERROR(IF(E$6&lt;200,0,HLOOKUP(E$6,Daten!$CX$1:$FM$22,22,FALSE)),"")</f>
        <v>829.62086418662216</v>
      </c>
      <c r="F22" s="170">
        <f>IFERROR(IF(F$6&lt;200,0,HLOOKUP(F$6,Daten!$CX$1:$FM$22,22,FALSE)),"")</f>
        <v>1167.8382455762353</v>
      </c>
      <c r="G22" s="170">
        <f>IFERROR(IF(G$6&lt;200,0,HLOOKUP(G$6,Daten!$CX$1:$FM$22,22,FALSE)),"")</f>
        <v>793.62958595119335</v>
      </c>
      <c r="H22" s="170">
        <f>IFERROR(IF(H$6&lt;200,0,HLOOKUP(H$6,Daten!$CX$1:$FM$22,22,FALSE)),"")</f>
        <v>0</v>
      </c>
      <c r="I22" s="170">
        <f>IFERROR(IF(I$6&lt;200,0,HLOOKUP(I$6,Daten!$CX$1:$FM$22,22,FALSE)),"")</f>
        <v>0</v>
      </c>
      <c r="J22" s="170">
        <f>IFERROR(IF(J$6&lt;200,0,HLOOKUP(J$6,Daten!$CX$1:$FM$22,22,FALSE)),"")</f>
        <v>0</v>
      </c>
      <c r="K22" s="170">
        <f>IFERROR(IF(K$6&lt;200,0,HLOOKUP(K$6,Daten!$CX$1:$FM$22,22,FALSE)),"")</f>
        <v>0</v>
      </c>
      <c r="L22" s="1954">
        <f>SUMPRODUCT(D8:K8,D22:K22)%</f>
        <v>60.888676242789927</v>
      </c>
      <c r="M22" s="162"/>
      <c r="N22" s="172">
        <f t="shared" si="2"/>
        <v>304.44338121394964</v>
      </c>
    </row>
    <row r="23" spans="2:14" ht="46.5" customHeight="1" thickBot="1">
      <c r="B23" s="3224" t="s">
        <v>1279</v>
      </c>
      <c r="C23" s="1953" t="s">
        <v>171</v>
      </c>
      <c r="D23" s="170">
        <f>IFERROR(IF(D$6&lt;200,0,HLOOKUP(D$6,Daten!$CX$1:$FM$25,25,FALSE)),"")</f>
        <v>1003.3952206614457</v>
      </c>
      <c r="E23" s="170">
        <f>IFERROR(IF(E$6&lt;200,0,HLOOKUP(E$6,Daten!$CX$1:$FM$25,25,FALSE)),"")</f>
        <v>1412.7197742687993</v>
      </c>
      <c r="F23" s="170">
        <f>IFERROR(IF(F$6&lt;200,0,HLOOKUP(F$6,Daten!$CX$1:$FM$25,25,FALSE)),"")</f>
        <v>1754.1052473301804</v>
      </c>
      <c r="G23" s="170">
        <f>IFERROR(IF(G$6&lt;200,0,HLOOKUP(G$6,Daten!$CX$1:$FM$25,25,FALSE)),"")</f>
        <v>1376.2930422317352</v>
      </c>
      <c r="H23" s="170">
        <f>IFERROR(IF(H$6&lt;200,0,HLOOKUP(H$6,Daten!$CX$1:$FM$25,25,FALSE)),"")</f>
        <v>0</v>
      </c>
      <c r="I23" s="170">
        <f>IFERROR(IF(I$6&lt;200,0,HLOOKUP(I$6,Daten!$CX$1:$FM$25,25,FALSE)),"")</f>
        <v>0</v>
      </c>
      <c r="J23" s="170">
        <f>IFERROR(IF(J$6&lt;200,0,HLOOKUP(J$6,Daten!$CX$1:$FM$25,25,FALSE)),"")</f>
        <v>0</v>
      </c>
      <c r="K23" s="170">
        <f>IFERROR(IF(K$6&lt;200,0,HLOOKUP(K$6,Daten!$CX$1:$FM$25,25,FALSE)),"")</f>
        <v>0</v>
      </c>
      <c r="L23" s="1952">
        <f>SUMPRODUCT(D8:K8,D23:K23)%</f>
        <v>200.67904413228914</v>
      </c>
      <c r="M23" s="150"/>
      <c r="N23" s="1946">
        <f t="shared" si="2"/>
        <v>1003.3952206614456</v>
      </c>
    </row>
    <row r="24" spans="2:14" ht="36.75" customHeight="1">
      <c r="B24" s="4158" t="s">
        <v>1288</v>
      </c>
      <c r="C24" s="4158"/>
      <c r="D24" s="4158"/>
      <c r="E24" s="4158"/>
      <c r="F24" s="4158"/>
      <c r="G24" s="4158"/>
      <c r="H24" s="210"/>
      <c r="I24" s="210"/>
      <c r="J24" s="210"/>
      <c r="K24" s="162"/>
      <c r="L24" s="1951"/>
      <c r="M24" s="154"/>
    </row>
    <row r="25" spans="2:14" s="33" customFormat="1" ht="40.9" customHeight="1"/>
    <row r="26" spans="2:14" s="33" customFormat="1" ht="28.5" hidden="1" customHeight="1">
      <c r="M26" s="1950">
        <f>COLUMNS($G$26:M26)</f>
        <v>7</v>
      </c>
      <c r="N26" s="1950">
        <f>COLUMNS($G$26:N26)</f>
        <v>8</v>
      </c>
    </row>
    <row r="27" spans="2:14" s="33" customFormat="1" ht="19.149999999999999" customHeight="1">
      <c r="M27" s="1949"/>
      <c r="N27" s="1949"/>
    </row>
    <row r="28" spans="2:14" s="33" customFormat="1" ht="28.5" customHeight="1">
      <c r="M28" s="201"/>
      <c r="N28" s="136"/>
    </row>
    <row r="29" spans="2:14" s="33" customFormat="1" ht="28.5" customHeight="1">
      <c r="M29" s="136"/>
      <c r="N29" s="136"/>
    </row>
    <row r="30" spans="2:14" s="33" customFormat="1" ht="28.5" customHeight="1">
      <c r="M30" s="201"/>
      <c r="N30" s="136"/>
    </row>
    <row r="31" spans="2:14" s="33" customFormat="1" ht="23.85" customHeight="1" thickBot="1">
      <c r="M31" s="136"/>
      <c r="N31" s="136"/>
    </row>
    <row r="32" spans="2:14" s="33" customFormat="1" ht="28.5" customHeight="1">
      <c r="M32" s="195"/>
      <c r="N32" s="1948" t="s">
        <v>1277</v>
      </c>
    </row>
    <row r="33" spans="2:14" s="33" customFormat="1" ht="28.5" customHeight="1">
      <c r="M33" s="136"/>
      <c r="N33" s="1947">
        <v>100</v>
      </c>
    </row>
    <row r="34" spans="2:14" s="33" customFormat="1" ht="28.5" customHeight="1">
      <c r="M34" s="176"/>
      <c r="N34" s="136"/>
    </row>
    <row r="35" spans="2:14" s="33" customFormat="1" ht="28.5" customHeight="1">
      <c r="M35" s="184"/>
      <c r="N35" s="136"/>
    </row>
    <row r="36" spans="2:14" s="33" customFormat="1" ht="28.5" customHeight="1">
      <c r="M36" s="184"/>
      <c r="N36" s="136"/>
    </row>
    <row r="37" spans="2:14" s="33" customFormat="1" ht="28.5" customHeight="1">
      <c r="B37" s="136"/>
      <c r="C37" s="137"/>
      <c r="D37" s="136"/>
      <c r="E37" s="136"/>
      <c r="F37" s="136"/>
      <c r="G37" s="136"/>
      <c r="H37" s="136"/>
      <c r="I37" s="136"/>
      <c r="J37" s="136"/>
      <c r="K37" s="136"/>
      <c r="M37" s="184"/>
      <c r="N37" s="136"/>
    </row>
    <row r="38" spans="2:14" s="33" customFormat="1" ht="57.75" customHeight="1">
      <c r="B38" s="136"/>
      <c r="C38" s="137"/>
      <c r="D38" s="136"/>
      <c r="E38" s="136"/>
      <c r="F38" s="136"/>
      <c r="G38" s="136"/>
      <c r="H38" s="136"/>
      <c r="I38" s="136"/>
      <c r="J38" s="136"/>
      <c r="K38" s="136"/>
      <c r="M38" s="184"/>
    </row>
    <row r="39" spans="2:14" s="33" customFormat="1" ht="57.75" customHeight="1">
      <c r="B39" s="176"/>
      <c r="C39" s="176"/>
      <c r="D39" s="176"/>
      <c r="E39" s="176"/>
      <c r="F39" s="176"/>
      <c r="G39" s="176"/>
      <c r="H39" s="176"/>
      <c r="I39" s="176"/>
      <c r="J39" s="176"/>
      <c r="K39" s="176"/>
      <c r="L39" s="176"/>
      <c r="M39" s="184"/>
      <c r="N39" s="172" t="str">
        <f>IF(ISERROR((D46*$D$33+E46*$E$33+F46*$F$33+G46*$G$33+H46*$H$33+I46*$I$33)/$L$33),"",(D46*$D$33+E46*$E$33+F46*$F$33+G46*$G$33+H46*$H$33+I46*$I$33)/$L$33)</f>
        <v/>
      </c>
    </row>
    <row r="40" spans="2:14" s="33" customFormat="1" ht="57.2" customHeight="1">
      <c r="B40" s="176"/>
      <c r="C40" s="176"/>
      <c r="D40" s="176"/>
      <c r="E40" s="176"/>
      <c r="F40" s="176"/>
      <c r="G40" s="176"/>
      <c r="H40" s="176"/>
      <c r="I40" s="176"/>
      <c r="J40" s="176"/>
      <c r="K40" s="176"/>
      <c r="L40" s="176"/>
      <c r="M40" s="181"/>
      <c r="N40" s="172" t="str">
        <f>IF(ISERROR((D41*$D$33+E41*$E$33+F41*$F$33+G41*$G$33+H41*$H$33+I41*$I$33)/$L$33),"",(D41*$D$33+E41*$E$33+F41*$F$33+G41*$G$33+H41*$H$33+I41*$I$33)/$L$33)</f>
        <v/>
      </c>
    </row>
    <row r="41" spans="2:14" s="33" customFormat="1" ht="28.5" customHeight="1">
      <c r="B41" s="176"/>
      <c r="C41" s="176"/>
      <c r="D41" s="176"/>
      <c r="E41" s="176"/>
      <c r="F41" s="176"/>
      <c r="G41" s="176"/>
      <c r="H41" s="176"/>
      <c r="I41" s="176"/>
      <c r="J41" s="176"/>
      <c r="K41" s="176"/>
      <c r="L41" s="176"/>
      <c r="M41" s="176"/>
      <c r="N41" s="172" t="str">
        <f>IF(ISERROR((D42*$D$33+E42*$E$33+F42*$F$33+G42*$G$33+H42*$H$33+I42*$I$33)/$L$33),"",(D42*$D$33+E42*$E$33+F42*$F$33+G42*$G$33+H42*$H$33+I42*$I$33)/$L$33)</f>
        <v/>
      </c>
    </row>
    <row r="42" spans="2:14" s="33" customFormat="1" ht="28.5" customHeight="1">
      <c r="B42" s="176"/>
      <c r="C42" s="176"/>
      <c r="D42" s="176"/>
      <c r="E42" s="176"/>
      <c r="F42" s="176"/>
      <c r="G42" s="176"/>
      <c r="H42" s="176"/>
      <c r="I42" s="176"/>
      <c r="J42" s="176"/>
      <c r="K42" s="176"/>
      <c r="L42" s="176"/>
      <c r="M42" s="176"/>
      <c r="N42" s="173" t="str">
        <f>IF(ISERROR((D43*$D$33+E43*$E$33+F43*$F$33+G43*$G$33+H43*$H$33+I43*$I$33)/$L$33),"",(D43*$D$33+E43*$E$33+F43*$F$33+G43*$G$33+H43*$H$33+I43*$I$33)/$L$33)</f>
        <v/>
      </c>
    </row>
    <row r="43" spans="2:14" s="33" customFormat="1" ht="28.5" customHeight="1">
      <c r="B43" s="176"/>
      <c r="C43" s="176"/>
      <c r="D43" s="176"/>
      <c r="E43" s="176"/>
      <c r="F43" s="176"/>
      <c r="G43" s="176"/>
      <c r="H43" s="176"/>
      <c r="I43" s="176"/>
      <c r="J43" s="176"/>
      <c r="K43" s="176"/>
      <c r="L43" s="176"/>
      <c r="M43" s="176"/>
      <c r="N43" s="173" t="str">
        <f>IF(ISERROR((#REF!*$D$33+#REF!*$E$33+#REF!*$F$33+#REF!*$G$33+#REF!*$H$33+#REF!*$I$33)/$L$33),"",(#REF!*$D$33+#REF!*$E$33+#REF!*$F$33+#REF!*$G$33+#REF!*$H$33+#REF!*$I$33)/$L$33)</f>
        <v/>
      </c>
    </row>
    <row r="44" spans="2:14" s="33" customFormat="1" ht="21.75" customHeight="1">
      <c r="B44" s="176"/>
      <c r="C44" s="176"/>
      <c r="D44" s="176"/>
      <c r="E44" s="176"/>
      <c r="F44" s="176"/>
      <c r="G44" s="176"/>
      <c r="H44" s="176"/>
      <c r="I44" s="176"/>
      <c r="J44" s="176"/>
      <c r="K44" s="176"/>
      <c r="L44" s="176"/>
      <c r="M44" s="176"/>
      <c r="N44" s="173" t="str">
        <f>IF(ISERROR((#REF!*$D$33+#REF!*$E$33+#REF!*$F$33+#REF!*$G$33+#REF!*$H$33+#REF!*$I$33)/$L$33),"",(#REF!*$D$33+#REF!*$E$33+#REF!*$F$33+#REF!*$G$33+#REF!*$H$33+#REF!*$I$33)/$L$33)</f>
        <v/>
      </c>
    </row>
    <row r="45" spans="2:14" s="33" customFormat="1" ht="25.15" customHeight="1">
      <c r="B45" s="176"/>
      <c r="C45" s="176"/>
      <c r="D45" s="176"/>
      <c r="E45" s="176"/>
      <c r="F45" s="176"/>
      <c r="G45" s="176"/>
      <c r="H45" s="176"/>
      <c r="I45" s="176"/>
      <c r="J45" s="176"/>
      <c r="K45" s="176"/>
      <c r="L45" s="176"/>
      <c r="M45" s="162"/>
      <c r="N45" s="173" t="str">
        <f>IF(ISERROR((#REF!*$D$33+#REF!*$E$33+#REF!*$F$33+#REF!*$G$33+#REF!*$H$33+#REF!*$I$33)/$L$33),"",(#REF!*$D$33+#REF!*$E$33+#REF!*$F$33+#REF!*$G$33+#REF!*$H$33+#REF!*$I$33)/$L$33)</f>
        <v/>
      </c>
    </row>
    <row r="46" spans="2:14" s="33" customFormat="1" ht="19.7" customHeight="1">
      <c r="B46" s="176"/>
      <c r="C46" s="176"/>
      <c r="D46" s="176"/>
      <c r="E46" s="176"/>
      <c r="F46" s="176"/>
      <c r="G46" s="176"/>
      <c r="H46" s="176"/>
      <c r="I46" s="176"/>
      <c r="J46" s="176"/>
      <c r="K46" s="176"/>
      <c r="L46" s="176"/>
      <c r="M46" s="162"/>
      <c r="N46" s="172" t="str">
        <f>IF(ISERROR((#REF!*$D$33+#REF!*$E$33+#REF!*$F$33+#REF!*$G$33+#REF!*$H$33+#REF!*$I$33)/$L$33),"",(#REF!*$D$33+#REF!*$E$33+#REF!*$F$33+#REF!*$G$33+#REF!*$H$33+#REF!*$I$33)/$L$33)</f>
        <v/>
      </c>
    </row>
    <row r="47" spans="2:14" s="33" customFormat="1" ht="18.399999999999999" customHeight="1" thickBot="1">
      <c r="M47" s="150"/>
      <c r="N47" s="1946" t="str">
        <f>IF(ISERROR((D47*$D$33+E47*$E$33+F47*$F$33+G47*$G$33+H47*$H$33+I47*$I$33)/$L$33),"",(D47*$D$33+E47*$E$33+F47*$F$33+G47*$G$33+H47*$H$33+I47*$I$33)/$L$33)</f>
        <v/>
      </c>
    </row>
    <row r="48" spans="2:14" s="33" customFormat="1" ht="15" customHeight="1">
      <c r="M48" s="162"/>
      <c r="N48" s="136"/>
    </row>
    <row r="49" spans="3:14" s="33" customFormat="1" ht="16.899999999999999" customHeight="1">
      <c r="M49" s="154"/>
      <c r="N49" s="136"/>
    </row>
    <row r="50" spans="3:14" s="33" customFormat="1" ht="16.149999999999999" customHeight="1"/>
    <row r="51" spans="3:14">
      <c r="C51" s="136"/>
      <c r="F51" s="1942"/>
      <c r="G51" s="148"/>
      <c r="H51" s="141"/>
      <c r="I51" s="141"/>
      <c r="J51" s="141"/>
      <c r="K51" s="141"/>
      <c r="L51" s="1945">
        <v>1</v>
      </c>
    </row>
    <row r="52" spans="3:14">
      <c r="C52" s="1121">
        <v>33</v>
      </c>
      <c r="D52" s="149" t="str">
        <f>Kostenrechnung!F266</f>
        <v xml:space="preserve">Kleegras einjährig (70:30) </v>
      </c>
      <c r="E52" s="147"/>
      <c r="F52" s="1121">
        <v>33</v>
      </c>
      <c r="G52" s="146" t="s">
        <v>213</v>
      </c>
      <c r="H52" s="145"/>
      <c r="I52" s="145"/>
      <c r="J52" s="145"/>
      <c r="K52" s="145"/>
      <c r="L52" s="1944">
        <v>2</v>
      </c>
    </row>
    <row r="53" spans="3:14">
      <c r="C53" s="1121">
        <f>C52+1</f>
        <v>34</v>
      </c>
      <c r="D53" s="149" t="str">
        <f>Kostenrechnung!F267</f>
        <v>Kleegras zweijährig (50:50)</v>
      </c>
      <c r="E53" s="138"/>
      <c r="F53" s="1121">
        <f>F52+1</f>
        <v>34</v>
      </c>
      <c r="G53" s="146" t="s">
        <v>212</v>
      </c>
      <c r="H53" s="145"/>
      <c r="I53" s="145"/>
      <c r="J53" s="145"/>
      <c r="K53" s="145"/>
      <c r="L53" s="1944">
        <v>3</v>
      </c>
    </row>
    <row r="54" spans="3:14">
      <c r="C54" s="1121">
        <f>C53+1</f>
        <v>35</v>
      </c>
      <c r="D54" s="149" t="str">
        <f>Kostenrechnung!F268</f>
        <v>Luzernegras einjährig (70:30)</v>
      </c>
      <c r="E54" s="138"/>
      <c r="F54" s="1121">
        <f>F53+1</f>
        <v>35</v>
      </c>
      <c r="G54" s="144" t="s">
        <v>210</v>
      </c>
      <c r="H54" s="143"/>
      <c r="I54" s="143"/>
      <c r="J54" s="143"/>
      <c r="K54" s="143"/>
      <c r="L54" s="1943">
        <v>4</v>
      </c>
    </row>
    <row r="55" spans="3:14">
      <c r="C55" s="1121">
        <f>C54+1</f>
        <v>36</v>
      </c>
      <c r="D55" s="149" t="str">
        <f>Kostenrechnung!F269</f>
        <v>Luzernegras zweijährig (50:50)</v>
      </c>
      <c r="E55" s="138"/>
      <c r="F55" s="1121">
        <f>F54+1</f>
        <v>36</v>
      </c>
      <c r="G55" s="141"/>
      <c r="H55" s="141"/>
      <c r="I55" s="141"/>
      <c r="J55" s="141"/>
      <c r="K55" s="141"/>
      <c r="L55" s="141"/>
    </row>
    <row r="56" spans="3:14">
      <c r="C56" s="1121">
        <f>C55+1</f>
        <v>37</v>
      </c>
      <c r="D56" s="149" t="str">
        <f>Kostenrechnung!F270</f>
        <v>Öko-Winterweizen (Futter)</v>
      </c>
      <c r="E56" s="138"/>
      <c r="F56" s="1121">
        <f>F55+1</f>
        <v>37</v>
      </c>
    </row>
    <row r="57" spans="3:14">
      <c r="C57" s="1121">
        <f>C56+1</f>
        <v>38</v>
      </c>
      <c r="D57" s="149" t="str">
        <f>Kostenrechnung!F271</f>
        <v>Öko-Winterweizen (Brot)</v>
      </c>
      <c r="E57" s="138"/>
      <c r="F57" s="1121">
        <f>F56+1</f>
        <v>38</v>
      </c>
    </row>
    <row r="58" spans="3:14">
      <c r="C58" s="1121">
        <f t="shared" ref="C58:C73" si="3">C57+1</f>
        <v>39</v>
      </c>
      <c r="D58" s="149" t="str">
        <f>Kostenrechnung!F272</f>
        <v>Öko-Dinkel</v>
      </c>
      <c r="E58" s="138"/>
      <c r="F58" s="1121">
        <f t="shared" ref="F58:F73" si="4">F57+1</f>
        <v>39</v>
      </c>
    </row>
    <row r="59" spans="3:14">
      <c r="C59" s="1121">
        <f t="shared" si="3"/>
        <v>40</v>
      </c>
      <c r="D59" s="149" t="str">
        <f>Kostenrechnung!F273</f>
        <v>Öko-Dinkel, entspelzt</v>
      </c>
      <c r="E59" s="138"/>
      <c r="F59" s="1121">
        <f t="shared" si="4"/>
        <v>40</v>
      </c>
    </row>
    <row r="60" spans="3:14">
      <c r="C60" s="1121">
        <f t="shared" si="3"/>
        <v>41</v>
      </c>
      <c r="D60" s="149" t="str">
        <f>Kostenrechnung!F274</f>
        <v>Öko-Winterroggen (Brot)</v>
      </c>
      <c r="E60" s="138"/>
      <c r="F60" s="1121">
        <f t="shared" si="4"/>
        <v>41</v>
      </c>
    </row>
    <row r="61" spans="3:14">
      <c r="C61" s="1121">
        <f t="shared" si="3"/>
        <v>42</v>
      </c>
      <c r="D61" s="149" t="str">
        <f>Kostenrechnung!F275</f>
        <v>Öko-Hafer</v>
      </c>
      <c r="E61" s="138"/>
      <c r="F61" s="1121">
        <f t="shared" si="4"/>
        <v>42</v>
      </c>
    </row>
    <row r="62" spans="3:14">
      <c r="C62" s="1121">
        <f t="shared" si="3"/>
        <v>43</v>
      </c>
      <c r="D62" s="3600" t="s">
        <v>1985</v>
      </c>
      <c r="E62" s="138"/>
      <c r="F62" s="1121">
        <f t="shared" si="4"/>
        <v>43</v>
      </c>
    </row>
    <row r="63" spans="3:14">
      <c r="C63" s="1121">
        <f t="shared" si="3"/>
        <v>44</v>
      </c>
      <c r="D63" s="149" t="str">
        <f>Kostenrechnung!F277</f>
        <v>Öko-Braugerste</v>
      </c>
      <c r="E63" s="138"/>
      <c r="F63" s="1121">
        <f t="shared" si="4"/>
        <v>44</v>
      </c>
    </row>
    <row r="64" spans="3:14">
      <c r="C64" s="1121">
        <f t="shared" si="3"/>
        <v>45</v>
      </c>
      <c r="D64" s="149" t="str">
        <f>Kostenrechnung!F278</f>
        <v xml:space="preserve">Öko-Körnermais </v>
      </c>
      <c r="E64" s="138"/>
      <c r="F64" s="1121">
        <f t="shared" si="4"/>
        <v>45</v>
      </c>
    </row>
    <row r="65" spans="3:6">
      <c r="C65" s="1121">
        <f t="shared" si="3"/>
        <v>46</v>
      </c>
      <c r="D65" s="149" t="str">
        <f>Kostenrechnung!F279</f>
        <v xml:space="preserve">Öko-Ackerbohnen </v>
      </c>
      <c r="E65" s="138"/>
      <c r="F65" s="1121">
        <f t="shared" si="4"/>
        <v>46</v>
      </c>
    </row>
    <row r="66" spans="3:6">
      <c r="C66" s="1121">
        <f t="shared" si="3"/>
        <v>47</v>
      </c>
      <c r="D66" s="149" t="str">
        <f>Kostenrechnung!F280</f>
        <v>Öko-Futtererbsen</v>
      </c>
      <c r="E66" s="138"/>
      <c r="F66" s="1121">
        <f t="shared" si="4"/>
        <v>47</v>
      </c>
    </row>
    <row r="67" spans="3:6">
      <c r="C67" s="1121">
        <f t="shared" si="3"/>
        <v>48</v>
      </c>
      <c r="D67" s="149" t="str">
        <f>Kostenrechnung!F281</f>
        <v>Öko-Sojabohnen</v>
      </c>
      <c r="E67" s="138"/>
      <c r="F67" s="1121">
        <f t="shared" si="4"/>
        <v>48</v>
      </c>
    </row>
    <row r="68" spans="3:6">
      <c r="C68" s="1121">
        <f t="shared" si="3"/>
        <v>49</v>
      </c>
      <c r="D68" s="149" t="str">
        <f>Kostenrechnung!F282</f>
        <v>Öko-Sonnenblumen</v>
      </c>
      <c r="E68" s="138"/>
      <c r="F68" s="1121">
        <f t="shared" si="4"/>
        <v>49</v>
      </c>
    </row>
    <row r="69" spans="3:6">
      <c r="C69" s="1121">
        <f t="shared" si="3"/>
        <v>50</v>
      </c>
      <c r="D69" s="149" t="str">
        <f>Kostenrechnung!F283</f>
        <v>Öko-Winterraps (Ölproduktion)</v>
      </c>
      <c r="E69" s="138"/>
      <c r="F69" s="1121">
        <f t="shared" si="4"/>
        <v>50</v>
      </c>
    </row>
    <row r="70" spans="3:6">
      <c r="C70" s="1121">
        <f t="shared" si="3"/>
        <v>51</v>
      </c>
      <c r="D70" s="149" t="str">
        <f>Kostenrechnung!F284</f>
        <v>Öko-Speisekartoffeln spät</v>
      </c>
      <c r="E70" s="138"/>
      <c r="F70" s="1121">
        <f t="shared" si="4"/>
        <v>51</v>
      </c>
    </row>
    <row r="71" spans="3:6">
      <c r="C71" s="1121">
        <f t="shared" si="3"/>
        <v>52</v>
      </c>
      <c r="D71" s="149">
        <f>Kostenrechnung!F285</f>
        <v>0</v>
      </c>
      <c r="E71" s="138"/>
      <c r="F71" s="1121">
        <f t="shared" si="4"/>
        <v>52</v>
      </c>
    </row>
    <row r="72" spans="3:6">
      <c r="C72" s="1121">
        <f t="shared" si="3"/>
        <v>53</v>
      </c>
      <c r="D72" s="149" t="str">
        <f>Kostenrechnung!F286</f>
        <v>FAKT-Begrünung</v>
      </c>
      <c r="E72" s="138"/>
      <c r="F72" s="1121">
        <f t="shared" si="4"/>
        <v>53</v>
      </c>
    </row>
    <row r="73" spans="3:6">
      <c r="C73" s="1121">
        <f t="shared" si="3"/>
        <v>54</v>
      </c>
      <c r="D73" s="149" t="str">
        <f>Kostenrechnung!F287</f>
        <v xml:space="preserve">FAKT-Blühmischung </v>
      </c>
      <c r="E73" s="138"/>
      <c r="F73" s="1121">
        <f t="shared" si="4"/>
        <v>54</v>
      </c>
    </row>
    <row r="74" spans="3:6">
      <c r="C74" s="136"/>
    </row>
    <row r="75" spans="3:6">
      <c r="C75" s="136"/>
    </row>
    <row r="76" spans="3:6">
      <c r="C76" s="136"/>
    </row>
    <row r="77" spans="3:6">
      <c r="C77" s="136"/>
    </row>
    <row r="78" spans="3:6">
      <c r="C78" s="136"/>
    </row>
    <row r="79" spans="3:6">
      <c r="C79" s="136"/>
    </row>
    <row r="80" spans="3:6">
      <c r="C80" s="136"/>
    </row>
    <row r="81" spans="3:3">
      <c r="C81" s="136"/>
    </row>
    <row r="82" spans="3:3">
      <c r="C82" s="136"/>
    </row>
    <row r="83" spans="3:3">
      <c r="C83" s="136"/>
    </row>
    <row r="84" spans="3:3">
      <c r="C84" s="136"/>
    </row>
    <row r="85" spans="3:3">
      <c r="C85" s="136"/>
    </row>
  </sheetData>
  <sheetProtection sheet="1" selectLockedCells="1"/>
  <mergeCells count="3">
    <mergeCell ref="A2:B2"/>
    <mergeCell ref="B5:C5"/>
    <mergeCell ref="B24:G24"/>
  </mergeCells>
  <conditionalFormatting sqref="L8 N8">
    <cfRule type="expression" dxfId="13" priority="2" stopIfTrue="1">
      <formula>$L$8&lt;&gt;100</formula>
    </cfRule>
  </conditionalFormatting>
  <conditionalFormatting sqref="N33">
    <cfRule type="expression" dxfId="12" priority="1" stopIfTrue="1">
      <formula>$L$8&lt;&gt;100</formula>
    </cfRule>
  </conditionalFormatting>
  <dataValidations count="2">
    <dataValidation type="list" allowBlank="1" showInputMessage="1" showErrorMessage="1" errorTitle="Produktionsverfahren" error="Bitte Produktionsverfahren aus Dropdownliste auswählen." sqref="D7:K7">
      <formula1>$D$51:$D$85</formula1>
    </dataValidation>
    <dataValidation type="list" allowBlank="1" showInputMessage="1" showErrorMessage="1" errorTitle="Leistungsniveau" error="Bitte Leistungsniveau aus Dropdownliste auswählen." sqref="B5:C5">
      <formula1>$G$51:$G$54</formula1>
    </dataValidation>
  </dataValidations>
  <printOptions horizontalCentered="1"/>
  <pageMargins left="0.59055118110236227" right="0.57999999999999996" top="0.59055118110236227" bottom="0.59055118110236227" header="0.39370078740157483" footer="0.39370078740157483"/>
  <pageSetup paperSize="9" scale="69" firstPageNumber="87" fitToHeight="0" orientation="portrait" r:id="rId1"/>
  <headerFooter alignWithMargins="0">
    <oddFooter>&amp;L&amp;11LEL Schwäbisch Gmünd&amp;R&amp;11&amp;F</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3">
    <tabColor theme="9" tint="-0.499984740745262"/>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2" width="7.25" style="32" customWidth="1"/>
    <col min="13" max="13" width="7.75" style="32" customWidth="1"/>
    <col min="14" max="15" width="7.25" style="32" customWidth="1"/>
    <col min="16" max="16" width="7.75" style="32" customWidth="1"/>
    <col min="17" max="17" width="36.875" style="32" hidden="1" customWidth="1"/>
    <col min="18"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6228.7177523907776</v>
      </c>
      <c r="K1" s="4855">
        <f>M1-J1</f>
        <v>2205.6101983689623</v>
      </c>
      <c r="L1" s="4855"/>
      <c r="M1" s="1874">
        <f>(M7+M13+M18+M22+L11+L12)-(M23+M27+M34+M43+M60+M65+M67+M69+M71+M75)</f>
        <v>8434.3279507597399</v>
      </c>
      <c r="N1" s="4855">
        <f>P1-M1</f>
        <v>2205.6101983689587</v>
      </c>
      <c r="O1" s="4855"/>
      <c r="P1" s="1874">
        <f>(P7+P13+P18+P22+O11+O12)-(P23+P27+P34+P43+P60+P65+P67+P69+P71+P75)</f>
        <v>10639.938149128699</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1902</v>
      </c>
      <c r="L2" s="4867"/>
      <c r="M2" s="4867"/>
      <c r="N2" s="4867"/>
      <c r="O2" s="4867"/>
      <c r="P2" s="4867"/>
      <c r="Q2" s="2475"/>
    </row>
    <row r="3" spans="1:41" s="274" customFormat="1" ht="21.75" customHeight="1">
      <c r="A3" s="2475"/>
      <c r="B3" s="1871" t="s">
        <v>1635</v>
      </c>
      <c r="G3" s="1859"/>
      <c r="H3" s="1870"/>
      <c r="N3" s="4934"/>
      <c r="O3" s="4869"/>
      <c r="P3" s="1868"/>
      <c r="Q3" s="2475"/>
      <c r="T3" s="1886" t="b">
        <v>0</v>
      </c>
      <c r="W3" s="4863" t="s">
        <v>1205</v>
      </c>
      <c r="X3" s="4937"/>
      <c r="Y3" s="4937"/>
      <c r="Z3" s="1869"/>
    </row>
    <row r="4" spans="1:41" s="274" customFormat="1" ht="20.25" customHeight="1">
      <c r="A4" s="2475"/>
      <c r="B4" s="370" t="s">
        <v>1098</v>
      </c>
      <c r="C4" s="31"/>
      <c r="D4" s="31"/>
      <c r="E4" s="2491" t="s">
        <v>1650</v>
      </c>
      <c r="F4" s="2491"/>
      <c r="G4" s="2491"/>
      <c r="H4" s="2491"/>
      <c r="I4" s="2491"/>
      <c r="J4" s="2491"/>
      <c r="K4" s="2491"/>
      <c r="N4" s="4869"/>
      <c r="O4" s="4869"/>
      <c r="P4" s="1864">
        <f>SDÖ1!O3</f>
        <v>0</v>
      </c>
      <c r="Q4" s="2475"/>
      <c r="T4" s="1886"/>
      <c r="W4" s="4863" t="s">
        <v>1194</v>
      </c>
      <c r="X4" s="4937"/>
      <c r="Y4" s="4937"/>
      <c r="Z4" s="2490"/>
    </row>
    <row r="5" spans="1:41" ht="6" customHeight="1"/>
    <row r="6" spans="1:41" s="1853" customFormat="1" ht="24" customHeight="1">
      <c r="A6" s="48"/>
      <c r="B6" s="1858" t="s">
        <v>1649</v>
      </c>
      <c r="C6" s="1857"/>
      <c r="D6" s="1857"/>
      <c r="E6" s="1857"/>
      <c r="F6" s="1857"/>
      <c r="G6" s="1856" t="s">
        <v>1642</v>
      </c>
      <c r="H6" s="4861" t="s">
        <v>179</v>
      </c>
      <c r="I6" s="4862"/>
      <c r="J6" s="1855">
        <v>200</v>
      </c>
      <c r="K6" s="4874" t="s">
        <v>152</v>
      </c>
      <c r="L6" s="4875"/>
      <c r="M6" s="1855">
        <v>250</v>
      </c>
      <c r="N6" s="4861" t="s">
        <v>178</v>
      </c>
      <c r="O6" s="4862"/>
      <c r="P6" s="1854">
        <v>300</v>
      </c>
      <c r="Q6" s="70"/>
    </row>
    <row r="7" spans="1:41" s="251" customFormat="1" ht="18.75" customHeight="1">
      <c r="A7" s="47"/>
      <c r="B7" s="305" t="s">
        <v>1633</v>
      </c>
      <c r="C7" s="47"/>
      <c r="D7" s="47"/>
      <c r="E7" s="47"/>
      <c r="F7" s="47"/>
      <c r="G7" s="1852" t="s">
        <v>171</v>
      </c>
      <c r="H7" s="1849"/>
      <c r="I7" s="1848"/>
      <c r="J7" s="1582">
        <f>SUM(I9:I10)</f>
        <v>9518.9999999999982</v>
      </c>
      <c r="K7" s="1851"/>
      <c r="L7" s="1850"/>
      <c r="M7" s="1585">
        <f>SUM(L9:L10)</f>
        <v>11898.749999999998</v>
      </c>
      <c r="N7" s="1849"/>
      <c r="O7" s="1848"/>
      <c r="P7" s="1582">
        <f>SUM(O9:O10)</f>
        <v>14278.499999999998</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SDÖ1!O25</f>
        <v>62.126666666666658</v>
      </c>
      <c r="H9" s="1845">
        <f>J6-H10</f>
        <v>150</v>
      </c>
      <c r="I9" s="1841">
        <f>H9*G9</f>
        <v>9318.9999999999982</v>
      </c>
      <c r="J9" s="43"/>
      <c r="K9" s="1844">
        <f>M6-K10</f>
        <v>187.5</v>
      </c>
      <c r="L9" s="1843">
        <f>K9*G9</f>
        <v>11648.749999999998</v>
      </c>
      <c r="M9" s="1822"/>
      <c r="N9" s="1842">
        <f>P6-N10</f>
        <v>225</v>
      </c>
      <c r="O9" s="1841">
        <f>N9*G9</f>
        <v>13978.499999999998</v>
      </c>
      <c r="P9" s="43"/>
      <c r="Q9" s="32"/>
      <c r="R9" s="913"/>
      <c r="S9" s="263" t="s">
        <v>1208</v>
      </c>
      <c r="T9" s="1840"/>
    </row>
    <row r="10" spans="1:41" s="1810" customFormat="1" ht="15" customHeight="1">
      <c r="A10" s="370"/>
      <c r="B10" s="239"/>
      <c r="C10" s="279" t="s">
        <v>1631</v>
      </c>
      <c r="D10" s="1819"/>
      <c r="E10" s="4872" t="s">
        <v>1338</v>
      </c>
      <c r="F10" s="4873"/>
      <c r="G10" s="1839">
        <f>SDÖ1!O41</f>
        <v>4</v>
      </c>
      <c r="H10" s="1834">
        <f>J6*0.25</f>
        <v>50</v>
      </c>
      <c r="I10" s="1833">
        <f>H10*G10</f>
        <v>200</v>
      </c>
      <c r="J10" s="1838"/>
      <c r="K10" s="1837">
        <f>M6*0.25</f>
        <v>62.5</v>
      </c>
      <c r="L10" s="1836">
        <f>K10*G10</f>
        <v>250</v>
      </c>
      <c r="M10" s="1835"/>
      <c r="N10" s="1834">
        <f>P6*0.25</f>
        <v>75</v>
      </c>
      <c r="O10" s="1833">
        <f>N10*G10</f>
        <v>300</v>
      </c>
      <c r="P10" s="1832"/>
      <c r="Q10" s="32"/>
      <c r="R10" s="1831">
        <f>I10+I11+I12</f>
        <v>200</v>
      </c>
      <c r="S10" s="1830">
        <f>L10+L11+L12</f>
        <v>250</v>
      </c>
      <c r="T10" s="1829">
        <f>O10+O11+O12</f>
        <v>300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2"/>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2"/>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178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R22" s="35"/>
    </row>
    <row r="23" spans="1:26" s="42" customFormat="1" ht="18.75" customHeight="1">
      <c r="A23" s="1284"/>
      <c r="B23" s="264" t="s">
        <v>222</v>
      </c>
      <c r="C23" s="1769"/>
      <c r="D23" s="1769"/>
      <c r="E23" s="38"/>
      <c r="F23" s="4876"/>
      <c r="G23" s="4877" t="s">
        <v>171</v>
      </c>
      <c r="H23" s="1584"/>
      <c r="I23" s="1583"/>
      <c r="J23" s="1567">
        <f>SUM(I25:I26)</f>
        <v>2250</v>
      </c>
      <c r="K23" s="1587"/>
      <c r="L23" s="1586"/>
      <c r="M23" s="1768">
        <f>SUM(L25:L26)</f>
        <v>2250</v>
      </c>
      <c r="N23" s="1584"/>
      <c r="O23" s="1583"/>
      <c r="P23" s="1567">
        <f>SUM(O25:O26)</f>
        <v>2250</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90</v>
      </c>
      <c r="G25" s="1762">
        <f>F25*(100+$D$24)/100</f>
        <v>90</v>
      </c>
      <c r="H25" s="1761">
        <v>25</v>
      </c>
      <c r="I25" s="1722">
        <f>H25*$G25</f>
        <v>2250</v>
      </c>
      <c r="J25" s="45"/>
      <c r="K25" s="1761">
        <f>H25</f>
        <v>25</v>
      </c>
      <c r="L25" s="1564">
        <f>K25*$G25</f>
        <v>2250</v>
      </c>
      <c r="M25" s="1557"/>
      <c r="N25" s="1761">
        <f>H25</f>
        <v>25</v>
      </c>
      <c r="O25" s="1722">
        <f>N25*$G25</f>
        <v>2250</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597.77200000000005</v>
      </c>
      <c r="K27" s="1716"/>
      <c r="L27" s="1715"/>
      <c r="M27" s="1585">
        <f>SUM(L30:L33)</f>
        <v>725.36500000000001</v>
      </c>
      <c r="N27" s="1714"/>
      <c r="O27" s="1713"/>
      <c r="P27" s="1582">
        <f>SUM(O30:O33)</f>
        <v>852.95799999999997</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VLOOKUP('SD8'!B36,'SD8'!B9:K44,3,FALSE)</f>
        <v>0.35</v>
      </c>
      <c r="F30" s="1742"/>
      <c r="G30" s="1741">
        <v>20</v>
      </c>
      <c r="H30" s="1739">
        <f>IF(J$6=0,0,(J$6*$E30+$G30+X13))</f>
        <v>90</v>
      </c>
      <c r="I30" s="1722">
        <f>H30*$D30</f>
        <v>393.3</v>
      </c>
      <c r="J30" s="45"/>
      <c r="K30" s="1740">
        <f>IF(M$6=0,0,(M$6*$E30+$G30+AA14))</f>
        <v>107.5</v>
      </c>
      <c r="L30" s="1564">
        <f>K30*$D30</f>
        <v>469.77500000000003</v>
      </c>
      <c r="M30" s="1557"/>
      <c r="N30" s="1739">
        <f>IF(P$6=0,0,(P$6*$E30+$G30+AD14))</f>
        <v>125</v>
      </c>
      <c r="O30" s="1722">
        <f>N30*$D30</f>
        <v>546.25</v>
      </c>
      <c r="P30" s="1686"/>
      <c r="Q30" s="32"/>
    </row>
    <row r="31" spans="1:26" s="42" customFormat="1" ht="15" customHeight="1">
      <c r="A31" s="1284"/>
      <c r="B31" s="272"/>
      <c r="C31" s="1284" t="s">
        <v>244</v>
      </c>
      <c r="D31" s="1691">
        <f>IF(SDÖ1!$U$17=TRUE,SDÖ1!O56,0)</f>
        <v>1.3740000000000001</v>
      </c>
      <c r="E31" s="1742">
        <f>VLOOKUP('SD8'!B36,'SD8'!B9:K44,4,FALSE)</f>
        <v>0.14000000000000001</v>
      </c>
      <c r="F31" s="1742"/>
      <c r="G31" s="1741"/>
      <c r="H31" s="1739">
        <f>IF(J$6=0,0,(J$6*$E31+$G31+X14))</f>
        <v>28.000000000000004</v>
      </c>
      <c r="I31" s="1722">
        <f>H31*$D31</f>
        <v>38.472000000000008</v>
      </c>
      <c r="J31" s="45"/>
      <c r="K31" s="1740">
        <f>IF(M$6=0,0,(M$6*$E31+$G31+Y14))</f>
        <v>35</v>
      </c>
      <c r="L31" s="1564">
        <f>K31*$D31</f>
        <v>48.09</v>
      </c>
      <c r="M31" s="1557"/>
      <c r="N31" s="1739">
        <f>IF(P$6=0,0,(P$6*$E31+$G31+Z14))</f>
        <v>42.000000000000007</v>
      </c>
      <c r="O31" s="1722">
        <f>N31*$D31</f>
        <v>57.708000000000013</v>
      </c>
      <c r="P31" s="1686"/>
      <c r="Q31" s="32"/>
    </row>
    <row r="32" spans="1:26" s="686" customFormat="1" ht="18.75" customHeight="1">
      <c r="A32" s="1248"/>
      <c r="B32" s="272"/>
      <c r="C32" s="1284" t="s">
        <v>242</v>
      </c>
      <c r="D32" s="1691">
        <f>IF(SDÖ1!$U$17=TRUE,SDÖ1!O57,0)</f>
        <v>1.35</v>
      </c>
      <c r="E32" s="1742">
        <f>VLOOKUP('SD8'!B36,'SD8'!B9:K44,5,FALSE)</f>
        <v>0.6</v>
      </c>
      <c r="F32" s="1742"/>
      <c r="G32" s="1741"/>
      <c r="H32" s="1739">
        <f>IF(J$6=0,0,(J$6*$E32+$G32+X15))</f>
        <v>120</v>
      </c>
      <c r="I32" s="1722">
        <f>H32*$D32</f>
        <v>162</v>
      </c>
      <c r="J32" s="45"/>
      <c r="K32" s="1740">
        <f>IF(M$6=0,0,(M$6*$E32+$G32+Y15))</f>
        <v>150</v>
      </c>
      <c r="L32" s="1564">
        <f>K32*$D32</f>
        <v>202.5</v>
      </c>
      <c r="M32" s="1557"/>
      <c r="N32" s="1739">
        <f>IF(P$6=0,0,(P$6*$E32+$G32+Z15))</f>
        <v>180</v>
      </c>
      <c r="O32" s="1722">
        <f>N32*$D32</f>
        <v>243.00000000000003</v>
      </c>
      <c r="P32" s="1686"/>
      <c r="Q32" s="32"/>
    </row>
    <row r="33" spans="1:17" s="686" customFormat="1" ht="13.15" customHeight="1">
      <c r="A33" s="1248"/>
      <c r="B33" s="239"/>
      <c r="C33" s="1309" t="s">
        <v>240</v>
      </c>
      <c r="D33" s="1674">
        <f>IF(SDÖ1!$U$17=TRUE,SDÖ1!O58,0)</f>
        <v>0.5</v>
      </c>
      <c r="E33" s="1738">
        <f>VLOOKUP('SD8'!B36,'SD8'!B9:K44,6,FALSE)</f>
        <v>0.04</v>
      </c>
      <c r="F33" s="1738"/>
      <c r="G33" s="1737"/>
      <c r="H33" s="1735">
        <f>IF(J$6=0,0,(J$6*$E33+$G33+X16))</f>
        <v>8</v>
      </c>
      <c r="I33" s="1718">
        <f>H33*$D33</f>
        <v>4</v>
      </c>
      <c r="J33" s="45"/>
      <c r="K33" s="1736">
        <f>IF(M$6=0,0,(M$6*$E33+$G33+Y16))</f>
        <v>10</v>
      </c>
      <c r="L33" s="1558">
        <f>K33*$D33</f>
        <v>5</v>
      </c>
      <c r="M33" s="1557"/>
      <c r="N33" s="1735">
        <f>IF(P$6=0,0,(P$6*$E33+$G33+Z16))</f>
        <v>12</v>
      </c>
      <c r="O33" s="1718">
        <f>N33*$D33</f>
        <v>6</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240.79607341932768</v>
      </c>
      <c r="K43" s="1716"/>
      <c r="L43" s="1715"/>
      <c r="M43" s="1585">
        <f>SUM(M46:M57)</f>
        <v>247.2586730546218</v>
      </c>
      <c r="N43" s="1714"/>
      <c r="O43" s="1713"/>
      <c r="P43" s="1582">
        <f>SUM(P46:P57)</f>
        <v>253.72127268991591</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422</v>
      </c>
      <c r="D46" s="4883"/>
      <c r="E46" s="1693">
        <f>IF($C46=0,0,VLOOKUP($C46,SDÖ3!$C$24:$O$99,4,FALSE))</f>
        <v>102</v>
      </c>
      <c r="F46" s="1692">
        <f>IF($C46=0,0,VLOOKUP($C46,SDÖ3!$C$24:$O$99,12,FALSE))</f>
        <v>1.7400000000000002</v>
      </c>
      <c r="G46" s="1691">
        <f>IF($C46=0,0,VLOOKUP($C46,SDÖ3!$C$24:$O$99,13,FALSE))</f>
        <v>42.981010840000003</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t="s">
        <v>453</v>
      </c>
      <c r="D48" s="4883"/>
      <c r="E48" s="1693">
        <f>IF($C48=0,0,VLOOKUP($C48,SDÖ3!$C$24:$O$99,4,FALSE))</f>
        <v>83</v>
      </c>
      <c r="F48" s="1692">
        <f>IF($C48=0,0,VLOOKUP($C48,SDÖ3!$C$24:$O$99,12,FALSE))</f>
        <v>0.57999999999999996</v>
      </c>
      <c r="G48" s="1691">
        <f>IF($C48=0,0,VLOOKUP($C48,SDÖ3!$C$24:$O$99,13,FALSE))</f>
        <v>14.584165872268905</v>
      </c>
      <c r="H48" s="1688">
        <v>1</v>
      </c>
      <c r="I48" s="1687">
        <f t="shared" si="4"/>
        <v>0.57999999999999996</v>
      </c>
      <c r="J48" s="1686">
        <f t="shared" si="5"/>
        <v>14.584165872268905</v>
      </c>
      <c r="K48" s="1688">
        <v>1</v>
      </c>
      <c r="L48" s="1690">
        <f t="shared" si="6"/>
        <v>0.57999999999999996</v>
      </c>
      <c r="M48" s="1689">
        <f t="shared" si="7"/>
        <v>14.584165872268905</v>
      </c>
      <c r="N48" s="1688">
        <v>1</v>
      </c>
      <c r="O48" s="1687">
        <f t="shared" si="8"/>
        <v>0.57999999999999996</v>
      </c>
      <c r="P48" s="1686">
        <f t="shared" si="9"/>
        <v>14.584165872268905</v>
      </c>
      <c r="Q48" s="32"/>
    </row>
    <row r="49" spans="1:17" s="42" customFormat="1" ht="15" customHeight="1">
      <c r="A49" s="1284"/>
      <c r="B49" s="1694"/>
      <c r="C49" s="4882" t="s">
        <v>374</v>
      </c>
      <c r="D49" s="4883"/>
      <c r="E49" s="1693">
        <f>IF($C49=0,0,VLOOKUP($C49,SDÖ3!$C$24:$O$99,4,FALSE))</f>
        <v>83</v>
      </c>
      <c r="F49" s="1692">
        <f>IF($C49=0,0,VLOOKUP($C49,SDÖ3!$C$24:$O$99,12,FALSE))</f>
        <v>1.1399999999999999</v>
      </c>
      <c r="G49" s="1691">
        <f>IF($C49=0,0,VLOOKUP($C49,SDÖ3!$C$24:$O$99,13,FALSE))</f>
        <v>31.267352355294115</v>
      </c>
      <c r="H49" s="1688">
        <v>1</v>
      </c>
      <c r="I49" s="1687">
        <f t="shared" si="4"/>
        <v>1.1399999999999999</v>
      </c>
      <c r="J49" s="1686">
        <f t="shared" si="5"/>
        <v>31.267352355294115</v>
      </c>
      <c r="K49" s="1688">
        <v>1</v>
      </c>
      <c r="L49" s="1690">
        <f t="shared" si="6"/>
        <v>1.1399999999999999</v>
      </c>
      <c r="M49" s="1689">
        <f t="shared" si="7"/>
        <v>31.267352355294115</v>
      </c>
      <c r="N49" s="1688">
        <v>1</v>
      </c>
      <c r="O49" s="1687">
        <f t="shared" si="8"/>
        <v>1.1399999999999999</v>
      </c>
      <c r="P49" s="1686">
        <f t="shared" si="9"/>
        <v>31.267352355294115</v>
      </c>
      <c r="Q49" s="32"/>
    </row>
    <row r="50" spans="1:17" s="42" customFormat="1" ht="15" customHeight="1">
      <c r="A50" s="1284"/>
      <c r="B50" s="1694"/>
      <c r="C50" s="4882" t="s">
        <v>370</v>
      </c>
      <c r="D50" s="4883"/>
      <c r="E50" s="1693">
        <f>IF($C50=0,0,VLOOKUP($C50,SDÖ3!$C$24:$O$99,4,FALSE))</f>
        <v>54</v>
      </c>
      <c r="F50" s="1692">
        <f>IF($C50=0,0,VLOOKUP($C50,SDÖ3!$C$24:$O$99,12,FALSE))</f>
        <v>0.71</v>
      </c>
      <c r="G50" s="1691">
        <f>IF($C50=0,0,VLOOKUP($C50,SDÖ3!$C$24:$O$99,13,FALSE))</f>
        <v>12.216527541176468</v>
      </c>
      <c r="H50" s="1688">
        <v>1</v>
      </c>
      <c r="I50" s="1687">
        <f t="shared" si="4"/>
        <v>0.71</v>
      </c>
      <c r="J50" s="1686">
        <f t="shared" si="5"/>
        <v>12.216527541176468</v>
      </c>
      <c r="K50" s="1688">
        <v>1</v>
      </c>
      <c r="L50" s="1690">
        <f t="shared" si="6"/>
        <v>0.71</v>
      </c>
      <c r="M50" s="1689">
        <f t="shared" si="7"/>
        <v>12.216527541176468</v>
      </c>
      <c r="N50" s="1688">
        <v>1</v>
      </c>
      <c r="O50" s="1687">
        <f t="shared" si="8"/>
        <v>0.71</v>
      </c>
      <c r="P50" s="1686">
        <f t="shared" si="9"/>
        <v>12.216527541176468</v>
      </c>
      <c r="Q50" s="32"/>
    </row>
    <row r="51" spans="1:17" s="42" customFormat="1" ht="15" customHeight="1">
      <c r="A51" s="1284"/>
      <c r="B51" s="1694"/>
      <c r="C51" s="4882" t="s">
        <v>368</v>
      </c>
      <c r="D51" s="4883"/>
      <c r="E51" s="1693">
        <f>IF($C51=0,0,VLOOKUP($C51,SDÖ3!$C$24:$O$99,4,FALSE))</f>
        <v>54</v>
      </c>
      <c r="F51" s="1692">
        <f>IF($C51=0,0,VLOOKUP($C51,SDÖ3!$C$24:$O$99,12,FALSE))</f>
        <v>0.95</v>
      </c>
      <c r="G51" s="1691">
        <f>IF($C51=0,0,VLOOKUP($C51,SDÖ3!$C$24:$O$99,13,FALSE))</f>
        <v>13.342381429411764</v>
      </c>
      <c r="H51" s="1688">
        <v>2</v>
      </c>
      <c r="I51" s="1687">
        <f t="shared" si="4"/>
        <v>1.9</v>
      </c>
      <c r="J51" s="1686">
        <f t="shared" si="5"/>
        <v>26.684762858823529</v>
      </c>
      <c r="K51" s="1688">
        <v>2</v>
      </c>
      <c r="L51" s="1690">
        <f t="shared" si="6"/>
        <v>1.9</v>
      </c>
      <c r="M51" s="1689">
        <f t="shared" si="7"/>
        <v>26.684762858823529</v>
      </c>
      <c r="N51" s="1688">
        <v>2</v>
      </c>
      <c r="O51" s="1687">
        <f t="shared" si="8"/>
        <v>1.9</v>
      </c>
      <c r="P51" s="1686">
        <f t="shared" si="9"/>
        <v>26.684762858823529</v>
      </c>
      <c r="Q51" s="32"/>
    </row>
    <row r="52" spans="1:17" s="42" customFormat="1" ht="15" customHeight="1">
      <c r="A52" s="1284"/>
      <c r="B52" s="1694"/>
      <c r="C52" s="4882" t="s">
        <v>419</v>
      </c>
      <c r="D52" s="4883"/>
      <c r="E52" s="1693">
        <f>IF($C52=0,0,VLOOKUP($C52,SDÖ3!$C$24:$O$99,4,FALSE))</f>
        <v>83</v>
      </c>
      <c r="F52" s="1692">
        <f>IF($C52=0,0,VLOOKUP($C52,SDÖ3!$C$24:$O$99,12,FALSE))</f>
        <v>0.39</v>
      </c>
      <c r="G52" s="1691">
        <f>IF($C52=0,0,VLOOKUP($C52,SDÖ3!$C$24:$O$99,13,FALSE))</f>
        <v>6.5093573847058819</v>
      </c>
      <c r="H52" s="1688">
        <v>4</v>
      </c>
      <c r="I52" s="1687">
        <f t="shared" si="4"/>
        <v>1.56</v>
      </c>
      <c r="J52" s="1686">
        <f t="shared" si="5"/>
        <v>26.037429538823528</v>
      </c>
      <c r="K52" s="1688">
        <v>4</v>
      </c>
      <c r="L52" s="1690">
        <f t="shared" si="6"/>
        <v>1.56</v>
      </c>
      <c r="M52" s="1689">
        <f t="shared" si="7"/>
        <v>26.037429538823528</v>
      </c>
      <c r="N52" s="1688">
        <v>4</v>
      </c>
      <c r="O52" s="1687">
        <f t="shared" si="8"/>
        <v>1.56</v>
      </c>
      <c r="P52" s="1686">
        <f t="shared" si="9"/>
        <v>26.037429538823528</v>
      </c>
      <c r="Q52" s="32"/>
    </row>
    <row r="53" spans="1:17" s="42" customFormat="1" ht="15" customHeight="1">
      <c r="A53" s="1284"/>
      <c r="B53" s="1694"/>
      <c r="C53" s="4882" t="s">
        <v>362</v>
      </c>
      <c r="D53" s="4883"/>
      <c r="E53" s="1693">
        <f>IF($C53=0,0,VLOOKUP($C53,SDÖ3!$C$24:$O$99,4,FALSE))</f>
        <v>54</v>
      </c>
      <c r="F53" s="1692">
        <f>IF($C53=0,0,VLOOKUP($C53,SDÖ3!$C$24:$O$99,12,FALSE))</f>
        <v>0.95</v>
      </c>
      <c r="G53" s="1691">
        <f>IF($C53=0,0,VLOOKUP($C53,SDÖ3!$C$24:$O$99,13,FALSE))</f>
        <v>18.331973470588231</v>
      </c>
      <c r="H53" s="1688">
        <v>1</v>
      </c>
      <c r="I53" s="1687">
        <f t="shared" si="4"/>
        <v>0.95</v>
      </c>
      <c r="J53" s="1686">
        <f t="shared" si="5"/>
        <v>18.331973470588231</v>
      </c>
      <c r="K53" s="1688">
        <v>1</v>
      </c>
      <c r="L53" s="1690">
        <f t="shared" si="6"/>
        <v>0.95</v>
      </c>
      <c r="M53" s="1689">
        <f t="shared" si="7"/>
        <v>18.331973470588231</v>
      </c>
      <c r="N53" s="1688">
        <v>1</v>
      </c>
      <c r="O53" s="1687">
        <f t="shared" si="8"/>
        <v>0.95</v>
      </c>
      <c r="P53" s="1686">
        <f t="shared" si="9"/>
        <v>18.331973470588231</v>
      </c>
      <c r="Q53" s="38"/>
    </row>
    <row r="54" spans="1:17" s="42" customFormat="1" ht="15" customHeight="1">
      <c r="A54" s="1284"/>
      <c r="B54" s="1694"/>
      <c r="C54" s="4882" t="s">
        <v>1437</v>
      </c>
      <c r="D54" s="4883"/>
      <c r="E54" s="1693">
        <f>IF($C54=0,0,VLOOKUP($C54,SDÖ3!$C$24:$O$99,4,FALSE))</f>
        <v>0</v>
      </c>
      <c r="F54" s="1692">
        <f>IF($C54=0,0,VLOOKUP($C54,SDÖ3!$C$24:$O$99,12,FALSE))</f>
        <v>1.08</v>
      </c>
      <c r="G54" s="1691">
        <f>IF($C54=0,0,VLOOKUP($C54,SDÖ3!$C$24:$O$99,13,FALSE))</f>
        <v>0</v>
      </c>
      <c r="H54" s="1688">
        <v>1</v>
      </c>
      <c r="I54" s="1687">
        <f t="shared" si="4"/>
        <v>1.08</v>
      </c>
      <c r="J54" s="1686">
        <f t="shared" si="5"/>
        <v>0</v>
      </c>
      <c r="K54" s="1688">
        <v>1</v>
      </c>
      <c r="L54" s="1690">
        <f t="shared" si="6"/>
        <v>1.08</v>
      </c>
      <c r="M54" s="1689">
        <f t="shared" si="7"/>
        <v>0</v>
      </c>
      <c r="N54" s="1688">
        <v>1.2</v>
      </c>
      <c r="O54" s="1687">
        <f t="shared" si="8"/>
        <v>1.296</v>
      </c>
      <c r="P54" s="1686">
        <f t="shared" si="9"/>
        <v>0</v>
      </c>
      <c r="Q54" s="38"/>
    </row>
    <row r="55" spans="1:17" s="42" customFormat="1" ht="15" customHeight="1">
      <c r="A55" s="1284"/>
      <c r="B55" s="1694"/>
      <c r="C55" s="4882" t="s">
        <v>352</v>
      </c>
      <c r="D55" s="4883"/>
      <c r="E55" s="1693">
        <f>IF($C55=0,0,VLOOKUP($C55,SDÖ3!$C$24:$O$99,4,FALSE))</f>
        <v>54</v>
      </c>
      <c r="F55" s="1692">
        <f>IF($C55=0,0,VLOOKUP($C55,SDÖ3!$C$24:$O$99,12,FALSE))</f>
        <v>1.95</v>
      </c>
      <c r="G55" s="1691">
        <f>IF($C55=0,0,VLOOKUP($C55,SDÖ3!$C$24:$O$99,13,FALSE))</f>
        <v>32.312998176470586</v>
      </c>
      <c r="H55" s="1688">
        <v>1.1000000000000001</v>
      </c>
      <c r="I55" s="1687">
        <f t="shared" si="4"/>
        <v>2.145</v>
      </c>
      <c r="J55" s="1686">
        <f t="shared" si="5"/>
        <v>35.544297994117649</v>
      </c>
      <c r="K55" s="1688">
        <v>1.3</v>
      </c>
      <c r="L55" s="1690">
        <f t="shared" si="6"/>
        <v>2.5350000000000001</v>
      </c>
      <c r="M55" s="1689">
        <f t="shared" si="7"/>
        <v>42.00689762941176</v>
      </c>
      <c r="N55" s="1688">
        <v>1.5</v>
      </c>
      <c r="O55" s="1687">
        <f t="shared" si="8"/>
        <v>2.9249999999999998</v>
      </c>
      <c r="P55" s="1686">
        <f t="shared" si="9"/>
        <v>48.469497264705879</v>
      </c>
      <c r="Q55" s="32"/>
    </row>
    <row r="56" spans="1:17" s="42" customFormat="1" ht="14.25" customHeight="1">
      <c r="A56" s="1284"/>
      <c r="B56" s="1885"/>
      <c r="C56" s="4889" t="s">
        <v>456</v>
      </c>
      <c r="D56" s="4890"/>
      <c r="E56" s="1693">
        <f>IF($C56=0,0,VLOOKUP($C56,SDÖ3!$C$24:$O$99,4,FALSE))</f>
        <v>102</v>
      </c>
      <c r="F56" s="1692">
        <f>IF($C56=0,0,VLOOKUP($C56,SDÖ3!$C$24:$O$99,12,FALSE))</f>
        <v>0.54</v>
      </c>
      <c r="G56" s="1691">
        <f>IF($C56=0,0,VLOOKUP($C56,SDÖ3!$C$24:$O$99,13,FALSE))</f>
        <v>16.940645199999999</v>
      </c>
      <c r="H56" s="1879">
        <v>1</v>
      </c>
      <c r="I56" s="1878">
        <f t="shared" si="4"/>
        <v>0.54</v>
      </c>
      <c r="J56" s="1877">
        <f t="shared" si="5"/>
        <v>16.940645199999999</v>
      </c>
      <c r="K56" s="1879">
        <v>1</v>
      </c>
      <c r="L56" s="1881">
        <f t="shared" si="6"/>
        <v>0.54</v>
      </c>
      <c r="M56" s="1880">
        <f t="shared" si="7"/>
        <v>16.940645199999999</v>
      </c>
      <c r="N56" s="1879">
        <v>1</v>
      </c>
      <c r="O56" s="1878">
        <f t="shared" si="8"/>
        <v>0.54</v>
      </c>
      <c r="P56" s="1877">
        <f t="shared" si="9"/>
        <v>16.940645199999999</v>
      </c>
      <c r="Q56" s="32"/>
    </row>
    <row r="57" spans="1:17" s="42" customFormat="1" ht="24.75" customHeight="1">
      <c r="A57" s="1284"/>
      <c r="B57" s="1625"/>
      <c r="C57" s="4896"/>
      <c r="D57" s="4897"/>
      <c r="E57" s="3565">
        <f>IF($C57=0,0,VLOOKUP($C57,SDÖ3!$C$24:$O$99,4,FALSE))</f>
        <v>0</v>
      </c>
      <c r="F57" s="3566">
        <f>IF($C57=0,0,VLOOKUP($C57,SDÖ3!$C$24:$O$99,12,FALSE))</f>
        <v>0</v>
      </c>
      <c r="G57" s="3567">
        <f>IF($C57=0,0,VLOOKUP($C57,SDÖ3!$C$24:$O$99,13,FALSE))</f>
        <v>0</v>
      </c>
      <c r="H57" s="1672"/>
      <c r="I57" s="1671">
        <f>SUM(I44:I56)</f>
        <v>12.044999999999998</v>
      </c>
      <c r="J57" s="1670"/>
      <c r="K57" s="1672"/>
      <c r="L57" s="1673">
        <f>SUM(L44:L56)</f>
        <v>12.434999999999999</v>
      </c>
      <c r="M57" s="1620"/>
      <c r="N57" s="1672"/>
      <c r="O57" s="1671">
        <f>SUM(O44:O56)</f>
        <v>13.040999999999997</v>
      </c>
      <c r="P57" s="1670"/>
      <c r="Q57" s="32"/>
    </row>
    <row r="58" spans="1:17" s="686" customFormat="1" ht="18.75" customHeight="1">
      <c r="A58" s="1248"/>
      <c r="B58" s="1254" t="s">
        <v>1167</v>
      </c>
      <c r="C58" s="1351"/>
      <c r="D58" s="1351"/>
      <c r="E58" s="1351"/>
      <c r="F58" s="38"/>
      <c r="G58" s="1588"/>
      <c r="H58" s="1665"/>
      <c r="I58" s="1664">
        <f>SUM($I$46:$I$57)</f>
        <v>24.089999999999996</v>
      </c>
      <c r="J58" s="1669"/>
      <c r="K58" s="1668"/>
      <c r="L58" s="1667">
        <f>SUM($L$46:$L$57)</f>
        <v>24.869999999999997</v>
      </c>
      <c r="M58" s="1666"/>
      <c r="N58" s="1665"/>
      <c r="O58" s="1664">
        <f>SUM($O$46:$O$57)</f>
        <v>26.081999999999994</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34.089999999999996</v>
      </c>
      <c r="J59" s="1654"/>
      <c r="K59" s="1659"/>
      <c r="L59" s="1658">
        <f>IF(L58+SUM($L$46:$L$57)*$E$59%&gt;L58+10,L58+10,L58+SUM($L$46:$L$57)*$E$59%)</f>
        <v>34.869999999999997</v>
      </c>
      <c r="M59" s="1657"/>
      <c r="N59" s="1656"/>
      <c r="O59" s="1655">
        <f>IF(O58+SUM($O$46:$O$57)*$E$59%&gt;O58+10,O58+10,O58+SUM($O$46:$O$57)*$E$59%)</f>
        <v>36.081999999999994</v>
      </c>
      <c r="P59" s="1654"/>
      <c r="Q59" s="32"/>
    </row>
    <row r="60" spans="1:17" s="65" customFormat="1" ht="18.75" customHeight="1">
      <c r="A60" s="1351"/>
      <c r="B60" s="1254" t="s">
        <v>1164</v>
      </c>
      <c r="C60" s="1351"/>
      <c r="D60" s="1351"/>
      <c r="E60" s="45"/>
      <c r="F60" s="45"/>
      <c r="G60" s="1653"/>
      <c r="H60" s="1645"/>
      <c r="I60" s="1644"/>
      <c r="J60" s="1652">
        <f>IF(J6=0,0,SUM(I62:I64))</f>
        <v>600</v>
      </c>
      <c r="K60" s="1648"/>
      <c r="L60" s="1647"/>
      <c r="M60" s="1585">
        <f>IF(M6=0,0,SUM(L62:L64))</f>
        <v>600</v>
      </c>
      <c r="N60" s="1645"/>
      <c r="O60" s="1644"/>
      <c r="P60" s="1652">
        <f>IF(P6=0,0,SUM(O62:O64))</f>
        <v>600</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320</v>
      </c>
      <c r="D62" s="4860"/>
      <c r="E62" s="4860"/>
      <c r="F62" s="1642">
        <f>IF($C62=0,0,VLOOKUP($C62,'SDK3'!$C$92:$D$106,2,FALSE))</f>
        <v>600</v>
      </c>
      <c r="G62" s="1641">
        <f>(100+$D$61)/100*F62</f>
        <v>600</v>
      </c>
      <c r="H62" s="227"/>
      <c r="I62" s="1637">
        <f>$G$62</f>
        <v>600</v>
      </c>
      <c r="J62" s="227"/>
      <c r="K62" s="1640"/>
      <c r="L62" s="1639">
        <f>$G$62</f>
        <v>600</v>
      </c>
      <c r="M62" s="1557"/>
      <c r="N62" s="1638"/>
      <c r="O62" s="1637">
        <f>$G$62</f>
        <v>600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88" t="s">
        <v>1159</v>
      </c>
      <c r="D68" s="4888"/>
      <c r="E68" s="4888"/>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152.30399999999997</v>
      </c>
      <c r="K69" s="1598"/>
      <c r="L69" s="1597"/>
      <c r="M69" s="1585">
        <f>K70*$F70/1000</f>
        <v>190.37999999999997</v>
      </c>
      <c r="N69" s="44"/>
      <c r="O69" s="73"/>
      <c r="P69" s="1582">
        <f>N70*$F70/1000</f>
        <v>228.45599999999996</v>
      </c>
      <c r="Q69" s="32"/>
    </row>
    <row r="70" spans="1:20" s="686" customFormat="1" ht="15" customHeight="1">
      <c r="A70" s="1248"/>
      <c r="B70" s="1310"/>
      <c r="C70" s="1309" t="s">
        <v>840</v>
      </c>
      <c r="D70" s="346"/>
      <c r="E70" s="278"/>
      <c r="F70" s="1596">
        <f>'SDK7'!G101</f>
        <v>16</v>
      </c>
      <c r="G70" s="1595" t="s">
        <v>171</v>
      </c>
      <c r="H70" s="1591">
        <f>I9+I10</f>
        <v>9518.9999999999982</v>
      </c>
      <c r="I70" s="1590"/>
      <c r="J70" s="1589"/>
      <c r="K70" s="1594">
        <f>L9+L10</f>
        <v>11898.749999999998</v>
      </c>
      <c r="L70" s="1593"/>
      <c r="M70" s="1592"/>
      <c r="N70" s="1591">
        <f>O9+O10</f>
        <v>14278.499999999998</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3"/>
      <c r="R73" s="2497"/>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2498"/>
      <c r="R74" s="2497"/>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44.810174189892159</v>
      </c>
      <c r="K75" s="3031"/>
      <c r="L75" s="1034"/>
      <c r="M75" s="1546">
        <f>(M23+M27+M34+M43+M60+M65+M67+M69+M71)*('SDK1'!$O$59%*$G$75/12)</f>
        <v>46.818376185637256</v>
      </c>
      <c r="N75" s="1548"/>
      <c r="O75" s="1547"/>
      <c r="P75" s="1546">
        <f>(P23+P27+P34+P43+P60+P65+P67+P69+P71)*('SDK1'!$O$59%*$G$75/12)</f>
        <v>48.826578181382352</v>
      </c>
      <c r="Q75" s="32"/>
    </row>
    <row r="76" spans="1:20">
      <c r="L76" s="33"/>
    </row>
    <row r="77" spans="1:20">
      <c r="G77" s="3590"/>
      <c r="H77" s="3590"/>
      <c r="I77" s="3590"/>
      <c r="J77" s="3590"/>
      <c r="K77" s="3590"/>
      <c r="L77" s="3590"/>
      <c r="M77" s="3590"/>
      <c r="N77" s="3590"/>
      <c r="O77" s="3590"/>
      <c r="P77" s="3590"/>
      <c r="Q77" s="3590"/>
    </row>
    <row r="78" spans="1:20" ht="14.25">
      <c r="C78" s="4950" t="s">
        <v>1888</v>
      </c>
      <c r="D78" s="4951"/>
      <c r="E78" s="4951"/>
      <c r="F78" s="4952"/>
      <c r="G78" s="3590"/>
      <c r="H78" s="3590"/>
      <c r="I78" s="3590"/>
      <c r="J78" s="3590"/>
      <c r="K78" s="3590"/>
      <c r="L78" s="3590"/>
      <c r="M78" s="3590"/>
      <c r="N78" s="3590"/>
      <c r="O78" s="3590"/>
      <c r="P78" s="3590"/>
      <c r="Q78" s="3590"/>
    </row>
    <row r="79" spans="1:20">
      <c r="C79" s="4943" t="s">
        <v>295</v>
      </c>
      <c r="D79" s="4944"/>
      <c r="E79" s="4944"/>
      <c r="F79" s="4945"/>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590"/>
      <c r="H82" s="3590"/>
      <c r="I82" s="3590"/>
      <c r="J82" s="3590"/>
      <c r="K82" s="3590"/>
      <c r="L82" s="3590"/>
      <c r="M82" s="3590"/>
      <c r="N82" s="3590"/>
      <c r="O82" s="3590"/>
      <c r="P82" s="3590"/>
      <c r="Q82" s="3590"/>
    </row>
    <row r="83" spans="2:17" ht="14.25">
      <c r="B83" s="3046"/>
      <c r="C83" s="3042" t="s">
        <v>1886</v>
      </c>
      <c r="D83" s="3043"/>
      <c r="E83" s="3043"/>
      <c r="F83" s="3044"/>
      <c r="G83" s="3590"/>
      <c r="H83" s="3590"/>
      <c r="I83" s="3590"/>
      <c r="J83" s="3590"/>
      <c r="K83" s="3590"/>
      <c r="L83" s="3590"/>
      <c r="M83" s="3590"/>
      <c r="N83" s="3590"/>
      <c r="O83" s="3590"/>
      <c r="P83" s="3590"/>
      <c r="Q83" s="3590"/>
    </row>
    <row r="84" spans="2:17" ht="14.25">
      <c r="B84" s="3046"/>
      <c r="C84" s="3042" t="s">
        <v>1887</v>
      </c>
      <c r="D84" s="3043"/>
      <c r="E84" s="3043"/>
      <c r="F84" s="3044"/>
      <c r="G84" s="3590"/>
      <c r="H84" s="3590"/>
      <c r="I84" s="3590"/>
      <c r="J84" s="3590"/>
      <c r="K84" s="3590"/>
      <c r="L84" s="3590"/>
      <c r="M84" s="3590"/>
      <c r="N84" s="3590"/>
      <c r="O84" s="3590"/>
      <c r="P84" s="3590"/>
      <c r="Q84" s="3590"/>
    </row>
    <row r="85" spans="2:17">
      <c r="B85" s="3046"/>
      <c r="C85" s="3034" t="s">
        <v>293</v>
      </c>
      <c r="D85" s="3035"/>
      <c r="E85" s="3035"/>
      <c r="F85" s="3036"/>
      <c r="G85" s="3590"/>
      <c r="H85" s="3590"/>
      <c r="I85" s="3590"/>
      <c r="J85" s="3590"/>
      <c r="K85" s="3590"/>
      <c r="L85" s="3590"/>
      <c r="M85" s="3590"/>
      <c r="N85" s="3590"/>
      <c r="O85" s="3590"/>
      <c r="P85" s="3590"/>
      <c r="Q85" s="3590"/>
    </row>
    <row r="86" spans="2:17">
      <c r="B86" s="3046"/>
      <c r="C86" s="3034" t="s">
        <v>292</v>
      </c>
      <c r="D86" s="3035"/>
      <c r="E86" s="3035"/>
      <c r="F86" s="3036"/>
      <c r="G86" s="3590"/>
      <c r="H86" s="3590"/>
      <c r="I86" s="3590"/>
      <c r="J86" s="3590"/>
      <c r="K86" s="3590"/>
      <c r="L86" s="3590"/>
      <c r="M86" s="3590"/>
      <c r="N86" s="3590"/>
      <c r="O86" s="3590"/>
      <c r="P86" s="3590"/>
      <c r="Q86" s="3590"/>
    </row>
    <row r="87" spans="2:17" ht="14.25">
      <c r="B87" s="3046"/>
      <c r="C87" s="3034" t="s">
        <v>291</v>
      </c>
      <c r="D87" s="3035"/>
      <c r="E87" s="3035"/>
      <c r="F87" s="3036"/>
      <c r="G87" s="3590"/>
      <c r="H87" s="3590"/>
      <c r="I87" s="3590"/>
      <c r="J87" s="3590"/>
      <c r="K87" s="3590"/>
      <c r="L87" s="3590"/>
      <c r="M87" s="3590"/>
      <c r="N87" s="3590"/>
      <c r="O87" s="3590"/>
      <c r="P87" s="3590"/>
      <c r="Q87" s="3590"/>
    </row>
    <row r="88" spans="2:17" ht="13.15" customHeight="1">
      <c r="B88" s="3046"/>
      <c r="C88" s="3034" t="s">
        <v>290</v>
      </c>
      <c r="D88" s="3037"/>
      <c r="E88" s="3037"/>
      <c r="F88" s="3038"/>
      <c r="G88" s="3590"/>
      <c r="H88" s="3590"/>
      <c r="I88" s="3590"/>
      <c r="J88" s="3590"/>
      <c r="K88" s="3590"/>
      <c r="L88" s="3590"/>
      <c r="M88" s="3590"/>
      <c r="N88" s="3590"/>
      <c r="O88" s="3590"/>
      <c r="P88" s="3590"/>
      <c r="Q88" s="3590"/>
    </row>
    <row r="89" spans="2:17">
      <c r="B89" s="3046"/>
      <c r="C89" s="3034" t="s">
        <v>289</v>
      </c>
      <c r="D89" s="3037"/>
      <c r="E89" s="3037"/>
      <c r="F89" s="3038"/>
      <c r="G89" s="3590"/>
      <c r="H89" s="3590"/>
      <c r="I89" s="3590"/>
      <c r="J89" s="3590"/>
      <c r="K89" s="3590"/>
      <c r="L89" s="3590"/>
      <c r="M89" s="3590"/>
      <c r="N89" s="3590"/>
      <c r="O89" s="3590"/>
      <c r="P89" s="3590"/>
      <c r="Q89" s="3590"/>
    </row>
    <row r="90" spans="2:17" ht="25.5">
      <c r="B90" s="3046"/>
      <c r="C90" s="3039" t="s">
        <v>288</v>
      </c>
      <c r="D90" s="3040"/>
      <c r="E90" s="3040"/>
      <c r="F90" s="3041"/>
      <c r="G90" s="3590"/>
      <c r="H90" s="3590"/>
      <c r="I90" s="3590"/>
      <c r="J90" s="3590"/>
      <c r="K90" s="3590"/>
      <c r="L90" s="3590"/>
      <c r="M90" s="3590"/>
      <c r="N90" s="3590"/>
      <c r="O90" s="3590"/>
      <c r="P90" s="3590"/>
      <c r="Q90" s="3590"/>
    </row>
    <row r="91" spans="2:17">
      <c r="C91" s="33"/>
      <c r="D91" s="33"/>
      <c r="E91" s="33"/>
      <c r="F91" s="2506"/>
      <c r="G91" s="3590"/>
      <c r="H91" s="3590"/>
      <c r="I91" s="3590"/>
      <c r="J91" s="3590"/>
      <c r="K91" s="3590"/>
      <c r="L91" s="3590"/>
      <c r="M91" s="3590"/>
      <c r="N91" s="3590"/>
      <c r="O91" s="3590"/>
      <c r="P91" s="3590"/>
      <c r="Q91" s="3590"/>
    </row>
    <row r="92" spans="2:17">
      <c r="C92" s="33"/>
      <c r="D92" s="33"/>
      <c r="E92" s="33"/>
      <c r="F92" s="2506"/>
      <c r="G92" s="3590"/>
      <c r="H92" s="3590"/>
      <c r="I92" s="3590"/>
      <c r="J92" s="3590"/>
      <c r="K92" s="3590"/>
      <c r="L92" s="3590"/>
      <c r="M92" s="3590"/>
      <c r="N92" s="3590"/>
      <c r="O92" s="3590"/>
      <c r="P92" s="3590"/>
      <c r="Q92" s="3590"/>
    </row>
    <row r="93" spans="2:17">
      <c r="C93" s="33"/>
      <c r="D93" s="33"/>
      <c r="E93" s="33"/>
      <c r="F93" s="2506"/>
      <c r="G93" s="3590"/>
      <c r="H93" s="3590"/>
      <c r="I93" s="3590"/>
      <c r="J93" s="3590"/>
      <c r="K93" s="3590"/>
      <c r="L93" s="3590"/>
      <c r="M93" s="3590"/>
      <c r="N93" s="3590"/>
      <c r="O93" s="3590"/>
      <c r="P93" s="3590"/>
      <c r="Q93" s="3590"/>
    </row>
    <row r="94" spans="2:17">
      <c r="C94" s="33"/>
      <c r="D94" s="33"/>
      <c r="E94" s="33"/>
      <c r="F94" s="2506"/>
      <c r="G94" s="3590"/>
      <c r="H94" s="3590"/>
      <c r="I94" s="3590"/>
      <c r="J94" s="3590"/>
      <c r="K94" s="3590"/>
      <c r="L94" s="3590"/>
      <c r="M94" s="3590"/>
      <c r="N94" s="3590"/>
      <c r="O94" s="3590"/>
      <c r="P94" s="3590"/>
      <c r="Q94" s="3590"/>
    </row>
    <row r="95" spans="2:17">
      <c r="C95" s="33"/>
      <c r="D95" s="33"/>
      <c r="E95" s="33"/>
      <c r="F95" s="2506"/>
      <c r="G95" s="3590"/>
      <c r="H95" s="3590"/>
      <c r="I95" s="3590"/>
      <c r="J95" s="3590"/>
      <c r="K95" s="3590"/>
      <c r="L95" s="3590"/>
      <c r="M95" s="3590"/>
      <c r="N95" s="3590"/>
      <c r="O95" s="3590"/>
      <c r="P95" s="3590"/>
      <c r="Q95" s="3590"/>
    </row>
    <row r="96" spans="2:17">
      <c r="C96" s="33"/>
      <c r="D96" s="33"/>
      <c r="E96" s="33"/>
      <c r="F96" s="2506"/>
      <c r="G96" s="3590"/>
      <c r="H96" s="3590"/>
      <c r="I96" s="3590"/>
      <c r="J96" s="3590"/>
      <c r="K96" s="3590"/>
      <c r="L96" s="3590"/>
      <c r="M96" s="3590"/>
      <c r="N96" s="3590"/>
      <c r="O96" s="3590"/>
      <c r="P96" s="3590"/>
      <c r="Q96" s="3590"/>
    </row>
    <row r="97" spans="2:17">
      <c r="C97" s="33"/>
      <c r="D97" s="33"/>
      <c r="E97" s="33"/>
      <c r="G97" s="3590"/>
      <c r="H97" s="3590"/>
      <c r="I97" s="3590"/>
      <c r="J97" s="3590"/>
      <c r="K97" s="3590"/>
      <c r="L97" s="3590"/>
      <c r="M97" s="3590"/>
      <c r="N97" s="3590"/>
      <c r="O97" s="3590"/>
      <c r="P97" s="3590"/>
      <c r="Q97" s="3590"/>
    </row>
    <row r="98" spans="2:17">
      <c r="C98" s="33"/>
      <c r="D98" s="33"/>
      <c r="E98" s="33"/>
      <c r="G98" s="3590"/>
      <c r="H98" s="3590"/>
      <c r="I98" s="3590"/>
      <c r="J98" s="3590"/>
      <c r="K98" s="3590"/>
      <c r="L98" s="3590"/>
      <c r="M98" s="3590"/>
      <c r="N98" s="3590"/>
      <c r="O98" s="3590"/>
      <c r="P98" s="3590"/>
      <c r="Q98" s="3590"/>
    </row>
    <row r="99" spans="2:17">
      <c r="B99" s="33"/>
      <c r="C99" s="33"/>
      <c r="D99" s="33"/>
      <c r="G99" s="3590"/>
      <c r="H99" s="3590"/>
      <c r="I99" s="3590"/>
      <c r="J99" s="3590"/>
      <c r="K99" s="3590"/>
      <c r="L99" s="3590"/>
      <c r="M99" s="3590"/>
      <c r="N99" s="3590"/>
      <c r="O99" s="3590"/>
      <c r="P99" s="3590"/>
      <c r="Q99" s="3590"/>
    </row>
    <row r="100" spans="2:17">
      <c r="B100" s="33"/>
      <c r="C100" s="33"/>
      <c r="D100" s="33"/>
      <c r="G100" s="3590"/>
      <c r="H100" s="3590"/>
      <c r="I100" s="3590"/>
      <c r="J100" s="3590"/>
      <c r="K100" s="3590"/>
      <c r="L100" s="3590"/>
      <c r="M100" s="3590"/>
      <c r="N100" s="3590"/>
      <c r="O100" s="3590"/>
      <c r="P100" s="3590"/>
      <c r="Q100" s="3590"/>
    </row>
    <row r="101" spans="2:17">
      <c r="B101" s="33"/>
      <c r="C101" s="33"/>
      <c r="D101" s="33"/>
      <c r="G101" s="3590"/>
      <c r="H101" s="3590"/>
      <c r="I101" s="3590"/>
      <c r="J101" s="3590"/>
      <c r="K101" s="3590"/>
      <c r="L101" s="3590"/>
      <c r="M101" s="3590"/>
      <c r="N101" s="3590"/>
      <c r="O101" s="3590"/>
      <c r="P101" s="3590"/>
      <c r="Q101" s="3590"/>
    </row>
    <row r="102" spans="2:17">
      <c r="B102" s="33"/>
      <c r="C102" s="33"/>
      <c r="D102" s="33"/>
      <c r="G102" s="3590"/>
      <c r="H102" s="3590"/>
      <c r="I102" s="3590"/>
      <c r="J102" s="3590"/>
      <c r="K102" s="3590"/>
      <c r="L102" s="3590"/>
      <c r="M102" s="3590"/>
      <c r="N102" s="3590"/>
      <c r="O102" s="3590"/>
      <c r="P102" s="3590"/>
      <c r="Q102" s="3590"/>
    </row>
    <row r="103" spans="2:17">
      <c r="B103" s="33"/>
      <c r="C103" s="33"/>
      <c r="D103" s="33"/>
      <c r="G103" s="3590"/>
      <c r="I103" s="3590"/>
      <c r="J103" s="3590"/>
      <c r="K103" s="3590"/>
      <c r="L103" s="3590"/>
      <c r="M103" s="3590"/>
      <c r="N103" s="3590"/>
      <c r="O103" s="3590"/>
      <c r="P103" s="3590"/>
      <c r="Q103" s="3590"/>
    </row>
    <row r="104" spans="2:17">
      <c r="B104" s="33"/>
      <c r="C104" s="33"/>
      <c r="D104" s="33"/>
      <c r="G104" s="3590"/>
      <c r="H104" s="3590"/>
      <c r="I104" s="3590"/>
      <c r="J104" s="3590"/>
      <c r="K104" s="3590"/>
      <c r="L104" s="3590"/>
      <c r="M104" s="3590"/>
      <c r="N104" s="3590"/>
      <c r="O104" s="3590"/>
      <c r="P104" s="3590"/>
      <c r="Q104" s="3590"/>
    </row>
    <row r="105" spans="2:17">
      <c r="B105" s="33"/>
      <c r="C105" s="33"/>
      <c r="D105" s="33"/>
      <c r="G105" s="3590"/>
      <c r="H105" s="3590"/>
      <c r="I105" s="3590"/>
      <c r="J105" s="3590"/>
      <c r="K105" s="3590"/>
      <c r="L105" s="3590"/>
      <c r="M105" s="3590"/>
      <c r="N105" s="3590"/>
      <c r="O105" s="3590"/>
      <c r="P105" s="3590"/>
      <c r="Q105" s="3590"/>
    </row>
    <row r="106" spans="2:17">
      <c r="B106" s="33"/>
      <c r="C106" s="33"/>
      <c r="D106" s="33"/>
      <c r="G106" s="3590"/>
      <c r="H106" s="3590"/>
      <c r="I106" s="3590"/>
      <c r="J106" s="3590"/>
      <c r="K106" s="3590"/>
      <c r="L106" s="3590"/>
      <c r="M106" s="3590"/>
      <c r="N106" s="3590"/>
      <c r="O106" s="3590"/>
      <c r="P106" s="3590"/>
      <c r="Q106" s="3590"/>
    </row>
    <row r="107" spans="2:17">
      <c r="G107" s="3590"/>
      <c r="H107" s="3590"/>
      <c r="I107" s="3590"/>
      <c r="J107" s="3590"/>
      <c r="K107" s="3590"/>
      <c r="L107" s="3590"/>
      <c r="M107" s="3590"/>
      <c r="N107" s="3590"/>
      <c r="O107" s="3590"/>
      <c r="P107" s="3590"/>
      <c r="Q107" s="3590"/>
    </row>
    <row r="108" spans="2:17">
      <c r="G108" s="3590"/>
      <c r="H108" s="3590"/>
      <c r="I108" s="3590"/>
      <c r="J108" s="3590"/>
      <c r="K108" s="3590"/>
      <c r="L108" s="3590"/>
      <c r="M108" s="3590"/>
      <c r="N108" s="3590"/>
      <c r="O108" s="3590"/>
      <c r="P108" s="3590"/>
      <c r="Q108" s="3590"/>
    </row>
    <row r="109" spans="2:17">
      <c r="G109" s="3590"/>
      <c r="H109" s="3590"/>
      <c r="I109" s="3590"/>
      <c r="J109" s="3590"/>
      <c r="K109" s="3590"/>
      <c r="L109" s="3590"/>
      <c r="M109" s="3590"/>
      <c r="N109" s="3590"/>
      <c r="O109" s="3590"/>
      <c r="P109" s="3590"/>
      <c r="Q109" s="3590"/>
    </row>
    <row r="110" spans="2:17">
      <c r="G110" s="3590"/>
      <c r="H110" s="3590"/>
      <c r="I110" s="3590"/>
      <c r="J110" s="3590"/>
      <c r="K110" s="3590"/>
      <c r="L110" s="3590"/>
      <c r="M110" s="3590"/>
      <c r="N110" s="3590"/>
      <c r="O110" s="3590"/>
      <c r="P110" s="3590"/>
      <c r="Q110" s="3590"/>
    </row>
    <row r="111" spans="2:17">
      <c r="G111" s="3590"/>
      <c r="H111" s="3590"/>
      <c r="I111" s="3590"/>
      <c r="J111" s="3590"/>
      <c r="K111" s="3590"/>
      <c r="L111" s="3590"/>
      <c r="M111" s="3590"/>
      <c r="N111" s="3590"/>
      <c r="O111" s="3590"/>
      <c r="P111" s="3590"/>
      <c r="Q111" s="3590"/>
    </row>
    <row r="112" spans="2:17">
      <c r="G112" s="3590"/>
      <c r="H112" s="3590"/>
      <c r="I112" s="3590"/>
      <c r="J112" s="3590"/>
      <c r="K112" s="3590"/>
      <c r="L112" s="3590"/>
      <c r="M112" s="3590"/>
      <c r="N112" s="3590"/>
      <c r="O112" s="3590"/>
      <c r="P112" s="3590"/>
      <c r="Q112" s="3590"/>
    </row>
    <row r="113" spans="2:17">
      <c r="G113" s="3590"/>
      <c r="H113" s="3590"/>
      <c r="I113" s="3590"/>
      <c r="J113" s="3590"/>
      <c r="K113" s="3590"/>
      <c r="L113" s="3590"/>
      <c r="M113" s="3590"/>
      <c r="N113" s="3590"/>
      <c r="O113" s="3590"/>
      <c r="P113" s="3590"/>
      <c r="Q113" s="3590"/>
    </row>
    <row r="114" spans="2:17">
      <c r="G114" s="3590"/>
      <c r="H114" s="3590"/>
      <c r="I114" s="3590"/>
      <c r="J114" s="3590"/>
      <c r="K114" s="3590"/>
      <c r="L114" s="3590"/>
      <c r="M114" s="3590"/>
      <c r="N114" s="3590"/>
      <c r="O114" s="3590"/>
      <c r="P114" s="3590"/>
      <c r="Q114" s="3590"/>
    </row>
    <row r="115" spans="2:17">
      <c r="G115" s="3590"/>
      <c r="H115" s="3590"/>
      <c r="I115" s="3590"/>
      <c r="J115" s="3590"/>
      <c r="K115" s="3590"/>
      <c r="L115" s="3590"/>
      <c r="M115" s="3590"/>
      <c r="N115" s="3590"/>
      <c r="O115" s="3590"/>
      <c r="P115" s="3590"/>
      <c r="Q115" s="3590"/>
    </row>
    <row r="116" spans="2:17">
      <c r="G116" s="3590"/>
      <c r="H116" s="3590"/>
      <c r="I116" s="3590"/>
      <c r="J116" s="3590"/>
      <c r="K116" s="3590"/>
      <c r="L116" s="3590"/>
      <c r="M116" s="3590"/>
      <c r="N116" s="3590"/>
      <c r="O116" s="3590"/>
      <c r="P116" s="3590"/>
      <c r="Q116" s="3590"/>
    </row>
    <row r="117" spans="2:17">
      <c r="G117" s="3590"/>
      <c r="H117" s="3590"/>
      <c r="I117" s="3590"/>
      <c r="J117" s="3590"/>
      <c r="K117" s="3590"/>
      <c r="L117" s="3590"/>
      <c r="M117" s="3590"/>
      <c r="N117" s="3590"/>
      <c r="O117" s="3590"/>
      <c r="P117" s="3590"/>
      <c r="Q117" s="3590"/>
    </row>
    <row r="118" spans="2:17">
      <c r="B118" s="600"/>
      <c r="C118" s="33"/>
      <c r="G118" s="3590"/>
      <c r="H118" s="3590"/>
      <c r="I118" s="3590"/>
      <c r="J118" s="3590"/>
      <c r="K118" s="3590"/>
      <c r="L118" s="3590"/>
      <c r="M118" s="3590"/>
      <c r="N118" s="3590"/>
      <c r="O118" s="3590"/>
      <c r="P118" s="3590"/>
      <c r="Q118" s="3590"/>
    </row>
    <row r="119" spans="2:17">
      <c r="B119" s="600"/>
      <c r="C119" s="33"/>
      <c r="G119" s="3590"/>
      <c r="H119" s="3590"/>
      <c r="I119" s="3590"/>
      <c r="J119" s="3590"/>
      <c r="K119" s="3590"/>
      <c r="L119" s="3590"/>
      <c r="M119" s="3590"/>
      <c r="N119" s="3590"/>
      <c r="O119" s="3590"/>
      <c r="P119" s="3590"/>
      <c r="Q119" s="3590"/>
    </row>
    <row r="120" spans="2:17">
      <c r="B120" s="600"/>
      <c r="C120" s="33"/>
      <c r="G120" s="3590"/>
      <c r="H120" s="3590"/>
      <c r="I120" s="3590"/>
      <c r="J120" s="3590"/>
      <c r="K120" s="3590"/>
      <c r="L120" s="3590"/>
      <c r="M120" s="3590"/>
      <c r="N120" s="3590"/>
      <c r="O120" s="3590"/>
      <c r="P120" s="3590"/>
      <c r="Q120" s="3590"/>
    </row>
    <row r="121" spans="2:17">
      <c r="B121" s="600"/>
      <c r="C121" s="33"/>
      <c r="G121" s="3590"/>
      <c r="H121" s="3590"/>
      <c r="I121" s="3590"/>
      <c r="J121" s="3590"/>
      <c r="K121" s="3590"/>
      <c r="L121" s="3590"/>
      <c r="M121" s="3590"/>
      <c r="N121" s="3590"/>
      <c r="O121" s="3590"/>
      <c r="P121" s="3590"/>
      <c r="Q121" s="3590"/>
    </row>
    <row r="122" spans="2:17">
      <c r="B122" s="600"/>
      <c r="C122" s="33"/>
      <c r="G122" s="3590"/>
      <c r="H122" s="3590"/>
      <c r="I122" s="3590"/>
      <c r="J122" s="3590"/>
      <c r="K122" s="3590"/>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590"/>
      <c r="M141" s="3590"/>
      <c r="N141" s="3590"/>
      <c r="O141" s="3590"/>
      <c r="P141" s="3590"/>
      <c r="Q141" s="3590"/>
    </row>
    <row r="142" spans="2:17">
      <c r="B142" s="600"/>
      <c r="C142" s="33"/>
      <c r="L142" s="3590"/>
      <c r="M142" s="3590"/>
      <c r="N142" s="3590"/>
      <c r="O142" s="3590"/>
      <c r="P142" s="3590"/>
      <c r="Q142" s="3590"/>
    </row>
    <row r="143" spans="2:17">
      <c r="B143" s="600"/>
      <c r="C143" s="33"/>
      <c r="L143" s="3590"/>
      <c r="M143" s="3590"/>
      <c r="N143" s="3590"/>
      <c r="O143" s="3590"/>
      <c r="P143" s="3590"/>
      <c r="Q143" s="3590"/>
    </row>
    <row r="144" spans="2:17">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c r="H151" s="1897"/>
      <c r="J151" s="2357"/>
    </row>
    <row r="152" spans="2:12">
      <c r="B152" s="600"/>
      <c r="C152" s="33"/>
      <c r="H152" s="1897"/>
      <c r="J152" s="2357"/>
    </row>
    <row r="153" spans="2:12">
      <c r="B153" s="600"/>
      <c r="C153" s="33"/>
      <c r="H153" s="1897"/>
      <c r="J153" s="2357"/>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c r="H157" s="1897"/>
      <c r="J157" s="2357"/>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21:F21"/>
    <mergeCell ref="C20:F20"/>
    <mergeCell ref="C78:F78"/>
    <mergeCell ref="C79:F79"/>
    <mergeCell ref="K1:L1"/>
    <mergeCell ref="D26:E26"/>
    <mergeCell ref="F34:G34"/>
    <mergeCell ref="C17:F17"/>
    <mergeCell ref="C19:F19"/>
    <mergeCell ref="C14:F14"/>
    <mergeCell ref="C15:F15"/>
    <mergeCell ref="E10:F10"/>
    <mergeCell ref="C74:E74"/>
    <mergeCell ref="B75:C75"/>
    <mergeCell ref="C40:E40"/>
    <mergeCell ref="C37:E37"/>
    <mergeCell ref="N1:O1"/>
    <mergeCell ref="C16:F16"/>
    <mergeCell ref="C39:E39"/>
    <mergeCell ref="C64:E64"/>
    <mergeCell ref="C50:D50"/>
    <mergeCell ref="C51:D51"/>
    <mergeCell ref="G1:I1"/>
    <mergeCell ref="C38:E38"/>
    <mergeCell ref="C49:D49"/>
    <mergeCell ref="C41:E41"/>
    <mergeCell ref="C47:D47"/>
    <mergeCell ref="C48:D48"/>
    <mergeCell ref="E22:G22"/>
    <mergeCell ref="C36:E36"/>
    <mergeCell ref="F23:G23"/>
    <mergeCell ref="D25:E25"/>
    <mergeCell ref="W3:Y3"/>
    <mergeCell ref="W4:Y4"/>
    <mergeCell ref="H6:I6"/>
    <mergeCell ref="N3:O4"/>
    <mergeCell ref="K2:P2"/>
    <mergeCell ref="N6:O6"/>
    <mergeCell ref="K6:L6"/>
    <mergeCell ref="C52:D52"/>
    <mergeCell ref="C53:D53"/>
    <mergeCell ref="C46:D46"/>
    <mergeCell ref="C42:E42"/>
    <mergeCell ref="C57:D57"/>
    <mergeCell ref="C54:D54"/>
    <mergeCell ref="C62:E62"/>
    <mergeCell ref="C55:D55"/>
    <mergeCell ref="C63:E63"/>
    <mergeCell ref="C68:E68"/>
    <mergeCell ref="C73:E73"/>
    <mergeCell ref="C56:D56"/>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6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0">
    <tabColor rgb="FF00B050"/>
    <pageSetUpPr fitToPage="1"/>
  </sheetPr>
  <dimension ref="A1:AO210"/>
  <sheetViews>
    <sheetView topLeftCell="A42" workbookViewId="0">
      <selection activeCell="J67" sqref="J67"/>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8.5" style="2501" customWidth="1"/>
    <col min="11" max="16" width="7.25" style="2501" customWidth="1"/>
    <col min="17" max="17" width="30.875" style="2501" hidden="1" customWidth="1"/>
    <col min="18" max="28" width="0" style="2505" hidden="1" customWidth="1"/>
    <col min="29"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#N/A</v>
      </c>
      <c r="K1" s="4855" t="e">
        <f>M1-J1</f>
        <v>#N/A</v>
      </c>
      <c r="L1" s="4855"/>
      <c r="M1" s="1874" t="e">
        <f>(M7+M13+M19+M22+L11+L12)-(M23+M27+M34+M43+M63+M59+M68+M70+M72+M76)</f>
        <v>#N/A</v>
      </c>
      <c r="N1" s="4855" t="e">
        <f>P1-M1</f>
        <v>#N/A</v>
      </c>
      <c r="O1" s="4855"/>
      <c r="P1" s="1874" t="e">
        <f>(P7+P13+P19+P22+O11+O12)-(P23+P27+P34+P43+P63+P59+P68+P70+P72+P76)</f>
        <v>#N/A</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1868</v>
      </c>
      <c r="L2" s="4867"/>
      <c r="M2" s="4867"/>
      <c r="N2" s="4867"/>
      <c r="O2" s="4867"/>
      <c r="P2" s="4867"/>
      <c r="Q2" s="2475"/>
    </row>
    <row r="3" spans="1:41" s="274" customFormat="1" ht="21.75" customHeight="1">
      <c r="A3" s="2475"/>
      <c r="B3" s="1871" t="s">
        <v>1635</v>
      </c>
      <c r="G3" s="1859"/>
      <c r="H3" s="1870"/>
      <c r="N3" s="4934"/>
      <c r="O3" s="4869"/>
      <c r="P3" s="1868"/>
      <c r="Q3" s="2475"/>
      <c r="T3" s="1886" t="b">
        <v>0</v>
      </c>
      <c r="W3" s="4863" t="s">
        <v>1205</v>
      </c>
      <c r="X3" s="4937"/>
      <c r="Y3" s="4937"/>
      <c r="Z3" s="1869"/>
      <c r="AA3" s="1869"/>
    </row>
    <row r="4" spans="1:41" s="274" customFormat="1" ht="20.25" customHeight="1">
      <c r="A4" s="2475"/>
      <c r="B4" s="370" t="s">
        <v>1098</v>
      </c>
      <c r="C4" s="2505"/>
      <c r="D4" s="2505"/>
      <c r="E4" s="4898" t="s">
        <v>1211</v>
      </c>
      <c r="F4" s="4898"/>
      <c r="G4" s="4898"/>
      <c r="H4" s="4898"/>
      <c r="I4" s="4898"/>
      <c r="N4" s="4869"/>
      <c r="O4" s="4869"/>
      <c r="P4" s="1864">
        <f>SDÖ1!O3</f>
        <v>0</v>
      </c>
      <c r="Q4" s="2475"/>
      <c r="T4" s="1886"/>
      <c r="W4" s="4863" t="s">
        <v>1194</v>
      </c>
      <c r="X4" s="4937"/>
      <c r="Y4" s="4937"/>
      <c r="Z4" s="2490"/>
      <c r="AA4" s="2490"/>
    </row>
    <row r="5" spans="1:41" ht="6" customHeight="1" thickBot="1"/>
    <row r="6" spans="1:41" s="1853" customFormat="1" ht="24" customHeight="1">
      <c r="A6" s="48"/>
      <c r="B6" s="2474" t="s">
        <v>1151</v>
      </c>
      <c r="C6" s="2473"/>
      <c r="D6" s="2473"/>
      <c r="E6" s="2473"/>
      <c r="F6" s="2473"/>
      <c r="G6" s="2481" t="s">
        <v>1642</v>
      </c>
      <c r="H6" s="4987" t="s">
        <v>179</v>
      </c>
      <c r="I6" s="4988"/>
      <c r="J6" s="2472">
        <v>2</v>
      </c>
      <c r="K6" s="4989" t="s">
        <v>152</v>
      </c>
      <c r="L6" s="4990"/>
      <c r="M6" s="2472">
        <v>4</v>
      </c>
      <c r="N6" s="4987" t="s">
        <v>178</v>
      </c>
      <c r="O6" s="4988"/>
      <c r="P6" s="2471">
        <v>6</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f>SDÖ1!O32</f>
        <v>0</v>
      </c>
      <c r="H9" s="1845">
        <f>J6-H10</f>
        <v>2</v>
      </c>
      <c r="I9" s="1841">
        <f>H9*G9</f>
        <v>0</v>
      </c>
      <c r="J9" s="43"/>
      <c r="K9" s="1844">
        <f>M6-K10</f>
        <v>4</v>
      </c>
      <c r="L9" s="1843">
        <f>K9*G9</f>
        <v>0</v>
      </c>
      <c r="M9" s="1822"/>
      <c r="N9" s="1842">
        <f>P6-N10</f>
        <v>6</v>
      </c>
      <c r="O9" s="1841">
        <f>N9*G9</f>
        <v>0</v>
      </c>
      <c r="P9" s="271"/>
      <c r="Q9" s="2501"/>
      <c r="R9" s="913"/>
      <c r="S9" s="263" t="s">
        <v>1208</v>
      </c>
      <c r="T9" s="1840"/>
    </row>
    <row r="10" spans="1:41" s="1810" customFormat="1" ht="15" customHeight="1">
      <c r="A10" s="370"/>
      <c r="B10" s="2088"/>
      <c r="C10" s="279" t="s">
        <v>1631</v>
      </c>
      <c r="D10" s="1819"/>
      <c r="E10" s="4991" t="s">
        <v>1867</v>
      </c>
      <c r="F10" s="4992"/>
      <c r="G10" s="1839"/>
      <c r="H10" s="1920"/>
      <c r="I10" s="1833">
        <f>H10*G10</f>
        <v>0</v>
      </c>
      <c r="K10" s="1920"/>
      <c r="L10" s="1836">
        <f>K10*G10</f>
        <v>0</v>
      </c>
      <c r="M10" s="1835"/>
      <c r="N10" s="1920"/>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385" t="s">
        <v>1630</v>
      </c>
      <c r="C13" s="47"/>
      <c r="D13" s="2466"/>
      <c r="E13" s="2466"/>
      <c r="F13" s="2466"/>
      <c r="G13" s="2465" t="s">
        <v>171</v>
      </c>
      <c r="H13" s="1894"/>
      <c r="I13" s="1791"/>
      <c r="J13" s="1582" t="e">
        <f>SUM(I14:I18)</f>
        <v>#N/A</v>
      </c>
      <c r="K13" s="1895"/>
      <c r="L13" s="1793"/>
      <c r="M13" s="1585" t="e">
        <f>SUM(L14:L16)</f>
        <v>#N/A</v>
      </c>
      <c r="N13" s="1894"/>
      <c r="O13" s="1791"/>
      <c r="P13" s="2383" t="e">
        <f>SUM(O14:O16)</f>
        <v>#N/A</v>
      </c>
      <c r="Q13" s="2501"/>
      <c r="R13" s="136"/>
      <c r="U13" s="42"/>
      <c r="V13" s="42"/>
      <c r="W13" s="42" t="s">
        <v>246</v>
      </c>
      <c r="X13" s="1802">
        <f>$X$12*F28</f>
        <v>0</v>
      </c>
      <c r="Y13" s="1802">
        <f>$Y$12*F28</f>
        <v>0</v>
      </c>
      <c r="Z13" s="1802">
        <f>$Z$12*F28</f>
        <v>0</v>
      </c>
    </row>
    <row r="14" spans="1:41" s="42" customFormat="1" ht="15" customHeight="1">
      <c r="A14" s="45"/>
      <c r="B14" s="2463"/>
      <c r="C14" s="4860" t="s">
        <v>294</v>
      </c>
      <c r="D14" s="4860"/>
      <c r="E14" s="4860"/>
      <c r="F14" s="4860"/>
      <c r="G14" s="1805"/>
      <c r="H14" s="2499"/>
      <c r="I14" s="1785" t="e">
        <f>IF(R14=TRUE,Q14,0)</f>
        <v>#N/A</v>
      </c>
      <c r="K14" s="2499"/>
      <c r="L14" s="1639" t="e">
        <f>IF(S14=TRUE,Q14,0)</f>
        <v>#N/A</v>
      </c>
      <c r="M14" s="2372"/>
      <c r="N14" s="2499"/>
      <c r="O14" s="1785" t="e">
        <f>IF(T14=TRUE,Q14,0)</f>
        <v>#N/A</v>
      </c>
      <c r="P14" s="2371"/>
      <c r="Q14" s="1803" t="e">
        <f>IF(C14=0,0,VLOOKUP(C14,'SD2'!$C$11:$N$49,'SD2'!$N$1,FALSE))</f>
        <v>#N/A</v>
      </c>
      <c r="R14" s="1893" t="b">
        <v>1</v>
      </c>
      <c r="S14" s="1892" t="b">
        <v>1</v>
      </c>
      <c r="T14" s="1891" t="b">
        <v>1</v>
      </c>
      <c r="W14" s="42" t="s">
        <v>998</v>
      </c>
      <c r="X14" s="1802">
        <f>$X$12*F29</f>
        <v>0</v>
      </c>
      <c r="Y14" s="1802">
        <f>$Y$12*F29</f>
        <v>0</v>
      </c>
      <c r="Z14" s="1802">
        <f>$Z$12*F29</f>
        <v>0</v>
      </c>
    </row>
    <row r="15" spans="1:41" s="42" customFormat="1" ht="15" customHeight="1">
      <c r="A15" s="45"/>
      <c r="B15" s="2463"/>
      <c r="C15" s="4860"/>
      <c r="D15" s="4860"/>
      <c r="E15" s="4860"/>
      <c r="F15" s="4860"/>
      <c r="G15" s="1805"/>
      <c r="H15" s="2499"/>
      <c r="I15" s="1785">
        <f>IF(R15=TRUE,Q15,0)</f>
        <v>0</v>
      </c>
      <c r="J15" s="64"/>
      <c r="K15" s="2499"/>
      <c r="L15" s="1639">
        <f>IF(S15=TRUE,Q15,0)</f>
        <v>0</v>
      </c>
      <c r="M15" s="2372"/>
      <c r="N15" s="2499"/>
      <c r="O15" s="1785">
        <f>IF(T15=TRUE,Q15,0)</f>
        <v>0</v>
      </c>
      <c r="P15" s="2371"/>
      <c r="Q15" s="1803" t="e">
        <f>IF(C14=0,0,VLOOKUP(C14,'SD2'!$C$11:$N$49,'SD2'!$N$1,FALSE))</f>
        <v>#N/A</v>
      </c>
      <c r="R15" s="1890" t="b">
        <v>0</v>
      </c>
      <c r="S15" s="1886" t="b">
        <v>0</v>
      </c>
      <c r="T15" s="1889" t="b">
        <v>0</v>
      </c>
      <c r="W15" s="42" t="s">
        <v>997</v>
      </c>
      <c r="X15" s="1802">
        <f>$X$12*F30</f>
        <v>0</v>
      </c>
      <c r="Y15" s="1802">
        <f>$Y$12*F30</f>
        <v>0</v>
      </c>
      <c r="Z15" s="1802">
        <f>$Z$12*F30</f>
        <v>0</v>
      </c>
    </row>
    <row r="16" spans="1:41" s="42" customFormat="1" ht="15" customHeight="1">
      <c r="A16" s="45"/>
      <c r="B16" s="2462">
        <v>0</v>
      </c>
      <c r="C16" s="4860"/>
      <c r="D16" s="4860"/>
      <c r="E16" s="4860"/>
      <c r="F16" s="4860"/>
      <c r="G16" s="2464"/>
      <c r="H16" s="1797"/>
      <c r="I16" s="1777">
        <f>IF(R16=TRUE,Q16,0)</f>
        <v>0</v>
      </c>
      <c r="J16" s="279"/>
      <c r="K16" s="1797"/>
      <c r="L16" s="1621">
        <f>IF(S16=TRUE,Q16,0)</f>
        <v>0</v>
      </c>
      <c r="M16" s="1798"/>
      <c r="N16" s="1797"/>
      <c r="O16" s="1777">
        <f>IF(T16=TRUE,Q16,0)</f>
        <v>0</v>
      </c>
      <c r="P16" s="2395"/>
      <c r="Q16" s="1803" t="e">
        <f>IF(C14=0,0,VLOOKUP(C14,'SD2'!$C$11:$N$49,'SD2'!$N$1,FALSE))</f>
        <v>#N/A</v>
      </c>
      <c r="R16" s="1890" t="b">
        <v>0</v>
      </c>
      <c r="S16" s="1886" t="b">
        <v>0</v>
      </c>
      <c r="T16" s="1889" t="b">
        <v>0</v>
      </c>
      <c r="W16" s="42" t="s">
        <v>240</v>
      </c>
      <c r="X16" s="1802">
        <f>$X$12*F31</f>
        <v>0</v>
      </c>
      <c r="Y16" s="1802">
        <f>$Y$12*F31</f>
        <v>0</v>
      </c>
      <c r="Z16" s="1802">
        <f>$Z$12*F31</f>
        <v>0</v>
      </c>
    </row>
    <row r="17" spans="1:36" s="42" customFormat="1" ht="15" customHeight="1">
      <c r="A17" s="45"/>
      <c r="B17" s="2385" t="s">
        <v>1629</v>
      </c>
      <c r="C17" s="47"/>
      <c r="D17" s="47"/>
      <c r="E17" s="47"/>
      <c r="F17" s="47"/>
      <c r="G17" s="229" t="s">
        <v>171</v>
      </c>
      <c r="H17" s="1792"/>
      <c r="I17" s="1791"/>
      <c r="J17" s="1567" t="e">
        <f>SUM(I18:I19)</f>
        <v>#N/A</v>
      </c>
      <c r="K17" s="1794"/>
      <c r="L17" s="1793"/>
      <c r="M17" s="1768" t="e">
        <f>SUM(L18:L19)</f>
        <v>#N/A</v>
      </c>
      <c r="N17" s="1792"/>
      <c r="O17" s="1791"/>
      <c r="P17" s="2374" t="e">
        <f>SUM(O18:O19)</f>
        <v>#N/A</v>
      </c>
      <c r="Q17" s="2501"/>
      <c r="R17" s="693" t="s">
        <v>1189</v>
      </c>
      <c r="S17" s="369"/>
      <c r="T17" s="1790"/>
      <c r="U17" s="2500"/>
      <c r="V17" s="2500"/>
      <c r="W17" s="2500"/>
      <c r="X17" s="2500"/>
      <c r="Y17" s="2500"/>
      <c r="Z17" s="2500"/>
      <c r="AA17" s="2500"/>
      <c r="AB17" s="2500"/>
      <c r="AC17" s="2500"/>
      <c r="AD17" s="2500"/>
      <c r="AE17" s="2500"/>
      <c r="AF17" s="2500"/>
      <c r="AG17" s="2500"/>
      <c r="AH17" s="2500"/>
      <c r="AI17" s="2500"/>
      <c r="AJ17" s="2500"/>
    </row>
    <row r="18" spans="1:36" s="42" customFormat="1" ht="15" customHeight="1">
      <c r="A18" s="45"/>
      <c r="B18" s="2463"/>
      <c r="C18" s="4967" t="s">
        <v>286</v>
      </c>
      <c r="D18" s="4967"/>
      <c r="E18" s="4967"/>
      <c r="F18" s="4967"/>
      <c r="G18" s="1788"/>
      <c r="H18" s="1786"/>
      <c r="I18" s="1777" t="e">
        <f>IF(OR($C18=0,$J$6=0),0,VLOOKUP($C18,'SD2'!C57:N59,12,FALSE))</f>
        <v>#N/A</v>
      </c>
      <c r="J18" s="45">
        <f>SUM(I21:I22)</f>
        <v>0</v>
      </c>
      <c r="K18" s="1779"/>
      <c r="L18" s="1639" t="e">
        <f>IF(OR($C18=0,$M$6=0),0,VLOOKUP($C18,'SD2'!C57:N59,12,FALSE))</f>
        <v>#N/A</v>
      </c>
      <c r="M18" s="1557">
        <f>SUM(L21:L22)</f>
        <v>0</v>
      </c>
      <c r="N18" s="1778"/>
      <c r="O18" s="1785" t="e">
        <f>IF(OR($C18=0,$P$6=0),0,VLOOKUP($C18,'SD2'!C57:N59,12,FALSE))</f>
        <v>#N/A</v>
      </c>
      <c r="P18" s="2371"/>
      <c r="Q18" s="2501"/>
      <c r="R18" s="1784" t="e">
        <f>J13+J17</f>
        <v>#N/A</v>
      </c>
      <c r="S18" s="1783" t="e">
        <f>M13+M17</f>
        <v>#N/A</v>
      </c>
      <c r="T18" s="1782" t="e">
        <f>P13+P17</f>
        <v>#N/A</v>
      </c>
    </row>
    <row r="19" spans="1:36" s="2500" customFormat="1" ht="18.75" hidden="1" customHeight="1">
      <c r="A19" s="47"/>
      <c r="B19" s="2462"/>
      <c r="C19" s="4984"/>
      <c r="D19" s="4984"/>
      <c r="E19" s="4984"/>
      <c r="F19" s="4984"/>
      <c r="G19" s="1780"/>
      <c r="H19" s="1778"/>
      <c r="I19" s="1777">
        <f>IF(OR($C19=0,$J$6=0),0,VLOOKUP($C19,#REF!,10,FALSE))</f>
        <v>0</v>
      </c>
      <c r="J19" s="42"/>
      <c r="K19" s="1779"/>
      <c r="L19" s="1621">
        <f>IF(OR($C19=0,$M$6=0),0,VLOOKUP($C19,#REF!,10,FALSE))</f>
        <v>0</v>
      </c>
      <c r="M19" s="2372"/>
      <c r="N19" s="1778"/>
      <c r="O19" s="1777">
        <f>IF(OR($C19=0,$P$6=0),0,VLOOKUP($C19,#REF!,10,FALSE))</f>
        <v>0</v>
      </c>
      <c r="P19" s="2395"/>
      <c r="Q19" s="2501"/>
      <c r="R19" s="42"/>
      <c r="S19" s="42"/>
      <c r="T19" s="42"/>
      <c r="U19" s="42"/>
      <c r="V19" s="42"/>
      <c r="W19" s="42"/>
      <c r="X19" s="42"/>
      <c r="Y19" s="42"/>
      <c r="Z19" s="42"/>
      <c r="AA19" s="42"/>
      <c r="AB19" s="42"/>
      <c r="AC19" s="42"/>
      <c r="AD19" s="42"/>
      <c r="AE19" s="42"/>
      <c r="AF19" s="42"/>
      <c r="AG19" s="42"/>
      <c r="AH19" s="42"/>
      <c r="AI19" s="42"/>
      <c r="AJ19" s="42"/>
    </row>
    <row r="20" spans="1:36" s="42" customFormat="1" ht="15.75">
      <c r="A20" s="45"/>
      <c r="B20" s="2477" t="s">
        <v>845</v>
      </c>
      <c r="C20" s="1547"/>
      <c r="D20" s="4985"/>
      <c r="E20" s="4985"/>
      <c r="F20" s="4985"/>
      <c r="G20" s="4986"/>
      <c r="H20" s="1772"/>
      <c r="I20" s="1771"/>
      <c r="J20" s="1770"/>
      <c r="K20" s="1774"/>
      <c r="L20" s="1773"/>
      <c r="M20" s="1770"/>
      <c r="N20" s="1772"/>
      <c r="O20" s="1771"/>
      <c r="P20" s="2461"/>
      <c r="Q20" s="2501"/>
      <c r="R20" s="2501"/>
      <c r="S20" s="2501"/>
      <c r="T20" s="2501"/>
      <c r="U20" s="2505"/>
      <c r="V20" s="2505"/>
      <c r="W20" s="2505"/>
      <c r="X20" s="2505"/>
      <c r="Y20" s="2505"/>
      <c r="Z20" s="2505"/>
      <c r="AA20" s="2505"/>
      <c r="AB20" s="2505"/>
      <c r="AC20" s="2505"/>
      <c r="AD20" s="2505"/>
      <c r="AE20" s="2505"/>
      <c r="AF20" s="2505"/>
      <c r="AG20" s="2505"/>
      <c r="AH20" s="2505"/>
      <c r="AI20" s="2505"/>
      <c r="AJ20" s="2505"/>
    </row>
    <row r="21" spans="1:36" s="42" customFormat="1" ht="19.149999999999999" customHeight="1">
      <c r="A21" s="45"/>
      <c r="B21" s="2460" t="s">
        <v>222</v>
      </c>
      <c r="C21" s="1769"/>
      <c r="D21" s="1769"/>
      <c r="E21" s="2501"/>
      <c r="F21" s="2501"/>
      <c r="G21" s="2493" t="s">
        <v>171</v>
      </c>
      <c r="H21" s="1584"/>
      <c r="I21" s="1583"/>
      <c r="J21" s="1567">
        <f>SUM(I23:I24)</f>
        <v>40</v>
      </c>
      <c r="K21" s="1587"/>
      <c r="L21" s="1586"/>
      <c r="M21" s="1768">
        <f>SUM(L23:L24)</f>
        <v>40</v>
      </c>
      <c r="N21" s="1584"/>
      <c r="O21" s="1583"/>
      <c r="P21" s="2374">
        <f>SUM(O23:O24)</f>
        <v>40</v>
      </c>
      <c r="Q21" s="38"/>
      <c r="R21" s="2505"/>
      <c r="S21" s="2505"/>
      <c r="T21" s="2505"/>
      <c r="U21" s="2505"/>
      <c r="V21" s="2505"/>
      <c r="W21" s="2505"/>
      <c r="X21" s="2505"/>
      <c r="Y21" s="2505"/>
      <c r="Z21" s="2505"/>
      <c r="AA21" s="2505"/>
      <c r="AB21" s="2505"/>
      <c r="AC21" s="2505"/>
      <c r="AD21" s="2505"/>
      <c r="AE21" s="2505"/>
      <c r="AF21" s="2505"/>
      <c r="AG21" s="2505"/>
      <c r="AH21" s="2505"/>
      <c r="AI21" s="2505"/>
      <c r="AJ21" s="2505"/>
    </row>
    <row r="22" spans="1:36" ht="22.5" customHeight="1">
      <c r="A22" s="370"/>
      <c r="B22" s="2459"/>
      <c r="C22" s="1580" t="s">
        <v>1156</v>
      </c>
      <c r="D22" s="1651">
        <f>SDÖ1!$O$10</f>
        <v>0</v>
      </c>
      <c r="E22" s="2458"/>
      <c r="F22" s="2379" t="s">
        <v>249</v>
      </c>
      <c r="G22" s="2402" t="s">
        <v>1155</v>
      </c>
      <c r="H22" s="2449" t="s">
        <v>1176</v>
      </c>
      <c r="I22" s="2375" t="s">
        <v>171</v>
      </c>
      <c r="J22" s="2457"/>
      <c r="K22" s="2451" t="s">
        <v>1176</v>
      </c>
      <c r="L22" s="2377" t="s">
        <v>171</v>
      </c>
      <c r="M22" s="2456"/>
      <c r="N22" s="2449" t="s">
        <v>1176</v>
      </c>
      <c r="O22" s="2375" t="s">
        <v>171</v>
      </c>
      <c r="P22" s="2439"/>
    </row>
    <row r="23" spans="1:36" ht="18.75" customHeight="1">
      <c r="A23" s="370"/>
      <c r="B23" s="2455"/>
      <c r="C23" s="1284" t="s">
        <v>1185</v>
      </c>
      <c r="D23" s="4878" t="s">
        <v>1866</v>
      </c>
      <c r="E23" s="4879"/>
      <c r="F23" s="1763"/>
      <c r="G23" s="1762">
        <f>F23*(100+$D$22)/100</f>
        <v>0</v>
      </c>
      <c r="H23" s="1761">
        <v>50</v>
      </c>
      <c r="I23" s="1722">
        <f>H23*$G23</f>
        <v>0</v>
      </c>
      <c r="J23" s="42"/>
      <c r="K23" s="1761">
        <v>50</v>
      </c>
      <c r="L23" s="1564">
        <f>K23*$G23</f>
        <v>0</v>
      </c>
      <c r="M23" s="2372"/>
      <c r="N23" s="1761">
        <v>50</v>
      </c>
      <c r="O23" s="1722">
        <f>N23*$G23</f>
        <v>0</v>
      </c>
      <c r="P23" s="2417"/>
      <c r="R23" s="42"/>
      <c r="S23" s="42"/>
      <c r="T23" s="42"/>
      <c r="U23" s="42"/>
      <c r="V23" s="42"/>
      <c r="W23" s="42"/>
      <c r="X23" s="42"/>
      <c r="Y23" s="42"/>
      <c r="Z23" s="42"/>
      <c r="AA23" s="42"/>
      <c r="AB23" s="42"/>
      <c r="AC23" s="42"/>
      <c r="AD23" s="42"/>
      <c r="AE23" s="42"/>
      <c r="AF23" s="42"/>
      <c r="AG23" s="42"/>
      <c r="AH23" s="42"/>
      <c r="AI23" s="42"/>
      <c r="AJ23" s="42"/>
    </row>
    <row r="24" spans="1:36" ht="13.15" customHeight="1">
      <c r="A24" s="370"/>
      <c r="B24" s="2387"/>
      <c r="C24" s="2476" t="s">
        <v>191</v>
      </c>
      <c r="D24" s="4880" t="s">
        <v>1865</v>
      </c>
      <c r="E24" s="4881"/>
      <c r="F24" s="1759">
        <v>0.8</v>
      </c>
      <c r="G24" s="1758">
        <f>F24*(100+$D$22)/100</f>
        <v>0.8</v>
      </c>
      <c r="H24" s="1757">
        <v>50</v>
      </c>
      <c r="I24" s="1718">
        <f>H24*$G24</f>
        <v>40</v>
      </c>
      <c r="J24" s="42"/>
      <c r="K24" s="1757">
        <v>50</v>
      </c>
      <c r="L24" s="1558">
        <f>K24*$G24</f>
        <v>40</v>
      </c>
      <c r="M24" s="2372"/>
      <c r="N24" s="1757">
        <v>50</v>
      </c>
      <c r="O24" s="1718">
        <f>N24*$G24</f>
        <v>40</v>
      </c>
      <c r="P24" s="2434"/>
      <c r="R24" s="42"/>
      <c r="S24" s="42"/>
      <c r="T24" s="42"/>
      <c r="U24" s="42"/>
      <c r="V24" s="42"/>
      <c r="W24" s="42"/>
      <c r="X24" s="42"/>
      <c r="Y24" s="42"/>
      <c r="Z24" s="42"/>
      <c r="AA24" s="42"/>
      <c r="AB24" s="42"/>
      <c r="AC24" s="42"/>
      <c r="AD24" s="42"/>
      <c r="AE24" s="42"/>
      <c r="AF24" s="42"/>
      <c r="AG24" s="42"/>
      <c r="AH24" s="42"/>
      <c r="AI24" s="42"/>
      <c r="AJ24" s="42"/>
    </row>
    <row r="25" spans="1:36" s="42" customFormat="1" ht="15" customHeight="1">
      <c r="A25" s="1284"/>
      <c r="B25" s="2433" t="s">
        <v>221</v>
      </c>
      <c r="C25" s="1248"/>
      <c r="D25" s="2454" t="str">
        <f>IF(SDÖ1!U17=FALSE,"(Nährstoffabfuhr nicht bewertet)","(Nährstoffabfuhr bewertet)")</f>
        <v>(Nährstoffabfuhr bewertet)</v>
      </c>
      <c r="E25" s="2501"/>
      <c r="F25" s="2501"/>
      <c r="G25" s="2444" t="s">
        <v>171</v>
      </c>
      <c r="H25" s="1714"/>
      <c r="I25" s="1713"/>
      <c r="J25" s="1582">
        <f>SUM(I28:I31)</f>
        <v>0</v>
      </c>
      <c r="K25" s="1716"/>
      <c r="L25" s="1715"/>
      <c r="M25" s="1585">
        <f>SUM(L28:L31)</f>
        <v>0</v>
      </c>
      <c r="N25" s="1714"/>
      <c r="O25" s="1713"/>
      <c r="P25" s="2383">
        <f>SUM(O28:O31)</f>
        <v>0</v>
      </c>
      <c r="Q25" s="2501"/>
      <c r="R25" s="2500"/>
      <c r="S25" s="2500"/>
      <c r="T25" s="2500"/>
      <c r="U25" s="2500"/>
      <c r="V25" s="2500"/>
      <c r="W25" s="2500"/>
      <c r="X25" s="2500"/>
      <c r="Y25" s="2500"/>
      <c r="Z25" s="2500"/>
      <c r="AA25" s="2500"/>
      <c r="AB25" s="2500"/>
      <c r="AC25" s="2500"/>
      <c r="AD25" s="2500"/>
      <c r="AE25" s="2500"/>
      <c r="AF25" s="2500"/>
      <c r="AG25" s="2500"/>
      <c r="AH25" s="2500"/>
      <c r="AI25" s="2500"/>
      <c r="AJ25" s="2500"/>
    </row>
    <row r="26" spans="1:36" s="42" customFormat="1" ht="15" customHeight="1">
      <c r="A26" s="1284"/>
      <c r="B26" s="2427"/>
      <c r="C26" s="2503"/>
      <c r="D26" s="1754" t="s">
        <v>1019</v>
      </c>
      <c r="E26" s="1754" t="s">
        <v>1640</v>
      </c>
      <c r="F26" s="2488"/>
      <c r="G26" s="1753" t="s">
        <v>1182</v>
      </c>
      <c r="H26" s="1713"/>
      <c r="I26" s="1750"/>
      <c r="J26" s="2504"/>
      <c r="K26" s="1716"/>
      <c r="L26" s="1646"/>
      <c r="M26" s="1751"/>
      <c r="N26" s="1714"/>
      <c r="O26" s="1750"/>
      <c r="P26" s="2374"/>
      <c r="Q26" s="2501"/>
      <c r="R26" s="2500"/>
      <c r="S26" s="2500"/>
      <c r="T26" s="2500"/>
      <c r="U26" s="2500"/>
      <c r="V26" s="2500"/>
      <c r="W26" s="2500"/>
      <c r="X26" s="2500"/>
      <c r="Y26" s="2500"/>
      <c r="Z26" s="2500"/>
      <c r="AA26" s="2500"/>
      <c r="AB26" s="2500"/>
      <c r="AC26" s="2500"/>
      <c r="AD26" s="2500"/>
      <c r="AE26" s="2500"/>
      <c r="AF26" s="2500"/>
      <c r="AG26" s="2500"/>
      <c r="AH26" s="2500"/>
      <c r="AI26" s="2500"/>
      <c r="AJ26" s="2500"/>
    </row>
    <row r="27" spans="1:36" s="2500" customFormat="1" ht="18.75" customHeight="1">
      <c r="A27" s="1248"/>
      <c r="B27" s="2453"/>
      <c r="C27" s="1285" t="s">
        <v>1181</v>
      </c>
      <c r="D27" s="2380" t="s">
        <v>852</v>
      </c>
      <c r="E27" s="2380" t="s">
        <v>1639</v>
      </c>
      <c r="F27" s="2487"/>
      <c r="G27" s="2380" t="s">
        <v>853</v>
      </c>
      <c r="H27" s="2449" t="s">
        <v>853</v>
      </c>
      <c r="I27" s="2375" t="s">
        <v>171</v>
      </c>
      <c r="J27" s="2452"/>
      <c r="K27" s="2451" t="s">
        <v>853</v>
      </c>
      <c r="L27" s="2377" t="s">
        <v>171</v>
      </c>
      <c r="M27" s="2450"/>
      <c r="N27" s="2449" t="s">
        <v>853</v>
      </c>
      <c r="O27" s="2375" t="s">
        <v>171</v>
      </c>
      <c r="P27" s="2448"/>
      <c r="Q27" s="2501"/>
    </row>
    <row r="28" spans="1:36" s="2500" customFormat="1" ht="13.7" customHeight="1">
      <c r="A28" s="1248"/>
      <c r="B28" s="2447"/>
      <c r="C28" s="1743" t="s">
        <v>246</v>
      </c>
      <c r="D28" s="1691">
        <f>IF(SDÖ1!$U$17=TRUE,SDÖ1!O55,0)</f>
        <v>4.37</v>
      </c>
      <c r="E28" s="2446"/>
      <c r="F28" s="2486"/>
      <c r="G28" s="1741"/>
      <c r="H28" s="1739">
        <f>IF(J$6=0,0,(J$6*$E28+$G28+X13))</f>
        <v>0</v>
      </c>
      <c r="I28" s="1722">
        <f>H28*$D28</f>
        <v>0</v>
      </c>
      <c r="J28" s="42"/>
      <c r="K28" s="1740">
        <f>IF(M$6=0,0,(M$6*$E28+$G28+Y13))</f>
        <v>0</v>
      </c>
      <c r="L28" s="1564">
        <f>K28*$D28</f>
        <v>0</v>
      </c>
      <c r="M28" s="2372"/>
      <c r="N28" s="1739">
        <f>IF(P$6=0,0,(P$6*$E28+$G28+Z13))</f>
        <v>0</v>
      </c>
      <c r="O28" s="1722">
        <f>N28*$D28</f>
        <v>0</v>
      </c>
      <c r="P28" s="2417"/>
      <c r="Q28" s="2501"/>
      <c r="R28" s="42"/>
      <c r="S28" s="42"/>
      <c r="T28" s="42"/>
      <c r="U28" s="42"/>
      <c r="V28" s="42"/>
      <c r="W28" s="42"/>
      <c r="X28" s="42"/>
      <c r="Y28" s="42"/>
      <c r="Z28" s="42"/>
      <c r="AA28" s="42"/>
      <c r="AB28" s="42"/>
      <c r="AC28" s="42"/>
      <c r="AD28" s="42"/>
      <c r="AE28" s="42"/>
      <c r="AF28" s="42"/>
      <c r="AG28" s="42"/>
      <c r="AH28" s="42"/>
      <c r="AI28" s="42"/>
      <c r="AJ28" s="42"/>
    </row>
    <row r="29" spans="1:36" s="2500" customFormat="1" ht="15" customHeight="1">
      <c r="A29" s="1248"/>
      <c r="B29" s="273"/>
      <c r="C29" s="1284" t="s">
        <v>244</v>
      </c>
      <c r="D29" s="1691">
        <f>IF(SDÖ1!$U$17=TRUE,SDÖ1!O56,0)</f>
        <v>1.3740000000000001</v>
      </c>
      <c r="E29" s="2446"/>
      <c r="F29" s="2486"/>
      <c r="G29" s="1741"/>
      <c r="H29" s="1739">
        <f>IF(J$6=0,0,(J$6*$E29+$G29+X14))</f>
        <v>0</v>
      </c>
      <c r="I29" s="1722">
        <f>H29*$D29</f>
        <v>0</v>
      </c>
      <c r="J29" s="42"/>
      <c r="K29" s="1740">
        <f>IF(M$6=0,0,(M$6*$E29+$G29+Y14))</f>
        <v>0</v>
      </c>
      <c r="L29" s="1564">
        <f>K29*$D29</f>
        <v>0</v>
      </c>
      <c r="M29" s="2372"/>
      <c r="N29" s="1739">
        <f>IF(P$6=0,0,(P$6*$E29+$G29+Z14))</f>
        <v>0</v>
      </c>
      <c r="O29" s="1722">
        <f>N29*$D29</f>
        <v>0</v>
      </c>
      <c r="P29" s="2417"/>
      <c r="Q29" s="2501"/>
      <c r="R29" s="42"/>
      <c r="S29" s="42"/>
      <c r="T29" s="42"/>
      <c r="U29" s="42"/>
      <c r="V29" s="42"/>
      <c r="W29" s="42"/>
      <c r="X29" s="42"/>
      <c r="Y29" s="42"/>
      <c r="Z29" s="42"/>
      <c r="AA29" s="42"/>
      <c r="AB29" s="42"/>
      <c r="AC29" s="42"/>
      <c r="AD29" s="42"/>
      <c r="AE29" s="42"/>
      <c r="AF29" s="42"/>
      <c r="AG29" s="42"/>
      <c r="AH29" s="42"/>
      <c r="AI29" s="42"/>
      <c r="AJ29" s="42"/>
    </row>
    <row r="30" spans="1:36" s="42" customFormat="1" ht="15" customHeight="1">
      <c r="A30" s="1284"/>
      <c r="B30" s="273"/>
      <c r="C30" s="1284" t="s">
        <v>242</v>
      </c>
      <c r="D30" s="1691">
        <f>IF(SDÖ1!$U$17=TRUE,SDÖ1!O57,0)</f>
        <v>1.35</v>
      </c>
      <c r="E30" s="2446"/>
      <c r="F30" s="2486"/>
      <c r="G30" s="1741"/>
      <c r="H30" s="1739">
        <f>IF(J$6=0,0,(J$6*$E30+$G30+X15))</f>
        <v>0</v>
      </c>
      <c r="I30" s="1722">
        <f>H30*$D30</f>
        <v>0</v>
      </c>
      <c r="K30" s="1740">
        <f>IF(M$6=0,0,(M$6*$E30+$G30+Y15))</f>
        <v>0</v>
      </c>
      <c r="L30" s="1564">
        <f>K30*$D30</f>
        <v>0</v>
      </c>
      <c r="M30" s="2372"/>
      <c r="N30" s="1739">
        <f>IF(P$6=0,0,(P$6*$E30+$G30+Z15))</f>
        <v>0</v>
      </c>
      <c r="O30" s="1722">
        <f>N30*$D30</f>
        <v>0</v>
      </c>
      <c r="P30" s="2417"/>
      <c r="Q30" s="2501"/>
    </row>
    <row r="31" spans="1:36" s="42" customFormat="1" ht="15" customHeight="1">
      <c r="A31" s="1284"/>
      <c r="B31" s="2088"/>
      <c r="C31" s="1309" t="s">
        <v>240</v>
      </c>
      <c r="D31" s="1674">
        <f>IF(SDÖ1!$U$17=TRUE,SDÖ1!O58,0)</f>
        <v>0.5</v>
      </c>
      <c r="E31" s="2445"/>
      <c r="F31" s="2485"/>
      <c r="G31" s="1737"/>
      <c r="H31" s="1735">
        <f>IF(J$6=0,0,(J$6*$E31+$G31+X16))</f>
        <v>0</v>
      </c>
      <c r="I31" s="1718">
        <f>H31*$D31</f>
        <v>0</v>
      </c>
      <c r="K31" s="1736">
        <f>IF(M$6=0,0,(M$6*$E31+$G31+Y16))</f>
        <v>0</v>
      </c>
      <c r="L31" s="1558">
        <f>K31*$D31</f>
        <v>0</v>
      </c>
      <c r="M31" s="2372"/>
      <c r="N31" s="1735">
        <f>IF(P$6=0,0,(P$6*$E31+$G31+Z16))</f>
        <v>0</v>
      </c>
      <c r="O31" s="1718">
        <f>N31*$D31</f>
        <v>0</v>
      </c>
      <c r="P31" s="2434"/>
      <c r="Q31" s="2501"/>
    </row>
    <row r="32" spans="1:36" s="42" customFormat="1" ht="15" customHeight="1">
      <c r="A32" s="1284"/>
      <c r="B32" s="2388" t="s">
        <v>1627</v>
      </c>
      <c r="C32" s="1248"/>
      <c r="D32" s="2500"/>
      <c r="E32" s="2500"/>
      <c r="F32" s="2500"/>
      <c r="G32" s="2444" t="s">
        <v>171</v>
      </c>
      <c r="H32" s="1732"/>
      <c r="I32" s="1731"/>
      <c r="J32" s="1582">
        <f>SUM(I34:I41)</f>
        <v>0</v>
      </c>
      <c r="K32" s="1734"/>
      <c r="L32" s="1733"/>
      <c r="M32" s="1585">
        <f>SUM(L34:L41)</f>
        <v>0</v>
      </c>
      <c r="N32" s="1732"/>
      <c r="O32" s="1731"/>
      <c r="P32" s="2383">
        <f>SUM(O34:O41)</f>
        <v>0</v>
      </c>
      <c r="Q32" s="2501"/>
      <c r="R32" s="2500"/>
      <c r="S32" s="2500"/>
      <c r="T32" s="2500"/>
      <c r="U32" s="2500"/>
      <c r="V32" s="2500"/>
      <c r="W32" s="2500"/>
      <c r="X32" s="2500"/>
      <c r="Y32" s="2500"/>
      <c r="Z32" s="2500"/>
      <c r="AA32" s="2500"/>
      <c r="AB32" s="2500"/>
      <c r="AC32" s="2500"/>
      <c r="AD32" s="2500"/>
      <c r="AE32" s="2500"/>
      <c r="AF32" s="2500"/>
      <c r="AG32" s="2500"/>
      <c r="AH32" s="2500"/>
      <c r="AI32" s="2500"/>
      <c r="AJ32" s="2500"/>
    </row>
    <row r="33" spans="1:36" s="42" customFormat="1" ht="15" customHeight="1">
      <c r="A33" s="1284"/>
      <c r="B33" s="2382"/>
      <c r="C33" s="1580" t="s">
        <v>1156</v>
      </c>
      <c r="D33" s="1651">
        <f>SDÖ1!$O$11</f>
        <v>0</v>
      </c>
      <c r="E33" s="2381"/>
      <c r="F33" s="2379" t="s">
        <v>249</v>
      </c>
      <c r="G33" s="2402" t="s">
        <v>1155</v>
      </c>
      <c r="H33" s="2440" t="s">
        <v>1176</v>
      </c>
      <c r="I33" s="2375" t="s">
        <v>171</v>
      </c>
      <c r="J33" s="2443"/>
      <c r="K33" s="2442" t="s">
        <v>1176</v>
      </c>
      <c r="L33" s="2377" t="s">
        <v>171</v>
      </c>
      <c r="M33" s="2441"/>
      <c r="N33" s="2440" t="s">
        <v>1176</v>
      </c>
      <c r="O33" s="2375" t="s">
        <v>171</v>
      </c>
      <c r="P33" s="2374"/>
      <c r="Q33" s="2501"/>
      <c r="R33" s="2500"/>
      <c r="S33" s="2500"/>
      <c r="T33" s="2500"/>
      <c r="U33" s="2500"/>
      <c r="V33" s="2500"/>
      <c r="W33" s="2500"/>
      <c r="X33" s="2500"/>
      <c r="Y33" s="2500"/>
      <c r="Z33" s="2500"/>
      <c r="AA33" s="2500"/>
      <c r="AB33" s="2500"/>
      <c r="AC33" s="2500"/>
      <c r="AD33" s="2500"/>
      <c r="AE33" s="2500"/>
      <c r="AF33" s="2500"/>
      <c r="AG33" s="2500"/>
      <c r="AH33" s="2500"/>
      <c r="AI33" s="2500"/>
      <c r="AJ33" s="2500"/>
    </row>
    <row r="34" spans="1:36" s="2500" customFormat="1" ht="18.75" customHeight="1">
      <c r="A34" s="1248"/>
      <c r="B34" s="2373"/>
      <c r="C34" s="4973"/>
      <c r="D34" s="4973"/>
      <c r="E34" s="4974"/>
      <c r="F34" s="1724">
        <f>IF(C34=0,0,VLOOKUP(C34,SDÖ5!$C$6:$D$33,2,FALSE))</f>
        <v>0</v>
      </c>
      <c r="G34" s="1724">
        <f t="shared" ref="G34:G41" si="0">F34*(100+$D$33)/100</f>
        <v>0</v>
      </c>
      <c r="H34" s="1917"/>
      <c r="I34" s="1722">
        <f t="shared" ref="I34:I41" si="1">$G34*H34</f>
        <v>0</v>
      </c>
      <c r="J34" s="42"/>
      <c r="K34" s="1917"/>
      <c r="L34" s="1564">
        <f t="shared" ref="L34:L41" si="2">$G34*K34</f>
        <v>0</v>
      </c>
      <c r="M34" s="2372"/>
      <c r="N34" s="1917"/>
      <c r="O34" s="1722">
        <f t="shared" ref="O34:O41" si="3">$G34*N34</f>
        <v>0</v>
      </c>
      <c r="P34" s="2417"/>
      <c r="Q34" s="2501"/>
      <c r="R34" s="42"/>
      <c r="S34" s="42"/>
      <c r="T34" s="42"/>
      <c r="U34" s="42"/>
      <c r="V34" s="42"/>
      <c r="W34" s="42"/>
      <c r="X34" s="42"/>
      <c r="Y34" s="42"/>
      <c r="Z34" s="42"/>
      <c r="AA34" s="42"/>
      <c r="AB34" s="42"/>
      <c r="AC34" s="42"/>
      <c r="AD34" s="42"/>
      <c r="AE34" s="42"/>
      <c r="AF34" s="42"/>
      <c r="AG34" s="42"/>
      <c r="AH34" s="42"/>
      <c r="AI34" s="42"/>
      <c r="AJ34" s="42"/>
    </row>
    <row r="35" spans="1:36" s="2500" customFormat="1" ht="13.15" customHeight="1">
      <c r="A35" s="1248"/>
      <c r="B35" s="2373"/>
      <c r="C35" s="4971"/>
      <c r="D35" s="4971"/>
      <c r="E35" s="4972"/>
      <c r="F35" s="1724">
        <f>IF(C35=0,0,VLOOKUP(C35,SDÖ5!$C$6:$D$33,2,FALSE))</f>
        <v>0</v>
      </c>
      <c r="G35" s="1724">
        <f t="shared" si="0"/>
        <v>0</v>
      </c>
      <c r="H35" s="1917"/>
      <c r="I35" s="1722">
        <f t="shared" si="1"/>
        <v>0</v>
      </c>
      <c r="J35" s="42"/>
      <c r="K35" s="1917"/>
      <c r="L35" s="1564">
        <f t="shared" si="2"/>
        <v>0</v>
      </c>
      <c r="M35" s="2372"/>
      <c r="N35" s="1917"/>
      <c r="O35" s="1722">
        <f t="shared" si="3"/>
        <v>0</v>
      </c>
      <c r="P35" s="2417"/>
      <c r="Q35" s="2501"/>
      <c r="R35" s="42"/>
      <c r="S35" s="42"/>
      <c r="T35" s="42"/>
      <c r="U35" s="42"/>
      <c r="V35" s="42"/>
      <c r="W35" s="42"/>
      <c r="X35" s="42"/>
      <c r="Y35" s="42"/>
      <c r="Z35" s="42"/>
      <c r="AA35" s="42"/>
      <c r="AB35" s="42"/>
      <c r="AC35" s="42"/>
      <c r="AD35" s="42"/>
      <c r="AE35" s="42"/>
      <c r="AF35" s="42"/>
      <c r="AG35" s="42"/>
      <c r="AH35" s="42"/>
      <c r="AI35" s="42"/>
      <c r="AJ35" s="42"/>
    </row>
    <row r="36" spans="1:36" s="42" customFormat="1" ht="15" customHeight="1">
      <c r="A36" s="1284"/>
      <c r="B36" s="2373"/>
      <c r="C36" s="4971"/>
      <c r="D36" s="4971"/>
      <c r="E36" s="4972"/>
      <c r="F36" s="1724">
        <f>IF(C36=0,0,VLOOKUP(C36,SDÖ5!$C$6:$D$33,2,FALSE))</f>
        <v>0</v>
      </c>
      <c r="G36" s="1724">
        <f t="shared" si="0"/>
        <v>0</v>
      </c>
      <c r="H36" s="1917"/>
      <c r="I36" s="1722">
        <f t="shared" si="1"/>
        <v>0</v>
      </c>
      <c r="K36" s="1917"/>
      <c r="L36" s="1564">
        <f t="shared" si="2"/>
        <v>0</v>
      </c>
      <c r="M36" s="2372"/>
      <c r="N36" s="1917"/>
      <c r="O36" s="1722">
        <f t="shared" si="3"/>
        <v>0</v>
      </c>
      <c r="P36" s="2417"/>
      <c r="Q36" s="2501"/>
    </row>
    <row r="37" spans="1:36" s="42" customFormat="1" ht="15" customHeight="1">
      <c r="A37" s="1284"/>
      <c r="B37" s="2438"/>
      <c r="C37" s="4971"/>
      <c r="D37" s="4971"/>
      <c r="E37" s="4972"/>
      <c r="F37" s="1724">
        <f>IF(C37=0,0,VLOOKUP(C37,SDÖ5!$C$6:$D$33,2,FALSE))</f>
        <v>0</v>
      </c>
      <c r="G37" s="1724">
        <f t="shared" si="0"/>
        <v>0</v>
      </c>
      <c r="H37" s="1917"/>
      <c r="I37" s="1722">
        <f t="shared" si="1"/>
        <v>0</v>
      </c>
      <c r="K37" s="1917"/>
      <c r="L37" s="1564">
        <f t="shared" si="2"/>
        <v>0</v>
      </c>
      <c r="M37" s="2372"/>
      <c r="N37" s="1917"/>
      <c r="O37" s="1722">
        <f t="shared" si="3"/>
        <v>0</v>
      </c>
      <c r="P37" s="2417"/>
      <c r="Q37" s="2501"/>
    </row>
    <row r="38" spans="1:36" s="42" customFormat="1" ht="22.5" hidden="1" customHeight="1">
      <c r="A38" s="1284"/>
      <c r="B38" s="2373"/>
      <c r="C38" s="4971"/>
      <c r="D38" s="4971"/>
      <c r="E38" s="4972"/>
      <c r="F38" s="1724">
        <f>IF(C38=0,0,VLOOKUP(C38,SDÖ5!$C$6:$D$16,2,FALSE))</f>
        <v>0</v>
      </c>
      <c r="G38" s="1724">
        <f t="shared" si="0"/>
        <v>0</v>
      </c>
      <c r="H38" s="1917"/>
      <c r="I38" s="1722">
        <f t="shared" si="1"/>
        <v>0</v>
      </c>
      <c r="K38" s="1917"/>
      <c r="L38" s="1564">
        <f t="shared" si="2"/>
        <v>0</v>
      </c>
      <c r="M38" s="2372"/>
      <c r="N38" s="1917"/>
      <c r="O38" s="1722">
        <f t="shared" si="3"/>
        <v>0</v>
      </c>
      <c r="P38" s="2417"/>
      <c r="Q38" s="2501"/>
    </row>
    <row r="39" spans="1:36" s="42" customFormat="1" ht="15" hidden="1" customHeight="1">
      <c r="A39" s="1284"/>
      <c r="B39" s="2373"/>
      <c r="C39" s="4971"/>
      <c r="D39" s="4971"/>
      <c r="E39" s="4972"/>
      <c r="F39" s="1724">
        <f>IF(C39=0,0,VLOOKUP(C39,SDÖ5!$C$6:$D$16,2,FALSE))</f>
        <v>0</v>
      </c>
      <c r="G39" s="1724">
        <f t="shared" si="0"/>
        <v>0</v>
      </c>
      <c r="H39" s="1917"/>
      <c r="I39" s="1722">
        <f t="shared" si="1"/>
        <v>0</v>
      </c>
      <c r="K39" s="1917"/>
      <c r="L39" s="1564">
        <f t="shared" si="2"/>
        <v>0</v>
      </c>
      <c r="M39" s="2372"/>
      <c r="N39" s="1917"/>
      <c r="O39" s="1722">
        <f t="shared" si="3"/>
        <v>0</v>
      </c>
      <c r="P39" s="2417"/>
      <c r="Q39" s="2501"/>
    </row>
    <row r="40" spans="1:36" s="42" customFormat="1" ht="15" hidden="1" customHeight="1">
      <c r="A40" s="1284"/>
      <c r="B40" s="2373"/>
      <c r="C40" s="4971"/>
      <c r="D40" s="4971"/>
      <c r="E40" s="4972"/>
      <c r="F40" s="1724">
        <f>IF(C40=0,0,VLOOKUP(C40,SDÖ5!$C$6:$D$16,2,FALSE))</f>
        <v>0</v>
      </c>
      <c r="G40" s="1724">
        <f t="shared" si="0"/>
        <v>0</v>
      </c>
      <c r="H40" s="1917"/>
      <c r="I40" s="1722">
        <f t="shared" si="1"/>
        <v>0</v>
      </c>
      <c r="K40" s="1917"/>
      <c r="L40" s="1564">
        <f t="shared" si="2"/>
        <v>0</v>
      </c>
      <c r="M40" s="2372"/>
      <c r="N40" s="1917"/>
      <c r="O40" s="1722">
        <f t="shared" si="3"/>
        <v>0</v>
      </c>
      <c r="P40" s="2417"/>
      <c r="Q40" s="2501"/>
    </row>
    <row r="41" spans="1:36" s="42" customFormat="1" ht="15" hidden="1" customHeight="1">
      <c r="A41" s="1284"/>
      <c r="B41" s="2436"/>
      <c r="C41" s="4975"/>
      <c r="D41" s="4975"/>
      <c r="E41" s="4976"/>
      <c r="F41" s="1720">
        <f>IF(C41=0,0,VLOOKUP(C41,SDÖ5!$C$6:$D$16,2,FALSE))</f>
        <v>0</v>
      </c>
      <c r="G41" s="1720">
        <f t="shared" si="0"/>
        <v>0</v>
      </c>
      <c r="H41" s="1918"/>
      <c r="I41" s="1718">
        <f t="shared" si="1"/>
        <v>0</v>
      </c>
      <c r="K41" s="1918"/>
      <c r="L41" s="1558">
        <f t="shared" si="2"/>
        <v>0</v>
      </c>
      <c r="M41" s="2372"/>
      <c r="N41" s="1918"/>
      <c r="O41" s="1718">
        <f t="shared" si="3"/>
        <v>0</v>
      </c>
      <c r="P41" s="2434"/>
      <c r="Q41" s="2501"/>
    </row>
    <row r="42" spans="1:36" s="42" customFormat="1" ht="15" customHeight="1">
      <c r="A42" s="1284"/>
      <c r="B42" s="2433" t="s">
        <v>1626</v>
      </c>
      <c r="C42" s="1354"/>
      <c r="D42" s="1354"/>
      <c r="E42" s="1354"/>
      <c r="F42" s="1354"/>
      <c r="G42" s="2432" t="s">
        <v>171</v>
      </c>
      <c r="H42" s="2429"/>
      <c r="I42" s="2428"/>
      <c r="J42" s="1582" t="e">
        <f>SUM(J45:J56)</f>
        <v>#N/A</v>
      </c>
      <c r="K42" s="2431"/>
      <c r="L42" s="2430"/>
      <c r="M42" s="1585" t="e">
        <f>SUM(M45:M56)</f>
        <v>#N/A</v>
      </c>
      <c r="N42" s="2429"/>
      <c r="O42" s="2428"/>
      <c r="P42" s="2383" t="e">
        <f>SUM(P45:P56)</f>
        <v>#N/A</v>
      </c>
      <c r="Q42" s="2501"/>
      <c r="R42" s="2500"/>
      <c r="S42" s="2500"/>
      <c r="T42" s="2500"/>
      <c r="U42" s="2500"/>
      <c r="V42" s="2500"/>
      <c r="W42" s="2500"/>
      <c r="X42" s="2500"/>
      <c r="Y42" s="2500"/>
      <c r="Z42" s="2500"/>
      <c r="AA42" s="2500"/>
      <c r="AB42" s="2500"/>
      <c r="AC42" s="2500"/>
      <c r="AD42" s="2500"/>
      <c r="AE42" s="2500"/>
      <c r="AF42" s="2500"/>
      <c r="AG42" s="2500"/>
      <c r="AH42" s="2500"/>
      <c r="AI42" s="2500"/>
      <c r="AJ42" s="2500"/>
    </row>
    <row r="43" spans="1:36" s="2500" customFormat="1" ht="18.75" customHeight="1">
      <c r="A43" s="1248"/>
      <c r="B43" s="2427"/>
      <c r="C43" s="1284" t="s">
        <v>1174</v>
      </c>
      <c r="D43" s="1284"/>
      <c r="E43" s="1712" t="s">
        <v>466</v>
      </c>
      <c r="F43" s="1711" t="s">
        <v>1173</v>
      </c>
      <c r="G43" s="1710"/>
      <c r="H43" s="367" t="s">
        <v>1172</v>
      </c>
      <c r="I43" s="1706" t="s">
        <v>1171</v>
      </c>
      <c r="J43" s="1705"/>
      <c r="K43" s="1709" t="s">
        <v>1172</v>
      </c>
      <c r="L43" s="1708" t="s">
        <v>1171</v>
      </c>
      <c r="M43" s="1707"/>
      <c r="N43" s="367" t="s">
        <v>1172</v>
      </c>
      <c r="O43" s="1706" t="s">
        <v>1171</v>
      </c>
      <c r="P43" s="2426"/>
      <c r="Q43" s="2501"/>
      <c r="R43" s="42"/>
      <c r="S43" s="42"/>
      <c r="T43" s="42"/>
      <c r="U43" s="42"/>
      <c r="V43" s="42"/>
      <c r="W43" s="42"/>
      <c r="X43" s="42"/>
      <c r="Y43" s="42"/>
      <c r="Z43" s="42"/>
      <c r="AA43" s="42"/>
      <c r="AB43" s="42"/>
      <c r="AC43" s="42"/>
      <c r="AD43" s="42"/>
      <c r="AE43" s="42"/>
      <c r="AF43" s="42"/>
      <c r="AG43" s="42"/>
      <c r="AH43" s="42"/>
      <c r="AI43" s="42"/>
      <c r="AJ43" s="42"/>
    </row>
    <row r="44" spans="1:36" s="42" customFormat="1" ht="15" customHeight="1">
      <c r="A44" s="1284"/>
      <c r="B44" s="2425"/>
      <c r="C44" s="2424"/>
      <c r="D44" s="1704"/>
      <c r="E44" s="1575" t="s">
        <v>1625</v>
      </c>
      <c r="F44" s="2380" t="s">
        <v>1169</v>
      </c>
      <c r="G44" s="2380" t="s">
        <v>556</v>
      </c>
      <c r="H44" s="1700" t="s">
        <v>1168</v>
      </c>
      <c r="I44" s="2379" t="s">
        <v>114</v>
      </c>
      <c r="J44" s="2423" t="s">
        <v>171</v>
      </c>
      <c r="K44" s="1703" t="s">
        <v>1168</v>
      </c>
      <c r="L44" s="2422" t="s">
        <v>114</v>
      </c>
      <c r="M44" s="2421" t="s">
        <v>171</v>
      </c>
      <c r="N44" s="1700" t="s">
        <v>1168</v>
      </c>
      <c r="O44" s="2379" t="s">
        <v>114</v>
      </c>
      <c r="P44" s="2420" t="s">
        <v>171</v>
      </c>
      <c r="Q44" s="2501"/>
    </row>
    <row r="45" spans="1:36" s="42" customFormat="1" ht="15" customHeight="1">
      <c r="A45" s="1284"/>
      <c r="B45" s="2419"/>
      <c r="C45" s="4977"/>
      <c r="D45" s="4978"/>
      <c r="E45" s="1693">
        <f>IF($C45=0,0,VLOOKUP($C45,SDÖ3!$C$24:$N$101,4,FALSE))</f>
        <v>0</v>
      </c>
      <c r="F45" s="1692">
        <f>IF($C45=0,0,VLOOKUP($C45,SDÖ3!$C$24:$N$101,12,FALSE))</f>
        <v>0</v>
      </c>
      <c r="G45" s="1691">
        <f>IF($C45=0,0,VLOOKUP($C45,SDÖ3!$C$24:$N$101,13,FALSE))</f>
        <v>0</v>
      </c>
      <c r="H45" s="1696"/>
      <c r="I45" s="1695">
        <f t="shared" ref="I45:I56" si="4">$F45*H45</f>
        <v>0</v>
      </c>
      <c r="J45" s="1686">
        <f t="shared" ref="J45:J55" si="5">H45*$G45</f>
        <v>0</v>
      </c>
      <c r="K45" s="1696"/>
      <c r="L45" s="1697">
        <f t="shared" ref="L45:L56" si="6">$F45*K45</f>
        <v>0</v>
      </c>
      <c r="M45" s="1689">
        <f t="shared" ref="M45:M56" si="7">K45*$G45</f>
        <v>0</v>
      </c>
      <c r="N45" s="1696"/>
      <c r="O45" s="1695">
        <f t="shared" ref="O45:O56" si="8">$F45*N45</f>
        <v>0</v>
      </c>
      <c r="P45" s="2417">
        <f t="shared" ref="P45:P56" si="9">N45*$G45</f>
        <v>0</v>
      </c>
      <c r="Q45" s="2501"/>
    </row>
    <row r="46" spans="1:36" s="42" customFormat="1" ht="15" customHeight="1">
      <c r="A46" s="1284"/>
      <c r="B46" s="2418"/>
      <c r="C46" s="4964" t="s">
        <v>1864</v>
      </c>
      <c r="D46" s="4965"/>
      <c r="E46" s="1693" t="e">
        <f>IF($C46=0,0,VLOOKUP($C46,SDÖ3!$C$24:$N$101,4,FALSE))</f>
        <v>#N/A</v>
      </c>
      <c r="F46" s="1692" t="e">
        <f>IF($C46=0,0,VLOOKUP($C46,SDÖ3!$C$24:$N$101,12,FALSE))</f>
        <v>#N/A</v>
      </c>
      <c r="G46" s="1691" t="e">
        <f>IF($C46=0,0,VLOOKUP($C46,SDÖ3!$C$24:$N$101,13,FALSE))</f>
        <v>#N/A</v>
      </c>
      <c r="H46" s="1688">
        <v>1</v>
      </c>
      <c r="I46" s="1687" t="e">
        <f t="shared" si="4"/>
        <v>#N/A</v>
      </c>
      <c r="J46" s="1686" t="e">
        <f t="shared" si="5"/>
        <v>#N/A</v>
      </c>
      <c r="K46" s="1688">
        <v>1</v>
      </c>
      <c r="L46" s="1690" t="e">
        <f t="shared" si="6"/>
        <v>#N/A</v>
      </c>
      <c r="M46" s="1689" t="e">
        <f t="shared" si="7"/>
        <v>#N/A</v>
      </c>
      <c r="N46" s="1688">
        <v>1</v>
      </c>
      <c r="O46" s="1687" t="e">
        <f t="shared" si="8"/>
        <v>#N/A</v>
      </c>
      <c r="P46" s="2417" t="e">
        <f t="shared" si="9"/>
        <v>#N/A</v>
      </c>
      <c r="Q46" s="2501"/>
    </row>
    <row r="47" spans="1:36" s="42" customFormat="1" ht="15" customHeight="1">
      <c r="A47" s="1284"/>
      <c r="B47" s="2418"/>
      <c r="C47" s="4964" t="s">
        <v>453</v>
      </c>
      <c r="D47" s="4965"/>
      <c r="E47" s="1693">
        <f>IF($C47=0,0,VLOOKUP($C47,SDÖ3!$C$24:$N$101,4,FALSE))</f>
        <v>83</v>
      </c>
      <c r="F47" s="1692">
        <f>IF($C47=0,0,VLOOKUP($C47,SDÖ3!$C$24:$N$101,12,FALSE))</f>
        <v>0.57999999999999996</v>
      </c>
      <c r="G47" s="1691" t="e">
        <f>IF($C47=0,0,VLOOKUP($C47,SDÖ3!$C$24:$N$101,13,FALSE))</f>
        <v>#REF!</v>
      </c>
      <c r="H47" s="1688">
        <v>1</v>
      </c>
      <c r="I47" s="1687">
        <f t="shared" si="4"/>
        <v>0.57999999999999996</v>
      </c>
      <c r="J47" s="1686" t="e">
        <f t="shared" si="5"/>
        <v>#REF!</v>
      </c>
      <c r="K47" s="1688">
        <v>1</v>
      </c>
      <c r="L47" s="1690">
        <f t="shared" si="6"/>
        <v>0.57999999999999996</v>
      </c>
      <c r="M47" s="1689" t="e">
        <f t="shared" si="7"/>
        <v>#REF!</v>
      </c>
      <c r="N47" s="1688">
        <v>1</v>
      </c>
      <c r="O47" s="1687">
        <f t="shared" si="8"/>
        <v>0.57999999999999996</v>
      </c>
      <c r="P47" s="2417" t="e">
        <f t="shared" si="9"/>
        <v>#REF!</v>
      </c>
      <c r="Q47" s="2501"/>
    </row>
    <row r="48" spans="1:36" s="42" customFormat="1" ht="15" customHeight="1">
      <c r="A48" s="1284"/>
      <c r="B48" s="2418"/>
      <c r="C48" s="4964" t="s">
        <v>1863</v>
      </c>
      <c r="D48" s="4965"/>
      <c r="E48" s="1693" t="e">
        <f>IF($C48=0,0,VLOOKUP($C48,SDÖ3!$C$24:$N$101,4,FALSE))</f>
        <v>#N/A</v>
      </c>
      <c r="F48" s="1692" t="e">
        <f>IF($C48=0,0,VLOOKUP($C48,SDÖ3!$C$24:$N$101,12,FALSE))</f>
        <v>#N/A</v>
      </c>
      <c r="G48" s="1691" t="e">
        <f>IF($C48=0,0,VLOOKUP($C48,SDÖ3!$C$24:$N$101,13,FALSE))</f>
        <v>#N/A</v>
      </c>
      <c r="H48" s="1688">
        <v>1</v>
      </c>
      <c r="I48" s="1687" t="e">
        <f t="shared" si="4"/>
        <v>#N/A</v>
      </c>
      <c r="J48" s="1686" t="e">
        <f t="shared" si="5"/>
        <v>#N/A</v>
      </c>
      <c r="K48" s="1688">
        <v>1</v>
      </c>
      <c r="L48" s="1690" t="e">
        <f t="shared" si="6"/>
        <v>#N/A</v>
      </c>
      <c r="M48" s="1689" t="e">
        <f t="shared" si="7"/>
        <v>#N/A</v>
      </c>
      <c r="N48" s="1688">
        <v>1</v>
      </c>
      <c r="O48" s="1687" t="e">
        <f t="shared" si="8"/>
        <v>#N/A</v>
      </c>
      <c r="P48" s="2417" t="e">
        <f t="shared" si="9"/>
        <v>#N/A</v>
      </c>
      <c r="Q48" s="2501"/>
    </row>
    <row r="49" spans="1:36" s="42" customFormat="1" ht="15" customHeight="1">
      <c r="A49" s="1284"/>
      <c r="B49" s="2418"/>
      <c r="C49" s="4964" t="s">
        <v>1862</v>
      </c>
      <c r="D49" s="4965"/>
      <c r="E49" s="1693" t="e">
        <f>IF($C49=0,0,VLOOKUP($C49,SDÖ3!$C$24:$N$101,4,FALSE))</f>
        <v>#N/A</v>
      </c>
      <c r="F49" s="1692" t="e">
        <f>IF($C49=0,0,VLOOKUP($C49,SDÖ3!$C$24:$N$101,12,FALSE))</f>
        <v>#N/A</v>
      </c>
      <c r="G49" s="1691" t="e">
        <f>IF($C49=0,0,VLOOKUP($C49,SDÖ3!$C$24:$N$101,13,FALSE))</f>
        <v>#N/A</v>
      </c>
      <c r="H49" s="1688">
        <v>2</v>
      </c>
      <c r="I49" s="1687" t="e">
        <f t="shared" si="4"/>
        <v>#N/A</v>
      </c>
      <c r="J49" s="1686" t="e">
        <f t="shared" si="5"/>
        <v>#N/A</v>
      </c>
      <c r="K49" s="1688">
        <v>2</v>
      </c>
      <c r="L49" s="1690" t="e">
        <f t="shared" si="6"/>
        <v>#N/A</v>
      </c>
      <c r="M49" s="1689" t="e">
        <f t="shared" si="7"/>
        <v>#N/A</v>
      </c>
      <c r="N49" s="1688">
        <v>2</v>
      </c>
      <c r="O49" s="1687" t="e">
        <f t="shared" si="8"/>
        <v>#N/A</v>
      </c>
      <c r="P49" s="2417" t="e">
        <f t="shared" si="9"/>
        <v>#N/A</v>
      </c>
      <c r="Q49" s="2501"/>
    </row>
    <row r="50" spans="1:36" s="42" customFormat="1" ht="15" customHeight="1">
      <c r="A50" s="1284"/>
      <c r="B50" s="2418"/>
      <c r="C50" s="4964" t="s">
        <v>411</v>
      </c>
      <c r="D50" s="4965"/>
      <c r="E50" s="1693">
        <f>IF($C50=0,0,VLOOKUP($C50,SDÖ3!$C$24:$N$101,4,FALSE))</f>
        <v>54</v>
      </c>
      <c r="F50" s="1692">
        <f>IF($C50=0,0,VLOOKUP($C50,SDÖ3!$C$24:$N$101,12,FALSE))</f>
        <v>0.39</v>
      </c>
      <c r="G50" s="1691" t="e">
        <f>IF($C50=0,0,VLOOKUP($C50,SDÖ3!$C$24:$N$101,13,FALSE))</f>
        <v>#REF!</v>
      </c>
      <c r="H50" s="1688"/>
      <c r="I50" s="1687">
        <f t="shared" si="4"/>
        <v>0</v>
      </c>
      <c r="J50" s="1686" t="e">
        <f t="shared" si="5"/>
        <v>#REF!</v>
      </c>
      <c r="K50" s="1688"/>
      <c r="L50" s="1690">
        <f t="shared" si="6"/>
        <v>0</v>
      </c>
      <c r="M50" s="1689" t="e">
        <f t="shared" si="7"/>
        <v>#REF!</v>
      </c>
      <c r="N50" s="1688"/>
      <c r="O50" s="1687">
        <f t="shared" si="8"/>
        <v>0</v>
      </c>
      <c r="P50" s="2417" t="e">
        <f t="shared" si="9"/>
        <v>#REF!</v>
      </c>
      <c r="Q50" s="2501"/>
    </row>
    <row r="51" spans="1:36"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36"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36" s="42" customFormat="1" ht="15" customHeight="1">
      <c r="A53" s="1284"/>
      <c r="B53" s="2418"/>
      <c r="C53" s="4964" t="s">
        <v>1861</v>
      </c>
      <c r="D53" s="4965"/>
      <c r="E53" s="1693" t="e">
        <f>IF($C53=0,0,VLOOKUP($C53,SDÖ3!$C$24:$N$101,4,FALSE))</f>
        <v>#N/A</v>
      </c>
      <c r="F53" s="1692" t="e">
        <f>IF($C53=0,0,VLOOKUP($C53,SDÖ3!$C$24:$N$101,12,FALSE))</f>
        <v>#N/A</v>
      </c>
      <c r="G53" s="1691" t="e">
        <f>IF($C53=0,0,VLOOKUP($C53,SDÖ3!$C$24:$N$101,13,FALSE))</f>
        <v>#N/A</v>
      </c>
      <c r="H53" s="1688">
        <f>$J$6/40+0.3</f>
        <v>0.35</v>
      </c>
      <c r="I53" s="1687" t="e">
        <f t="shared" si="4"/>
        <v>#N/A</v>
      </c>
      <c r="J53" s="1686" t="e">
        <f t="shared" si="5"/>
        <v>#N/A</v>
      </c>
      <c r="K53" s="1688">
        <f>$M$6/40+0.3</f>
        <v>0.4</v>
      </c>
      <c r="L53" s="1690" t="e">
        <f t="shared" si="6"/>
        <v>#N/A</v>
      </c>
      <c r="M53" s="1689" t="e">
        <f t="shared" si="7"/>
        <v>#N/A</v>
      </c>
      <c r="N53" s="1688">
        <f>$P$6/40+0.3</f>
        <v>0.44999999999999996</v>
      </c>
      <c r="O53" s="1687" t="e">
        <f t="shared" si="8"/>
        <v>#N/A</v>
      </c>
      <c r="P53" s="2417" t="e">
        <f t="shared" si="9"/>
        <v>#N/A</v>
      </c>
      <c r="Q53" s="38"/>
    </row>
    <row r="54" spans="1:36" s="42" customFormat="1" ht="15" customHeight="1">
      <c r="A54" s="1284"/>
      <c r="B54" s="2418"/>
      <c r="C54" s="4964" t="s">
        <v>1651</v>
      </c>
      <c r="D54" s="4965"/>
      <c r="E54" s="1693" t="e">
        <f>IF($C54=0,0,VLOOKUP($C54,SDÖ3!$C$24:$N$101,4,FALSE))</f>
        <v>#N/A</v>
      </c>
      <c r="F54" s="1692" t="e">
        <f>IF($C54=0,0,VLOOKUP($C54,SDÖ3!$C$24:$N$101,12,FALSE))</f>
        <v>#N/A</v>
      </c>
      <c r="G54" s="1691" t="e">
        <f>IF($C54=0,0,VLOOKUP($C54,SDÖ3!$C$24:$N$101,13,FALSE))</f>
        <v>#N/A</v>
      </c>
      <c r="H54" s="1688">
        <v>2</v>
      </c>
      <c r="I54" s="1687" t="e">
        <f t="shared" si="4"/>
        <v>#N/A</v>
      </c>
      <c r="J54" s="1686" t="e">
        <f t="shared" si="5"/>
        <v>#N/A</v>
      </c>
      <c r="K54" s="1688">
        <v>2</v>
      </c>
      <c r="L54" s="1690" t="e">
        <f t="shared" si="6"/>
        <v>#N/A</v>
      </c>
      <c r="M54" s="1689" t="e">
        <f t="shared" si="7"/>
        <v>#N/A</v>
      </c>
      <c r="N54" s="1688">
        <v>2</v>
      </c>
      <c r="O54" s="1687" t="e">
        <f t="shared" si="8"/>
        <v>#N/A</v>
      </c>
      <c r="P54" s="2417" t="e">
        <f t="shared" si="9"/>
        <v>#N/A</v>
      </c>
      <c r="Q54" s="2501"/>
    </row>
    <row r="55" spans="1:36"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36" s="42" customFormat="1" ht="15" customHeight="1">
      <c r="A56" s="1284"/>
      <c r="B56" s="2397"/>
      <c r="C56" s="4964">
        <v>0</v>
      </c>
      <c r="D56" s="4965"/>
      <c r="E56" s="1676">
        <f>IF($C56=0,0,VLOOKUP($C56,SDÖ3!$C$24:$N$101,4,FALSE))</f>
        <v>0</v>
      </c>
      <c r="F56" s="1675">
        <f>IF($C56=0,0,VLOOKUP($C56,SDÖ3!$C$24:$N$101,12,FALSE))</f>
        <v>0</v>
      </c>
      <c r="G56" s="1674">
        <f>IF($C56=0,0,VLOOKUP($C56,SDÖ3!$C$24:$N$101,13,FALSE))</f>
        <v>0</v>
      </c>
      <c r="H56" s="1672"/>
      <c r="I56" s="1671">
        <f t="shared" si="4"/>
        <v>0</v>
      </c>
      <c r="J56" s="1670"/>
      <c r="K56" s="1672"/>
      <c r="L56" s="1673">
        <f t="shared" si="6"/>
        <v>0</v>
      </c>
      <c r="M56" s="1620">
        <f t="shared" si="7"/>
        <v>0</v>
      </c>
      <c r="N56" s="1672"/>
      <c r="O56" s="1671">
        <f t="shared" si="8"/>
        <v>0</v>
      </c>
      <c r="P56" s="2416">
        <f t="shared" si="9"/>
        <v>0</v>
      </c>
      <c r="Q56" s="2501"/>
    </row>
    <row r="57" spans="1:36" s="42" customFormat="1" ht="24.75" customHeight="1">
      <c r="A57" s="1284"/>
      <c r="B57" s="2415" t="s">
        <v>1624</v>
      </c>
      <c r="C57" s="2414"/>
      <c r="D57" s="2414"/>
      <c r="E57" s="2414"/>
      <c r="F57" s="2414"/>
      <c r="G57" s="2414"/>
      <c r="H57" s="2411"/>
      <c r="I57" s="2410" t="e">
        <f>SUM(I45:I56)</f>
        <v>#N/A</v>
      </c>
      <c r="J57" s="2413"/>
      <c r="K57" s="2411"/>
      <c r="L57" s="2410" t="e">
        <f>SUM(L45:L56)</f>
        <v>#N/A</v>
      </c>
      <c r="M57" s="2412"/>
      <c r="N57" s="2411"/>
      <c r="O57" s="2410" t="e">
        <f>SUM(O45:O56)</f>
        <v>#N/A</v>
      </c>
      <c r="P57" s="2409"/>
      <c r="Q57" s="2501"/>
    </row>
    <row r="58" spans="1:36" s="42" customFormat="1" ht="24.75" customHeight="1">
      <c r="A58" s="1284"/>
      <c r="B58" s="2388" t="s">
        <v>1623</v>
      </c>
      <c r="C58" s="1248"/>
      <c r="D58" s="1248"/>
      <c r="E58" s="1248"/>
      <c r="F58" s="2501"/>
      <c r="G58" s="2384" t="s">
        <v>171</v>
      </c>
      <c r="H58" s="73"/>
      <c r="I58" s="73"/>
      <c r="J58" s="1582">
        <f>H59*$E59</f>
        <v>0</v>
      </c>
      <c r="K58" s="1597"/>
      <c r="L58" s="1597"/>
      <c r="M58" s="1585">
        <f>K59*$E59</f>
        <v>0</v>
      </c>
      <c r="N58" s="73"/>
      <c r="O58" s="73"/>
      <c r="P58" s="2383">
        <f>N59*$E59</f>
        <v>0</v>
      </c>
      <c r="Q58" s="2501"/>
      <c r="R58" s="2500"/>
      <c r="S58" s="2500"/>
      <c r="T58" s="2500"/>
      <c r="U58" s="2500"/>
      <c r="V58" s="2500"/>
      <c r="W58" s="2500"/>
      <c r="X58" s="2500"/>
      <c r="Y58" s="2500"/>
      <c r="Z58" s="2500"/>
      <c r="AA58" s="2500"/>
      <c r="AB58" s="2500"/>
      <c r="AC58" s="2500"/>
      <c r="AD58" s="2500"/>
      <c r="AE58" s="2500"/>
      <c r="AF58" s="2500"/>
      <c r="AG58" s="2500"/>
      <c r="AH58" s="2500"/>
      <c r="AI58" s="2500"/>
      <c r="AJ58" s="2500"/>
    </row>
    <row r="59" spans="1:36" s="2500" customFormat="1" ht="18.75" customHeight="1">
      <c r="A59" s="1248"/>
      <c r="B59" s="2408"/>
      <c r="C59" s="1355"/>
      <c r="D59" s="278" t="s">
        <v>1004</v>
      </c>
      <c r="E59" s="1615">
        <v>10</v>
      </c>
      <c r="F59" s="1590"/>
      <c r="G59" s="2407" t="s">
        <v>463</v>
      </c>
      <c r="H59" s="1556"/>
      <c r="I59" s="1611"/>
      <c r="J59" s="1600"/>
      <c r="K59" s="1556"/>
      <c r="L59" s="1613"/>
      <c r="M59" s="1603"/>
      <c r="N59" s="1556"/>
      <c r="O59" s="1611"/>
      <c r="P59" s="2389"/>
      <c r="Q59" s="2501"/>
    </row>
    <row r="60" spans="1:36" s="2500" customFormat="1" ht="15" customHeight="1">
      <c r="A60" s="1248"/>
      <c r="B60" s="2388" t="s">
        <v>1622</v>
      </c>
      <c r="C60" s="1351"/>
      <c r="D60" s="1351"/>
      <c r="E60" s="1351"/>
      <c r="F60" s="2501"/>
      <c r="G60" s="2384" t="s">
        <v>463</v>
      </c>
      <c r="H60" s="1665"/>
      <c r="I60" s="1664" t="e">
        <f>I57-H59</f>
        <v>#N/A</v>
      </c>
      <c r="J60" s="1669"/>
      <c r="K60" s="1668"/>
      <c r="L60" s="1667" t="e">
        <f>L57-K59</f>
        <v>#N/A</v>
      </c>
      <c r="M60" s="1666"/>
      <c r="N60" s="1665"/>
      <c r="O60" s="1664" t="e">
        <f>O57-N59</f>
        <v>#N/A</v>
      </c>
      <c r="P60" s="2406"/>
      <c r="Q60" s="2501"/>
      <c r="R60" s="65"/>
      <c r="S60" s="65"/>
      <c r="T60" s="65"/>
      <c r="U60" s="65"/>
      <c r="V60" s="65"/>
      <c r="W60" s="65"/>
      <c r="X60" s="65"/>
      <c r="Y60" s="65"/>
      <c r="Z60" s="65"/>
      <c r="AA60" s="65"/>
      <c r="AB60" s="65"/>
      <c r="AC60" s="65"/>
      <c r="AD60" s="65"/>
      <c r="AE60" s="65"/>
      <c r="AF60" s="65"/>
      <c r="AG60" s="65"/>
      <c r="AH60" s="65"/>
      <c r="AI60" s="65"/>
      <c r="AJ60" s="65"/>
    </row>
    <row r="61" spans="1:36" s="65" customFormat="1" ht="18.75" customHeight="1">
      <c r="A61" s="1351"/>
      <c r="B61" s="2405"/>
      <c r="C61" s="312"/>
      <c r="D61" s="278" t="s">
        <v>1166</v>
      </c>
      <c r="E61" s="1661">
        <v>90</v>
      </c>
      <c r="F61" s="312" t="s">
        <v>1165</v>
      </c>
      <c r="G61" s="142"/>
      <c r="H61" s="1656"/>
      <c r="I61" s="1655" t="e">
        <f>IF(I60+SUM($I$45:$I$56)*$E$61%&gt;I60+10,I60+10,I60+SUM($I$45:$I$56)*$E$61%)</f>
        <v>#N/A</v>
      </c>
      <c r="J61" s="1654"/>
      <c r="K61" s="1659"/>
      <c r="L61" s="1658" t="e">
        <f>IF(L60+SUM($L$45:$L$56)*$E$61%&gt;L60+10,L60+10,L60+SUM($L$45:$L$56)*$E$61%)</f>
        <v>#N/A</v>
      </c>
      <c r="M61" s="1657"/>
      <c r="N61" s="1656"/>
      <c r="O61" s="1655" t="e">
        <f>IF(O60+SUM($O$45:$O$56)*$E$61%&gt;O60+10,O60+10,O60+SUM($O$45:$O$56)*$E$61%)</f>
        <v>#N/A</v>
      </c>
      <c r="P61" s="2404"/>
      <c r="Q61" s="2501"/>
    </row>
    <row r="62" spans="1:36" s="65" customFormat="1" ht="15" customHeight="1">
      <c r="A62" s="1351"/>
      <c r="B62" s="2388" t="s">
        <v>339</v>
      </c>
      <c r="C62" s="1351"/>
      <c r="D62" s="1351"/>
      <c r="E62" s="42"/>
      <c r="F62" s="42"/>
      <c r="G62" s="2403" t="s">
        <v>171</v>
      </c>
      <c r="H62" s="2401"/>
      <c r="I62" s="2400"/>
      <c r="J62" s="1582">
        <f>IF(J6=0,0,SUM(I64:I66))</f>
        <v>176.8</v>
      </c>
      <c r="K62" s="1648"/>
      <c r="L62" s="1647"/>
      <c r="M62" s="1585">
        <f>IF(M6=0,0,SUM(L64:L66))</f>
        <v>176.8</v>
      </c>
      <c r="N62" s="2401"/>
      <c r="O62" s="2400"/>
      <c r="P62" s="2383">
        <f>IF(P6=0,0,SUM(O64:O66))</f>
        <v>176.8</v>
      </c>
      <c r="Q62" s="2501"/>
      <c r="R62" s="42"/>
      <c r="S62" s="42"/>
      <c r="T62" s="42"/>
      <c r="U62" s="42"/>
      <c r="V62" s="42"/>
      <c r="W62" s="42"/>
      <c r="X62" s="42"/>
      <c r="Y62" s="42"/>
      <c r="Z62" s="42"/>
      <c r="AA62" s="42"/>
      <c r="AB62" s="42"/>
      <c r="AC62" s="42"/>
      <c r="AD62" s="42"/>
      <c r="AE62" s="42"/>
      <c r="AF62" s="42"/>
      <c r="AG62" s="42"/>
      <c r="AH62" s="42"/>
      <c r="AI62" s="42"/>
      <c r="AJ62" s="42"/>
    </row>
    <row r="63" spans="1:36" s="42" customFormat="1" ht="18.75" customHeight="1">
      <c r="A63" s="1284"/>
      <c r="B63" s="2382"/>
      <c r="C63" s="1580" t="s">
        <v>1156</v>
      </c>
      <c r="D63" s="1651">
        <f>SDÖ1!$O$11</f>
        <v>0</v>
      </c>
      <c r="E63" s="2381"/>
      <c r="F63" s="2379" t="s">
        <v>249</v>
      </c>
      <c r="G63" s="2402" t="s">
        <v>1155</v>
      </c>
      <c r="H63" s="2401"/>
      <c r="I63" s="2400"/>
      <c r="J63" s="1750"/>
      <c r="K63" s="1648"/>
      <c r="L63" s="1647"/>
      <c r="M63" s="1646"/>
      <c r="N63" s="2401"/>
      <c r="O63" s="2400"/>
      <c r="P63" s="2374"/>
      <c r="Q63" s="2501"/>
    </row>
    <row r="64" spans="1:36" s="42" customFormat="1" ht="13.15" customHeight="1">
      <c r="A64" s="1284"/>
      <c r="B64" s="2373"/>
      <c r="C64" s="4967" t="s">
        <v>328</v>
      </c>
      <c r="D64" s="4967"/>
      <c r="E64" s="4967"/>
      <c r="F64" s="1642">
        <f>IF($C64=0,0,VLOOKUP($C64,SDÖ3!$C$140:$D$162,2,FALSE))</f>
        <v>176.8</v>
      </c>
      <c r="G64" s="1641">
        <f>(100+$D$63)/100*F64</f>
        <v>176.8</v>
      </c>
      <c r="I64" s="1785">
        <f>$G$64</f>
        <v>176.8</v>
      </c>
      <c r="K64" s="1640"/>
      <c r="L64" s="1639">
        <f>$G$64</f>
        <v>176.8</v>
      </c>
      <c r="M64" s="2372"/>
      <c r="N64" s="2398"/>
      <c r="O64" s="1785">
        <f>$G$64</f>
        <v>176.8</v>
      </c>
      <c r="P64" s="2371"/>
      <c r="Q64" s="2501"/>
    </row>
    <row r="65" spans="1:36" s="42" customFormat="1" ht="15" customHeight="1">
      <c r="A65" s="1284"/>
      <c r="B65" s="2373"/>
      <c r="C65" s="4967"/>
      <c r="D65" s="4967"/>
      <c r="E65" s="4968"/>
      <c r="F65" s="2399">
        <f>IF($C65=0,0,VLOOKUP($C65,SDÖ3!$C$140:$D$162,2,FALSE))</f>
        <v>0</v>
      </c>
      <c r="G65" s="1554">
        <f>(100+$D$63)/100*F65</f>
        <v>0</v>
      </c>
      <c r="K65" s="1640"/>
      <c r="L65" s="1639"/>
      <c r="M65" s="2372"/>
      <c r="N65" s="2398"/>
      <c r="O65" s="1785"/>
      <c r="P65" s="2371"/>
      <c r="Q65" s="2501"/>
    </row>
    <row r="66" spans="1:36" s="42" customFormat="1" ht="15" customHeight="1">
      <c r="A66" s="1284"/>
      <c r="B66" s="2397"/>
      <c r="C66" s="4969"/>
      <c r="D66" s="4969"/>
      <c r="E66" s="4969"/>
      <c r="F66" s="1624">
        <f>IF($C66=0,0,VLOOKUP($C66,SDÖ3!$C$140:$D$162,2,FALSE))</f>
        <v>0</v>
      </c>
      <c r="G66" s="1623">
        <f>(100+$D$63)/100*F66</f>
        <v>0</v>
      </c>
      <c r="H66" s="2396"/>
      <c r="I66" s="1777">
        <f>H11*$G$66</f>
        <v>0</v>
      </c>
      <c r="K66" s="1622"/>
      <c r="L66" s="1621">
        <f>K11*$G$66</f>
        <v>0</v>
      </c>
      <c r="M66" s="1620"/>
      <c r="N66" s="2396"/>
      <c r="O66" s="1777">
        <f>N11*$G$66</f>
        <v>0</v>
      </c>
      <c r="P66" s="2395"/>
      <c r="Q66" s="4979"/>
    </row>
    <row r="67" spans="1:36" s="42" customFormat="1" ht="25.5">
      <c r="A67" s="1284"/>
      <c r="B67" s="2388" t="s">
        <v>1621</v>
      </c>
      <c r="C67" s="1248"/>
      <c r="D67" s="1248"/>
      <c r="E67" s="229"/>
      <c r="F67" s="1610"/>
      <c r="G67" s="2384" t="s">
        <v>171</v>
      </c>
      <c r="H67" s="2392" t="s">
        <v>1161</v>
      </c>
      <c r="I67" s="2391" t="s">
        <v>1160</v>
      </c>
      <c r="J67" s="1582" t="e">
        <f>IF($F$68=0,$R$68*(H$9+H$10)*I$68%,$F$68*(H$9+H$10)*I$68%)</f>
        <v>#REF!</v>
      </c>
      <c r="K67" s="2394" t="s">
        <v>1161</v>
      </c>
      <c r="L67" s="2393" t="s">
        <v>1160</v>
      </c>
      <c r="M67" s="1585" t="e">
        <f>IF($F$68=0,$R$68*(K$9+K$10)*L$68%,$F$68*(K$9+K$10)*L$68%)</f>
        <v>#REF!</v>
      </c>
      <c r="N67" s="2392" t="s">
        <v>1161</v>
      </c>
      <c r="O67" s="2391" t="s">
        <v>1160</v>
      </c>
      <c r="P67" s="2383" t="e">
        <f>IF($F$68=0,$R$68*(N$9+N$10)*O$68%,$F$68*(N$9+N$10)*O$68%)</f>
        <v>#REF!</v>
      </c>
      <c r="Q67" s="4980"/>
      <c r="R67" s="2500"/>
      <c r="S67" s="2500"/>
      <c r="T67" s="2500"/>
      <c r="U67" s="2500"/>
      <c r="V67" s="2500"/>
      <c r="W67" s="2500"/>
      <c r="X67" s="2500"/>
      <c r="Y67" s="2500"/>
      <c r="Z67" s="2500"/>
      <c r="AA67" s="2500"/>
      <c r="AB67" s="2500"/>
      <c r="AC67" s="2500"/>
      <c r="AD67" s="2500"/>
      <c r="AE67" s="2500"/>
      <c r="AF67" s="2500"/>
      <c r="AG67" s="2500"/>
      <c r="AH67" s="2500"/>
      <c r="AI67" s="2500"/>
      <c r="AJ67" s="2500"/>
    </row>
    <row r="68" spans="1:36" s="2500" customFormat="1" ht="15.75">
      <c r="A68" s="1248"/>
      <c r="B68" s="2390"/>
      <c r="C68" s="4970" t="s">
        <v>1860</v>
      </c>
      <c r="D68" s="4970"/>
      <c r="E68" s="4970"/>
      <c r="F68" s="1604"/>
      <c r="G68" s="1595" t="s">
        <v>228</v>
      </c>
      <c r="H68" s="1602">
        <v>25</v>
      </c>
      <c r="I68" s="1601">
        <v>100</v>
      </c>
      <c r="J68" s="1600"/>
      <c r="K68" s="1602">
        <v>25</v>
      </c>
      <c r="L68" s="1601">
        <v>100</v>
      </c>
      <c r="M68" s="1603"/>
      <c r="N68" s="1602">
        <v>25</v>
      </c>
      <c r="O68" s="1601">
        <v>100</v>
      </c>
      <c r="P68" s="2389"/>
      <c r="Q68" s="4980"/>
      <c r="R68" s="1912" t="e">
        <f>IF(Linsen!$H$68=0,0,VLOOKUP($H$68,#REF!,2,TRUE))*(1+SDÖ1!$O$11/100)</f>
        <v>#REF!</v>
      </c>
      <c r="S68" s="1912" t="e">
        <f>IF($K$68=0,0,VLOOKUP($K$68,#REF!,2,TRUE))*(1+SDÖ1!$O$11/100)</f>
        <v>#REF!</v>
      </c>
      <c r="T68" s="1912" t="e">
        <f>IF($N$68=0,0,VLOOKUP($N$68,#REF!,2,TRUE))*(1+SDÖ1!$O$11/100)</f>
        <v>#REF!</v>
      </c>
    </row>
    <row r="69" spans="1:36" s="2500" customFormat="1" ht="15" customHeight="1">
      <c r="A69" s="1248"/>
      <c r="B69" s="2388" t="s">
        <v>1619</v>
      </c>
      <c r="C69" s="1248"/>
      <c r="D69" s="1248"/>
      <c r="E69" s="229"/>
      <c r="F69" s="229"/>
      <c r="G69" s="2384" t="s">
        <v>171</v>
      </c>
      <c r="H69" s="44"/>
      <c r="I69" s="73"/>
      <c r="J69" s="1582">
        <f>H70*$F70/1000</f>
        <v>0</v>
      </c>
      <c r="K69" s="1598"/>
      <c r="L69" s="1597"/>
      <c r="M69" s="1585">
        <f>K70*$F70/1000</f>
        <v>0</v>
      </c>
      <c r="N69" s="44"/>
      <c r="O69" s="73"/>
      <c r="P69" s="2383">
        <f>N70*$F70/1000</f>
        <v>0</v>
      </c>
      <c r="Q69" s="2501"/>
    </row>
    <row r="70" spans="1:36" s="2500" customFormat="1" ht="18.75" customHeight="1">
      <c r="A70" s="1248"/>
      <c r="B70" s="2387"/>
      <c r="C70" s="1309" t="s">
        <v>840</v>
      </c>
      <c r="D70" s="312"/>
      <c r="E70" s="278"/>
      <c r="F70" s="1596">
        <f>SDÖ7!F71</f>
        <v>28</v>
      </c>
      <c r="G70" s="1595" t="s">
        <v>556</v>
      </c>
      <c r="H70" s="1591">
        <f>I9+I10</f>
        <v>0</v>
      </c>
      <c r="I70" s="1590"/>
      <c r="J70" s="1589"/>
      <c r="K70" s="1594">
        <f>L9+L10</f>
        <v>0</v>
      </c>
      <c r="L70" s="1593"/>
      <c r="M70" s="1592"/>
      <c r="N70" s="1591">
        <f>O9+O10</f>
        <v>0</v>
      </c>
      <c r="O70" s="1590"/>
      <c r="P70" s="2386"/>
      <c r="Q70" s="2501"/>
    </row>
    <row r="71" spans="1:36" s="2500" customFormat="1" ht="15" customHeight="1">
      <c r="A71" s="1248"/>
      <c r="B71" s="2385" t="s">
        <v>218</v>
      </c>
      <c r="C71" s="370"/>
      <c r="D71" s="370"/>
      <c r="E71" s="229"/>
      <c r="F71" s="2505"/>
      <c r="G71" s="2384" t="s">
        <v>171</v>
      </c>
      <c r="H71" s="1584"/>
      <c r="I71" s="1583"/>
      <c r="J71" s="1582">
        <f>SUM(I73:I74)</f>
        <v>0</v>
      </c>
      <c r="K71" s="1587"/>
      <c r="L71" s="1586"/>
      <c r="M71" s="1585">
        <f>SUM(L73:L74)</f>
        <v>0</v>
      </c>
      <c r="N71" s="1584"/>
      <c r="O71" s="1583"/>
      <c r="P71" s="2383">
        <f>SUM(O73:O74)</f>
        <v>0</v>
      </c>
      <c r="Q71" s="2501"/>
      <c r="R71" s="2505"/>
      <c r="S71" s="2505"/>
      <c r="T71" s="2505"/>
      <c r="U71" s="2505"/>
      <c r="V71" s="2505"/>
      <c r="W71" s="2505"/>
      <c r="X71" s="2505"/>
      <c r="Y71" s="2505"/>
      <c r="Z71" s="2505"/>
      <c r="AA71" s="2505"/>
      <c r="AB71" s="2505"/>
      <c r="AC71" s="2505"/>
      <c r="AD71" s="2505"/>
      <c r="AE71" s="2505"/>
      <c r="AF71" s="2505"/>
      <c r="AG71" s="2505"/>
      <c r="AH71" s="2505"/>
      <c r="AI71" s="2505"/>
      <c r="AJ71" s="2505"/>
    </row>
    <row r="72" spans="1:36" ht="18.75" customHeight="1">
      <c r="A72" s="370"/>
      <c r="B72" s="2382"/>
      <c r="C72" s="1580" t="s">
        <v>1156</v>
      </c>
      <c r="D72" s="2492">
        <f>SDÖ1!$O$12</f>
        <v>0</v>
      </c>
      <c r="E72" s="2381"/>
      <c r="F72" s="1577" t="s">
        <v>228</v>
      </c>
      <c r="G72" s="1576"/>
      <c r="H72" s="2380" t="s">
        <v>249</v>
      </c>
      <c r="I72" s="2379" t="s">
        <v>1155</v>
      </c>
      <c r="J72" s="1573"/>
      <c r="K72" s="2378" t="s">
        <v>249</v>
      </c>
      <c r="L72" s="2377" t="s">
        <v>1155</v>
      </c>
      <c r="M72" s="1570"/>
      <c r="N72" s="2376" t="s">
        <v>249</v>
      </c>
      <c r="O72" s="2375" t="s">
        <v>1155</v>
      </c>
      <c r="P72" s="2374"/>
    </row>
    <row r="73" spans="1:36" ht="13.15" customHeight="1">
      <c r="A73" s="370"/>
      <c r="B73" s="2373"/>
      <c r="C73" s="4981" t="s">
        <v>1859</v>
      </c>
      <c r="D73" s="4981"/>
      <c r="E73" s="4981"/>
      <c r="F73" s="1566"/>
      <c r="G73" s="1565"/>
      <c r="H73" s="1559"/>
      <c r="I73" s="1563">
        <f>H73*(100+$D$72)/100</f>
        <v>0</v>
      </c>
      <c r="J73" s="42"/>
      <c r="K73" s="1559"/>
      <c r="L73" s="1564">
        <f>K73*(100+$D$72)/100</f>
        <v>0</v>
      </c>
      <c r="M73" s="2372"/>
      <c r="N73" s="1559"/>
      <c r="O73" s="1563">
        <f>N73*(100+$D$72)/100</f>
        <v>0</v>
      </c>
      <c r="P73" s="2371"/>
      <c r="R73" s="42"/>
      <c r="S73" s="42"/>
      <c r="T73" s="42"/>
      <c r="U73" s="42"/>
      <c r="V73" s="42"/>
      <c r="W73" s="42"/>
      <c r="X73" s="42"/>
      <c r="Y73" s="42"/>
      <c r="Z73" s="42"/>
      <c r="AA73" s="42"/>
      <c r="AB73" s="42"/>
      <c r="AC73" s="42"/>
      <c r="AD73" s="42"/>
      <c r="AE73" s="42"/>
      <c r="AF73" s="42"/>
      <c r="AG73" s="42"/>
      <c r="AH73" s="42"/>
      <c r="AI73" s="42"/>
      <c r="AJ73" s="42"/>
    </row>
    <row r="74" spans="1:36" s="42" customFormat="1" ht="15" customHeight="1">
      <c r="A74" s="1284"/>
      <c r="B74" s="2373"/>
      <c r="C74" s="4966"/>
      <c r="D74" s="4966"/>
      <c r="E74" s="4966"/>
      <c r="F74" s="1561"/>
      <c r="G74" s="1560"/>
      <c r="H74" s="1556">
        <f>F74*$J$6</f>
        <v>0</v>
      </c>
      <c r="I74" s="1563">
        <f>H74*(100+$D$72)/100</f>
        <v>0</v>
      </c>
      <c r="K74" s="1559">
        <f>F74*$M$6</f>
        <v>0</v>
      </c>
      <c r="L74" s="1564">
        <f>K74*(100+$D$72)/100</f>
        <v>0</v>
      </c>
      <c r="M74" s="2372"/>
      <c r="N74" s="1556">
        <f>F74*$P$6</f>
        <v>0</v>
      </c>
      <c r="O74" s="1555">
        <f>N74*(100+$D$72)/100</f>
        <v>0</v>
      </c>
      <c r="P74" s="2371"/>
      <c r="Q74" s="2501"/>
    </row>
    <row r="75" spans="1:36" s="42" customFormat="1" ht="15" customHeight="1" thickBot="1">
      <c r="A75" s="1284"/>
      <c r="B75" s="4982" t="s">
        <v>1154</v>
      </c>
      <c r="C75" s="4983"/>
      <c r="D75" s="2370" t="s">
        <v>1153</v>
      </c>
      <c r="E75" s="2369">
        <f>SDÖ1!$O$71/100</f>
        <v>0.02</v>
      </c>
      <c r="F75" s="2368" t="s">
        <v>1618</v>
      </c>
      <c r="G75" s="2367">
        <v>5</v>
      </c>
      <c r="H75" s="2363"/>
      <c r="I75" s="2366"/>
      <c r="J75" s="2361" t="e">
        <f>(J21+J25+J32+J42+J62+J58+J67+J69+J71)*(SDÖ1!$O$71%*$G$75/12)</f>
        <v>#N/A</v>
      </c>
      <c r="K75" s="2365"/>
      <c r="L75" s="2364"/>
      <c r="M75" s="2361" t="e">
        <f>(M21+M25+M32+M42+M62+M58+M67+M69+M71)*(SDÖ1!$O$71%*$G$75/12)</f>
        <v>#N/A</v>
      </c>
      <c r="N75" s="2363"/>
      <c r="O75" s="2362"/>
      <c r="P75" s="2361" t="e">
        <f>(P21+P25+P32+P42+P62+P58+P67+P69+P71)*(SDÖ1!$O$71%*$G$75/12)</f>
        <v>#N/A</v>
      </c>
      <c r="Q75" s="2501"/>
      <c r="R75" s="2500"/>
      <c r="S75" s="2500"/>
      <c r="T75" s="2500"/>
      <c r="U75" s="2500"/>
      <c r="V75" s="2500"/>
      <c r="W75" s="2500"/>
      <c r="X75" s="2500"/>
      <c r="Y75" s="2500"/>
      <c r="Z75" s="2500"/>
      <c r="AA75" s="2500"/>
      <c r="AB75" s="2500"/>
      <c r="AC75" s="2500"/>
      <c r="AD75" s="2500"/>
      <c r="AE75" s="2500"/>
      <c r="AF75" s="2500"/>
      <c r="AG75" s="2500"/>
      <c r="AH75" s="2500"/>
      <c r="AI75" s="2500"/>
      <c r="AJ75" s="2500"/>
    </row>
    <row r="76" spans="1:36" s="2500" customFormat="1" ht="30.2" customHeight="1">
      <c r="A76" s="1248"/>
      <c r="B76" s="2501"/>
      <c r="C76" s="2501"/>
      <c r="D76" s="2501"/>
      <c r="E76" s="2501"/>
      <c r="F76" s="2501"/>
      <c r="G76" s="39"/>
      <c r="H76" s="2501"/>
      <c r="I76" s="2501"/>
      <c r="J76" s="2501"/>
      <c r="K76" s="2501"/>
      <c r="L76" s="2501"/>
      <c r="M76" s="2501"/>
      <c r="N76" s="2501"/>
      <c r="O76" s="2501"/>
      <c r="P76" s="2501"/>
      <c r="Q76" s="2501"/>
      <c r="R76" s="2505"/>
      <c r="S76" s="2505"/>
      <c r="T76" s="2505"/>
      <c r="U76" s="2505"/>
      <c r="V76" s="2505"/>
      <c r="W76" s="2505"/>
      <c r="X76" s="2505"/>
      <c r="Y76" s="2505"/>
      <c r="Z76" s="2505"/>
      <c r="AA76" s="2505"/>
      <c r="AB76" s="2505"/>
      <c r="AC76" s="2505"/>
      <c r="AD76" s="2505"/>
      <c r="AE76" s="2505"/>
      <c r="AF76" s="2505"/>
      <c r="AG76" s="2505"/>
      <c r="AH76" s="2505"/>
      <c r="AI76" s="2505"/>
      <c r="AJ76" s="2505"/>
    </row>
    <row r="77" spans="1:36">
      <c r="C77" s="33" t="str">
        <f ca="1">MID(CELL("Dateiname",$A$1),FIND("]",CELL("Dateiname",$A$1))+1,31)</f>
        <v>Linsen</v>
      </c>
    </row>
    <row r="80" spans="1:36">
      <c r="C80" s="2358" t="e">
        <f>#REF!</f>
        <v>#REF!</v>
      </c>
      <c r="D80" s="270"/>
      <c r="E80" s="699"/>
      <c r="G80" s="2358" t="e">
        <f>#REF!</f>
        <v>#REF!</v>
      </c>
      <c r="H80" s="270"/>
      <c r="I80" s="699"/>
      <c r="L80" s="33"/>
    </row>
    <row r="81" spans="3:16">
      <c r="C81" s="743" t="e">
        <f>#REF!</f>
        <v>#REF!</v>
      </c>
      <c r="E81" s="2502"/>
      <c r="G81" s="2359" t="e">
        <f>#REF!</f>
        <v>#REF!</v>
      </c>
      <c r="I81" s="2502"/>
      <c r="L81" s="33"/>
      <c r="N81" s="2358" t="str">
        <f>SDÖ3!C24</f>
        <v>Drehpflug 2,10 m</v>
      </c>
      <c r="O81" s="270"/>
      <c r="P81" s="699"/>
    </row>
    <row r="82" spans="3:16">
      <c r="C82" s="743" t="e">
        <f>#REF!</f>
        <v>#REF!</v>
      </c>
      <c r="E82" s="2502"/>
      <c r="G82" s="2360"/>
      <c r="H82" s="312"/>
      <c r="I82" s="687"/>
      <c r="L82" s="33"/>
      <c r="N82" s="2359" t="str">
        <f>SDÖ3!C25</f>
        <v>Schwergrubber 3 m</v>
      </c>
      <c r="P82" s="2502"/>
    </row>
    <row r="83" spans="3:16">
      <c r="C83" s="743" t="e">
        <f>#REF!</f>
        <v>#REF!</v>
      </c>
      <c r="E83" s="2502"/>
      <c r="G83" s="33"/>
      <c r="H83" s="33"/>
      <c r="I83" s="33"/>
      <c r="L83" s="33"/>
      <c r="N83" s="2359" t="str">
        <f>SDÖ3!C26</f>
        <v>Scheibenegge 5 m</v>
      </c>
      <c r="P83" s="2502"/>
    </row>
    <row r="84" spans="3:16">
      <c r="C84" s="743" t="e">
        <f>#REF!</f>
        <v>#REF!</v>
      </c>
      <c r="E84" s="2502"/>
      <c r="G84" s="33"/>
      <c r="H84" s="33"/>
      <c r="I84" s="33"/>
      <c r="L84" s="33"/>
      <c r="N84" s="2359" t="str">
        <f>SDÖ3!C28</f>
        <v>Kreiselegge 3 m</v>
      </c>
      <c r="P84" s="2502"/>
    </row>
    <row r="85" spans="3:16">
      <c r="C85" s="743" t="e">
        <f>#REF!</f>
        <v>#REF!</v>
      </c>
      <c r="E85" s="2502"/>
      <c r="G85" s="33" t="e">
        <f>#REF!</f>
        <v>#REF!</v>
      </c>
      <c r="H85" s="33"/>
      <c r="I85" s="33"/>
      <c r="L85" s="33"/>
      <c r="N85" s="2359" t="str">
        <f>SDÖ3!C29</f>
        <v>Cambridgewalze 4,5 m</v>
      </c>
      <c r="P85" s="2502"/>
    </row>
    <row r="86" spans="3:16">
      <c r="C86" s="743" t="e">
        <f>#REF!</f>
        <v>#REF!</v>
      </c>
      <c r="E86" s="2502"/>
      <c r="G86" s="33"/>
      <c r="H86" s="33"/>
      <c r="I86" s="33"/>
      <c r="L86" s="33"/>
      <c r="N86" s="2359">
        <f>SDÖ3!C30</f>
        <v>0</v>
      </c>
      <c r="P86" s="2502"/>
    </row>
    <row r="87" spans="3:16">
      <c r="C87" s="743" t="e">
        <f>#REF!</f>
        <v>#REF!</v>
      </c>
      <c r="E87" s="2502"/>
      <c r="G87" s="33" t="e">
        <f>#REF!</f>
        <v>#REF!</v>
      </c>
      <c r="H87" s="33"/>
      <c r="I87" s="33"/>
      <c r="L87" s="33"/>
      <c r="N87" s="2359" t="str">
        <f>SDÖ3!C31</f>
        <v>Kreiselegge-Säkomb. 3 m</v>
      </c>
      <c r="P87" s="2502"/>
    </row>
    <row r="88" spans="3:16">
      <c r="C88" s="743" t="e">
        <f>#REF!</f>
        <v>#REF!</v>
      </c>
      <c r="E88" s="2502"/>
      <c r="G88" s="33" t="e">
        <f>#REF!</f>
        <v>#REF!</v>
      </c>
      <c r="H88" s="33"/>
      <c r="I88" s="33"/>
      <c r="L88" s="33"/>
      <c r="N88" s="2359" t="str">
        <f>SDÖ3!C32</f>
        <v>Grubber-Kreiselegge-Säkomb. 3 m</v>
      </c>
      <c r="P88" s="2502"/>
    </row>
    <row r="89" spans="3:16">
      <c r="C89" s="743" t="e">
        <f>#REF!</f>
        <v>#REF!</v>
      </c>
      <c r="E89" s="2502"/>
      <c r="G89" s="33" t="e">
        <f>#REF!</f>
        <v>#REF!</v>
      </c>
      <c r="H89" s="33"/>
      <c r="I89" s="33"/>
      <c r="L89" s="33"/>
      <c r="N89" s="2359" t="str">
        <f>SDÖ3!C33</f>
        <v>Sämaschine 3m</v>
      </c>
      <c r="P89" s="2502"/>
    </row>
    <row r="90" spans="3:16">
      <c r="C90" s="743" t="e">
        <f>#REF!</f>
        <v>#REF!</v>
      </c>
      <c r="E90" s="2502"/>
      <c r="G90" s="33"/>
      <c r="H90" s="33"/>
      <c r="I90" s="33"/>
      <c r="L90" s="33"/>
      <c r="N90" s="2359" t="str">
        <f>SDÖ3!C34</f>
        <v>Einzelkornsaat 4 r (Mais, Sonnenblume)</v>
      </c>
      <c r="P90" s="2502"/>
    </row>
    <row r="91" spans="3:16">
      <c r="C91" s="743" t="e">
        <f>#REF!</f>
        <v>#REF!</v>
      </c>
      <c r="E91" s="2502"/>
      <c r="G91" s="33"/>
      <c r="H91" s="33"/>
      <c r="I91" s="33"/>
      <c r="L91" s="33"/>
      <c r="N91" s="2359" t="str">
        <f>SDÖ3!C35</f>
        <v>Einzelkornsaat 6 r (Rüben)</v>
      </c>
      <c r="P91" s="2502"/>
    </row>
    <row r="92" spans="3:16">
      <c r="C92" s="743" t="e">
        <f>#REF!</f>
        <v>#REF!</v>
      </c>
      <c r="E92" s="2502"/>
      <c r="L92" s="33"/>
      <c r="N92" s="2359" t="str">
        <f>SDÖ3!C37</f>
        <v>Direktsämaschine 3 m</v>
      </c>
      <c r="P92" s="2502"/>
    </row>
    <row r="93" spans="3:16">
      <c r="C93" s="743" t="e">
        <f>#REF!</f>
        <v>#REF!</v>
      </c>
      <c r="E93" s="2502"/>
      <c r="G93" s="2358" t="str">
        <f>SDÖ3!C140</f>
        <v>Mähdrescher - Erbsen/Ackerbohnen</v>
      </c>
      <c r="H93" s="270"/>
      <c r="I93" s="699"/>
      <c r="L93" s="33"/>
      <c r="N93" s="2359" t="str">
        <f>SDÖ3!C38</f>
        <v>Dammkulturgerät mit Säeinheit(3m)</v>
      </c>
      <c r="P93" s="2502"/>
    </row>
    <row r="94" spans="3:16">
      <c r="C94" s="743" t="e">
        <f>#REF!</f>
        <v>#REF!</v>
      </c>
      <c r="E94" s="2502"/>
      <c r="G94" s="2359" t="str">
        <f>SDÖ3!C141</f>
        <v>Mähdrescher - Körnermais</v>
      </c>
      <c r="I94" s="2502"/>
      <c r="L94" s="33"/>
      <c r="N94" s="2359">
        <f>SDÖ3!C39</f>
        <v>0</v>
      </c>
      <c r="P94" s="2502"/>
    </row>
    <row r="95" spans="3:16">
      <c r="C95" s="743" t="e">
        <f>#REF!</f>
        <v>#REF!</v>
      </c>
      <c r="E95" s="2502"/>
      <c r="G95" s="2359" t="str">
        <f>SDÖ3!C142</f>
        <v>Mähdrescher - Getr. m. Strohhäcksler</v>
      </c>
      <c r="I95" s="2502"/>
      <c r="L95" s="33"/>
      <c r="N95" s="2359" t="str">
        <f>SDÖ3!C40</f>
        <v xml:space="preserve">Düngerstreuer ab Hof 12 m, 400 kg/ha </v>
      </c>
      <c r="P95" s="2502"/>
    </row>
    <row r="96" spans="3:16">
      <c r="C96" s="743" t="e">
        <f>#REF!</f>
        <v>#REF!</v>
      </c>
      <c r="E96" s="2502"/>
      <c r="G96" s="2359" t="str">
        <f>SDÖ3!C143</f>
        <v>ZR - Roden, 6-reihig</v>
      </c>
      <c r="I96" s="2502"/>
      <c r="L96" s="33"/>
      <c r="N96" s="2359" t="str">
        <f>SDÖ3!C41</f>
        <v>Mist/Kompost streuen 20 t/ha  (6 m, 10 t) inkl. Beladen</v>
      </c>
      <c r="P96" s="2502"/>
    </row>
    <row r="97" spans="2:16">
      <c r="C97" s="743" t="e">
        <f>#REF!</f>
        <v>#REF!</v>
      </c>
      <c r="E97" s="2502"/>
      <c r="G97" s="2359" t="str">
        <f>SDÖ3!C144</f>
        <v>KA - Vollernter mit Bunker, 2-reihig</v>
      </c>
      <c r="I97" s="2502"/>
      <c r="L97" s="33"/>
      <c r="N97" s="2359" t="e">
        <f>SDÖ3!#REF!</f>
        <v>#REF!</v>
      </c>
      <c r="P97" s="2502"/>
    </row>
    <row r="98" spans="2:16">
      <c r="C98" s="286" t="e">
        <f>#REF!</f>
        <v>#REF!</v>
      </c>
      <c r="D98" s="312"/>
      <c r="E98" s="687"/>
      <c r="G98" s="2359" t="str">
        <f>SDÖ3!C145</f>
        <v>KA - Schlägeln (m. Schl. + Fahrer)</v>
      </c>
      <c r="I98" s="2502"/>
      <c r="L98" s="33"/>
      <c r="N98" s="2359" t="e">
        <f>SDÖ3!#REF!</f>
        <v>#REF!</v>
      </c>
      <c r="P98" s="2502"/>
    </row>
    <row r="99" spans="2:16">
      <c r="C99" s="743"/>
      <c r="E99" s="2502"/>
      <c r="G99" s="2359" t="str">
        <f>SDÖ3!C146</f>
        <v>ZR - Laden, Abfuhr</v>
      </c>
      <c r="I99" s="2502"/>
      <c r="L99" s="33"/>
      <c r="N99" s="2359" t="str">
        <f>SDÖ3!C42</f>
        <v>Gülle ausbringen 20 m³/ha, (15 m³ Fass, Schleppschl. 7,5 m</v>
      </c>
      <c r="P99" s="2502"/>
    </row>
    <row r="100" spans="2:16">
      <c r="C100" s="286"/>
      <c r="D100" s="312"/>
      <c r="E100" s="687"/>
      <c r="G100" s="2359" t="str">
        <f>SDÖ3!C147</f>
        <v>Mulchen (Lohnunternehmer)</v>
      </c>
      <c r="I100" s="2502"/>
      <c r="L100" s="33"/>
      <c r="N100" s="2359" t="str">
        <f>SDÖ3!C44</f>
        <v>Kalkstreuer 6 m³,15 m, 2t/ha (ab Feld, mit Beladen)</v>
      </c>
      <c r="P100" s="2502"/>
    </row>
    <row r="101" spans="2:16">
      <c r="G101" s="2359" t="str">
        <f>SDÖ3!C148</f>
        <v>Stroh-Rundballen pressen je ha</v>
      </c>
      <c r="I101" s="2502"/>
      <c r="L101" s="33"/>
      <c r="N101" s="2359">
        <f>SDÖ3!C45</f>
        <v>0</v>
      </c>
      <c r="P101" s="2502"/>
    </row>
    <row r="102" spans="2:16">
      <c r="G102" s="2359" t="str">
        <f>SDÖ3!C149</f>
        <v>Stroh-Quaderballen pressen je ha</v>
      </c>
      <c r="I102" s="2502"/>
      <c r="L102" s="33"/>
      <c r="N102" s="2359" t="str">
        <f>SDÖ3!C46</f>
        <v>Pflanzenschutzspritze 12 m, 300 l/ha</v>
      </c>
      <c r="P102" s="2502"/>
    </row>
    <row r="103" spans="2:16">
      <c r="B103" s="33"/>
      <c r="C103" s="33"/>
      <c r="D103" s="33"/>
      <c r="G103" s="2359" t="str">
        <f>SDÖ3!C150</f>
        <v>Silomais Häckseln/Festfahren im Lohn</v>
      </c>
      <c r="I103" s="2502"/>
      <c r="L103" s="33"/>
      <c r="N103" s="2359" t="str">
        <f>SDÖ3!C47</f>
        <v>Mulchgerät 3 m</v>
      </c>
      <c r="P103" s="2502"/>
    </row>
    <row r="104" spans="2:16">
      <c r="B104" s="33"/>
      <c r="C104" s="33"/>
      <c r="D104" s="33"/>
      <c r="G104" s="2359" t="str">
        <f>SDÖ3!C151</f>
        <v>Silomais Aussaat (im Lohn)</v>
      </c>
      <c r="I104" s="2502"/>
      <c r="L104" s="33"/>
      <c r="N104" s="2359" t="str">
        <f>SDÖ3!C48</f>
        <v>Präparatespritze 6 m</v>
      </c>
      <c r="P104" s="2502"/>
    </row>
    <row r="105" spans="2:16">
      <c r="B105" s="33"/>
      <c r="C105" s="33"/>
      <c r="D105" s="33"/>
      <c r="G105" s="2359" t="str">
        <f>SDÖ3!C152</f>
        <v>Silomais Häckseln (im Lohn)</v>
      </c>
      <c r="I105" s="2502"/>
      <c r="L105" s="33"/>
      <c r="N105" s="2359" t="str">
        <f>SDÖ3!C49</f>
        <v>Hackstriegel 9 m</v>
      </c>
      <c r="P105" s="2502"/>
    </row>
    <row r="106" spans="2:16">
      <c r="B106" s="33"/>
      <c r="C106" s="33"/>
      <c r="D106" s="33"/>
      <c r="G106" s="2359" t="str">
        <f>SDÖ3!C153</f>
        <v>GPS Häckseln im Lohn</v>
      </c>
      <c r="I106" s="2502"/>
      <c r="L106" s="33"/>
      <c r="N106" s="2359" t="str">
        <f>SDÖ3!C51</f>
        <v>Reihenhackgerät 3 m</v>
      </c>
      <c r="P106" s="2502"/>
    </row>
    <row r="107" spans="2:16">
      <c r="B107" s="33"/>
      <c r="C107" s="33"/>
      <c r="D107" s="33"/>
      <c r="G107" s="2359" t="str">
        <f>SDÖ3!C154</f>
        <v>GPS Häckseln/Festfahren im Lohn</v>
      </c>
      <c r="I107" s="2502"/>
      <c r="L107" s="33"/>
      <c r="N107" s="2359">
        <f>SDÖ3!C52</f>
        <v>0</v>
      </c>
      <c r="P107" s="2502"/>
    </row>
    <row r="108" spans="2:16">
      <c r="B108" s="33"/>
      <c r="C108" s="33"/>
      <c r="D108" s="33"/>
      <c r="G108" s="2359" t="str">
        <f>SDÖ3!C155</f>
        <v>Nachsaatmaschine (¼ Betrag)</v>
      </c>
      <c r="I108" s="2502"/>
      <c r="L108" s="33"/>
      <c r="N108" s="2359" t="str">
        <f>SDÖ3!C53</f>
        <v>Mais/GPS Silage festwalzen, 50 t FM</v>
      </c>
      <c r="P108" s="2502"/>
    </row>
    <row r="109" spans="2:16">
      <c r="B109" s="33"/>
      <c r="C109" s="33"/>
      <c r="D109" s="33"/>
      <c r="G109" s="2359">
        <f>SDÖ3!C156</f>
        <v>0</v>
      </c>
      <c r="I109" s="2502"/>
      <c r="L109" s="33"/>
      <c r="N109" s="2359" t="str">
        <f>SDÖ3!C54</f>
        <v>Bunkerroder Möhren 0,5 m Arbeitsbreite</v>
      </c>
      <c r="P109" s="2502"/>
    </row>
    <row r="110" spans="2:16">
      <c r="B110" s="33"/>
      <c r="C110" s="33"/>
      <c r="D110" s="33"/>
      <c r="G110" s="2359" t="str">
        <f>SDÖ3!C157</f>
        <v>Stroh-Rundballen pressen je dt</v>
      </c>
      <c r="I110" s="2502"/>
      <c r="L110" s="33"/>
      <c r="N110" s="2359">
        <f>SDÖ3!C55</f>
        <v>0</v>
      </c>
      <c r="P110" s="2502"/>
    </row>
    <row r="111" spans="2:16">
      <c r="G111" s="2359" t="str">
        <f>SDÖ3!C158</f>
        <v>Stroh-Quaderballen pressen je dt</v>
      </c>
      <c r="I111" s="2502"/>
      <c r="L111" s="33"/>
      <c r="N111" s="2359" t="str">
        <f>SDÖ3!C56</f>
        <v>Transp. u. Abkip. Getr. 6 t/ha (5,7 t Ki.)</v>
      </c>
      <c r="P111" s="2502"/>
    </row>
    <row r="112" spans="2:16">
      <c r="G112" s="2359" t="str">
        <f>SDÖ3!C159</f>
        <v>Festmistausbringung (im Lohn) €/t</v>
      </c>
      <c r="I112" s="2502"/>
      <c r="L112" s="33"/>
      <c r="N112" s="2359" t="str">
        <f>SDÖ3!C57</f>
        <v>Transp. u. Abkip. Getr. 6 t/ha (13,5 t Ki.)</v>
      </c>
      <c r="P112" s="2502"/>
    </row>
    <row r="113" spans="2:16">
      <c r="G113" s="2359" t="str">
        <f>SDÖ3!C160</f>
        <v>Gülleausbringung (im Lohn); €/m³</v>
      </c>
      <c r="I113" s="2502"/>
      <c r="L113" s="33"/>
      <c r="N113" s="2359" t="str">
        <f>SDÖ3!C58</f>
        <v>Silagetransport Mais/GPS, 3S.Kip. (10t Nutzl.), 50 t FM</v>
      </c>
      <c r="P113" s="2502"/>
    </row>
    <row r="114" spans="2:16">
      <c r="G114" s="2359" t="str">
        <f>SDÖ3!C161</f>
        <v>Traktor75-92 kW inkl. Diesel + Fahrer je h</v>
      </c>
      <c r="I114" s="2502"/>
      <c r="L114" s="33"/>
      <c r="N114" s="2359" t="str">
        <f>SDÖ3!C59</f>
        <v>Stroh-Rundballen 4 t/ha laden, abfahren, stapeln, 3-S-Kipp.</v>
      </c>
      <c r="P114" s="2502"/>
    </row>
    <row r="115" spans="2:16">
      <c r="G115" s="2359" t="str">
        <f>SDÖ3!C162</f>
        <v>Kipper je t zul Gesamtgewicht je h</v>
      </c>
      <c r="I115" s="2502"/>
      <c r="L115" s="33"/>
      <c r="N115" s="2359">
        <f>SDÖ3!C60</f>
        <v>0</v>
      </c>
      <c r="P115" s="2502"/>
    </row>
    <row r="116" spans="2:16">
      <c r="G116" s="2359">
        <f>SDÖ3!C163</f>
        <v>0</v>
      </c>
      <c r="L116" s="33"/>
      <c r="N116" s="2359" t="str">
        <f>SDÖ3!C61</f>
        <v>Wiesenwalze 3 m</v>
      </c>
      <c r="P116" s="2502"/>
    </row>
    <row r="117" spans="2:16">
      <c r="G117" s="2359">
        <f>SDÖ3!C164</f>
        <v>0</v>
      </c>
      <c r="L117" s="33"/>
      <c r="N117" s="2359" t="str">
        <f>SDÖ3!C62</f>
        <v>Wiesenegge 6 m</v>
      </c>
      <c r="P117" s="2502"/>
    </row>
    <row r="118" spans="2:16">
      <c r="G118" s="2359">
        <f>SDÖ3!C165</f>
        <v>0</v>
      </c>
      <c r="L118" s="33"/>
      <c r="N118" s="2359" t="str">
        <f>SDÖ3!C63</f>
        <v>Mähkomb. Heck/Front (4,5m insges., ohne Aufb.)</v>
      </c>
      <c r="P118" s="2502"/>
    </row>
    <row r="119" spans="2:16">
      <c r="L119" s="33"/>
      <c r="N119" s="2359" t="str">
        <f>SDÖ3!C65</f>
        <v>Rotationsmähwerk (Heck) m. Aufb. 2,8 m</v>
      </c>
      <c r="P119" s="2502"/>
    </row>
    <row r="120" spans="2:16">
      <c r="L120" s="33"/>
      <c r="N120" s="2359" t="str">
        <f>SDÖ3!C66</f>
        <v>Kreiselwender 5,5m</v>
      </c>
      <c r="P120" s="2502"/>
    </row>
    <row r="121" spans="2:16">
      <c r="L121" s="33"/>
      <c r="N121" s="2359" t="str">
        <f>SDÖ3!C67</f>
        <v>Kreiselschwader 7,5m Seitenablage</v>
      </c>
      <c r="O121" s="2502"/>
    </row>
    <row r="122" spans="2:16">
      <c r="B122" s="600">
        <v>1</v>
      </c>
      <c r="C122" s="33" t="str">
        <f>SDÖ5!C6</f>
        <v>Bio-dyn-Präparate (je Anw.)</v>
      </c>
      <c r="L122" s="33"/>
      <c r="N122" s="2359" t="str">
        <f>SDÖ3!C68</f>
        <v>LW Silage, o. Dosierwalzen; 12 t FM (28 m³, 4 t Nutzl.)</v>
      </c>
      <c r="P122" s="2502"/>
    </row>
    <row r="123" spans="2:16">
      <c r="B123" s="600">
        <v>2</v>
      </c>
      <c r="C123" s="33" t="str">
        <f>SDÖ5!C7</f>
        <v>Propangas (je Anw.)</v>
      </c>
      <c r="L123" s="33"/>
      <c r="N123" s="2359" t="str">
        <f>SDÖ3!C69</f>
        <v>Grassilo festwalzen, 12 t FM</v>
      </c>
      <c r="P123" s="2502"/>
    </row>
    <row r="124" spans="2:16">
      <c r="B124" s="600">
        <v>3</v>
      </c>
      <c r="C124" s="33" t="str">
        <f>SDÖ5!C8</f>
        <v xml:space="preserve">Schutznetz (je Anw.) </v>
      </c>
      <c r="L124" s="33"/>
      <c r="N124" s="2359">
        <f>SDÖ3!C70</f>
        <v>0</v>
      </c>
      <c r="P124" s="2502"/>
    </row>
    <row r="125" spans="2:16">
      <c r="B125" s="600">
        <v>4</v>
      </c>
      <c r="C125" s="33" t="str">
        <f>SDÖ5!C9</f>
        <v>Neempräparat (je Anw.)</v>
      </c>
      <c r="L125" s="33"/>
      <c r="N125" s="2359" t="str">
        <f>SDÖ3!C71</f>
        <v>Kartoffeln vorkeimen</v>
      </c>
      <c r="P125" s="2502"/>
    </row>
    <row r="126" spans="2:16">
      <c r="B126" s="600">
        <v>5</v>
      </c>
      <c r="C126" s="33" t="str">
        <f>SDÖ5!C10</f>
        <v>Kupfer (je Anw.)</v>
      </c>
      <c r="L126" s="33"/>
      <c r="N126" s="2359" t="str">
        <f>SDÖ3!C72</f>
        <v>Pflanzkartoffeltransport,-laden 2,5 t/ha</v>
      </c>
      <c r="P126" s="2502"/>
    </row>
    <row r="127" spans="2:16">
      <c r="B127" s="600">
        <v>6</v>
      </c>
      <c r="C127" s="33" t="str">
        <f>SDÖ5!C11</f>
        <v>Bac.thureng. kurstaki (je Anw.)</v>
      </c>
      <c r="L127" s="33"/>
      <c r="N127" s="2359" t="str">
        <f>SDÖ3!C73</f>
        <v>Legemaschine mit starrem Bunker 4 r (Kartoffel)</v>
      </c>
      <c r="P127" s="2502"/>
    </row>
    <row r="128" spans="2:16">
      <c r="B128" s="600">
        <v>7</v>
      </c>
      <c r="C128" s="33" t="str">
        <f>SDÖ5!C12</f>
        <v>Bac.thureng. tenebrionis (je Anw.)</v>
      </c>
      <c r="L128" s="33"/>
      <c r="N128" s="2359" t="str">
        <f>SDÖ3!C74</f>
        <v>Legemaschine mit Kippbunker 4 r (Kartoffel)</v>
      </c>
      <c r="P128" s="2502"/>
    </row>
    <row r="129" spans="2:16">
      <c r="B129" s="600">
        <v>8</v>
      </c>
      <c r="C129" s="33" t="str">
        <f>SDÖ5!C12</f>
        <v>Bac.thureng. tenebrionis (je Anw.)</v>
      </c>
      <c r="L129" s="33"/>
      <c r="N129" s="2359" t="str">
        <f>SDÖ3!C75</f>
        <v>Häufeln 4 r, Vorauflauf (Kartoffel)</v>
      </c>
      <c r="P129" s="2502"/>
    </row>
    <row r="130" spans="2:16">
      <c r="B130" s="600">
        <v>9</v>
      </c>
      <c r="C130" s="33" t="str">
        <f>SDÖ5!C13</f>
        <v>Eisen-III-Phosphat</v>
      </c>
      <c r="L130" s="33"/>
      <c r="N130" s="2359" t="str">
        <f>SDÖ3!C76</f>
        <v>Hacken Nachauflauf 4 r</v>
      </c>
      <c r="P130" s="2502"/>
    </row>
    <row r="131" spans="2:16">
      <c r="B131" s="600">
        <v>10</v>
      </c>
      <c r="C131" s="33">
        <f>SDÖ5!C14</f>
        <v>0</v>
      </c>
      <c r="L131" s="33"/>
      <c r="N131" s="2359" t="e">
        <f>SDÖ3!#REF!</f>
        <v>#REF!</v>
      </c>
      <c r="P131" s="2502"/>
    </row>
    <row r="132" spans="2:16">
      <c r="B132" s="600">
        <f t="shared" ref="B132:B151" si="10">B131+1</f>
        <v>11</v>
      </c>
      <c r="C132" s="33">
        <f>SDÖ5!C15</f>
        <v>0</v>
      </c>
      <c r="L132" s="33"/>
      <c r="N132" s="2359" t="str">
        <f>SDÖ3!C77</f>
        <v>Häufeln 4 r, Nachauflauf (Kartoffel)</v>
      </c>
      <c r="P132" s="2502"/>
    </row>
    <row r="133" spans="2:16">
      <c r="B133" s="600">
        <f t="shared" si="10"/>
        <v>12</v>
      </c>
      <c r="C133" s="33" t="str">
        <f>SDÖ5!C16</f>
        <v>Düngemittel</v>
      </c>
      <c r="L133" s="33"/>
      <c r="N133" s="2359" t="str">
        <f>SDÖ3!C91</f>
        <v>Hanfstroh Transport 15 km</v>
      </c>
    </row>
    <row r="134" spans="2:16">
      <c r="B134" s="600">
        <f t="shared" si="10"/>
        <v>13</v>
      </c>
      <c r="C134" s="33" t="str">
        <f>SDÖ5!C17</f>
        <v>Phosphatdünger 26 % (kg)</v>
      </c>
      <c r="L134" s="33"/>
      <c r="N134" s="2359" t="str">
        <f>SDÖ3!C92</f>
        <v>Hanfstroh Transport/ein-/auslag.</v>
      </c>
    </row>
    <row r="135" spans="2:16">
      <c r="B135" s="600">
        <f t="shared" si="10"/>
        <v>14</v>
      </c>
      <c r="C135" s="33">
        <f>SDÖ5!C18</f>
        <v>0</v>
      </c>
      <c r="L135" s="33"/>
      <c r="N135" s="2359">
        <f>SDÖ3!C93</f>
        <v>0</v>
      </c>
    </row>
    <row r="136" spans="2:16">
      <c r="B136" s="600">
        <f t="shared" si="10"/>
        <v>15</v>
      </c>
      <c r="C136" s="33" t="str">
        <f>SDÖ5!C19</f>
        <v>Kalidünger 11% (kg)</v>
      </c>
      <c r="L136" s="33"/>
      <c r="N136" s="2359" t="str">
        <f>SDÖ3!C94</f>
        <v>Handakh Feld Möhren</v>
      </c>
    </row>
    <row r="137" spans="2:16">
      <c r="B137" s="600">
        <f t="shared" si="10"/>
        <v>16</v>
      </c>
      <c r="C137" s="33">
        <f>SDÖ5!C20</f>
        <v>0</v>
      </c>
      <c r="L137" s="33"/>
      <c r="N137" s="2359" t="str">
        <f>SDÖ3!C96</f>
        <v>Handakh Feld sonstige Kultur</v>
      </c>
    </row>
    <row r="138" spans="2:16">
      <c r="B138" s="600">
        <f t="shared" si="10"/>
        <v>17</v>
      </c>
      <c r="C138" s="33" t="str">
        <f>SDÖ5!C21</f>
        <v>Magnesiumdünger 25% (kg)</v>
      </c>
      <c r="L138" s="33"/>
      <c r="N138" s="2359" t="str">
        <f>SDÖ3!C99</f>
        <v>Handakh Aufbereitung sonstige Kultur</v>
      </c>
    </row>
    <row r="139" spans="2:16">
      <c r="B139" s="600">
        <f t="shared" si="10"/>
        <v>18</v>
      </c>
      <c r="C139" s="33">
        <f>SDÖ5!C22</f>
        <v>0</v>
      </c>
      <c r="L139" s="33"/>
      <c r="N139" s="2359">
        <f>SDÖ3!C100</f>
        <v>0</v>
      </c>
    </row>
    <row r="140" spans="2:16">
      <c r="B140" s="600">
        <f t="shared" si="10"/>
        <v>19</v>
      </c>
      <c r="C140" s="33" t="str">
        <f>SDÖ5!C23</f>
        <v>Schwefeldünger (kg)</v>
      </c>
      <c r="L140" s="33"/>
      <c r="N140" s="2359">
        <f>SDÖ3!C101</f>
        <v>0</v>
      </c>
    </row>
    <row r="141" spans="2:16">
      <c r="B141" s="600">
        <f t="shared" si="10"/>
        <v>20</v>
      </c>
      <c r="C141" s="33">
        <f>SDÖ5!C24</f>
        <v>0</v>
      </c>
      <c r="L141" s="33"/>
    </row>
    <row r="142" spans="2:16">
      <c r="B142" s="600">
        <f t="shared" si="10"/>
        <v>21</v>
      </c>
      <c r="C142" s="33" t="str">
        <f>SDÖ5!C25</f>
        <v>Kalk (kg)</v>
      </c>
      <c r="L142" s="33"/>
    </row>
    <row r="143" spans="2:16">
      <c r="B143" s="600">
        <f t="shared" si="10"/>
        <v>22</v>
      </c>
      <c r="C143" s="33">
        <f>SDÖ5!C26</f>
        <v>0</v>
      </c>
      <c r="L143" s="33"/>
    </row>
    <row r="144" spans="2:16">
      <c r="B144" s="600">
        <f t="shared" si="10"/>
        <v>23</v>
      </c>
      <c r="C144" s="33" t="str">
        <f>SDÖ5!C27</f>
        <v>Festmist Rind (t)*</v>
      </c>
      <c r="L144" s="33"/>
    </row>
    <row r="145" spans="2:12">
      <c r="B145" s="600">
        <f t="shared" si="10"/>
        <v>24</v>
      </c>
      <c r="C145" s="33" t="str">
        <f>SDÖ5!C28</f>
        <v>Festmist Schwein (t)*</v>
      </c>
      <c r="L145" s="33"/>
    </row>
    <row r="146" spans="2:12">
      <c r="B146" s="600">
        <f t="shared" si="10"/>
        <v>25</v>
      </c>
      <c r="C146" s="33">
        <f>SDÖ5!C29</f>
        <v>0</v>
      </c>
      <c r="L146" s="33"/>
    </row>
    <row r="147" spans="2:12">
      <c r="B147" s="600">
        <f t="shared" si="10"/>
        <v>26</v>
      </c>
      <c r="C147" s="33" t="str">
        <f>SDÖ5!C30</f>
        <v>Gülle Rind (m³)*</v>
      </c>
      <c r="L147" s="33"/>
    </row>
    <row r="148" spans="2:12">
      <c r="B148" s="600">
        <f t="shared" si="10"/>
        <v>27</v>
      </c>
      <c r="C148" s="33" t="str">
        <f>SDÖ5!C31</f>
        <v>Gülle Schwein (m³)*</v>
      </c>
      <c r="L148" s="33"/>
    </row>
    <row r="149" spans="2:12">
      <c r="B149" s="600">
        <f t="shared" si="10"/>
        <v>28</v>
      </c>
      <c r="C149" s="33">
        <f>SDÖ5!C32</f>
        <v>0</v>
      </c>
      <c r="L149" s="33"/>
    </row>
    <row r="150" spans="2:12">
      <c r="B150" s="600">
        <f t="shared" si="10"/>
        <v>29</v>
      </c>
      <c r="C150" s="33">
        <f>SDÖ5!C33</f>
        <v>0</v>
      </c>
      <c r="L150" s="33"/>
    </row>
    <row r="151" spans="2:12">
      <c r="B151" s="600">
        <f t="shared" si="10"/>
        <v>30</v>
      </c>
      <c r="C151" s="33">
        <f>SDÖ5!C34</f>
        <v>0</v>
      </c>
    </row>
    <row r="152" spans="2:12">
      <c r="B152" s="600"/>
      <c r="C152" s="33"/>
    </row>
    <row r="153" spans="2:12">
      <c r="B153" s="600"/>
      <c r="C153" s="33"/>
    </row>
    <row r="154" spans="2:12">
      <c r="B154" s="600"/>
      <c r="C154" s="33"/>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G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D162" s="33"/>
      <c r="F162" s="33"/>
      <c r="G162" s="33"/>
      <c r="H162" s="33"/>
      <c r="I162" s="33"/>
      <c r="J162" s="33"/>
      <c r="K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sheetData>
  <mergeCells count="48">
    <mergeCell ref="C16:F16"/>
    <mergeCell ref="Q66:Q68"/>
    <mergeCell ref="C73:E73"/>
    <mergeCell ref="B75:C75"/>
    <mergeCell ref="W3:Y3"/>
    <mergeCell ref="W4:Y4"/>
    <mergeCell ref="C18:F18"/>
    <mergeCell ref="C19:F19"/>
    <mergeCell ref="D20:G20"/>
    <mergeCell ref="D23:E23"/>
    <mergeCell ref="H6:I6"/>
    <mergeCell ref="K6:L6"/>
    <mergeCell ref="N6:O6"/>
    <mergeCell ref="E10:F10"/>
    <mergeCell ref="C14:F14"/>
    <mergeCell ref="C15:F15"/>
    <mergeCell ref="K1:L1"/>
    <mergeCell ref="N1:O1"/>
    <mergeCell ref="K2:P2"/>
    <mergeCell ref="N3:O4"/>
    <mergeCell ref="E4:I4"/>
    <mergeCell ref="G1:I1"/>
    <mergeCell ref="C50:D50"/>
    <mergeCell ref="C51:D51"/>
    <mergeCell ref="D24:E24"/>
    <mergeCell ref="C36:E36"/>
    <mergeCell ref="C37:E37"/>
    <mergeCell ref="C38:E38"/>
    <mergeCell ref="C39:E39"/>
    <mergeCell ref="C40:E40"/>
    <mergeCell ref="C34:E34"/>
    <mergeCell ref="C35:E35"/>
    <mergeCell ref="C41:E41"/>
    <mergeCell ref="C46:D46"/>
    <mergeCell ref="C47:D47"/>
    <mergeCell ref="C48:D48"/>
    <mergeCell ref="C49:D49"/>
    <mergeCell ref="C45:D45"/>
    <mergeCell ref="C52:D52"/>
    <mergeCell ref="C53:D53"/>
    <mergeCell ref="C55:D55"/>
    <mergeCell ref="C74:E74"/>
    <mergeCell ref="C65:E65"/>
    <mergeCell ref="C66:E66"/>
    <mergeCell ref="C64:E64"/>
    <mergeCell ref="C68:E68"/>
    <mergeCell ref="C56:D56"/>
    <mergeCell ref="C54:D54"/>
  </mergeCells>
  <dataValidations count="10">
    <dataValidation type="decimal" allowBlank="1" showInputMessage="1" showErrorMessage="1" errorTitle="Wassergehalt Getreide" error="Zulässig sind nur Werte zwischen 14,1 und 22,0 % Wassergehalt." sqref="K68 N68">
      <formula1>14</formula1>
      <formula2>30</formula2>
    </dataValidation>
    <dataValidation type="custom" allowBlank="1" showInputMessage="1" showErrorMessage="1" errorTitle="Wassergehalt Getreide" error="Zulässig sind nur Werte zwischen 14,1 und 22,0 % Wassergehalt." sqref="H68">
      <formula1>14</formula1>
    </dataValidation>
    <dataValidation type="list" allowBlank="1" showInputMessage="1" showErrorMessage="1" errorTitle="Organisationsabh. Ausgleichsl." error="Bitte aus Dropdownliste auswählen." sqref="C18:F19">
      <formula1>$G$80:$G$90</formula1>
    </dataValidation>
    <dataValidation type="list" allowBlank="1" showInputMessage="1" showErrorMessage="1" errorTitle="Lohnmaschinen" error="Bitte aus Dropdownliste auswählen." sqref="C64:C65 C66:E66">
      <formula1>$G$93:$G$115</formula1>
    </dataValidation>
    <dataValidation type="list" allowBlank="1" showInputMessage="1" showErrorMessage="1" errorTitle="Arbeitsgänge" error="Bitte aus Dropdownliste auswählen." sqref="C45:D56">
      <formula1>$N$80:$N$141</formula1>
    </dataValidation>
    <dataValidation type="list" allowBlank="1" showInputMessage="1" showErrorMessage="1" errorTitle="Pflanzenschutzmittel" error="Bitte aus Dropdownliste auswählen." sqref="C36:E37">
      <formula1>$C$121:$C$151</formula1>
    </dataValidation>
    <dataValidation type="list" allowBlank="1" showInputMessage="1" showErrorMessage="1" errorTitle="Pflanzenschutzmittel" error="Bitte aus Dropdownliste auswählen." sqref="C34:C35 D34:E34">
      <formula1>$C$121:$C$137</formula1>
    </dataValidation>
    <dataValidation type="list" allowBlank="1" showInputMessage="1" showErrorMessage="1" errorTitle="Pflanzenschutzmittel" error="Bitte aus Dropdownliste auswählen." sqref="C38:E41">
      <formula1>$E$121:$E$203</formula1>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4:F16">
      <formula1>$C$78:$C$95</formula1>
    </dataValidation>
  </dataValidations>
  <printOptions horizontalCentered="1"/>
  <pageMargins left="0.59055118110236227" right="0.57999999999999996" top="0.59055118110236227" bottom="0.59055118110236227" header="0.39370078740157483" footer="0.39370078740157483"/>
  <pageSetup paperSize="9" scale="68" firstPageNumber="42" orientation="portrait" r:id="rId1"/>
  <headerFooter alignWithMargins="0">
    <oddFooter>&amp;L&amp;11LEL Schwäbisch Gmünd&amp;C42&amp;R&amp;11&amp;F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3440" r:id="rId4" name="Check Box 16">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41" r:id="rId5" name="Check Box 17">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42" r:id="rId6" name="Check Box 18">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43" r:id="rId7" name="Check Box 19">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44" r:id="rId8" name="Check Box 20">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45" r:id="rId9" name="Check Box 21">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46" r:id="rId10" name="Check Box 22">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47" r:id="rId11" name="Check Box 23">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48" r:id="rId12" name="Check Box 24">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49" r:id="rId13" name="Check Box 25">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0" r:id="rId14" name="Check Box 26">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51" r:id="rId15" name="Check Box 27">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52" r:id="rId16" name="Check Box 28">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53" r:id="rId17" name="Check Box 29">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54" r:id="rId18" name="Check Box 30">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55" r:id="rId19" name="Check Box 31">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56" r:id="rId20" name="Check Box 32">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57" r:id="rId21" name="Check Box 33">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3458" r:id="rId22" name="Check Box 34">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3459" r:id="rId23" name="Check Box 35">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3460" r:id="rId24" name="Check Box 36">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3461" r:id="rId25" name="Check Box 37">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3462" r:id="rId26" name="Check Box 38">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3463" r:id="rId27" name="Check Box 39">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3464" r:id="rId28" name="Check Box 40">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3465" r:id="rId29" name="Check Box 41">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3466" r:id="rId30" name="Check Box 42">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1">
    <tabColor rgb="FF7030A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1" width="7.25" style="32" customWidth="1"/>
    <col min="12" max="12" width="7.75" style="32" customWidth="1"/>
    <col min="13" max="14" width="7.25" style="32" customWidth="1"/>
    <col min="15" max="15" width="8" style="32" customWidth="1"/>
    <col min="16" max="16" width="7.25" style="32" customWidth="1"/>
    <col min="17" max="17" width="25.625" style="32" customWidth="1"/>
    <col min="18" max="26" width="10.5" style="31" hidden="1" customWidth="1"/>
    <col min="27" max="32" width="10.5" style="31" customWidth="1"/>
    <col min="33" max="16384" width="10.5" style="31"/>
  </cols>
  <sheetData>
    <row r="1" spans="1:41" s="274" customFormat="1" ht="30.2" customHeight="1">
      <c r="A1" s="2475"/>
      <c r="B1" s="319"/>
      <c r="C1" s="1876"/>
      <c r="D1" s="136"/>
      <c r="E1" s="316"/>
      <c r="F1" s="316"/>
      <c r="G1" s="4933" t="s">
        <v>1636</v>
      </c>
      <c r="H1" s="4933"/>
      <c r="I1" s="4933"/>
      <c r="J1" s="1874">
        <f>(J7+J13+J18+J22+I11+I12)-(J23+J27+J34+J43+J60+J65+J67+J69+J71+J75)</f>
        <v>728.79371985524699</v>
      </c>
      <c r="K1" s="4855">
        <f>M1-J1</f>
        <v>576.30642340813188</v>
      </c>
      <c r="L1" s="4855"/>
      <c r="M1" s="1874">
        <f>(M7+M13+M18+M22+L11+L12)-(M23+M27+M34+M43+M60+M65+M67+M69+M71+M75)</f>
        <v>1305.1001432633789</v>
      </c>
      <c r="N1" s="4855">
        <f>P1-M1</f>
        <v>429.80351450262174</v>
      </c>
      <c r="O1" s="4855"/>
      <c r="P1" s="1874">
        <f>(P7+P13+P18+P22+O11+O12)-(P23+P27+P34+P43+P60+P65+P67+P69+P71+P75)</f>
        <v>1734.9036577660006</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1900</v>
      </c>
      <c r="L2" s="4867"/>
      <c r="M2" s="4867"/>
      <c r="N2" s="4867"/>
      <c r="O2" s="4867"/>
      <c r="P2" s="4867"/>
      <c r="Q2" s="2475"/>
    </row>
    <row r="3" spans="1:41" s="274" customFormat="1" ht="21.75" customHeight="1">
      <c r="A3" s="2475"/>
      <c r="B3" s="1871" t="s">
        <v>1635</v>
      </c>
      <c r="G3" s="1859"/>
      <c r="H3" s="1870"/>
      <c r="J3" s="33"/>
      <c r="K3" s="33"/>
      <c r="L3" s="33"/>
      <c r="M3" s="33"/>
      <c r="N3" s="33"/>
      <c r="O3" s="33"/>
      <c r="P3" s="1868"/>
      <c r="Q3" s="2475"/>
      <c r="T3" s="1886" t="b">
        <v>1</v>
      </c>
      <c r="W3" s="4863" t="s">
        <v>1205</v>
      </c>
      <c r="X3" s="4937"/>
      <c r="Y3" s="4937"/>
      <c r="Z3" s="1869"/>
    </row>
    <row r="4" spans="1:41" s="274" customFormat="1" ht="20.25" customHeight="1">
      <c r="A4" s="2475"/>
      <c r="B4" s="370" t="s">
        <v>1098</v>
      </c>
      <c r="C4" s="31"/>
      <c r="D4" s="31"/>
      <c r="E4" s="4898" t="s">
        <v>1648</v>
      </c>
      <c r="F4" s="4898"/>
      <c r="G4" s="4898"/>
      <c r="H4" s="4898"/>
      <c r="I4" s="4898"/>
      <c r="J4" s="33"/>
      <c r="K4" s="33"/>
      <c r="L4" s="33"/>
      <c r="M4" s="33"/>
      <c r="N4" s="33"/>
      <c r="O4" s="33"/>
      <c r="P4" s="1864">
        <f>SDÖ1!O3</f>
        <v>0</v>
      </c>
      <c r="Q4" s="2475"/>
      <c r="T4" s="1886" t="b">
        <v>1</v>
      </c>
      <c r="W4" s="4863" t="s">
        <v>1194</v>
      </c>
      <c r="X4" s="4937"/>
      <c r="Y4" s="4937"/>
      <c r="Z4" s="2490"/>
    </row>
    <row r="5" spans="1:41" ht="6" customHeight="1"/>
    <row r="6" spans="1:41" s="1853" customFormat="1" ht="24" customHeight="1">
      <c r="A6" s="48"/>
      <c r="B6" s="1858" t="s">
        <v>1151</v>
      </c>
      <c r="C6" s="1857"/>
      <c r="D6" s="1857"/>
      <c r="E6" s="1857"/>
      <c r="F6" s="1857"/>
      <c r="G6" s="1856" t="s">
        <v>1642</v>
      </c>
      <c r="H6" s="4861"/>
      <c r="I6" s="4862"/>
      <c r="J6" s="1855">
        <v>10</v>
      </c>
      <c r="K6" s="4874"/>
      <c r="L6" s="4875"/>
      <c r="M6" s="1855">
        <v>19</v>
      </c>
      <c r="N6" s="4861"/>
      <c r="O6" s="4862"/>
      <c r="P6" s="1854">
        <v>26</v>
      </c>
      <c r="Q6" s="70"/>
    </row>
    <row r="7" spans="1:41" s="251" customFormat="1" ht="18.75" customHeight="1">
      <c r="A7" s="47"/>
      <c r="B7" s="305" t="s">
        <v>1633</v>
      </c>
      <c r="C7" s="47"/>
      <c r="D7" s="47"/>
      <c r="E7" s="47"/>
      <c r="F7" s="47"/>
      <c r="G7" s="1852" t="s">
        <v>171</v>
      </c>
      <c r="H7" s="1849"/>
      <c r="I7" s="1848"/>
      <c r="J7" s="1582">
        <f>SUM(I9:I10)</f>
        <v>909.33333333333337</v>
      </c>
      <c r="K7" s="1851"/>
      <c r="L7" s="1850"/>
      <c r="M7" s="1585">
        <f>SUM(L9:L10)</f>
        <v>1727.7333333333333</v>
      </c>
      <c r="N7" s="1849"/>
      <c r="O7" s="1848"/>
      <c r="P7" s="1582">
        <f>SUM(O9:O10)</f>
        <v>2364.2666666666669</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f>SDÖ1!O43</f>
        <v>90.933333333333337</v>
      </c>
      <c r="H9" s="1845">
        <f>J6-H10</f>
        <v>10</v>
      </c>
      <c r="I9" s="1841">
        <f>H9*G9</f>
        <v>909.33333333333337</v>
      </c>
      <c r="J9" s="43"/>
      <c r="K9" s="1844">
        <f>M6-K10</f>
        <v>19</v>
      </c>
      <c r="L9" s="1843">
        <f>K9*G9</f>
        <v>1727.7333333333333</v>
      </c>
      <c r="M9" s="1822"/>
      <c r="N9" s="1842">
        <f>P6-N10</f>
        <v>26</v>
      </c>
      <c r="O9" s="1841">
        <f>N9*G9</f>
        <v>2364.2666666666669</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hidden="1"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hidden="1"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240</v>
      </c>
      <c r="K13" s="1794"/>
      <c r="L13" s="1793"/>
      <c r="M13" s="1585">
        <f>SUM(L14:L16)</f>
        <v>240</v>
      </c>
      <c r="N13" s="1792"/>
      <c r="O13" s="1791"/>
      <c r="P13" s="1582">
        <f>SUM(O14:O16)</f>
        <v>240</v>
      </c>
      <c r="Q13" s="32"/>
      <c r="R13" s="136"/>
      <c r="U13" s="42"/>
      <c r="V13" s="42"/>
      <c r="X13" s="1806">
        <f>IF(OR(T4=TRUE,T5=TRUE),J7*$E$11,"0")</f>
        <v>0</v>
      </c>
      <c r="Y13" s="1807">
        <f>IF(OR(T4=TRUE,T5=TRUE),M7*$E$11,"0")</f>
        <v>0</v>
      </c>
      <c r="Z13" s="1806">
        <f>IF(OR(T4=TRUE,T5=TRUE),P7*$E$11,"0")</f>
        <v>0</v>
      </c>
    </row>
    <row r="14" spans="1:41" s="42" customFormat="1" ht="15" customHeight="1">
      <c r="A14" s="45"/>
      <c r="B14" s="1789"/>
      <c r="C14" s="4860" t="s">
        <v>2042</v>
      </c>
      <c r="D14" s="4860"/>
      <c r="E14" s="4860"/>
      <c r="F14" s="4860"/>
      <c r="G14" s="1805"/>
      <c r="H14" s="1935" t="s">
        <v>1241</v>
      </c>
      <c r="I14" s="3909">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158</v>
      </c>
      <c r="J19" s="3852">
        <f>SUM(I23:I24)</f>
        <v>0</v>
      </c>
      <c r="K19" s="1787"/>
      <c r="L19" s="3899">
        <f>IF(OR($C19=0,$M$6=0),0,VLOOKUP($C19,'SD2'!$C$59:$N$74,12,FALSE))</f>
        <v>158</v>
      </c>
      <c r="M19" s="3864">
        <f>SUM(L23:L24)</f>
        <v>0</v>
      </c>
      <c r="N19" s="1786"/>
      <c r="O19" s="3909">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4018"/>
      <c r="H20" s="1786"/>
      <c r="I20" s="3909">
        <f>IF(OR($C20=0,$J$6=0),0,VLOOKUP($C20,'SD2'!C60:N76,12,FALSE))</f>
        <v>63.4</v>
      </c>
      <c r="J20" s="43"/>
      <c r="K20" s="1787"/>
      <c r="L20" s="3899">
        <f>IF(OR($C20=0,$M$6=0),0,VLOOKUP($C20,'SD2'!$C$59:$N$74,12,FALSE))</f>
        <v>63.4</v>
      </c>
      <c r="M20" s="1822"/>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c r="Q22" s="33"/>
      <c r="R22" s="33"/>
      <c r="S22" s="33"/>
      <c r="T22" s="33"/>
      <c r="U22" s="33"/>
      <c r="V22" s="33"/>
      <c r="W22" s="33"/>
      <c r="X22" s="33"/>
      <c r="Y22" s="33"/>
    </row>
    <row r="23" spans="1:26" s="42" customFormat="1" ht="18.75" customHeight="1">
      <c r="A23" s="1284"/>
      <c r="B23" s="264" t="s">
        <v>222</v>
      </c>
      <c r="C23" s="1769"/>
      <c r="D23" s="1769"/>
      <c r="E23" s="38"/>
      <c r="F23" s="4876"/>
      <c r="G23" s="4877" t="s">
        <v>171</v>
      </c>
      <c r="H23" s="1584"/>
      <c r="I23" s="1583"/>
      <c r="J23" s="1567">
        <f>SUM(I25:I26)</f>
        <v>57.749999999999993</v>
      </c>
      <c r="K23" s="1587"/>
      <c r="L23" s="1586"/>
      <c r="M23" s="1768">
        <f>SUM(L25:L26)</f>
        <v>57.749999999999993</v>
      </c>
      <c r="N23" s="1584"/>
      <c r="O23" s="1583"/>
      <c r="P23" s="1567">
        <f>SUM(O25:O26)</f>
        <v>57.749999999999993</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165</v>
      </c>
      <c r="G25" s="1762">
        <f>F25*(100+$D$24)/100</f>
        <v>165</v>
      </c>
      <c r="H25" s="1761">
        <v>0.35</v>
      </c>
      <c r="I25" s="1722">
        <f>H25*$G25</f>
        <v>57.749999999999993</v>
      </c>
      <c r="J25" s="45"/>
      <c r="K25" s="1761">
        <f>H25</f>
        <v>0.35</v>
      </c>
      <c r="L25" s="1564">
        <f>K25*$G25</f>
        <v>57.749999999999993</v>
      </c>
      <c r="M25" s="1557"/>
      <c r="N25" s="1761">
        <f>H25</f>
        <v>0.35</v>
      </c>
      <c r="O25" s="1722">
        <f>N25*$G25</f>
        <v>57.749999999999993</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274.52700000000004</v>
      </c>
      <c r="K27" s="1716"/>
      <c r="L27" s="1715"/>
      <c r="M27" s="1585">
        <f>SUM(L30:L33)</f>
        <v>442.94130000000007</v>
      </c>
      <c r="N27" s="1714"/>
      <c r="O27" s="1713"/>
      <c r="P27" s="1582">
        <f>SUM(O30:O33)</f>
        <v>573.93020000000013</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f>VLOOKUP('SD8'!B25,'SD8'!B9:K44,3,FALSE)</f>
        <v>3.35</v>
      </c>
      <c r="F30" s="1742"/>
      <c r="G30" s="1741">
        <v>20</v>
      </c>
      <c r="H30" s="1739">
        <f>IF(J$6=0,0,(J$6*$E30+$G30+X13))</f>
        <v>53.5</v>
      </c>
      <c r="I30" s="1722">
        <f>H30*$D30</f>
        <v>233.79500000000002</v>
      </c>
      <c r="J30" s="45"/>
      <c r="K30" s="1740">
        <f>IF(M$6=0,0,(M$6*$E30+$G30+AA14))</f>
        <v>83.65</v>
      </c>
      <c r="L30" s="1564">
        <f>K30*$D30</f>
        <v>365.55050000000006</v>
      </c>
      <c r="M30" s="1557"/>
      <c r="N30" s="1739">
        <f>IF(P$6=0,0,(P$6*$E30+$G30+AD14))</f>
        <v>107.10000000000001</v>
      </c>
      <c r="O30" s="1722">
        <f>N30*$D30</f>
        <v>468.02700000000004</v>
      </c>
      <c r="P30" s="1686"/>
      <c r="Q30" s="32"/>
    </row>
    <row r="31" spans="1:26" s="42" customFormat="1" ht="15" customHeight="1">
      <c r="A31" s="1284"/>
      <c r="B31" s="272"/>
      <c r="C31" s="1284" t="s">
        <v>244</v>
      </c>
      <c r="D31" s="1691">
        <f>IF(SDÖ1!$U$17=TRUE,SDÖ1!O56,0)</f>
        <v>1.3740000000000001</v>
      </c>
      <c r="E31" s="1742">
        <f>VLOOKUP('SD8'!B25,'SD8'!B9:K44,4,FALSE)</f>
        <v>1.8</v>
      </c>
      <c r="F31" s="1742"/>
      <c r="G31" s="1741"/>
      <c r="H31" s="1739">
        <f>IF(J$6=0,0,(J$6*$E31+$G31+X14))</f>
        <v>18</v>
      </c>
      <c r="I31" s="1722">
        <f>H31*$D31</f>
        <v>24.732000000000003</v>
      </c>
      <c r="J31" s="45"/>
      <c r="K31" s="1740">
        <f>IF(M$6=0,0,(M$6*$E31+$G31+Y14))</f>
        <v>34.200000000000003</v>
      </c>
      <c r="L31" s="1564">
        <f>K31*$D31</f>
        <v>46.990800000000007</v>
      </c>
      <c r="M31" s="1557"/>
      <c r="N31" s="1739">
        <f>IF(P$6=0,0,(P$6*$E31+$G31+Z14))</f>
        <v>46.800000000000004</v>
      </c>
      <c r="O31" s="1722">
        <f>N31*$D31</f>
        <v>64.303200000000004</v>
      </c>
      <c r="P31" s="1686"/>
      <c r="Q31" s="32"/>
    </row>
    <row r="32" spans="1:26" s="686" customFormat="1" ht="18.75" customHeight="1">
      <c r="A32" s="1248"/>
      <c r="B32" s="272"/>
      <c r="C32" s="1284" t="s">
        <v>242</v>
      </c>
      <c r="D32" s="1691">
        <f>IF(SDÖ1!$U$17=TRUE,SDÖ1!O57,0)</f>
        <v>1.35</v>
      </c>
      <c r="E32" s="1742">
        <f>VLOOKUP('SD8'!B25,'SD8'!B9:K44,5,FALSE)</f>
        <v>1</v>
      </c>
      <c r="F32" s="1742"/>
      <c r="G32" s="1741"/>
      <c r="H32" s="1739">
        <f>IF(J$6=0,0,(J$6*$E32+$G32+X15))</f>
        <v>10</v>
      </c>
      <c r="I32" s="1722">
        <f>H32*$D32</f>
        <v>13.5</v>
      </c>
      <c r="J32" s="45"/>
      <c r="K32" s="1740">
        <f>IF(M$6=0,0,(M$6*$E32+$G32+Y15))</f>
        <v>19</v>
      </c>
      <c r="L32" s="1564">
        <f>K32*$D32</f>
        <v>25.650000000000002</v>
      </c>
      <c r="M32" s="1557"/>
      <c r="N32" s="1739">
        <f>IF(P$6=0,0,(P$6*$E32+$G32+Z15))</f>
        <v>26</v>
      </c>
      <c r="O32" s="1722">
        <f>N32*$D32</f>
        <v>35.1</v>
      </c>
      <c r="P32" s="1686"/>
      <c r="Q32" s="32"/>
    </row>
    <row r="33" spans="1:17" s="686" customFormat="1" ht="13.15" customHeight="1">
      <c r="A33" s="1248"/>
      <c r="B33" s="239"/>
      <c r="C33" s="1309" t="s">
        <v>240</v>
      </c>
      <c r="D33" s="1674">
        <f>IF(SDÖ1!$U$17=TRUE,SDÖ1!O58,0)</f>
        <v>0.5</v>
      </c>
      <c r="E33" s="1738">
        <f>VLOOKUP('SD8'!B25,'SD8'!B9:K44,6,FALSE)</f>
        <v>0.5</v>
      </c>
      <c r="F33" s="1738"/>
      <c r="G33" s="1737"/>
      <c r="H33" s="1735">
        <f>IF(J$6=0,0,(J$6*$E33+$G33+X16))</f>
        <v>5</v>
      </c>
      <c r="I33" s="1718">
        <f>H33*$D33</f>
        <v>2.5</v>
      </c>
      <c r="J33" s="45"/>
      <c r="K33" s="1736">
        <f>IF(M$6=0,0,(M$6*$E33+$G33+Y16))</f>
        <v>9.5</v>
      </c>
      <c r="L33" s="1558">
        <f>K33*$D33</f>
        <v>4.75</v>
      </c>
      <c r="M33" s="1557"/>
      <c r="N33" s="1735">
        <f>IF(P$6=0,0,(P$6*$E33+$G33+Z16))</f>
        <v>13</v>
      </c>
      <c r="O33" s="1718">
        <f>N33*$D33</f>
        <v>6.5</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180.61604736988235</v>
      </c>
      <c r="K43" s="1716"/>
      <c r="L43" s="1715"/>
      <c r="M43" s="1585">
        <f>SUM(M46:M57)</f>
        <v>182.77907052494115</v>
      </c>
      <c r="N43" s="1714"/>
      <c r="O43" s="1713"/>
      <c r="P43" s="1582">
        <f>SUM(P46:P57)</f>
        <v>184.4614218677647</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422</v>
      </c>
      <c r="D46" s="4883"/>
      <c r="E46" s="1693">
        <f>IF($C46=0,0,VLOOKUP($C46,SDÖ3!$C$24:$O$99,4,FALSE))</f>
        <v>102</v>
      </c>
      <c r="F46" s="1692">
        <f>IF($C46=0,0,VLOOKUP($C46,SDÖ3!$C$24:$O$99,12,FALSE))</f>
        <v>1.7400000000000002</v>
      </c>
      <c r="G46" s="1691">
        <f>IF($C46=0,0,VLOOKUP($C46,SDÖ3!$C$24:$O$99,13,FALSE))</f>
        <v>42.981010840000003</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82" t="s">
        <v>462</v>
      </c>
      <c r="D47" s="4883"/>
      <c r="E47" s="1693">
        <f>IF($C47=0,0,VLOOKUP($C47,SDÖ3!$C$24:$O$99,4,FALSE))</f>
        <v>120</v>
      </c>
      <c r="F47" s="1692">
        <f>IF($C47=0,0,VLOOKUP($C47,SDÖ3!$C$24:$O$99,12,FALSE))</f>
        <v>1.44</v>
      </c>
      <c r="G47" s="1691">
        <f>IF($C47=0,0,VLOOKUP($C47,SDÖ3!$C$24:$O$99,13,FALSE))</f>
        <v>59.188918588235289</v>
      </c>
      <c r="H47" s="1688">
        <v>1</v>
      </c>
      <c r="I47" s="1687">
        <f t="shared" si="4"/>
        <v>1.44</v>
      </c>
      <c r="J47" s="1686">
        <f t="shared" si="5"/>
        <v>59.188918588235289</v>
      </c>
      <c r="K47" s="1688">
        <v>1</v>
      </c>
      <c r="L47" s="1690">
        <f t="shared" si="6"/>
        <v>1.44</v>
      </c>
      <c r="M47" s="1689">
        <f t="shared" si="7"/>
        <v>59.188918588235289</v>
      </c>
      <c r="N47" s="1688">
        <v>1</v>
      </c>
      <c r="O47" s="1687">
        <f t="shared" si="8"/>
        <v>1.44</v>
      </c>
      <c r="P47" s="1686">
        <f t="shared" si="9"/>
        <v>59.188918588235289</v>
      </c>
      <c r="Q47" s="32"/>
    </row>
    <row r="48" spans="1:17" s="42" customFormat="1" ht="15" customHeight="1">
      <c r="A48" s="1284"/>
      <c r="B48" s="1694"/>
      <c r="C48" s="4882" t="s">
        <v>451</v>
      </c>
      <c r="D48" s="4883"/>
      <c r="E48" s="1693">
        <f>IF($C48=0,0,VLOOKUP($C48,SDÖ3!$C$24:$O$99,4,FALSE))</f>
        <v>102</v>
      </c>
      <c r="F48" s="1692">
        <f>IF($C48=0,0,VLOOKUP($C48,SDÖ3!$C$24:$O$99,12,FALSE))</f>
        <v>1.02</v>
      </c>
      <c r="G48" s="1691">
        <f>IF($C48=0,0,VLOOKUP($C48,SDÖ3!$C$24:$O$99,13,FALSE))</f>
        <v>28.610107599999999</v>
      </c>
      <c r="H48" s="1688">
        <v>1</v>
      </c>
      <c r="I48" s="1687">
        <f t="shared" si="4"/>
        <v>1.02</v>
      </c>
      <c r="J48" s="1686">
        <f t="shared" si="5"/>
        <v>28.610107599999999</v>
      </c>
      <c r="K48" s="1688">
        <v>1</v>
      </c>
      <c r="L48" s="1690">
        <f t="shared" si="6"/>
        <v>1.02</v>
      </c>
      <c r="M48" s="1689">
        <f t="shared" si="7"/>
        <v>28.610107599999999</v>
      </c>
      <c r="N48" s="1688">
        <v>1</v>
      </c>
      <c r="O48" s="1687">
        <f t="shared" si="8"/>
        <v>1.02</v>
      </c>
      <c r="P48" s="1686">
        <f t="shared" si="9"/>
        <v>28.610107599999999</v>
      </c>
      <c r="Q48" s="32"/>
    </row>
    <row r="49" spans="1:17" s="42" customFormat="1" ht="15" customHeight="1">
      <c r="A49" s="1284"/>
      <c r="B49" s="1694"/>
      <c r="C49" s="4882" t="s">
        <v>440</v>
      </c>
      <c r="D49" s="4883"/>
      <c r="E49" s="1693">
        <f>IF($C49=0,0,VLOOKUP($C49,SDÖ3!$C$24:$O$99,4,FALSE))</f>
        <v>54</v>
      </c>
      <c r="F49" s="1692">
        <f>IF($C49=0,0,VLOOKUP($C49,SDÖ3!$C$24:$O$99,12,FALSE))</f>
        <v>0.81</v>
      </c>
      <c r="G49" s="1691">
        <f>IF($C49=0,0,VLOOKUP($C49,SDÖ3!$C$24:$O$99,13,FALSE))</f>
        <v>13.514630011764705</v>
      </c>
      <c r="H49" s="1688">
        <v>1</v>
      </c>
      <c r="I49" s="1687">
        <f t="shared" si="4"/>
        <v>0.81</v>
      </c>
      <c r="J49" s="1686">
        <f t="shared" si="5"/>
        <v>13.514630011764705</v>
      </c>
      <c r="K49" s="1688">
        <v>1</v>
      </c>
      <c r="L49" s="1690">
        <f t="shared" si="6"/>
        <v>0.81</v>
      </c>
      <c r="M49" s="1689">
        <f t="shared" si="7"/>
        <v>13.514630011764705</v>
      </c>
      <c r="N49" s="1688">
        <v>1</v>
      </c>
      <c r="O49" s="1687">
        <f t="shared" si="8"/>
        <v>0.81</v>
      </c>
      <c r="P49" s="1686">
        <f t="shared" si="9"/>
        <v>13.514630011764705</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t="s">
        <v>407</v>
      </c>
      <c r="D51" s="4883"/>
      <c r="E51" s="1693">
        <f>IF($C51=0,0,VLOOKUP($C51,SDÖ3!$C$24:$O$99,4,FALSE))</f>
        <v>54</v>
      </c>
      <c r="F51" s="1692">
        <f>IF($C51=0,0,VLOOKUP($C51,SDÖ3!$C$24:$O$99,12,FALSE))</f>
        <v>1.1299999999999999</v>
      </c>
      <c r="G51" s="1691">
        <f>IF($C51=0,0,VLOOKUP($C51,SDÖ3!$C$24:$O$99,13,FALSE))</f>
        <v>17.668557917647057</v>
      </c>
      <c r="H51" s="1688">
        <v>2</v>
      </c>
      <c r="I51" s="1687">
        <f t="shared" si="4"/>
        <v>2.2599999999999998</v>
      </c>
      <c r="J51" s="1686">
        <f t="shared" si="5"/>
        <v>35.337115835294114</v>
      </c>
      <c r="K51" s="1688">
        <v>2</v>
      </c>
      <c r="L51" s="1690">
        <f t="shared" si="6"/>
        <v>2.2599999999999998</v>
      </c>
      <c r="M51" s="1689">
        <f t="shared" si="7"/>
        <v>35.337115835294114</v>
      </c>
      <c r="N51" s="1688">
        <v>2</v>
      </c>
      <c r="O51" s="1687">
        <f t="shared" si="8"/>
        <v>2.2599999999999998</v>
      </c>
      <c r="P51" s="1686">
        <f t="shared" si="9"/>
        <v>35.337115835294114</v>
      </c>
      <c r="Q51" s="32"/>
    </row>
    <row r="52" spans="1:17" s="42" customFormat="1" ht="15" customHeight="1">
      <c r="A52" s="1284"/>
      <c r="B52" s="1694"/>
      <c r="C52" s="4882" t="s">
        <v>459</v>
      </c>
      <c r="D52" s="4883"/>
      <c r="E52" s="1693">
        <f>IF($C52=0,0,VLOOKUP($C52,SDÖ3!$C$24:$O$99,4,FALSE))</f>
        <v>102</v>
      </c>
      <c r="F52" s="1692">
        <f>IF($C52=0,0,VLOOKUP($C52,SDÖ3!$C$24:$O$99,12,FALSE))</f>
        <v>0.79</v>
      </c>
      <c r="G52" s="1691">
        <f>IF($C52=0,0,VLOOKUP($C52,SDÖ3!$C$24:$O$99,13,FALSE))</f>
        <v>21.737240200000002</v>
      </c>
      <c r="H52" s="1688">
        <v>1</v>
      </c>
      <c r="I52" s="1687">
        <f t="shared" si="4"/>
        <v>0.79</v>
      </c>
      <c r="J52" s="1686">
        <f t="shared" si="5"/>
        <v>21.737240200000002</v>
      </c>
      <c r="K52" s="1688">
        <v>1</v>
      </c>
      <c r="L52" s="1690">
        <f t="shared" si="6"/>
        <v>0.79</v>
      </c>
      <c r="M52" s="1689">
        <f t="shared" si="7"/>
        <v>21.737240200000002</v>
      </c>
      <c r="N52" s="1688">
        <v>1</v>
      </c>
      <c r="O52" s="1687">
        <f t="shared" si="8"/>
        <v>0.79</v>
      </c>
      <c r="P52" s="1686">
        <f t="shared" si="9"/>
        <v>21.737240200000002</v>
      </c>
      <c r="Q52" s="32"/>
    </row>
    <row r="53" spans="1:17" s="42" customFormat="1" ht="15" customHeight="1">
      <c r="A53" s="1284"/>
      <c r="B53" s="1694"/>
      <c r="C53" s="4882" t="s">
        <v>456</v>
      </c>
      <c r="D53" s="4883"/>
      <c r="E53" s="1693">
        <f>IF($C53=0,0,VLOOKUP($C53,SDÖ3!$C$24:$O$99,4,FALSE))</f>
        <v>102</v>
      </c>
      <c r="F53" s="1692">
        <f>IF($C53=0,0,VLOOKUP($C53,SDÖ3!$C$24:$O$99,12,FALSE))</f>
        <v>0.54</v>
      </c>
      <c r="G53" s="1691">
        <f>IF($C53=0,0,VLOOKUP($C53,SDÖ3!$C$24:$O$99,13,FALSE))</f>
        <v>16.940645199999999</v>
      </c>
      <c r="H53" s="1688">
        <v>1</v>
      </c>
      <c r="I53" s="1687">
        <f t="shared" si="4"/>
        <v>0.54</v>
      </c>
      <c r="J53" s="1686">
        <f t="shared" si="5"/>
        <v>16.940645199999999</v>
      </c>
      <c r="K53" s="1688">
        <v>1</v>
      </c>
      <c r="L53" s="1690">
        <f t="shared" si="6"/>
        <v>0.54</v>
      </c>
      <c r="M53" s="1689">
        <f t="shared" si="7"/>
        <v>16.940645199999999</v>
      </c>
      <c r="N53" s="1688">
        <v>1</v>
      </c>
      <c r="O53" s="1687">
        <f t="shared" si="8"/>
        <v>0.54</v>
      </c>
      <c r="P53" s="1686">
        <f t="shared" si="9"/>
        <v>16.940645199999999</v>
      </c>
      <c r="Q53" s="32"/>
    </row>
    <row r="54" spans="1:17" s="42" customFormat="1" ht="15" customHeight="1">
      <c r="A54" s="1284"/>
      <c r="B54" s="1694"/>
      <c r="C54" s="4882" t="s">
        <v>411</v>
      </c>
      <c r="D54" s="4883"/>
      <c r="E54" s="1693">
        <f>IF($C54=0,0,VLOOKUP($C54,SDÖ3!$C$24:$O$99,4,FALSE))</f>
        <v>54</v>
      </c>
      <c r="F54" s="1692">
        <f>IF($C54=0,0,VLOOKUP($C54,SDÖ3!$C$24:$O$99,12,FALSE))</f>
        <v>0.39</v>
      </c>
      <c r="G54" s="1691">
        <f>IF($C54=0,0,VLOOKUP($C54,SDÖ3!$C$24:$O$99,13,FALSE))</f>
        <v>4.8958197447058831</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35" t="s">
        <v>403</v>
      </c>
      <c r="D55" s="4936"/>
      <c r="E55" s="1693">
        <f>IF($C55=0,0,VLOOKUP($C55,SDÖ3!$C$24:$O$99,4,FALSE))</f>
        <v>83</v>
      </c>
      <c r="F55" s="1692">
        <f>IF($C55=0,0,VLOOKUP($C55,SDÖ3!$C$24:$O$99,12,FALSE))</f>
        <v>0.56000000000000005</v>
      </c>
      <c r="G55" s="1691">
        <f>IF($C55=0,0,VLOOKUP($C55,SDÖ3!$C$24:$O$99,13,FALSE))</f>
        <v>9.6134362447058805</v>
      </c>
      <c r="H55" s="1688">
        <v>0.55000000000000004</v>
      </c>
      <c r="I55" s="1687">
        <f t="shared" si="4"/>
        <v>0.30800000000000005</v>
      </c>
      <c r="J55" s="1686">
        <f t="shared" si="5"/>
        <v>5.2873899345882345</v>
      </c>
      <c r="K55" s="1688">
        <v>0.77499999999999991</v>
      </c>
      <c r="L55" s="1690">
        <f t="shared" si="6"/>
        <v>0.434</v>
      </c>
      <c r="M55" s="1689">
        <f t="shared" si="7"/>
        <v>7.4504130896470562</v>
      </c>
      <c r="N55" s="1688">
        <v>0.95</v>
      </c>
      <c r="O55" s="1687">
        <f t="shared" si="8"/>
        <v>0.53200000000000003</v>
      </c>
      <c r="P55" s="1686">
        <f t="shared" si="9"/>
        <v>9.1327644324705854</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96"/>
      <c r="D57" s="4897"/>
      <c r="E57" s="3565">
        <f>IF($C57=0,0,VLOOKUP($C57,SDÖ3!$C$24:$O$99,4,FALSE))</f>
        <v>0</v>
      </c>
      <c r="F57" s="3566">
        <f>IF($C57=0,0,VLOOKUP($C57,SDÖ3!$C$24:$O$99,12,FALSE))</f>
        <v>0</v>
      </c>
      <c r="G57" s="3567">
        <f>IF($C57=0,0,VLOOKUP($C57,SDÖ3!$C$24:$O$99,13,FALSE))</f>
        <v>0</v>
      </c>
      <c r="H57" s="1672"/>
      <c r="I57" s="1671">
        <f>SUM(I44:I56)</f>
        <v>7.1679999999999993</v>
      </c>
      <c r="J57" s="1670"/>
      <c r="K57" s="1672"/>
      <c r="L57" s="1673">
        <f>SUM(L44:L56)</f>
        <v>7.2939999999999996</v>
      </c>
      <c r="M57" s="1620"/>
      <c r="N57" s="1672"/>
      <c r="O57" s="1671">
        <f>SUM(O44:O56)</f>
        <v>7.3919999999999995</v>
      </c>
      <c r="P57" s="1670"/>
      <c r="Q57" s="32"/>
    </row>
    <row r="58" spans="1:17" s="686" customFormat="1" ht="18.75" customHeight="1">
      <c r="A58" s="1248"/>
      <c r="B58" s="1254" t="s">
        <v>1167</v>
      </c>
      <c r="C58" s="1351"/>
      <c r="D58" s="1351"/>
      <c r="E58" s="1351"/>
      <c r="F58" s="38"/>
      <c r="G58" s="1588"/>
      <c r="H58" s="1665"/>
      <c r="I58" s="1664">
        <f>SUM($I$46:$I$57)</f>
        <v>14.335999999999999</v>
      </c>
      <c r="J58" s="1669"/>
      <c r="K58" s="1668"/>
      <c r="L58" s="1667">
        <f>SUM($L$46:$L$57)</f>
        <v>14.587999999999999</v>
      </c>
      <c r="M58" s="1666"/>
      <c r="N58" s="1665"/>
      <c r="O58" s="1664">
        <f>SUM($O$46:$O$57)</f>
        <v>14.783999999999999</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24.335999999999999</v>
      </c>
      <c r="J59" s="1654"/>
      <c r="K59" s="1659"/>
      <c r="L59" s="1658">
        <f>IF(L58+SUM($L$46:$L$57)*$E$59%&gt;L58+10,L58+10,L58+SUM($L$46:$L$57)*$E$59%)</f>
        <v>24.588000000000001</v>
      </c>
      <c r="M59" s="1657"/>
      <c r="N59" s="1656"/>
      <c r="O59" s="1655">
        <f>IF(O58+SUM($O$46:$O$57)*$E$59%&gt;O58+10,O58+10,O58+SUM($O$46:$O$57)*$E$59%)</f>
        <v>24.783999999999999</v>
      </c>
      <c r="P59" s="1654"/>
      <c r="Q59" s="32"/>
    </row>
    <row r="60" spans="1:17" s="65" customFormat="1" ht="18.75" customHeight="1">
      <c r="A60" s="1351"/>
      <c r="B60" s="1254" t="s">
        <v>1164</v>
      </c>
      <c r="C60" s="1351"/>
      <c r="D60" s="1351"/>
      <c r="E60" s="45"/>
      <c r="F60" s="45"/>
      <c r="G60" s="1653"/>
      <c r="H60" s="1645"/>
      <c r="I60" s="1644"/>
      <c r="J60" s="1652">
        <f>IF(J6=0,0,SUM(I62:I64))</f>
        <v>198.84899999999999</v>
      </c>
      <c r="K60" s="1648"/>
      <c r="L60" s="1647"/>
      <c r="M60" s="1585">
        <f>IF(M6=0,0,SUM(L62:L64))</f>
        <v>198.84899999999999</v>
      </c>
      <c r="N60" s="1645"/>
      <c r="O60" s="1644"/>
      <c r="P60" s="1652">
        <f>IF(P6=0,0,SUM(O62:O64))</f>
        <v>198.84899999999999</v>
      </c>
      <c r="Q60" s="32"/>
    </row>
    <row r="61" spans="1:17" s="65" customFormat="1" ht="15" customHeight="1">
      <c r="A61" s="1351"/>
      <c r="B61" s="1581"/>
      <c r="C61" s="1580" t="s">
        <v>1156</v>
      </c>
      <c r="D61" s="1651">
        <f>SDÖ1!$N$11</f>
        <v>19</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324</v>
      </c>
      <c r="D62" s="4860"/>
      <c r="E62" s="4860"/>
      <c r="F62" s="1642">
        <f>IF($C62=0,0,VLOOKUP($C62,'SDK3'!$C$92:$D$106,2,FALSE))</f>
        <v>167.1</v>
      </c>
      <c r="G62" s="1641">
        <f>(100+$D$61)/100*F62</f>
        <v>198.84899999999999</v>
      </c>
      <c r="H62" s="227"/>
      <c r="I62" s="1637">
        <f>$G$62</f>
        <v>198.84899999999999</v>
      </c>
      <c r="J62" s="227"/>
      <c r="K62" s="1640"/>
      <c r="L62" s="1639">
        <f>$G$62</f>
        <v>198.84899999999999</v>
      </c>
      <c r="M62" s="1557"/>
      <c r="N62" s="1638"/>
      <c r="O62" s="1637">
        <f>$G$62</f>
        <v>198.84899999999999</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2.8</v>
      </c>
      <c r="G64" s="1623">
        <f>(100+$D$61)/100*F64</f>
        <v>3.3319999999999999</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40.700000000000003</v>
      </c>
      <c r="K67" s="1609" t="s">
        <v>1161</v>
      </c>
      <c r="L67" s="1608" t="s">
        <v>1160</v>
      </c>
      <c r="M67" s="1585">
        <f>S68*(K9+K10)*L68%+F68</f>
        <v>96.330000000000013</v>
      </c>
      <c r="N67" s="1607" t="s">
        <v>1161</v>
      </c>
      <c r="O67" s="1606" t="s">
        <v>1160</v>
      </c>
      <c r="P67" s="1582">
        <f>T68*(N9+N10)*O68%+F68</f>
        <v>157.82</v>
      </c>
      <c r="Q67" s="32"/>
    </row>
    <row r="68" spans="1:20" s="686" customFormat="1" ht="15" customHeight="1">
      <c r="A68" s="1248"/>
      <c r="B68" s="1605"/>
      <c r="C68" s="4888" t="s">
        <v>1159</v>
      </c>
      <c r="D68" s="4888"/>
      <c r="E68" s="4888"/>
      <c r="F68" s="1604"/>
      <c r="G68" s="1595" t="s">
        <v>171</v>
      </c>
      <c r="H68" s="1602">
        <v>16</v>
      </c>
      <c r="I68" s="1601">
        <v>50</v>
      </c>
      <c r="J68" s="1600"/>
      <c r="K68" s="1602">
        <v>18</v>
      </c>
      <c r="L68" s="1601">
        <v>50</v>
      </c>
      <c r="M68" s="1603"/>
      <c r="N68" s="1602">
        <v>20</v>
      </c>
      <c r="O68" s="1601">
        <v>50</v>
      </c>
      <c r="P68" s="1600"/>
      <c r="Q68" s="32"/>
      <c r="R68" s="1916">
        <f>IF(H68=0,0,VLOOKUP(H68,'SD6'!J8:K156,'SD6'!K1))*(1+'SDK1'!O11/100)</f>
        <v>8.14</v>
      </c>
      <c r="S68" s="1916">
        <f>IF(K68=0,0,VLOOKUP(K68,'SD6'!J8:K156,'SD6'!K1))*(1+'SDK1'!O11/100)</f>
        <v>10.14</v>
      </c>
      <c r="T68" s="1915">
        <f>IF(N68=0,0,VLOOKUP(N68,'SD6'!J8:K156,'SD6'!K1))*(1+'SDK1'!O11/100)</f>
        <v>12.14</v>
      </c>
    </row>
    <row r="69" spans="1:20" s="686" customFormat="1" ht="18.75" customHeight="1">
      <c r="A69" s="1248"/>
      <c r="B69" s="1254" t="s">
        <v>1158</v>
      </c>
      <c r="C69" s="1248"/>
      <c r="D69" s="1248"/>
      <c r="E69" s="38"/>
      <c r="F69" s="38"/>
      <c r="G69" s="1588"/>
      <c r="H69" s="44"/>
      <c r="I69" s="73"/>
      <c r="J69" s="1582">
        <f>H70*$F70/1000</f>
        <v>14.549333333333333</v>
      </c>
      <c r="K69" s="1598"/>
      <c r="L69" s="1597"/>
      <c r="M69" s="1585">
        <f>K70*$F70/1000</f>
        <v>27.643733333333333</v>
      </c>
      <c r="N69" s="44"/>
      <c r="O69" s="73"/>
      <c r="P69" s="1582">
        <f>N70*$F70/1000</f>
        <v>37.828266666666671</v>
      </c>
      <c r="Q69" s="32"/>
    </row>
    <row r="70" spans="1:20" s="686" customFormat="1" ht="15" customHeight="1">
      <c r="A70" s="1248"/>
      <c r="B70" s="1310"/>
      <c r="C70" s="1309" t="s">
        <v>840</v>
      </c>
      <c r="D70" s="346"/>
      <c r="E70" s="278"/>
      <c r="F70" s="1596">
        <f>'SDK7'!G101</f>
        <v>16</v>
      </c>
      <c r="G70" s="1595" t="s">
        <v>171</v>
      </c>
      <c r="H70" s="1591">
        <f>I9+I10</f>
        <v>909.33333333333337</v>
      </c>
      <c r="I70" s="1590"/>
      <c r="J70" s="1589"/>
      <c r="K70" s="1594">
        <f>L9+L10</f>
        <v>1727.7333333333333</v>
      </c>
      <c r="L70" s="1593"/>
      <c r="M70" s="1592"/>
      <c r="N70" s="1591">
        <f>O9+O10</f>
        <v>2364.2666666666669</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8.948232774870851</v>
      </c>
      <c r="K75" s="3031"/>
      <c r="L75" s="1034"/>
      <c r="M75" s="1546">
        <f>(M23+M27+M34+M43+M60+M65+M67+M69+M71)*('SDK1'!$O$59%*$G$75/12)</f>
        <v>11.74008621167987</v>
      </c>
      <c r="N75" s="1548"/>
      <c r="O75" s="1547"/>
      <c r="P75" s="1546">
        <f>(P23+P27+P34+P43+P60+P65+P67+P69+P71)*('SDK1'!$O$59%*$G$75/12)</f>
        <v>14.124120366235033</v>
      </c>
      <c r="Q75" s="32"/>
    </row>
    <row r="76" spans="1:20">
      <c r="L76" s="33"/>
    </row>
    <row r="77" spans="1:20">
      <c r="L77" s="33"/>
      <c r="N77" s="3590"/>
      <c r="O77" s="3590"/>
      <c r="P77" s="3590"/>
      <c r="Q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c r="Q79" s="3590"/>
    </row>
    <row r="80" spans="1:20" ht="14.25">
      <c r="B80" s="3046"/>
      <c r="C80" s="3042" t="s">
        <v>1884</v>
      </c>
      <c r="D80" s="3043"/>
      <c r="E80" s="3043"/>
      <c r="F80" s="3044"/>
      <c r="G80" s="3590"/>
      <c r="H80" s="3590"/>
      <c r="I80" s="3590"/>
      <c r="J80" s="3590"/>
      <c r="K80" s="3590"/>
      <c r="L80" s="3590"/>
      <c r="M80" s="3590"/>
      <c r="N80" s="3590"/>
      <c r="O80" s="3590"/>
      <c r="P80" s="3590"/>
      <c r="Q80" s="3590"/>
    </row>
    <row r="81" spans="2:17" ht="14.25">
      <c r="B81" s="3046"/>
      <c r="C81" s="3042" t="s">
        <v>1885</v>
      </c>
      <c r="D81" s="3043"/>
      <c r="E81" s="3043"/>
      <c r="F81" s="3044"/>
      <c r="G81" s="3590"/>
      <c r="H81" s="3590"/>
      <c r="I81" s="3590"/>
      <c r="J81" s="3590"/>
      <c r="K81" s="3590"/>
      <c r="L81" s="3590"/>
      <c r="M81" s="3590"/>
      <c r="N81" s="3590"/>
      <c r="O81" s="3590"/>
      <c r="P81" s="3590"/>
      <c r="Q81" s="3590"/>
    </row>
    <row r="82" spans="2:17">
      <c r="B82" s="3046"/>
      <c r="C82" s="3034" t="s">
        <v>294</v>
      </c>
      <c r="D82" s="3035"/>
      <c r="E82" s="3035"/>
      <c r="F82" s="3036"/>
      <c r="G82" s="33"/>
      <c r="H82" s="33"/>
      <c r="I82" s="33"/>
      <c r="L82" s="3590"/>
      <c r="M82" s="3590"/>
      <c r="N82" s="3590"/>
      <c r="O82" s="3590"/>
      <c r="P82" s="3590"/>
      <c r="Q82" s="3590"/>
    </row>
    <row r="83" spans="2:17" ht="14.25">
      <c r="B83" s="3046"/>
      <c r="C83" s="3042" t="s">
        <v>1886</v>
      </c>
      <c r="D83" s="3043"/>
      <c r="E83" s="3043"/>
      <c r="F83" s="3044"/>
      <c r="G83" s="33"/>
      <c r="H83" s="33"/>
      <c r="I83" s="33"/>
      <c r="L83" s="3590"/>
      <c r="M83" s="3590"/>
      <c r="N83" s="3590"/>
      <c r="O83" s="3590"/>
      <c r="P83" s="3590"/>
      <c r="Q83" s="3590"/>
    </row>
    <row r="84" spans="2:17" ht="14.25">
      <c r="B84" s="3046"/>
      <c r="C84" s="3042" t="s">
        <v>1887</v>
      </c>
      <c r="D84" s="3043"/>
      <c r="E84" s="3043"/>
      <c r="F84" s="3044"/>
      <c r="G84" s="33"/>
      <c r="H84" s="33"/>
      <c r="I84" s="33"/>
      <c r="L84" s="3590"/>
      <c r="M84" s="3590"/>
      <c r="N84" s="3590"/>
      <c r="O84" s="3590"/>
      <c r="P84" s="3590"/>
      <c r="Q84" s="3590"/>
    </row>
    <row r="85" spans="2:17">
      <c r="B85" s="3046"/>
      <c r="C85" s="3034" t="s">
        <v>293</v>
      </c>
      <c r="D85" s="3035"/>
      <c r="E85" s="3035"/>
      <c r="F85" s="3036"/>
      <c r="G85" s="33"/>
      <c r="H85" s="33"/>
      <c r="I85" s="33"/>
      <c r="L85" s="3590"/>
      <c r="M85" s="3590"/>
      <c r="N85" s="3590"/>
      <c r="O85" s="3590"/>
      <c r="P85" s="3590"/>
      <c r="Q85" s="3590"/>
    </row>
    <row r="86" spans="2:17">
      <c r="B86" s="3046"/>
      <c r="C86" s="3034" t="s">
        <v>292</v>
      </c>
      <c r="D86" s="3035"/>
      <c r="E86" s="3035"/>
      <c r="F86" s="3036"/>
      <c r="G86" s="33"/>
      <c r="H86" s="33"/>
      <c r="I86" s="33"/>
      <c r="L86" s="3590"/>
      <c r="M86" s="3590"/>
      <c r="N86" s="3590"/>
      <c r="O86" s="3590"/>
      <c r="P86" s="3590"/>
      <c r="Q86" s="3590"/>
    </row>
    <row r="87" spans="2:17" ht="14.25">
      <c r="B87" s="3046"/>
      <c r="C87" s="3034" t="s">
        <v>291</v>
      </c>
      <c r="D87" s="3035"/>
      <c r="E87" s="3035"/>
      <c r="F87" s="3036"/>
      <c r="G87" s="33"/>
      <c r="H87" s="33"/>
      <c r="I87" s="33"/>
      <c r="L87" s="3590"/>
      <c r="M87" s="3590"/>
      <c r="N87" s="3590"/>
      <c r="O87" s="3590"/>
      <c r="P87" s="3590"/>
      <c r="Q87" s="3590"/>
    </row>
    <row r="88" spans="2:17" ht="13.15" customHeight="1">
      <c r="B88" s="3046"/>
      <c r="C88" s="3034" t="s">
        <v>290</v>
      </c>
      <c r="D88" s="3037"/>
      <c r="E88" s="3037"/>
      <c r="F88" s="3038"/>
      <c r="G88" s="33"/>
      <c r="H88" s="33"/>
      <c r="I88" s="33"/>
      <c r="L88" s="3590"/>
      <c r="M88" s="3590"/>
      <c r="N88" s="3590"/>
      <c r="O88" s="3590"/>
      <c r="P88" s="3590"/>
      <c r="Q88" s="3590"/>
    </row>
    <row r="89" spans="2:17">
      <c r="B89" s="3046"/>
      <c r="C89" s="3034" t="s">
        <v>289</v>
      </c>
      <c r="D89" s="3037"/>
      <c r="E89" s="3037"/>
      <c r="F89" s="3038"/>
      <c r="H89" s="3046"/>
      <c r="I89" s="3046"/>
      <c r="L89" s="3590"/>
      <c r="M89" s="3590"/>
      <c r="N89" s="3590"/>
      <c r="O89" s="3590"/>
      <c r="P89" s="3590"/>
      <c r="Q89" s="3590"/>
    </row>
    <row r="90" spans="2:17" ht="25.5">
      <c r="B90" s="3046"/>
      <c r="C90" s="3039" t="s">
        <v>288</v>
      </c>
      <c r="D90" s="3040"/>
      <c r="E90" s="3040"/>
      <c r="F90" s="3041"/>
      <c r="H90" s="3046"/>
      <c r="I90" s="3046"/>
      <c r="L90" s="3590"/>
      <c r="M90" s="3590"/>
      <c r="N90" s="3590"/>
      <c r="O90" s="3590"/>
      <c r="P90" s="3590"/>
      <c r="Q90" s="3590"/>
    </row>
    <row r="91" spans="2:17">
      <c r="C91" s="2506"/>
      <c r="D91" s="2506"/>
      <c r="E91" s="2506"/>
      <c r="F91" s="2506"/>
      <c r="G91" s="3590"/>
      <c r="H91" s="3590"/>
      <c r="I91" s="3590"/>
      <c r="J91" s="3590"/>
      <c r="L91" s="3590"/>
      <c r="M91" s="3590"/>
      <c r="N91" s="3590"/>
      <c r="O91" s="3590"/>
      <c r="P91" s="3590"/>
      <c r="Q91" s="3590"/>
    </row>
    <row r="92" spans="2:17">
      <c r="C92" s="2506"/>
      <c r="D92" s="2506"/>
      <c r="E92" s="2506"/>
      <c r="F92" s="2506"/>
      <c r="G92" s="3590"/>
      <c r="H92" s="3590"/>
      <c r="I92" s="3590"/>
      <c r="J92" s="3590"/>
      <c r="L92" s="3590"/>
      <c r="M92" s="3590"/>
      <c r="N92" s="3590"/>
      <c r="O92" s="3590"/>
      <c r="P92" s="3590"/>
      <c r="Q92" s="3590"/>
    </row>
    <row r="93" spans="2:17">
      <c r="C93" s="2506"/>
      <c r="D93" s="2506"/>
      <c r="E93" s="2506"/>
      <c r="F93" s="2506"/>
      <c r="G93" s="3590"/>
      <c r="H93" s="3590"/>
      <c r="I93" s="3590"/>
      <c r="J93" s="3590"/>
      <c r="L93" s="3590"/>
      <c r="M93" s="3590"/>
      <c r="N93" s="3590"/>
      <c r="O93" s="3590"/>
      <c r="P93" s="3590"/>
      <c r="Q93" s="3590"/>
    </row>
    <row r="94" spans="2:17">
      <c r="C94" s="2506"/>
      <c r="D94" s="2506"/>
      <c r="E94" s="2506"/>
      <c r="F94" s="2506"/>
      <c r="G94" s="3590"/>
      <c r="H94" s="3590"/>
      <c r="I94" s="3590"/>
      <c r="J94" s="3590"/>
      <c r="L94" s="3590"/>
      <c r="M94" s="3590"/>
      <c r="N94" s="3590"/>
      <c r="O94" s="3590"/>
      <c r="P94" s="3590"/>
      <c r="Q94" s="3590"/>
    </row>
    <row r="95" spans="2:17">
      <c r="C95" s="2506"/>
      <c r="D95" s="2506"/>
      <c r="E95" s="2506"/>
      <c r="F95" s="2506"/>
      <c r="G95" s="3590"/>
      <c r="H95" s="3590"/>
      <c r="I95" s="3590"/>
      <c r="J95" s="3590"/>
      <c r="L95" s="3590"/>
      <c r="M95" s="3590"/>
      <c r="N95" s="3590"/>
      <c r="O95" s="3590"/>
      <c r="P95" s="3590"/>
      <c r="Q95" s="3590"/>
    </row>
    <row r="96" spans="2:17">
      <c r="C96" s="2506"/>
      <c r="D96" s="2506"/>
      <c r="E96" s="2506"/>
      <c r="F96" s="2506"/>
      <c r="G96" s="3590"/>
      <c r="H96" s="3590"/>
      <c r="I96" s="3590"/>
      <c r="J96" s="3590"/>
      <c r="L96" s="3590"/>
      <c r="M96" s="3590"/>
      <c r="N96" s="3590"/>
      <c r="O96" s="3590"/>
      <c r="P96" s="3590"/>
      <c r="Q96" s="3590"/>
    </row>
    <row r="97" spans="3:17">
      <c r="C97" s="2506"/>
      <c r="D97" s="2506"/>
      <c r="E97" s="2506"/>
      <c r="G97" s="3590"/>
      <c r="H97" s="3590"/>
      <c r="I97" s="3590"/>
      <c r="J97" s="3590"/>
      <c r="L97" s="3590"/>
      <c r="M97" s="3590"/>
      <c r="N97" s="3590"/>
      <c r="O97" s="3590"/>
      <c r="P97" s="3590"/>
      <c r="Q97" s="3590"/>
    </row>
    <row r="98" spans="3:17">
      <c r="C98" s="2506"/>
      <c r="D98" s="2506"/>
      <c r="E98" s="2506"/>
      <c r="G98" s="3590"/>
      <c r="H98" s="3590"/>
      <c r="I98" s="3590"/>
      <c r="J98" s="3590"/>
      <c r="L98" s="3590"/>
      <c r="M98" s="3590"/>
      <c r="N98" s="3590"/>
      <c r="O98" s="3590"/>
      <c r="P98" s="3590"/>
      <c r="Q98" s="3590"/>
    </row>
    <row r="99" spans="3:17">
      <c r="C99" s="2506"/>
      <c r="D99" s="2506"/>
      <c r="E99" s="2506"/>
      <c r="G99" s="3590"/>
      <c r="H99" s="3590"/>
      <c r="I99" s="3590"/>
      <c r="J99" s="3590"/>
      <c r="L99" s="3590"/>
      <c r="M99" s="3590"/>
      <c r="N99" s="3590"/>
      <c r="O99" s="3590"/>
      <c r="P99" s="3590"/>
      <c r="Q99" s="3590"/>
    </row>
    <row r="100" spans="3:17">
      <c r="C100" s="2506"/>
      <c r="D100" s="2506"/>
      <c r="E100" s="2506"/>
      <c r="G100" s="3590"/>
      <c r="H100" s="3590"/>
      <c r="I100" s="3590"/>
      <c r="J100" s="3590"/>
      <c r="L100" s="3590"/>
      <c r="M100" s="3590"/>
      <c r="N100" s="3590"/>
      <c r="O100" s="3590"/>
      <c r="P100" s="3590"/>
      <c r="Q100" s="3590"/>
    </row>
    <row r="101" spans="3:17">
      <c r="C101" s="2506"/>
      <c r="E101" s="2506"/>
      <c r="G101" s="3590"/>
      <c r="H101" s="3590"/>
      <c r="I101" s="3590"/>
      <c r="J101" s="3590"/>
      <c r="L101" s="3590"/>
      <c r="M101" s="3590"/>
      <c r="N101" s="3590"/>
      <c r="O101" s="3590"/>
      <c r="P101" s="3590"/>
      <c r="Q101" s="3590"/>
    </row>
    <row r="102" spans="3:17">
      <c r="C102" s="2506"/>
      <c r="D102" s="2506"/>
      <c r="E102" s="2506"/>
      <c r="G102" s="3590"/>
      <c r="I102" s="3590"/>
      <c r="J102" s="3590"/>
      <c r="L102" s="3590"/>
      <c r="M102" s="3590"/>
      <c r="N102" s="3590"/>
      <c r="O102" s="3590"/>
      <c r="P102" s="3590"/>
      <c r="Q102" s="3590"/>
    </row>
    <row r="103" spans="3:17">
      <c r="C103" s="2506"/>
      <c r="D103" s="2506"/>
      <c r="E103" s="2506"/>
      <c r="G103" s="3590"/>
      <c r="H103" s="3590"/>
      <c r="I103" s="3590"/>
      <c r="J103" s="3590"/>
      <c r="L103" s="3590"/>
      <c r="M103" s="3590"/>
      <c r="N103" s="3590"/>
      <c r="O103" s="3590"/>
      <c r="P103" s="3590"/>
      <c r="Q103" s="3590"/>
    </row>
    <row r="104" spans="3:17">
      <c r="C104" s="2506"/>
      <c r="D104" s="2506"/>
      <c r="E104" s="2506"/>
      <c r="G104" s="3590"/>
      <c r="H104" s="3590"/>
      <c r="I104" s="3590"/>
      <c r="J104" s="3590"/>
      <c r="L104" s="3590"/>
      <c r="M104" s="3590"/>
      <c r="N104" s="3590"/>
      <c r="O104" s="3590"/>
      <c r="P104" s="3590"/>
      <c r="Q104" s="3590"/>
    </row>
    <row r="105" spans="3:17">
      <c r="C105" s="2506"/>
      <c r="D105" s="2506"/>
      <c r="E105" s="2506"/>
      <c r="G105" s="3590"/>
      <c r="H105" s="3590"/>
      <c r="I105" s="3590"/>
      <c r="J105" s="3590"/>
      <c r="L105" s="3590"/>
      <c r="M105" s="3590"/>
      <c r="N105" s="3590"/>
      <c r="O105" s="3590"/>
      <c r="P105" s="3590"/>
      <c r="Q105" s="3590"/>
    </row>
    <row r="106" spans="3:17">
      <c r="C106" s="2506"/>
      <c r="D106" s="2506"/>
      <c r="E106" s="2506"/>
      <c r="G106" s="3590"/>
      <c r="H106" s="3590"/>
      <c r="I106" s="3590"/>
      <c r="J106" s="3590"/>
      <c r="L106" s="3590"/>
      <c r="M106" s="3590"/>
      <c r="N106" s="3590"/>
      <c r="O106" s="3590"/>
      <c r="P106" s="3590"/>
      <c r="Q106" s="3590"/>
    </row>
    <row r="107" spans="3:17">
      <c r="C107" s="2506"/>
      <c r="D107" s="2506"/>
      <c r="E107" s="2506"/>
      <c r="G107" s="3590"/>
      <c r="H107" s="3590"/>
      <c r="I107" s="3590"/>
      <c r="J107" s="3590"/>
      <c r="L107" s="3590"/>
      <c r="M107" s="3590"/>
      <c r="N107" s="3590"/>
      <c r="O107" s="3590"/>
      <c r="P107" s="3590"/>
      <c r="Q107" s="3590"/>
    </row>
    <row r="108" spans="3:17">
      <c r="C108" s="2506"/>
      <c r="D108" s="2506"/>
      <c r="E108" s="2506"/>
      <c r="G108" s="3590"/>
      <c r="H108" s="3590"/>
      <c r="I108" s="3590"/>
      <c r="J108" s="3590"/>
      <c r="L108" s="3590"/>
      <c r="M108" s="3590"/>
      <c r="N108" s="3590"/>
      <c r="O108" s="3590"/>
      <c r="P108" s="3590"/>
      <c r="Q108" s="3590"/>
    </row>
    <row r="109" spans="3:17">
      <c r="C109" s="2506"/>
      <c r="D109" s="2506"/>
      <c r="E109" s="2506"/>
      <c r="G109" s="3590"/>
      <c r="H109" s="3590"/>
      <c r="I109" s="3590"/>
      <c r="J109" s="3590"/>
      <c r="L109" s="3590"/>
      <c r="M109" s="3590"/>
      <c r="N109" s="3590"/>
      <c r="O109" s="3590"/>
      <c r="P109" s="3590"/>
      <c r="Q109" s="3590"/>
    </row>
    <row r="110" spans="3:17">
      <c r="G110" s="3590"/>
      <c r="H110" s="3590"/>
      <c r="I110" s="3590"/>
      <c r="J110" s="3590"/>
      <c r="L110" s="3590"/>
      <c r="M110" s="3590"/>
      <c r="N110" s="3590"/>
      <c r="O110" s="3590"/>
      <c r="P110" s="3590"/>
      <c r="Q110" s="3590"/>
    </row>
    <row r="111" spans="3:17">
      <c r="G111" s="3590"/>
      <c r="H111" s="3590"/>
      <c r="I111" s="3590"/>
      <c r="J111" s="3590"/>
      <c r="L111" s="3590"/>
      <c r="M111" s="3590"/>
      <c r="N111" s="3590"/>
      <c r="O111" s="3590"/>
      <c r="P111" s="3590"/>
      <c r="Q111" s="3590"/>
    </row>
    <row r="112" spans="3:17">
      <c r="G112" s="3590"/>
      <c r="H112" s="3590"/>
      <c r="I112" s="3590"/>
      <c r="J112" s="3590"/>
      <c r="L112" s="3590"/>
      <c r="M112" s="3590"/>
      <c r="N112" s="3590"/>
      <c r="O112" s="3590"/>
      <c r="P112" s="3590"/>
      <c r="Q112" s="3590"/>
    </row>
    <row r="113" spans="2:17">
      <c r="G113" s="3590"/>
      <c r="H113" s="3590"/>
      <c r="I113" s="3590"/>
      <c r="J113" s="3590"/>
      <c r="L113" s="3590"/>
      <c r="M113" s="3590"/>
      <c r="N113" s="3590"/>
      <c r="O113" s="3590"/>
      <c r="P113" s="3590"/>
      <c r="Q113" s="3590"/>
    </row>
    <row r="114" spans="2:17">
      <c r="G114" s="3590"/>
      <c r="H114" s="3590"/>
      <c r="I114" s="3590"/>
      <c r="J114" s="3590"/>
      <c r="L114" s="3590"/>
      <c r="M114" s="3590"/>
      <c r="N114" s="3590"/>
      <c r="O114" s="3590"/>
      <c r="P114" s="3590"/>
      <c r="Q114" s="3590"/>
    </row>
    <row r="115" spans="2:17">
      <c r="G115" s="3590"/>
      <c r="H115" s="3590"/>
      <c r="I115" s="3590"/>
      <c r="J115" s="3590"/>
      <c r="L115" s="3590"/>
      <c r="M115" s="3590"/>
      <c r="N115" s="3590"/>
      <c r="O115" s="3590"/>
      <c r="P115" s="3590"/>
      <c r="Q115" s="3590"/>
    </row>
    <row r="116" spans="2:17">
      <c r="G116" s="3590"/>
      <c r="H116" s="3590"/>
      <c r="I116" s="3590"/>
      <c r="J116" s="3590"/>
      <c r="L116" s="3590"/>
      <c r="M116" s="3590"/>
      <c r="N116" s="3590"/>
      <c r="O116" s="3590"/>
      <c r="P116" s="3590"/>
      <c r="Q116" s="3590"/>
    </row>
    <row r="117" spans="2:17">
      <c r="L117" s="3590"/>
      <c r="M117" s="3590"/>
      <c r="N117" s="3590"/>
      <c r="O117" s="3590"/>
      <c r="P117" s="3590"/>
      <c r="Q117" s="3590"/>
    </row>
    <row r="118" spans="2:17">
      <c r="B118" s="600"/>
      <c r="C118" s="33"/>
      <c r="L118" s="3590"/>
      <c r="M118" s="3590"/>
      <c r="N118" s="3590"/>
      <c r="O118" s="3590"/>
      <c r="P118" s="3590"/>
      <c r="Q118" s="3590"/>
    </row>
    <row r="119" spans="2:17">
      <c r="B119" s="600"/>
      <c r="C119" s="33"/>
      <c r="L119" s="3590"/>
      <c r="M119" s="3590"/>
      <c r="N119" s="3590"/>
      <c r="O119" s="3590"/>
      <c r="P119" s="3590"/>
      <c r="Q119" s="3590"/>
    </row>
    <row r="120" spans="2:17">
      <c r="B120" s="600"/>
      <c r="C120" s="33"/>
      <c r="L120" s="3590"/>
      <c r="M120" s="3590"/>
      <c r="N120" s="3590"/>
      <c r="O120" s="3590"/>
      <c r="P120" s="3590"/>
      <c r="Q120" s="3590"/>
    </row>
    <row r="121" spans="2:17">
      <c r="B121" s="600"/>
      <c r="C121" s="33"/>
      <c r="L121" s="3590"/>
      <c r="M121" s="3590"/>
      <c r="N121" s="3590"/>
      <c r="O121" s="3590"/>
      <c r="P121" s="3590"/>
      <c r="Q121" s="3590"/>
    </row>
    <row r="122" spans="2:17">
      <c r="B122" s="600"/>
      <c r="C122" s="33"/>
      <c r="L122" s="3590"/>
      <c r="M122" s="3590"/>
      <c r="N122" s="3590"/>
      <c r="O122" s="3590"/>
      <c r="P122" s="3590"/>
      <c r="Q122" s="3590"/>
    </row>
    <row r="123" spans="2:17">
      <c r="B123" s="600"/>
      <c r="C123" s="33"/>
      <c r="L123" s="3590"/>
      <c r="M123" s="3590"/>
      <c r="N123" s="3590"/>
      <c r="O123" s="3590"/>
      <c r="P123" s="3590"/>
      <c r="Q123" s="3590"/>
    </row>
    <row r="124" spans="2:17">
      <c r="B124" s="600"/>
      <c r="C124" s="33"/>
      <c r="L124" s="3590"/>
      <c r="M124" s="3590"/>
      <c r="N124" s="3590"/>
      <c r="O124" s="3590"/>
      <c r="P124" s="3590"/>
      <c r="Q124" s="3590"/>
    </row>
    <row r="125" spans="2:17">
      <c r="B125" s="600"/>
      <c r="C125" s="33"/>
      <c r="L125" s="3590"/>
      <c r="M125" s="3590"/>
      <c r="N125" s="3590"/>
      <c r="O125" s="3590"/>
      <c r="P125" s="3590"/>
      <c r="Q125" s="3590"/>
    </row>
    <row r="126" spans="2:17">
      <c r="B126" s="600"/>
      <c r="C126" s="33"/>
      <c r="L126" s="3590"/>
      <c r="M126" s="3590"/>
      <c r="N126" s="3590"/>
      <c r="O126" s="3590"/>
      <c r="P126" s="3590"/>
      <c r="Q126" s="3590"/>
    </row>
    <row r="127" spans="2:17">
      <c r="B127" s="600"/>
      <c r="C127" s="33"/>
      <c r="L127" s="3590"/>
      <c r="M127" s="3590"/>
      <c r="N127" s="3590"/>
      <c r="O127" s="3590"/>
      <c r="P127" s="3590"/>
      <c r="Q127" s="3590"/>
    </row>
    <row r="128" spans="2:17">
      <c r="B128" s="600"/>
      <c r="C128" s="33"/>
      <c r="L128" s="3590"/>
      <c r="M128" s="3590"/>
      <c r="N128" s="3590"/>
      <c r="O128" s="3590"/>
      <c r="P128" s="3590"/>
      <c r="Q128" s="3590"/>
    </row>
    <row r="129" spans="2:17">
      <c r="B129" s="600"/>
      <c r="C129" s="33"/>
      <c r="L129" s="3590"/>
      <c r="M129" s="3590"/>
      <c r="N129" s="3590"/>
      <c r="O129" s="3590"/>
      <c r="P129" s="3590"/>
      <c r="Q129" s="3590"/>
    </row>
    <row r="130" spans="2:17">
      <c r="B130" s="600"/>
      <c r="C130" s="33"/>
      <c r="L130" s="3590"/>
      <c r="M130" s="3590"/>
      <c r="N130" s="3590"/>
      <c r="O130" s="3590"/>
      <c r="P130" s="3590"/>
      <c r="Q130" s="3590"/>
    </row>
    <row r="131" spans="2:17">
      <c r="B131" s="600"/>
      <c r="C131" s="33"/>
      <c r="L131" s="3590"/>
      <c r="M131" s="3590"/>
      <c r="N131" s="3590"/>
      <c r="O131" s="3590"/>
      <c r="P131" s="3590"/>
      <c r="Q131" s="3590"/>
    </row>
    <row r="132" spans="2:17">
      <c r="B132" s="600"/>
      <c r="C132" s="33"/>
      <c r="L132" s="3590"/>
      <c r="M132" s="3590"/>
      <c r="N132" s="3590"/>
      <c r="O132" s="3590"/>
      <c r="P132" s="3590"/>
      <c r="Q132" s="3590"/>
    </row>
    <row r="133" spans="2:17">
      <c r="B133" s="600"/>
      <c r="C133" s="33"/>
      <c r="L133" s="3590"/>
      <c r="M133" s="3590"/>
      <c r="N133" s="3590"/>
      <c r="O133" s="3590"/>
      <c r="P133" s="3590"/>
      <c r="Q133" s="3590"/>
    </row>
    <row r="134" spans="2:17">
      <c r="B134" s="600"/>
      <c r="C134" s="33"/>
      <c r="L134" s="3590"/>
      <c r="M134" s="3590"/>
      <c r="N134" s="3590"/>
      <c r="O134" s="3590"/>
      <c r="P134" s="3590"/>
      <c r="Q134" s="3590"/>
    </row>
    <row r="135" spans="2:17">
      <c r="B135" s="600"/>
      <c r="C135" s="33"/>
      <c r="L135" s="3590"/>
      <c r="M135" s="3590"/>
      <c r="N135" s="3590"/>
      <c r="O135" s="3590"/>
      <c r="P135" s="3590"/>
      <c r="Q135" s="3590"/>
    </row>
    <row r="136" spans="2:17">
      <c r="B136" s="600"/>
      <c r="C136" s="33"/>
      <c r="L136" s="3590"/>
      <c r="M136" s="3590"/>
      <c r="N136" s="3590"/>
      <c r="O136" s="3590"/>
      <c r="P136" s="3590"/>
      <c r="Q136" s="3590"/>
    </row>
    <row r="137" spans="2:17">
      <c r="B137" s="600"/>
      <c r="C137" s="33"/>
      <c r="L137" s="3590"/>
      <c r="M137" s="3590"/>
      <c r="N137" s="3590"/>
      <c r="O137" s="3590"/>
      <c r="P137" s="3590"/>
      <c r="Q137" s="3590"/>
    </row>
    <row r="138" spans="2:17">
      <c r="B138" s="600"/>
      <c r="C138" s="33"/>
      <c r="L138" s="3590"/>
      <c r="M138" s="3590"/>
      <c r="N138" s="3590"/>
      <c r="O138" s="3590"/>
      <c r="P138" s="3590"/>
      <c r="Q138" s="3590"/>
    </row>
    <row r="139" spans="2:17">
      <c r="B139" s="600"/>
      <c r="C139" s="33"/>
      <c r="L139" s="3590"/>
      <c r="M139" s="3590"/>
      <c r="N139" s="3590"/>
      <c r="O139" s="3590"/>
      <c r="P139" s="3590"/>
      <c r="Q139" s="3590"/>
    </row>
    <row r="140" spans="2:17">
      <c r="B140" s="600"/>
      <c r="C140" s="33"/>
      <c r="L140" s="3590"/>
      <c r="M140" s="3590"/>
      <c r="N140" s="3590"/>
      <c r="O140" s="3590"/>
      <c r="P140" s="3590"/>
      <c r="Q140" s="3590"/>
    </row>
    <row r="141" spans="2:17">
      <c r="B141" s="600"/>
      <c r="C141" s="33"/>
      <c r="L141" s="33"/>
    </row>
    <row r="142" spans="2:17">
      <c r="B142" s="600"/>
      <c r="C142" s="33"/>
      <c r="L142" s="33"/>
    </row>
    <row r="143" spans="2:17">
      <c r="B143" s="600"/>
      <c r="C143" s="33"/>
      <c r="L143" s="33"/>
    </row>
    <row r="144" spans="2:17">
      <c r="B144" s="600"/>
      <c r="C144" s="33"/>
      <c r="L144" s="33"/>
    </row>
    <row r="145" spans="2:12">
      <c r="B145" s="600"/>
      <c r="C145" s="33"/>
      <c r="L145" s="33"/>
    </row>
    <row r="146" spans="2:12">
      <c r="B146" s="600"/>
      <c r="C146" s="33"/>
      <c r="L146" s="33"/>
    </row>
    <row r="147" spans="2:12">
      <c r="B147" s="600"/>
      <c r="C147" s="33"/>
    </row>
    <row r="148" spans="2:12">
      <c r="B148" s="600"/>
      <c r="C148" s="33"/>
      <c r="H148" s="1897"/>
      <c r="J148" s="2357"/>
    </row>
    <row r="149" spans="2:12">
      <c r="B149" s="600"/>
      <c r="C149" s="33"/>
      <c r="H149" s="1897"/>
      <c r="J149" s="2357"/>
    </row>
    <row r="150" spans="2:12">
      <c r="B150" s="600"/>
      <c r="C150" s="33"/>
      <c r="H150" s="1897"/>
      <c r="J150" s="2357"/>
    </row>
    <row r="151" spans="2:12">
      <c r="B151" s="600"/>
      <c r="C151" s="33"/>
      <c r="H151" s="1897"/>
      <c r="J151" s="2357"/>
    </row>
    <row r="152" spans="2:12">
      <c r="B152" s="600"/>
      <c r="C152" s="33"/>
      <c r="H152" s="1897"/>
      <c r="J152" s="2357"/>
    </row>
    <row r="153" spans="2:12">
      <c r="B153" s="600"/>
      <c r="C153" s="33"/>
      <c r="D153" s="33"/>
      <c r="F153" s="33"/>
      <c r="H153" s="33"/>
      <c r="I153" s="33"/>
      <c r="J153" s="33"/>
      <c r="K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78:F78"/>
    <mergeCell ref="C79:F79"/>
    <mergeCell ref="G1:I1"/>
    <mergeCell ref="H6:I6"/>
    <mergeCell ref="K6:L6"/>
    <mergeCell ref="K1:L1"/>
    <mergeCell ref="C64:E64"/>
    <mergeCell ref="C46:D46"/>
    <mergeCell ref="C40:E40"/>
    <mergeCell ref="C41:E41"/>
    <mergeCell ref="C49:D49"/>
    <mergeCell ref="C53:D53"/>
    <mergeCell ref="C47:D47"/>
    <mergeCell ref="C48:D48"/>
    <mergeCell ref="C52:D52"/>
    <mergeCell ref="C73:E73"/>
    <mergeCell ref="N1:O1"/>
    <mergeCell ref="C36:E36"/>
    <mergeCell ref="C37:E37"/>
    <mergeCell ref="C38:E38"/>
    <mergeCell ref="E10:F10"/>
    <mergeCell ref="K2:P2"/>
    <mergeCell ref="C16:F16"/>
    <mergeCell ref="C17:F17"/>
    <mergeCell ref="C19:F19"/>
    <mergeCell ref="F23:G23"/>
    <mergeCell ref="E22:G22"/>
    <mergeCell ref="D25:E25"/>
    <mergeCell ref="D26:E26"/>
    <mergeCell ref="F34:G34"/>
    <mergeCell ref="C21:F21"/>
    <mergeCell ref="C20:F20"/>
    <mergeCell ref="W3:Y3"/>
    <mergeCell ref="E4:I4"/>
    <mergeCell ref="W4:Y4"/>
    <mergeCell ref="C15:F15"/>
    <mergeCell ref="N6:O6"/>
    <mergeCell ref="C14:F14"/>
    <mergeCell ref="C74:E74"/>
    <mergeCell ref="B75:C75"/>
    <mergeCell ref="C55:D55"/>
    <mergeCell ref="C63:E63"/>
    <mergeCell ref="C68:E68"/>
    <mergeCell ref="C62:E62"/>
    <mergeCell ref="C42:E42"/>
    <mergeCell ref="C57:D57"/>
    <mergeCell ref="C39:E39"/>
    <mergeCell ref="C54:D54"/>
    <mergeCell ref="C56:D56"/>
    <mergeCell ref="C50:D50"/>
    <mergeCell ref="C51:D51"/>
  </mergeCells>
  <dataValidations count="4">
    <dataValidation type="whole" allowBlank="1" showInputMessage="1" showErrorMessage="1" errorTitle="Anteil Erntegut" error="Prozentwert darf nur zwischen 0 und 100 liegen." sqref="O68 L68 I68">
      <formula1>0</formula1>
      <formula2>100</formula2>
    </dataValidation>
    <dataValidation type="decimal" allowBlank="1" showInputMessage="1" showErrorMessage="1" errorTitle="Wassergehalt Getreide" error="Zulässig sind nur Werte zwischen 14,1 und 22,0 % Wassergehalt." sqref="H68 K68 N68">
      <formula1>14.1</formula1>
      <formula2>22</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69" firstPageNumber="70" orientation="portrait" r:id="rId1"/>
  <headerFooter alignWithMargins="0">
    <oddFooter>&amp;L&amp;11LEL Schwäbisch Gmünd&amp;C
&amp;R&amp;11&amp;F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7">
    <tabColor rgb="FF7030A0"/>
    <pageSetUpPr fitToPage="1"/>
  </sheetPr>
  <dimension ref="A1:AO206"/>
  <sheetViews>
    <sheetView showZeros="0" zoomScaleNormal="10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19.75" style="32" hidden="1" customWidth="1"/>
    <col min="18" max="28" width="0" style="31" hidden="1" customWidth="1"/>
    <col min="29" max="16384" width="10.5" style="31"/>
  </cols>
  <sheetData>
    <row r="1" spans="1:41" s="274" customFormat="1" ht="30.2" customHeight="1">
      <c r="A1" s="2475"/>
      <c r="B1" s="319"/>
      <c r="C1" s="1876"/>
      <c r="D1" s="136"/>
      <c r="E1" s="316"/>
      <c r="F1" s="316"/>
      <c r="G1" s="4933" t="s">
        <v>1636</v>
      </c>
      <c r="H1" s="4933"/>
      <c r="I1" s="4933"/>
      <c r="J1" s="1874">
        <f>(J7+J13+J18+J22+I11+I12)-(J23+J27+J34+J43+J60+J65+J67+J69+J71+J75)</f>
        <v>415.29804166666668</v>
      </c>
      <c r="K1" s="4855">
        <f>M1-J1</f>
        <v>38.683604166666669</v>
      </c>
      <c r="L1" s="4855"/>
      <c r="M1" s="1874">
        <f>(M7+M13+M18+M22+L11+L12)-(M23+M27+M34+M43+M60+M65+M67+M69+M71+M75)</f>
        <v>453.98164583333335</v>
      </c>
      <c r="N1" s="4855">
        <f>P1-M1</f>
        <v>38.683604166666669</v>
      </c>
      <c r="O1" s="4855"/>
      <c r="P1" s="1874">
        <f>(P7+P13+P18+P22+O11+O12)-(P23+P27+P34+P43+P60+P65+P67+P69+P71+P75)</f>
        <v>492.66525000000001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3912" t="s">
        <v>1844</v>
      </c>
      <c r="L2" s="3912"/>
      <c r="M2" s="3912"/>
      <c r="N2" s="3912"/>
      <c r="O2" s="3912"/>
      <c r="P2" s="3912"/>
      <c r="Q2" s="2475"/>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row>
    <row r="4" spans="1:41" s="274" customFormat="1" ht="20.25" customHeight="1">
      <c r="A4" s="2475"/>
      <c r="B4" s="370" t="s">
        <v>1098</v>
      </c>
      <c r="C4" s="31"/>
      <c r="D4" s="31"/>
      <c r="E4" s="4898" t="s">
        <v>1648</v>
      </c>
      <c r="F4" s="4898"/>
      <c r="G4" s="4898"/>
      <c r="H4" s="4898"/>
      <c r="I4" s="4898"/>
      <c r="J4" s="4863" t="s">
        <v>1194</v>
      </c>
      <c r="K4" s="4937"/>
      <c r="L4" s="4937"/>
      <c r="M4" s="2490"/>
      <c r="N4" s="4869"/>
      <c r="O4" s="4869"/>
      <c r="P4" s="1864">
        <f>SDÖ1!O3</f>
        <v>0</v>
      </c>
      <c r="Q4" s="2475"/>
      <c r="T4" s="1886" t="b">
        <v>0</v>
      </c>
      <c r="U4" s="2484"/>
    </row>
    <row r="5" spans="1:41" ht="6" customHeight="1"/>
    <row r="6" spans="1:41" s="1853" customFormat="1" ht="24" customHeight="1">
      <c r="A6" s="48"/>
      <c r="B6" s="1858" t="s">
        <v>1151</v>
      </c>
      <c r="C6" s="1857"/>
      <c r="D6" s="1857"/>
      <c r="E6" s="1857"/>
      <c r="F6" s="1857"/>
      <c r="G6" s="1856" t="s">
        <v>1642</v>
      </c>
      <c r="H6" s="4861"/>
      <c r="I6" s="4862"/>
      <c r="J6" s="1855">
        <v>50</v>
      </c>
      <c r="K6" s="4874"/>
      <c r="L6" s="4875"/>
      <c r="M6" s="1855">
        <v>75</v>
      </c>
      <c r="N6" s="4861"/>
      <c r="O6" s="4862"/>
      <c r="P6" s="1854">
        <v>100</v>
      </c>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50</v>
      </c>
      <c r="I9" s="1841">
        <f>H9*G9</f>
        <v>0</v>
      </c>
      <c r="J9" s="43"/>
      <c r="K9" s="1844">
        <f>M6-K10</f>
        <v>75</v>
      </c>
      <c r="L9" s="1843">
        <f>K9*G9</f>
        <v>0</v>
      </c>
      <c r="M9" s="1822"/>
      <c r="N9" s="1842">
        <f>P6-N10</f>
        <v>100</v>
      </c>
      <c r="O9" s="1841">
        <f>N9*G9</f>
        <v>0</v>
      </c>
      <c r="P9" s="43"/>
      <c r="Q9" s="32"/>
      <c r="R9" s="913"/>
      <c r="S9" s="263" t="s">
        <v>1208</v>
      </c>
      <c r="T9" s="1840"/>
    </row>
    <row r="10" spans="1:41" s="1810" customFormat="1" ht="15" customHeight="1">
      <c r="A10" s="370"/>
      <c r="B10" s="239"/>
      <c r="C10" s="279" t="s">
        <v>1631</v>
      </c>
      <c r="D10" s="1819"/>
      <c r="E10" s="4872"/>
      <c r="F10" s="4873"/>
      <c r="G10" s="1839"/>
      <c r="H10" s="1834">
        <v>0</v>
      </c>
      <c r="I10" s="1833">
        <f>H10*G10</f>
        <v>0</v>
      </c>
      <c r="J10" s="1838"/>
      <c r="K10" s="1837">
        <v>0</v>
      </c>
      <c r="L10" s="1836">
        <f>K10*G10</f>
        <v>0</v>
      </c>
      <c r="M10" s="1835"/>
      <c r="N10" s="1834">
        <v>0</v>
      </c>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3763">
        <f>SUM(I14:I17)</f>
        <v>240</v>
      </c>
      <c r="K13" s="1794"/>
      <c r="L13" s="1793"/>
      <c r="M13" s="1557">
        <f>SUM(L14:L16)</f>
        <v>240</v>
      </c>
      <c r="N13" s="1792"/>
      <c r="O13" s="1791"/>
      <c r="P13" s="1582">
        <f>SUM(O14:O16)</f>
        <v>240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60" t="s">
        <v>2042</v>
      </c>
      <c r="D14" s="4860"/>
      <c r="E14" s="4860"/>
      <c r="F14" s="4860"/>
      <c r="G14" s="1805"/>
      <c r="H14" s="1935" t="s">
        <v>1241</v>
      </c>
      <c r="I14" s="1785">
        <f>IF(H14="ja",Q14,0)</f>
        <v>240</v>
      </c>
      <c r="J14" s="45"/>
      <c r="K14" s="1804" t="s">
        <v>1241</v>
      </c>
      <c r="L14" s="1639">
        <f>IF(K14="ja",Q14,0)</f>
        <v>240</v>
      </c>
      <c r="M14" s="1557"/>
      <c r="N14" s="1804" t="s">
        <v>1241</v>
      </c>
      <c r="O14" s="1785">
        <f>IF(N14="ja",Q14,0)</f>
        <v>240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355.4</v>
      </c>
      <c r="K18" s="3069"/>
      <c r="L18" s="3308"/>
      <c r="M18" s="1585">
        <f>SUM(L19:L21)</f>
        <v>355.4</v>
      </c>
      <c r="N18" s="3068"/>
      <c r="O18" s="3307"/>
      <c r="P18" s="1582">
        <f>SUM(O19:O21)</f>
        <v>355.4</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158</v>
      </c>
      <c r="J19" s="45">
        <f>SUM(I23:I24)</f>
        <v>0</v>
      </c>
      <c r="K19" s="1787"/>
      <c r="L19" s="1639">
        <f>IF(OR($C19=0,$M$6=0),0,VLOOKUP($C19,'SD2'!$C$59:$N$74,12,FALSE))</f>
        <v>158</v>
      </c>
      <c r="M19" s="1557">
        <f>SUM(L23:L24)</f>
        <v>0</v>
      </c>
      <c r="N19" s="1786"/>
      <c r="O19" s="1785">
        <f>IF(OR($C19=0,$P$6=0),0,VLOOKUP($C19,'SD2'!C59:N75,12,FALSE))</f>
        <v>158</v>
      </c>
      <c r="P19" s="1554">
        <f>SUM(O23:O24)</f>
        <v>0</v>
      </c>
      <c r="R19" s="1784">
        <f>J13+J18</f>
        <v>595.4</v>
      </c>
      <c r="S19" s="1784">
        <f>M13+M18</f>
        <v>595.4</v>
      </c>
      <c r="T19" s="1784">
        <f>P13+P18</f>
        <v>595.4</v>
      </c>
    </row>
    <row r="20" spans="1:26" s="3981" customFormat="1" ht="15.6" customHeight="1">
      <c r="A20" s="3857"/>
      <c r="B20" s="1789"/>
      <c r="C20" s="4860" t="s">
        <v>2119</v>
      </c>
      <c r="D20" s="4860"/>
      <c r="E20" s="4860"/>
      <c r="F20" s="4860"/>
      <c r="G20" s="4018"/>
      <c r="H20" s="1786"/>
      <c r="I20" s="3909">
        <f>IF(OR($C20=0,$J$6=0),0,VLOOKUP($C20,'SD2'!C60:N76,12,FALSE))</f>
        <v>63.4</v>
      </c>
      <c r="J20" s="3852"/>
      <c r="K20" s="1787"/>
      <c r="L20" s="3899">
        <f>IF(OR($C20=0,$M$6=0),0,VLOOKUP($C20,'SD2'!$C$59:$N$74,12,FALSE))</f>
        <v>63.4</v>
      </c>
      <c r="M20" s="3864"/>
      <c r="N20" s="1786"/>
      <c r="O20" s="3909">
        <f>IF(OR($C20=0,$P$6=0),0,VLOOKUP($C20,'SD2'!C60:N76,12,FALSE))</f>
        <v>63.4</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134</v>
      </c>
      <c r="J21" s="3852"/>
      <c r="K21" s="1787"/>
      <c r="L21" s="3899">
        <f>IF(OR($C21=0,$M$6=0),0,VLOOKUP($C21,'SD2'!$C$59:$N$74,12,FALSE))</f>
        <v>134</v>
      </c>
      <c r="M21" s="3864"/>
      <c r="N21" s="1786"/>
      <c r="O21" s="3909">
        <f>IF(OR($C21=0,$P$6=0),0,VLOOKUP($C21,'SD2'!C61:N77,12,FALSE))</f>
        <v>134</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0</v>
      </c>
      <c r="K23" s="1587"/>
      <c r="L23" s="1586"/>
      <c r="M23" s="1768">
        <f>SUM(L25:L26)</f>
        <v>0</v>
      </c>
      <c r="N23" s="1584"/>
      <c r="O23" s="1583"/>
      <c r="P23" s="1567">
        <f>SUM(O25:O26)</f>
        <v>0</v>
      </c>
      <c r="Q23" s="32"/>
      <c r="R23" s="42" t="s">
        <v>1641</v>
      </c>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c r="G25" s="1762">
        <f>F25*(100+$D$24)/100</f>
        <v>0</v>
      </c>
      <c r="H25" s="1761"/>
      <c r="I25" s="1722">
        <f>H25*$G25</f>
        <v>0</v>
      </c>
      <c r="J25" s="45"/>
      <c r="K25" s="1761">
        <f>H25</f>
        <v>0</v>
      </c>
      <c r="L25" s="1564">
        <f>K25*$G25</f>
        <v>0</v>
      </c>
      <c r="M25" s="1557"/>
      <c r="N25" s="1761">
        <f>H25</f>
        <v>0</v>
      </c>
      <c r="O25" s="1722">
        <f>N25*$G25</f>
        <v>0</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10.925000000000001</v>
      </c>
      <c r="K27" s="1716"/>
      <c r="L27" s="1715"/>
      <c r="M27" s="1585">
        <f>SUM(L30:L33)</f>
        <v>-27.3125</v>
      </c>
      <c r="N27" s="1714"/>
      <c r="O27" s="1713"/>
      <c r="P27" s="1582">
        <f>SUM(O30:O33)</f>
        <v>-65.55</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2.5</v>
      </c>
      <c r="I30" s="1722">
        <f>H30*$D30</f>
        <v>10.925000000000001</v>
      </c>
      <c r="J30" s="45"/>
      <c r="K30" s="1740">
        <f>IF(M$6=0,0,(M$6*$E30+$G30+AA14))</f>
        <v>-6.25</v>
      </c>
      <c r="L30" s="1564">
        <f>K30*$D30</f>
        <v>-27.3125</v>
      </c>
      <c r="M30" s="1557"/>
      <c r="N30" s="1739">
        <f>IF(P$6=0,0,(P$6*$E30+$G30+AD14))</f>
        <v>-15</v>
      </c>
      <c r="O30" s="1722">
        <f>N30*$D30</f>
        <v>-65.55</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0</v>
      </c>
      <c r="K43" s="1716"/>
      <c r="L43" s="1715"/>
      <c r="M43" s="1585">
        <f>SUM(M46:M57)</f>
        <v>0</v>
      </c>
      <c r="N43" s="1714"/>
      <c r="O43" s="1713"/>
      <c r="P43" s="1582">
        <f>SUM(P46:P57)</f>
        <v>0</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c r="D46" s="4883"/>
      <c r="E46" s="1693">
        <f>IF($C46=0,0,VLOOKUP($C46,SDÖ3!$C$24:$O$99,4,FALSE))</f>
        <v>0</v>
      </c>
      <c r="F46" s="1692">
        <f>IF($C46=0,0,VLOOKUP($C46,SDÖ3!$C$24:$O$99,12,FALSE))</f>
        <v>0</v>
      </c>
      <c r="G46" s="1691">
        <f>IF($C46=0,0,VLOOKUP($C46,SDÖ3!$C$24:$O$99,13,FALSE))</f>
        <v>0</v>
      </c>
      <c r="H46" s="1688"/>
      <c r="I46" s="1687">
        <f t="shared" ref="I46:I56" si="4">$F46*H46</f>
        <v>0</v>
      </c>
      <c r="J46" s="1686">
        <f t="shared" ref="J46:J56" si="5">H46*$G46</f>
        <v>0</v>
      </c>
      <c r="K46" s="1688"/>
      <c r="L46" s="1690">
        <f t="shared" ref="L46:L56" si="6">$F46*K46</f>
        <v>0</v>
      </c>
      <c r="M46" s="1689">
        <f t="shared" ref="M46:M56" si="7">K46*$G46</f>
        <v>0</v>
      </c>
      <c r="N46" s="1688"/>
      <c r="O46" s="1687">
        <f t="shared" ref="O46:O56" si="8">$F46*N46</f>
        <v>0</v>
      </c>
      <c r="P46" s="1686">
        <f t="shared" ref="P46:P56" si="9">N46*$G46</f>
        <v>0</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82"/>
      <c r="D48" s="4883"/>
      <c r="E48" s="1693">
        <f>IF($C48=0,0,VLOOKUP($C48,SDÖ3!$C$24:$O$99,4,FALSE))</f>
        <v>0</v>
      </c>
      <c r="F48" s="1692">
        <f>IF($C48=0,0,VLOOKUP($C48,SDÖ3!$C$24:$O$99,12,FALSE))</f>
        <v>0</v>
      </c>
      <c r="G48" s="1691">
        <f>IF($C48=0,0,VLOOKUP($C48,SDÖ3!$C$24:$O$99,13,FALSE))</f>
        <v>0</v>
      </c>
      <c r="H48" s="1688"/>
      <c r="I48" s="1687">
        <f t="shared" si="4"/>
        <v>0</v>
      </c>
      <c r="J48" s="1686">
        <f t="shared" si="5"/>
        <v>0</v>
      </c>
      <c r="K48" s="1688"/>
      <c r="L48" s="1690">
        <f t="shared" si="6"/>
        <v>0</v>
      </c>
      <c r="M48" s="1689">
        <f t="shared" si="7"/>
        <v>0</v>
      </c>
      <c r="N48" s="1688"/>
      <c r="O48" s="1687">
        <f t="shared" si="8"/>
        <v>0</v>
      </c>
      <c r="P48" s="1686">
        <f t="shared" si="9"/>
        <v>0</v>
      </c>
      <c r="Q48" s="32"/>
    </row>
    <row r="49" spans="1:17" s="42" customFormat="1" ht="15" customHeight="1">
      <c r="A49" s="1284"/>
      <c r="B49" s="1694"/>
      <c r="C49" s="4882"/>
      <c r="D49" s="4883"/>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82"/>
      <c r="D50" s="4883"/>
      <c r="E50" s="1693">
        <f>IF($C50=0,0,VLOOKUP($C50,SDÖ3!$C$24:$O$99,4,FALSE))</f>
        <v>0</v>
      </c>
      <c r="F50" s="1692">
        <f>IF($C50=0,0,VLOOKUP($C50,SDÖ3!$C$24:$O$99,12,FALSE))</f>
        <v>0</v>
      </c>
      <c r="G50" s="1691">
        <f>IF($C50=0,0,VLOOKUP($C50,SDÖ3!$C$24:$O$99,13,FALSE))</f>
        <v>0</v>
      </c>
      <c r="H50" s="1688"/>
      <c r="I50" s="1687">
        <f t="shared" si="4"/>
        <v>0</v>
      </c>
      <c r="J50" s="1686">
        <f t="shared" si="5"/>
        <v>0</v>
      </c>
      <c r="K50" s="1688"/>
      <c r="L50" s="1690">
        <f t="shared" si="6"/>
        <v>0</v>
      </c>
      <c r="M50" s="1689">
        <f t="shared" si="7"/>
        <v>0</v>
      </c>
      <c r="N50" s="1688"/>
      <c r="O50" s="1687">
        <f t="shared" si="8"/>
        <v>0</v>
      </c>
      <c r="P50" s="1686">
        <f t="shared" si="9"/>
        <v>0</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35"/>
      <c r="D55" s="4936"/>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14.25">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96"/>
      <c r="D57" s="4897"/>
      <c r="E57" s="3565">
        <f>IF($C57=0,0,VLOOKUP($C57,SDÖ3!$C$24:$O$99,4,FALSE))</f>
        <v>0</v>
      </c>
      <c r="F57" s="3566">
        <f>IF($C57=0,0,VLOOKUP($C57,SDÖ3!$C$24:$O$99,12,FALSE))</f>
        <v>0</v>
      </c>
      <c r="G57" s="3567">
        <f>IF($C57=0,0,VLOOKUP($C57,SDÖ3!$C$24:$O$99,13,FALSE))</f>
        <v>0</v>
      </c>
      <c r="H57" s="1672"/>
      <c r="I57" s="1671">
        <f>SUM(I44:I56)</f>
        <v>0</v>
      </c>
      <c r="J57" s="1670"/>
      <c r="K57" s="1672"/>
      <c r="L57" s="1673">
        <f>SUM(L44:L56)</f>
        <v>0</v>
      </c>
      <c r="M57" s="1620"/>
      <c r="N57" s="1672"/>
      <c r="O57" s="1671">
        <f>SUM(O44:O56)</f>
        <v>0</v>
      </c>
      <c r="P57" s="1670"/>
      <c r="Q57" s="32"/>
    </row>
    <row r="58" spans="1:17" s="686" customFormat="1" ht="18.75" customHeight="1">
      <c r="A58" s="1248"/>
      <c r="B58" s="1254" t="s">
        <v>1167</v>
      </c>
      <c r="C58" s="1351"/>
      <c r="D58" s="1351"/>
      <c r="E58" s="1351"/>
      <c r="F58" s="38"/>
      <c r="G58" s="1588"/>
      <c r="H58" s="1665"/>
      <c r="I58" s="1664">
        <f>SUM($I$46:$I$57)</f>
        <v>0</v>
      </c>
      <c r="J58" s="1669"/>
      <c r="K58" s="1668"/>
      <c r="L58" s="1667">
        <f>SUM($L$46:$L$57)</f>
        <v>0</v>
      </c>
      <c r="M58" s="1666"/>
      <c r="N58" s="1665"/>
      <c r="O58" s="1664">
        <f>SUM($O$46:$O$57)</f>
        <v>0</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0</v>
      </c>
      <c r="J59" s="1654"/>
      <c r="K59" s="1659"/>
      <c r="L59" s="1658">
        <f>IF(L58+SUM($L$46:$L$57)*$E$59%&gt;L58+10,L58+10,L58+SUM($L$46:$L$57)*$E$59%)</f>
        <v>0</v>
      </c>
      <c r="M59" s="1657"/>
      <c r="N59" s="1656"/>
      <c r="O59" s="1655">
        <f>IF(O58+SUM($O$46:$O$57)*$E$59%&gt;O58+10,O58+10,O58+SUM($O$46:$O$57)*$E$59%)</f>
        <v>0</v>
      </c>
      <c r="P59" s="1654"/>
      <c r="Q59" s="32"/>
    </row>
    <row r="60" spans="1:17" s="65" customFormat="1" ht="18.75" customHeight="1">
      <c r="A60" s="1351"/>
      <c r="B60" s="1254" t="s">
        <v>1164</v>
      </c>
      <c r="C60" s="1351"/>
      <c r="D60" s="1351"/>
      <c r="E60" s="45"/>
      <c r="F60" s="45"/>
      <c r="G60" s="1653"/>
      <c r="H60" s="1645"/>
      <c r="I60" s="1644"/>
      <c r="J60" s="1652">
        <f>IF(J6=0,0,SUM(I62:I64))</f>
        <v>167.1</v>
      </c>
      <c r="K60" s="1648"/>
      <c r="L60" s="1647"/>
      <c r="M60" s="1585">
        <f>IF(M6=0,0,SUM(L62:L64))</f>
        <v>167.1</v>
      </c>
      <c r="N60" s="1645"/>
      <c r="O60" s="1644"/>
      <c r="P60" s="1652">
        <f>IF(P6=0,0,SUM(O62:O64))</f>
        <v>167.1</v>
      </c>
      <c r="Q60" s="32"/>
    </row>
    <row r="61" spans="1:17" s="65" customFormat="1" ht="15" customHeight="1">
      <c r="A61" s="1351"/>
      <c r="B61" s="1581"/>
      <c r="C61" s="1580" t="s">
        <v>1156</v>
      </c>
      <c r="D61" s="1651">
        <f>SDÖ1!$O$11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t="s">
        <v>324</v>
      </c>
      <c r="D62" s="4860"/>
      <c r="E62" s="4860"/>
      <c r="F62" s="1642">
        <f>IF($C62=0,0,VLOOKUP($C62,'SDK3'!$C$92:$D$106,2,FALSE))</f>
        <v>167.1</v>
      </c>
      <c r="G62" s="1641">
        <f>(100+$D$61)/100*F62</f>
        <v>167.1</v>
      </c>
      <c r="H62" s="227"/>
      <c r="I62" s="1637">
        <f>$G$62</f>
        <v>167.1</v>
      </c>
      <c r="J62" s="227"/>
      <c r="K62" s="1640"/>
      <c r="L62" s="1639">
        <f>$G$62</f>
        <v>167.1</v>
      </c>
      <c r="M62" s="1557"/>
      <c r="N62" s="1638"/>
      <c r="O62" s="1637">
        <f>$G$62</f>
        <v>167.1</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88" t="s">
        <v>1159</v>
      </c>
      <c r="D68" s="4888"/>
      <c r="E68" s="4888"/>
      <c r="F68" s="1604"/>
      <c r="G68" s="1595" t="s">
        <v>171</v>
      </c>
      <c r="H68" s="1602"/>
      <c r="I68" s="1601"/>
      <c r="J68" s="1600"/>
      <c r="K68" s="1602"/>
      <c r="L68" s="1601"/>
      <c r="M68" s="1603"/>
      <c r="N68" s="1602"/>
      <c r="O68" s="1601"/>
      <c r="P68" s="1600"/>
      <c r="Q68" s="32"/>
      <c r="R68" s="1599">
        <f>IF($H$64=0,0,VLOOKUP($H$64,#REF!,#REF!,FALSE))*(1+SDÖ1!$O$11/100)</f>
        <v>0</v>
      </c>
      <c r="S68" s="1599">
        <f>IF($K$64=0,0,VLOOKUP($K$64,#REF!,#REF!,FALSE))*(1+SDÖ1!$O$11/100)</f>
        <v>0</v>
      </c>
      <c r="T68" s="1599">
        <f>IF($N$64=0,0,VLOOKUP($N$64,#REF!,#REF!,FALSE))*(1+SDÖ1!$O$11/100)</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2.0769583333333337</v>
      </c>
      <c r="K75" s="3031"/>
      <c r="L75" s="1034"/>
      <c r="M75" s="1546">
        <f>(M23+M27+M34+M43+M60+M65+M67+M69+M71)*('SDK1'!$O$59%*$G$75/12)</f>
        <v>1.6308541666666667</v>
      </c>
      <c r="N75" s="1548"/>
      <c r="O75" s="1547"/>
      <c r="P75" s="1546">
        <f>(P23+P27+P34+P43+P60+P65+P67+P69+P71)*('SDK1'!$O$59%*$G$75/12)</f>
        <v>1.18475</v>
      </c>
      <c r="Q75" s="32"/>
    </row>
    <row r="76" spans="1:20">
      <c r="G76" s="3590"/>
      <c r="H76" s="3590"/>
      <c r="I76" s="3590"/>
      <c r="J76" s="3590"/>
      <c r="K76" s="3590"/>
      <c r="L76" s="3590"/>
      <c r="M76" s="3590"/>
      <c r="N76" s="3590"/>
      <c r="O76" s="3590"/>
      <c r="P76" s="3590"/>
    </row>
    <row r="77" spans="1:20">
      <c r="G77" s="3590"/>
      <c r="H77" s="3590"/>
      <c r="I77" s="3590"/>
      <c r="J77" s="3590"/>
      <c r="K77" s="3590"/>
      <c r="L77" s="3590"/>
      <c r="M77" s="3590"/>
      <c r="N77" s="3590"/>
      <c r="O77" s="3590"/>
      <c r="P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2506"/>
      <c r="D91" s="2506"/>
      <c r="E91" s="2506"/>
      <c r="F91" s="2506"/>
      <c r="G91" s="3590"/>
      <c r="H91" s="3590"/>
      <c r="I91" s="3590"/>
      <c r="J91" s="3590"/>
      <c r="K91" s="3590"/>
      <c r="L91" s="3590"/>
      <c r="M91" s="3590"/>
      <c r="N91" s="3590"/>
      <c r="O91" s="3590"/>
      <c r="P91" s="3590"/>
    </row>
    <row r="92" spans="2:16">
      <c r="C92" s="2506"/>
      <c r="D92" s="2506"/>
      <c r="E92" s="2506"/>
      <c r="F92" s="2506"/>
      <c r="G92" s="3590"/>
      <c r="H92" s="3590"/>
      <c r="I92" s="3590"/>
      <c r="J92" s="3590"/>
      <c r="K92" s="3590"/>
      <c r="L92" s="3590"/>
      <c r="M92" s="3590"/>
      <c r="N92" s="3590"/>
      <c r="O92" s="3590"/>
      <c r="P92" s="3590"/>
    </row>
    <row r="93" spans="2:16">
      <c r="C93" s="2506"/>
      <c r="D93" s="2506"/>
      <c r="E93" s="2506"/>
      <c r="F93" s="2506"/>
      <c r="G93" s="3590"/>
      <c r="H93" s="3590"/>
      <c r="I93" s="3590"/>
      <c r="J93" s="3590"/>
      <c r="K93" s="3590"/>
      <c r="L93" s="3590"/>
      <c r="M93" s="3590"/>
      <c r="N93" s="3590"/>
      <c r="O93" s="3590"/>
      <c r="P93" s="3590"/>
    </row>
    <row r="94" spans="2:16">
      <c r="C94" s="2506"/>
      <c r="D94" s="2506"/>
      <c r="E94" s="2506"/>
      <c r="F94" s="2506"/>
      <c r="G94" s="3590"/>
      <c r="H94" s="3590"/>
      <c r="I94" s="3590"/>
      <c r="J94" s="3590"/>
      <c r="K94" s="3590"/>
      <c r="L94" s="3590"/>
      <c r="M94" s="3590"/>
      <c r="N94" s="3590"/>
      <c r="O94" s="3590"/>
      <c r="P94" s="3590"/>
    </row>
    <row r="95" spans="2:16">
      <c r="C95" s="2506"/>
      <c r="D95" s="2506"/>
      <c r="E95" s="2506"/>
      <c r="F95" s="2506"/>
      <c r="G95" s="3590"/>
      <c r="H95" s="3590"/>
      <c r="I95" s="3590"/>
      <c r="J95" s="3590"/>
      <c r="K95" s="3590"/>
      <c r="L95" s="3590"/>
      <c r="M95" s="3590"/>
      <c r="N95" s="3590"/>
      <c r="O95" s="3590"/>
      <c r="P95" s="3590"/>
    </row>
    <row r="96" spans="2:16">
      <c r="C96" s="2506"/>
      <c r="D96" s="2506"/>
      <c r="E96" s="2506"/>
      <c r="F96" s="2506"/>
      <c r="G96" s="3590"/>
      <c r="H96" s="3590"/>
      <c r="I96" s="3590"/>
      <c r="J96" s="3590"/>
      <c r="K96" s="3590"/>
      <c r="L96" s="3590"/>
      <c r="M96" s="3590"/>
      <c r="N96" s="3590"/>
      <c r="O96" s="3590"/>
      <c r="P96" s="3590"/>
    </row>
    <row r="97" spans="2:16">
      <c r="C97" s="2506"/>
      <c r="D97" s="2506"/>
      <c r="E97" s="2506"/>
      <c r="G97" s="3590"/>
      <c r="H97" s="3590"/>
      <c r="I97" s="3590"/>
      <c r="J97" s="3590"/>
      <c r="K97" s="3590"/>
      <c r="L97" s="3590"/>
      <c r="M97" s="3590"/>
      <c r="N97" s="3590"/>
      <c r="O97" s="3590"/>
      <c r="P97" s="3590"/>
    </row>
    <row r="98" spans="2:16">
      <c r="B98" s="3590"/>
      <c r="C98" s="3590"/>
      <c r="D98" s="3590"/>
      <c r="G98" s="3590"/>
      <c r="H98" s="3590"/>
      <c r="I98" s="3590"/>
      <c r="J98" s="3590"/>
      <c r="K98" s="3590"/>
      <c r="L98" s="3590"/>
      <c r="M98" s="3590"/>
      <c r="N98" s="3590"/>
      <c r="O98" s="3590"/>
      <c r="P98" s="3590"/>
    </row>
    <row r="99" spans="2:16">
      <c r="B99" s="3590"/>
      <c r="C99" s="3590"/>
      <c r="D99" s="3590"/>
      <c r="G99" s="3590"/>
      <c r="H99" s="3590"/>
      <c r="I99" s="3590"/>
      <c r="J99" s="3590"/>
      <c r="K99" s="3590"/>
      <c r="L99" s="3590"/>
      <c r="M99" s="3590"/>
      <c r="N99" s="3590"/>
      <c r="O99" s="3590"/>
      <c r="P99" s="3590"/>
    </row>
    <row r="100" spans="2:16">
      <c r="B100" s="3590"/>
      <c r="C100" s="3590"/>
      <c r="D100" s="3590"/>
      <c r="G100" s="3590"/>
      <c r="H100" s="3590"/>
      <c r="I100" s="3590"/>
      <c r="J100" s="3590"/>
      <c r="K100" s="3590"/>
      <c r="L100" s="3590"/>
      <c r="M100" s="3590"/>
      <c r="N100" s="3590"/>
      <c r="O100" s="3590"/>
      <c r="P100" s="3590"/>
    </row>
    <row r="101" spans="2:16">
      <c r="B101" s="3590"/>
      <c r="C101" s="3590"/>
      <c r="D101" s="3590"/>
      <c r="G101" s="3590"/>
      <c r="H101" s="3590"/>
      <c r="I101" s="3590"/>
      <c r="J101" s="3590"/>
      <c r="K101" s="3590"/>
      <c r="L101" s="3590"/>
      <c r="M101" s="3590"/>
      <c r="N101" s="3590"/>
      <c r="O101" s="3590"/>
      <c r="P101" s="3590"/>
    </row>
    <row r="102" spans="2:16">
      <c r="B102" s="3590"/>
      <c r="C102" s="3590"/>
      <c r="D102" s="3590"/>
      <c r="G102" s="3590"/>
      <c r="H102" s="3590"/>
      <c r="I102" s="3590"/>
      <c r="J102" s="3590"/>
      <c r="K102" s="3590"/>
      <c r="L102" s="3590"/>
      <c r="M102" s="3590"/>
      <c r="N102" s="3590"/>
      <c r="O102" s="3590"/>
      <c r="P102" s="3590"/>
    </row>
    <row r="103" spans="2:16">
      <c r="B103" s="3590"/>
      <c r="C103" s="3590"/>
      <c r="D103" s="3590"/>
      <c r="G103" s="3590"/>
      <c r="H103" s="3590"/>
      <c r="I103" s="3590"/>
      <c r="J103" s="3590"/>
      <c r="K103" s="3590"/>
      <c r="L103" s="3590"/>
      <c r="M103" s="3590"/>
      <c r="N103" s="3590"/>
      <c r="O103" s="3590"/>
      <c r="P103" s="3590"/>
    </row>
    <row r="104" spans="2:16">
      <c r="B104" s="3590"/>
      <c r="C104" s="3590"/>
      <c r="D104" s="3590"/>
      <c r="G104" s="3590"/>
      <c r="H104" s="3590"/>
      <c r="I104" s="3590"/>
      <c r="J104" s="3590"/>
      <c r="K104" s="3590"/>
      <c r="L104" s="3590"/>
      <c r="M104" s="3590"/>
      <c r="N104" s="3590"/>
      <c r="O104" s="3590"/>
      <c r="P104" s="3590"/>
    </row>
    <row r="105" spans="2:16">
      <c r="B105" s="3590"/>
      <c r="C105" s="3590"/>
      <c r="D105" s="3590"/>
      <c r="G105" s="3590"/>
      <c r="H105" s="3590"/>
      <c r="I105" s="3590"/>
      <c r="J105" s="3590"/>
      <c r="K105" s="3590"/>
      <c r="L105" s="3590"/>
      <c r="M105" s="3590"/>
      <c r="N105" s="3590"/>
      <c r="O105" s="3590"/>
      <c r="P105" s="3590"/>
    </row>
    <row r="106" spans="2:16">
      <c r="B106" s="3590"/>
      <c r="C106" s="3590"/>
      <c r="D106" s="3590"/>
      <c r="G106" s="3590"/>
      <c r="H106" s="3590"/>
      <c r="I106" s="3590"/>
      <c r="J106" s="3590"/>
      <c r="K106" s="3590"/>
      <c r="L106" s="3590"/>
      <c r="M106" s="3590"/>
      <c r="N106" s="3590"/>
      <c r="O106" s="3590"/>
      <c r="P106" s="3590"/>
    </row>
    <row r="107" spans="2:16">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G139" s="3590"/>
      <c r="H139" s="3590"/>
      <c r="I139" s="3590"/>
      <c r="J139" s="3590"/>
      <c r="K139" s="3590"/>
      <c r="L139" s="3590"/>
      <c r="M139" s="3590"/>
      <c r="N139" s="3590"/>
      <c r="O139" s="3590"/>
      <c r="P139" s="3590"/>
    </row>
    <row r="140" spans="2:16">
      <c r="B140" s="600"/>
      <c r="C140" s="33"/>
      <c r="G140" s="3590"/>
      <c r="H140" s="3590"/>
      <c r="I140" s="3590"/>
      <c r="J140" s="3590"/>
      <c r="K140" s="3590"/>
      <c r="L140" s="3590"/>
      <c r="M140" s="3590"/>
      <c r="N140" s="3590"/>
      <c r="O140" s="3590"/>
      <c r="P140" s="3590"/>
    </row>
    <row r="141" spans="2:16">
      <c r="B141" s="600"/>
      <c r="C141" s="33"/>
      <c r="G141" s="3590"/>
      <c r="H141" s="3590"/>
      <c r="I141" s="3590"/>
      <c r="J141" s="3590"/>
      <c r="K141" s="3590"/>
      <c r="L141" s="3590"/>
      <c r="M141" s="3590"/>
      <c r="N141" s="3590"/>
      <c r="O141" s="3590"/>
      <c r="P141" s="3590"/>
    </row>
    <row r="142" spans="2:16">
      <c r="B142" s="600"/>
      <c r="C142" s="33"/>
      <c r="G142" s="3590"/>
      <c r="H142" s="3590"/>
      <c r="I142" s="3590"/>
      <c r="J142" s="3590"/>
      <c r="K142" s="3590"/>
      <c r="L142" s="3590"/>
      <c r="M142" s="3590"/>
      <c r="N142" s="3590"/>
      <c r="O142" s="3590"/>
      <c r="P142" s="3590"/>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F147" s="33"/>
      <c r="G147" s="33"/>
      <c r="H147" s="33"/>
      <c r="I147" s="33"/>
      <c r="J147" s="33"/>
    </row>
    <row r="148" spans="2:12">
      <c r="B148" s="600"/>
      <c r="C148" s="33"/>
      <c r="F148" s="33"/>
      <c r="G148" s="33"/>
      <c r="H148" s="33"/>
      <c r="I148" s="33"/>
      <c r="J148" s="33"/>
    </row>
    <row r="149" spans="2:12">
      <c r="B149" s="600"/>
      <c r="C149" s="33"/>
      <c r="D149" s="33"/>
      <c r="F149" s="33"/>
      <c r="G149" s="33"/>
      <c r="H149" s="33"/>
      <c r="I149" s="33"/>
      <c r="J149" s="33"/>
    </row>
    <row r="150" spans="2:12">
      <c r="B150" s="600"/>
      <c r="C150" s="33"/>
      <c r="D150" s="33"/>
      <c r="F150" s="33"/>
      <c r="G150" s="33"/>
      <c r="H150" s="33"/>
      <c r="I150" s="33"/>
      <c r="J150" s="33"/>
    </row>
    <row r="151" spans="2:12">
      <c r="B151" s="600"/>
      <c r="C151" s="33"/>
      <c r="D151" s="33"/>
      <c r="F151" s="33"/>
      <c r="G151" s="33"/>
      <c r="H151" s="33"/>
      <c r="I151" s="33"/>
      <c r="J151" s="33"/>
    </row>
    <row r="152" spans="2:12">
      <c r="B152" s="600"/>
      <c r="C152" s="33"/>
      <c r="D152" s="33"/>
      <c r="F152" s="33"/>
      <c r="G152" s="33"/>
      <c r="H152" s="33"/>
      <c r="I152" s="33"/>
      <c r="J152" s="33"/>
    </row>
    <row r="153" spans="2:12">
      <c r="B153" s="600"/>
      <c r="C153" s="33"/>
      <c r="D153" s="33"/>
      <c r="F153" s="33"/>
      <c r="G153" s="33"/>
      <c r="H153" s="33"/>
      <c r="I153" s="33"/>
      <c r="J153" s="33"/>
    </row>
    <row r="154" spans="2:12">
      <c r="B154" s="600"/>
      <c r="C154" s="33"/>
      <c r="D154" s="33"/>
      <c r="F154" s="33"/>
      <c r="G154" s="33"/>
      <c r="H154" s="33"/>
      <c r="I154" s="33"/>
      <c r="J154" s="33"/>
    </row>
    <row r="155" spans="2:12">
      <c r="B155" s="600"/>
      <c r="C155" s="33"/>
      <c r="D155" s="33"/>
      <c r="F155" s="33"/>
      <c r="G155" s="33"/>
      <c r="H155" s="33"/>
      <c r="I155" s="33"/>
      <c r="J155" s="33"/>
    </row>
    <row r="156" spans="2:12">
      <c r="B156" s="600"/>
      <c r="C156" s="33"/>
      <c r="D156" s="33"/>
      <c r="F156" s="33"/>
      <c r="G156" s="33"/>
      <c r="H156" s="33"/>
      <c r="I156" s="33"/>
      <c r="J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1">
    <mergeCell ref="C64:E64"/>
    <mergeCell ref="C78:F78"/>
    <mergeCell ref="C79:F79"/>
    <mergeCell ref="C53:D53"/>
    <mergeCell ref="C57:D57"/>
    <mergeCell ref="C62:E62"/>
    <mergeCell ref="C54:D54"/>
    <mergeCell ref="C56:D56"/>
    <mergeCell ref="C74:E74"/>
    <mergeCell ref="B75:C75"/>
    <mergeCell ref="C68:E68"/>
    <mergeCell ref="C73:E73"/>
    <mergeCell ref="C55:D55"/>
    <mergeCell ref="C63:E63"/>
    <mergeCell ref="K1:L1"/>
    <mergeCell ref="N6:O6"/>
    <mergeCell ref="E10:F10"/>
    <mergeCell ref="N1:O1"/>
    <mergeCell ref="J3:L3"/>
    <mergeCell ref="N3:O4"/>
    <mergeCell ref="E4:I4"/>
    <mergeCell ref="J4:L4"/>
    <mergeCell ref="G1:I1"/>
    <mergeCell ref="H6:I6"/>
    <mergeCell ref="K6:L6"/>
    <mergeCell ref="C14:F14"/>
    <mergeCell ref="C15:F15"/>
    <mergeCell ref="C16:F16"/>
    <mergeCell ref="F34:G34"/>
    <mergeCell ref="C17:F17"/>
    <mergeCell ref="C19:F19"/>
    <mergeCell ref="C21:F21"/>
    <mergeCell ref="C20:F20"/>
    <mergeCell ref="F23:G23"/>
    <mergeCell ref="E22:G22"/>
    <mergeCell ref="C52:D52"/>
    <mergeCell ref="C41:E41"/>
    <mergeCell ref="D25:E25"/>
    <mergeCell ref="D26:E26"/>
    <mergeCell ref="C49:D49"/>
    <mergeCell ref="C37:E37"/>
    <mergeCell ref="C38:E38"/>
    <mergeCell ref="C39:E39"/>
    <mergeCell ref="C40:E40"/>
    <mergeCell ref="C46:D46"/>
    <mergeCell ref="C47:D47"/>
    <mergeCell ref="C48:D48"/>
    <mergeCell ref="C42:E42"/>
    <mergeCell ref="C36:E36"/>
    <mergeCell ref="C50:D50"/>
    <mergeCell ref="C51:D51"/>
  </mergeCells>
  <dataValidations count="2">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24" orientation="portrait" r:id="rId1"/>
  <headerFooter alignWithMargins="0">
    <oddFooter>&amp;L&amp;11LEL Schwäbisch Gmünd&amp;C24&amp;R&amp;11&amp;F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57" r:id="rId4" name="Check Box 17">
              <controlPr defaultSize="0" print="0" autoFill="0" autoLine="0" autoPict="0">
                <anchor moveWithCells="1">
                  <from>
                    <xdr:col>12</xdr:col>
                    <xdr:colOff>161925</xdr:colOff>
                    <xdr:row>2</xdr:row>
                    <xdr:rowOff>76200</xdr:rowOff>
                  </from>
                  <to>
                    <xdr:col>12</xdr:col>
                    <xdr:colOff>285750</xdr:colOff>
                    <xdr:row>2</xdr:row>
                    <xdr:rowOff>190500</xdr:rowOff>
                  </to>
                </anchor>
              </controlPr>
            </control>
          </mc:Choice>
        </mc:AlternateContent>
        <mc:AlternateContent xmlns:mc="http://schemas.openxmlformats.org/markup-compatibility/2006">
          <mc:Choice Requires="x14">
            <control shapeId="87058" r:id="rId5" name="Check Box 18">
              <controlPr defaultSize="0" print="0" autoFill="0" autoLine="0" autoPict="0">
                <anchor moveWithCells="1">
                  <from>
                    <xdr:col>12</xdr:col>
                    <xdr:colOff>171450</xdr:colOff>
                    <xdr:row>3</xdr:row>
                    <xdr:rowOff>76200</xdr:rowOff>
                  </from>
                  <to>
                    <xdr:col>12</xdr:col>
                    <xdr:colOff>295275</xdr:colOff>
                    <xdr:row>3</xdr:row>
                    <xdr:rowOff>171450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5">
    <tabColor rgb="FF92D050"/>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125" style="32" hidden="1" customWidth="1"/>
    <col min="18" max="27" width="0" style="31" hidden="1" customWidth="1"/>
    <col min="28" max="16384" width="10.5" style="31"/>
  </cols>
  <sheetData>
    <row r="1" spans="1:41" s="274" customFormat="1" ht="30.2" customHeight="1">
      <c r="A1" s="2475" t="s">
        <v>2126</v>
      </c>
      <c r="B1" s="319"/>
      <c r="C1" s="1876"/>
      <c r="D1" s="136"/>
      <c r="E1" s="316"/>
      <c r="F1" s="316"/>
      <c r="G1" s="4933" t="s">
        <v>1636</v>
      </c>
      <c r="H1" s="4933"/>
      <c r="I1" s="4933"/>
      <c r="J1" s="1874">
        <f>(J7+J13+J18+J22+I11+I12)-(J23+J27+J34+J43+J60+J65+J67+J69+J71+J75)</f>
        <v>-127.00828400638207</v>
      </c>
      <c r="K1" s="4855">
        <f>M1-J1</f>
        <v>0</v>
      </c>
      <c r="L1" s="4855"/>
      <c r="M1" s="1874">
        <f>(M7+M13+M18+M22+L11+L12)-(M23+M27+M34+M43+M60+M65+M67+M69+M71+M75)</f>
        <v>-127.00828400638207</v>
      </c>
      <c r="N1" s="4855">
        <f>P1-M1</f>
        <v>0</v>
      </c>
      <c r="O1" s="4855"/>
      <c r="P1" s="1874">
        <f>(P7+P13+P18+P22+O11+O12)-(P23+P27+P34+P43+P60+P65+P67+P69+P71+P75)</f>
        <v>-127.00828400638207</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1654</v>
      </c>
      <c r="L2" s="4867"/>
      <c r="M2" s="4867"/>
      <c r="N2" s="4867"/>
      <c r="O2" s="4867"/>
      <c r="P2" s="4867"/>
      <c r="Q2" s="2475"/>
    </row>
    <row r="3" spans="1:41" s="274" customFormat="1" ht="21.75" customHeight="1">
      <c r="A3" s="2475"/>
      <c r="B3" s="1871" t="s">
        <v>1635</v>
      </c>
      <c r="G3" s="1859"/>
      <c r="H3" s="1870"/>
      <c r="J3" s="33"/>
      <c r="K3" s="33"/>
      <c r="L3" s="33"/>
      <c r="M3" s="33"/>
      <c r="N3" s="4934" t="str">
        <f>IF(AND(T3=TRUE,T4=TRUE),"nur 1 Strohnutzung möglich","")</f>
        <v/>
      </c>
      <c r="O3" s="4869"/>
      <c r="P3" s="1868"/>
      <c r="Q3" s="2475"/>
      <c r="T3" s="1886"/>
    </row>
    <row r="4" spans="1:41" s="274" customFormat="1" ht="20.25" customHeight="1">
      <c r="A4" s="2475"/>
      <c r="B4" s="370" t="s">
        <v>1098</v>
      </c>
      <c r="C4" s="31"/>
      <c r="D4" s="31"/>
      <c r="E4" s="4993" t="s">
        <v>1653</v>
      </c>
      <c r="F4" s="4993"/>
      <c r="G4" s="4993"/>
      <c r="H4" s="4993"/>
      <c r="I4" s="4993"/>
      <c r="J4" s="4993"/>
      <c r="K4" s="4993"/>
      <c r="L4" s="4993"/>
      <c r="M4" s="4993"/>
      <c r="N4" s="4869"/>
      <c r="O4" s="4869"/>
      <c r="P4" s="1864">
        <f>SDÖ1!O3</f>
        <v>0</v>
      </c>
      <c r="Q4" s="2475"/>
      <c r="T4" s="1886"/>
    </row>
    <row r="5" spans="1:41" ht="6" customHeight="1"/>
    <row r="6" spans="1:41" s="1853" customFormat="1" ht="24" customHeight="1">
      <c r="A6" s="48"/>
      <c r="B6" s="1858" t="s">
        <v>1151</v>
      </c>
      <c r="C6" s="1857"/>
      <c r="D6" s="1857"/>
      <c r="E6" s="1857"/>
      <c r="F6" s="1857"/>
      <c r="G6" s="1856" t="s">
        <v>1642</v>
      </c>
      <c r="H6" s="4861" t="s">
        <v>179</v>
      </c>
      <c r="I6" s="4862"/>
      <c r="J6" s="1855"/>
      <c r="K6" s="4874" t="s">
        <v>152</v>
      </c>
      <c r="L6" s="4875"/>
      <c r="M6" s="1855"/>
      <c r="N6" s="4861" t="s">
        <v>178</v>
      </c>
      <c r="O6" s="4862"/>
      <c r="P6" s="1854"/>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0</v>
      </c>
      <c r="I9" s="1841">
        <f>H9*G9</f>
        <v>0</v>
      </c>
      <c r="J9" s="43"/>
      <c r="K9" s="1844">
        <f>M6-K10</f>
        <v>0</v>
      </c>
      <c r="L9" s="1843">
        <f>K9*J9</f>
        <v>0</v>
      </c>
      <c r="M9" s="1822"/>
      <c r="N9" s="1842">
        <f>P6-N10</f>
        <v>0</v>
      </c>
      <c r="O9" s="1841">
        <f>N9*M9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0.5</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43"/>
      <c r="Q12" s="38"/>
      <c r="U12" s="251"/>
      <c r="V12" s="251"/>
      <c r="W12" s="1808" t="s">
        <v>1191</v>
      </c>
      <c r="X12" s="1806" t="str">
        <f>IF(OR(T3=TRUE,T4=TRUE),J6*$E$11,"0")</f>
        <v>0</v>
      </c>
      <c r="Y12" s="1807" t="str">
        <f>IF(OR(T3=TRUE,T4=TRUE),M6*$E$11,"0")</f>
        <v>0</v>
      </c>
      <c r="Z12" s="1806" t="str">
        <f>IF(OR(T3=TRUE,T4=TRUE),P6*$E$11,"0")</f>
        <v>0</v>
      </c>
    </row>
    <row r="13" spans="1:41" s="251" customFormat="1" ht="18.75" customHeight="1">
      <c r="A13" s="47"/>
      <c r="B13" s="264" t="s">
        <v>1630</v>
      </c>
      <c r="C13" s="47"/>
      <c r="D13" s="47"/>
      <c r="E13" s="47"/>
      <c r="F13" s="47"/>
      <c r="G13" s="1809" t="s">
        <v>171</v>
      </c>
      <c r="H13" s="1792"/>
      <c r="I13" s="1791"/>
      <c r="J13" s="1582">
        <f>SUM(I14:I17)</f>
        <v>100</v>
      </c>
      <c r="K13" s="1794"/>
      <c r="L13" s="1793"/>
      <c r="M13" s="1585">
        <f>SUM(L14:L16)</f>
        <v>100</v>
      </c>
      <c r="N13" s="1792"/>
      <c r="O13" s="1791"/>
      <c r="P13" s="1582">
        <f>SUM(O14:O16)</f>
        <v>100</v>
      </c>
      <c r="Q13" s="32"/>
      <c r="R13" s="136"/>
      <c r="U13" s="42"/>
      <c r="V13" s="42"/>
      <c r="X13" s="1806" t="str">
        <f>IF(OR(T4=TRUE,T5=TRUE),J7*$E$11,"0")</f>
        <v>0</v>
      </c>
      <c r="Y13" s="1807" t="str">
        <f>IF(OR(T4=TRUE,T5=TRUE),M7*$E$11,"0")</f>
        <v>0</v>
      </c>
      <c r="Z13" s="1806" t="str">
        <f>IF(OR(T4=TRUE,T5=TRUE),P7*$E$11,"0")</f>
        <v>0</v>
      </c>
    </row>
    <row r="14" spans="1:41" s="42" customFormat="1" ht="15" customHeight="1">
      <c r="A14" s="45"/>
      <c r="B14" s="1789"/>
      <c r="C14" s="4860" t="s">
        <v>2045</v>
      </c>
      <c r="D14" s="4860"/>
      <c r="E14" s="4860"/>
      <c r="F14" s="4860"/>
      <c r="G14" s="1805"/>
      <c r="H14" s="1935" t="s">
        <v>1241</v>
      </c>
      <c r="I14" s="3909">
        <f>IF(H14="ja",Q14,0)</f>
        <v>100</v>
      </c>
      <c r="J14" s="45"/>
      <c r="K14" s="1804" t="s">
        <v>1241</v>
      </c>
      <c r="L14" s="1639">
        <f>IF(K14="ja",Q14,0)</f>
        <v>100</v>
      </c>
      <c r="M14" s="1557"/>
      <c r="N14" s="1804" t="s">
        <v>1241</v>
      </c>
      <c r="O14" s="1785">
        <f>IF(N14="ja",Q14,0)</f>
        <v>100</v>
      </c>
      <c r="P14" s="1554"/>
      <c r="Q14" s="1803">
        <f>IF(C14=0,0,VLOOKUP(C14,'SD2'!$C$11:$N$49,'SD2'!$N$1,FALSE))</f>
        <v>100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0</v>
      </c>
      <c r="K18" s="3069"/>
      <c r="L18" s="3308"/>
      <c r="M18" s="1585">
        <f>SUM(L19:L21)</f>
        <v>0</v>
      </c>
      <c r="N18" s="3068"/>
      <c r="O18" s="3307"/>
      <c r="P18" s="1582">
        <f>SUM(O19:O21)</f>
        <v>0</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0</v>
      </c>
      <c r="J19" s="45">
        <f>SUM(I23:I24)</f>
        <v>0</v>
      </c>
      <c r="K19" s="1787"/>
      <c r="L19" s="1639">
        <f>IF(OR($C19=0,$M$6=0),0,VLOOKUP($C19,'SD2'!$C$59:$N$74,12,FALSE))</f>
        <v>0</v>
      </c>
      <c r="M19" s="1557">
        <f>SUM(L23:L24)</f>
        <v>0</v>
      </c>
      <c r="N19" s="1786"/>
      <c r="O19" s="1785">
        <f>IF(OR($C19=0,$P$6=0),0,VLOOKUP($C19,'SD2'!C59:N75,12,FALSE))</f>
        <v>0</v>
      </c>
      <c r="P19" s="1554">
        <f>SUM(O23:O24)</f>
        <v>0</v>
      </c>
      <c r="R19" s="1784">
        <f>J13+J18</f>
        <v>100</v>
      </c>
      <c r="S19" s="1784">
        <f>M13+M18</f>
        <v>100</v>
      </c>
      <c r="T19" s="1784">
        <f>P13+P18</f>
        <v>100</v>
      </c>
    </row>
    <row r="20" spans="1:26" s="3981" customFormat="1" ht="15.6" customHeight="1">
      <c r="A20" s="3857"/>
      <c r="B20" s="1789"/>
      <c r="C20" s="4860" t="s">
        <v>2119</v>
      </c>
      <c r="D20" s="4860"/>
      <c r="E20" s="4860"/>
      <c r="F20" s="4860"/>
      <c r="G20" s="4018"/>
      <c r="H20" s="1786"/>
      <c r="I20" s="3909">
        <f>IF(OR($C20=0,$J$6=0),0,VLOOKUP($C20,'SD2'!C60:N76,12,FALSE))</f>
        <v>0</v>
      </c>
      <c r="J20" s="3852"/>
      <c r="K20" s="1787"/>
      <c r="L20" s="3899">
        <f>IF(OR($C20=0,$M$6=0),0,VLOOKUP($C20,'SD2'!$C$59:$N$74,12,FALSE))</f>
        <v>0</v>
      </c>
      <c r="M20" s="3864"/>
      <c r="N20" s="1786"/>
      <c r="O20" s="3909">
        <f>IF(OR($C20=0,$P$6=0),0,VLOOKUP($C20,'SD2'!C60:N76,12,FALSE))</f>
        <v>0</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0</v>
      </c>
      <c r="J21" s="3852"/>
      <c r="K21" s="1787"/>
      <c r="L21" s="3899">
        <f>IF(OR($C21=0,$M$6=0),0,VLOOKUP($C21,'SD2'!$C$59:$N$74,12,FALSE))</f>
        <v>0</v>
      </c>
      <c r="M21" s="3864"/>
      <c r="N21" s="1786"/>
      <c r="O21" s="3909">
        <f>IF(OR($C21=0,$P$6=0),0,VLOOKUP($C21,'SD2'!C61:N77,12,FALSE))</f>
        <v>0</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135</v>
      </c>
      <c r="K23" s="1587"/>
      <c r="L23" s="1586"/>
      <c r="M23" s="1768">
        <f>SUM(L25:L26)</f>
        <v>135</v>
      </c>
      <c r="N23" s="1584"/>
      <c r="O23" s="1583"/>
      <c r="P23" s="1567">
        <f>SUM(O25:O26)</f>
        <v>135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v>9</v>
      </c>
      <c r="G25" s="1762">
        <f>F25*(100+$D$24)/100</f>
        <v>9</v>
      </c>
      <c r="H25" s="1761">
        <v>15</v>
      </c>
      <c r="I25" s="1722">
        <f>H25*$G25</f>
        <v>135</v>
      </c>
      <c r="J25" s="45"/>
      <c r="K25" s="1761">
        <f>H25</f>
        <v>15</v>
      </c>
      <c r="L25" s="1564">
        <f>K25*$G25</f>
        <v>135</v>
      </c>
      <c r="M25" s="1557"/>
      <c r="N25" s="1761">
        <f>H25</f>
        <v>15</v>
      </c>
      <c r="O25" s="1722">
        <f>N25*$G25</f>
        <v>135</v>
      </c>
      <c r="P25" s="1686"/>
      <c r="Q25" s="32"/>
    </row>
    <row r="26" spans="1:26" s="686" customFormat="1" ht="13.9" customHeight="1">
      <c r="A26" s="1248"/>
      <c r="B26" s="1310"/>
      <c r="C26" s="1760"/>
      <c r="D26" s="4880"/>
      <c r="E26" s="4881"/>
      <c r="F26" s="1759"/>
      <c r="G26" s="1758">
        <f>F26*(100+$D$24)/100</f>
        <v>0</v>
      </c>
      <c r="H26" s="1757"/>
      <c r="I26" s="1718">
        <f>H26*$G26</f>
        <v>0</v>
      </c>
      <c r="J26" s="45"/>
      <c r="K26" s="1757">
        <f>H26</f>
        <v>0</v>
      </c>
      <c r="L26" s="1558">
        <f>K26*$G26</f>
        <v>0</v>
      </c>
      <c r="M26" s="1557"/>
      <c r="N26" s="1757">
        <f>H26</f>
        <v>0</v>
      </c>
      <c r="O26" s="1718">
        <f>N26*$G26</f>
        <v>0</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v>
      </c>
      <c r="K27" s="1716"/>
      <c r="L27" s="1715"/>
      <c r="M27" s="1585">
        <f>SUM(L30:L33)</f>
        <v>0</v>
      </c>
      <c r="N27" s="1714"/>
      <c r="O27" s="1713"/>
      <c r="P27" s="1582">
        <f>SUM(O30:O33)</f>
        <v>0</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t="s">
        <v>1213</v>
      </c>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0</v>
      </c>
      <c r="I30" s="1722">
        <f>H30*$D30</f>
        <v>0</v>
      </c>
      <c r="J30" s="45"/>
      <c r="K30" s="1740">
        <f>IF(M$6=0,0,(M$6*$E30+$G30+AA14))</f>
        <v>0</v>
      </c>
      <c r="L30" s="1564">
        <f>K30*$D30</f>
        <v>0</v>
      </c>
      <c r="M30" s="1557"/>
      <c r="N30" s="1739">
        <f>IF(P$6=0,0,(P$6*$E30+$G30+AD14))</f>
        <v>0</v>
      </c>
      <c r="O30" s="1722">
        <f>N30*$D30</f>
        <v>0</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89.390396052436969</v>
      </c>
      <c r="K43" s="1716"/>
      <c r="L43" s="1715"/>
      <c r="M43" s="1585">
        <f>SUM(M46:M57)</f>
        <v>89.390396052436969</v>
      </c>
      <c r="N43" s="1714"/>
      <c r="O43" s="1713"/>
      <c r="P43" s="1582">
        <f>SUM(P46:P57)</f>
        <v>89.390396052436969</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456</v>
      </c>
      <c r="D46" s="4883"/>
      <c r="E46" s="1693">
        <f>IF($C46=0,0,VLOOKUP($C46,SDÖ3!$C$24:$O$99,4,FALSE))</f>
        <v>102</v>
      </c>
      <c r="F46" s="1692">
        <f>IF($C46=0,0,VLOOKUP($C46,SDÖ3!$C$24:$O$99,12,FALSE))</f>
        <v>0.54</v>
      </c>
      <c r="G46" s="1691">
        <f>IF($C46=0,0,VLOOKUP($C46,SDÖ3!$C$24:$O$99,13,FALSE))</f>
        <v>16.940645199999999</v>
      </c>
      <c r="H46" s="1688">
        <v>1</v>
      </c>
      <c r="I46" s="1687">
        <f t="shared" ref="I46:I56" si="4">$F46*H46</f>
        <v>0.54</v>
      </c>
      <c r="J46" s="1686">
        <f t="shared" ref="J46:J56" si="5">H46*$G46</f>
        <v>16.940645199999999</v>
      </c>
      <c r="K46" s="1688">
        <v>1</v>
      </c>
      <c r="L46" s="1690">
        <f t="shared" ref="L46:L56" si="6">$F46*K46</f>
        <v>0.54</v>
      </c>
      <c r="M46" s="1689">
        <f t="shared" ref="M46:M56" si="7">K46*$G46</f>
        <v>16.940645199999999</v>
      </c>
      <c r="N46" s="1688">
        <v>1</v>
      </c>
      <c r="O46" s="1687">
        <f t="shared" ref="O46:O56" si="8">$F46*N46</f>
        <v>0.54</v>
      </c>
      <c r="P46" s="1686">
        <f t="shared" ref="P46:P56" si="9">N46*$G46</f>
        <v>16.940645199999999</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82" t="s">
        <v>446</v>
      </c>
      <c r="D48" s="4883"/>
      <c r="E48" s="1693">
        <f>IF($C48=0,0,VLOOKUP($C48,SDÖ3!$C$24:$O$99,4,FALSE))</f>
        <v>120</v>
      </c>
      <c r="F48" s="1692">
        <f>IF($C48=0,0,VLOOKUP($C48,SDÖ3!$C$24:$O$99,12,FALSE))</f>
        <v>1.05</v>
      </c>
      <c r="G48" s="1691">
        <f>IF($C48=0,0,VLOOKUP($C48,SDÖ3!$C$24:$O$99,13,FALSE))</f>
        <v>36.26405764705882</v>
      </c>
      <c r="H48" s="1688">
        <v>1</v>
      </c>
      <c r="I48" s="1687">
        <f t="shared" si="4"/>
        <v>1.05</v>
      </c>
      <c r="J48" s="1686">
        <f t="shared" si="5"/>
        <v>36.26405764705882</v>
      </c>
      <c r="K48" s="1688">
        <v>1</v>
      </c>
      <c r="L48" s="1690">
        <f t="shared" si="6"/>
        <v>1.05</v>
      </c>
      <c r="M48" s="1689">
        <f t="shared" si="7"/>
        <v>36.26405764705882</v>
      </c>
      <c r="N48" s="1688">
        <v>1</v>
      </c>
      <c r="O48" s="1687">
        <f t="shared" si="8"/>
        <v>1.05</v>
      </c>
      <c r="P48" s="1686">
        <f t="shared" si="9"/>
        <v>36.26405764705882</v>
      </c>
      <c r="Q48" s="32"/>
    </row>
    <row r="49" spans="1:17" s="42" customFormat="1" ht="15" customHeight="1">
      <c r="A49" s="1284"/>
      <c r="B49" s="1694"/>
      <c r="C49" s="4882" t="s">
        <v>449</v>
      </c>
      <c r="D49" s="4883"/>
      <c r="E49" s="1693">
        <f>IF($C49=0,0,VLOOKUP($C49,SDÖ3!$C$24:$O$99,4,FALSE))</f>
        <v>83</v>
      </c>
      <c r="F49" s="1692">
        <f>IF($C49=0,0,VLOOKUP($C49,SDÖ3!$C$24:$O$99,12,FALSE))</f>
        <v>0.62</v>
      </c>
      <c r="G49" s="1691">
        <f>IF($C49=0,0,VLOOKUP($C49,SDÖ3!$C$24:$O$99,13,FALSE))</f>
        <v>11.934875842352939</v>
      </c>
      <c r="H49" s="1688">
        <v>1</v>
      </c>
      <c r="I49" s="1687">
        <f t="shared" si="4"/>
        <v>0.62</v>
      </c>
      <c r="J49" s="1686">
        <f t="shared" si="5"/>
        <v>11.934875842352939</v>
      </c>
      <c r="K49" s="1688">
        <v>1</v>
      </c>
      <c r="L49" s="1690">
        <f t="shared" si="6"/>
        <v>0.62</v>
      </c>
      <c r="M49" s="1689">
        <f t="shared" si="7"/>
        <v>11.934875842352939</v>
      </c>
      <c r="N49" s="1688">
        <v>1</v>
      </c>
      <c r="O49" s="1687">
        <f t="shared" si="8"/>
        <v>0.62</v>
      </c>
      <c r="P49" s="1686">
        <f t="shared" si="9"/>
        <v>11.934875842352939</v>
      </c>
      <c r="Q49" s="32"/>
    </row>
    <row r="50" spans="1:17" s="42" customFormat="1" ht="15" customHeight="1">
      <c r="A50" s="1284"/>
      <c r="B50" s="1694"/>
      <c r="C50" s="4882" t="s">
        <v>414</v>
      </c>
      <c r="D50" s="4883"/>
      <c r="E50" s="1693">
        <f>IF($C50=0,0,VLOOKUP($C50,SDÖ3!$C$24:$O$99,4,FALSE))</f>
        <v>83</v>
      </c>
      <c r="F50" s="1692">
        <f>IF($C50=0,0,VLOOKUP($C50,SDÖ3!$C$24:$O$99,12,FALSE))</f>
        <v>1.17</v>
      </c>
      <c r="G50" s="1691">
        <f>IF($C50=0,0,VLOOKUP($C50,SDÖ3!$C$24:$O$99,13,FALSE))</f>
        <v>24.250817363025202</v>
      </c>
      <c r="H50" s="1688">
        <v>1</v>
      </c>
      <c r="I50" s="1687">
        <f t="shared" si="4"/>
        <v>1.17</v>
      </c>
      <c r="J50" s="1686">
        <f t="shared" si="5"/>
        <v>24.250817363025202</v>
      </c>
      <c r="K50" s="1688">
        <v>1</v>
      </c>
      <c r="L50" s="1690">
        <f t="shared" si="6"/>
        <v>1.17</v>
      </c>
      <c r="M50" s="1689">
        <f t="shared" si="7"/>
        <v>24.250817363025202</v>
      </c>
      <c r="N50" s="1688">
        <v>1</v>
      </c>
      <c r="O50" s="1687">
        <f t="shared" si="8"/>
        <v>1.17</v>
      </c>
      <c r="P50" s="1686">
        <f t="shared" si="9"/>
        <v>24.250817363025202</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v>0</v>
      </c>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v>0</v>
      </c>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v>0</v>
      </c>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35"/>
      <c r="D55" s="4936"/>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v>0</v>
      </c>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t="s">
        <v>1624</v>
      </c>
      <c r="C57" s="4896"/>
      <c r="D57" s="4897"/>
      <c r="E57" s="3565">
        <f>IF($C57=0,0,VLOOKUP($C57,SDÖ3!$C$24:$O$99,4,FALSE))</f>
        <v>0</v>
      </c>
      <c r="F57" s="3566">
        <f>IF($C57=0,0,VLOOKUP($C57,SDÖ3!$C$24:$O$99,12,FALSE))</f>
        <v>0</v>
      </c>
      <c r="G57" s="3567">
        <f>IF($C57=0,0,VLOOKUP($C57,SDÖ3!$C$24:$O$99,13,FALSE))</f>
        <v>0</v>
      </c>
      <c r="H57" s="1672"/>
      <c r="I57" s="1671">
        <f>SUM(I44:I56)</f>
        <v>3.38</v>
      </c>
      <c r="J57" s="1670"/>
      <c r="K57" s="1672"/>
      <c r="L57" s="1673">
        <f>SUM(L44:L56)</f>
        <v>3.38</v>
      </c>
      <c r="M57" s="1620"/>
      <c r="N57" s="1672"/>
      <c r="O57" s="1671">
        <f>SUM(O44:O56)</f>
        <v>3.38</v>
      </c>
      <c r="P57" s="1670"/>
      <c r="Q57" s="32"/>
    </row>
    <row r="58" spans="1:17" s="686" customFormat="1" ht="18.75" customHeight="1">
      <c r="A58" s="1248"/>
      <c r="B58" s="1254" t="s">
        <v>1167</v>
      </c>
      <c r="C58" s="1351"/>
      <c r="D58" s="1351"/>
      <c r="E58" s="1351"/>
      <c r="F58" s="38"/>
      <c r="G58" s="1588"/>
      <c r="H58" s="1665"/>
      <c r="I58" s="1664">
        <f>SUM($I$46:$I$57)</f>
        <v>6.76</v>
      </c>
      <c r="J58" s="1669"/>
      <c r="K58" s="1668"/>
      <c r="L58" s="1667">
        <f>SUM($L$46:$L$57)</f>
        <v>6.76</v>
      </c>
      <c r="M58" s="1666"/>
      <c r="N58" s="1665"/>
      <c r="O58" s="1664">
        <f>SUM($O$46:$O$57)</f>
        <v>6.76</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12.167999999999999</v>
      </c>
      <c r="J59" s="1654"/>
      <c r="K59" s="1659"/>
      <c r="L59" s="1658">
        <f>IF(L58+SUM($L$46:$L$57)*$E$59%&gt;L58+10,L58+10,L58+SUM($L$46:$L$57)*$E$59%)</f>
        <v>12.167999999999999</v>
      </c>
      <c r="M59" s="1657"/>
      <c r="N59" s="1656"/>
      <c r="O59" s="1655">
        <f>IF(O58+SUM($O$46:$O$57)*$E$59%&gt;O58+10,O58+10,O58+SUM($O$46:$O$57)*$E$59%)</f>
        <v>12.167999999999999</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'SDK1'!$O$11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88" t="s">
        <v>1159</v>
      </c>
      <c r="D68" s="4888"/>
      <c r="E68" s="4888"/>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2.6178879539450981</v>
      </c>
      <c r="K75" s="3031"/>
      <c r="L75" s="1034"/>
      <c r="M75" s="1546">
        <f>(M23+M27+M34+M43+M60+M65+M67+M69+M71)*('SDK1'!$O$59%*$G$75/12)</f>
        <v>2.6178879539450981</v>
      </c>
      <c r="N75" s="1548"/>
      <c r="O75" s="1547"/>
      <c r="P75" s="1546">
        <f>(P23+P27+P34+P43+P60+P65+P67+P69+P71)*('SDK1'!$O$59%*$G$75/12)</f>
        <v>2.6178879539450981</v>
      </c>
      <c r="Q75" s="32"/>
    </row>
    <row r="76" spans="1:20">
      <c r="L76" s="33"/>
    </row>
    <row r="77" spans="1:20">
      <c r="G77" s="3590"/>
      <c r="H77" s="3590"/>
      <c r="I77" s="3590"/>
      <c r="J77" s="3590"/>
      <c r="K77" s="3590"/>
      <c r="L77" s="3590"/>
      <c r="M77" s="3590"/>
      <c r="N77" s="3590"/>
      <c r="O77" s="3590"/>
      <c r="P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2:16">
      <c r="C97" s="33"/>
      <c r="D97" s="33"/>
      <c r="E97" s="33"/>
      <c r="G97" s="3590"/>
      <c r="H97" s="3590"/>
      <c r="I97" s="3590"/>
      <c r="J97" s="3590"/>
      <c r="K97" s="3590"/>
      <c r="L97" s="3590"/>
      <c r="M97" s="3590"/>
      <c r="N97" s="3590"/>
      <c r="O97" s="3590"/>
      <c r="P97" s="3590"/>
    </row>
    <row r="98" spans="2:16">
      <c r="C98" s="33"/>
      <c r="D98" s="33"/>
      <c r="E98" s="33"/>
      <c r="G98" s="3590"/>
      <c r="H98" s="3590"/>
      <c r="I98" s="3590"/>
      <c r="J98" s="3590"/>
      <c r="K98" s="3590"/>
      <c r="L98" s="3590"/>
      <c r="M98" s="3590"/>
      <c r="N98" s="3590"/>
      <c r="O98" s="3590"/>
      <c r="P98" s="3590"/>
    </row>
    <row r="99" spans="2:16">
      <c r="B99" s="33"/>
      <c r="C99" s="33"/>
      <c r="D99" s="33"/>
      <c r="G99" s="3590"/>
      <c r="I99" s="3590"/>
      <c r="J99" s="3590"/>
      <c r="K99" s="3590"/>
      <c r="L99" s="3590"/>
      <c r="M99" s="3590"/>
      <c r="N99" s="3590"/>
      <c r="O99" s="3590"/>
      <c r="P99" s="3590"/>
    </row>
    <row r="100" spans="2:16">
      <c r="B100" s="33"/>
      <c r="C100" s="33"/>
      <c r="D100" s="33"/>
      <c r="G100" s="3590"/>
      <c r="H100" s="3590"/>
      <c r="I100" s="3590"/>
      <c r="J100" s="3590"/>
      <c r="K100" s="3590"/>
      <c r="L100" s="3590"/>
      <c r="M100" s="3590"/>
      <c r="N100" s="3590"/>
      <c r="O100" s="3590"/>
      <c r="P100" s="3590"/>
    </row>
    <row r="101" spans="2:16">
      <c r="B101" s="33"/>
      <c r="C101" s="33"/>
      <c r="D101" s="33"/>
      <c r="G101" s="3590"/>
      <c r="H101" s="3590"/>
      <c r="I101" s="3590"/>
      <c r="J101" s="3590"/>
      <c r="K101" s="3590"/>
      <c r="L101" s="3590"/>
      <c r="M101" s="3590"/>
      <c r="N101" s="3590"/>
      <c r="O101" s="3590"/>
      <c r="P101" s="3590"/>
    </row>
    <row r="102" spans="2:16">
      <c r="B102" s="33"/>
      <c r="C102" s="33"/>
      <c r="D102" s="33"/>
      <c r="G102" s="3590"/>
      <c r="H102" s="3590"/>
      <c r="I102" s="3590"/>
      <c r="J102" s="3590"/>
      <c r="K102" s="3590"/>
      <c r="L102" s="3590"/>
      <c r="M102" s="3590"/>
      <c r="N102" s="3590"/>
      <c r="O102" s="3590"/>
      <c r="P102" s="3590"/>
    </row>
    <row r="103" spans="2:16">
      <c r="B103" s="33"/>
      <c r="C103" s="33"/>
      <c r="D103" s="33"/>
      <c r="G103" s="3590"/>
      <c r="H103" s="3590"/>
      <c r="I103" s="3590"/>
      <c r="J103" s="3590"/>
      <c r="K103" s="3590"/>
      <c r="L103" s="3590"/>
      <c r="M103" s="3590"/>
      <c r="N103" s="3590"/>
      <c r="O103" s="3590"/>
      <c r="P103" s="3590"/>
    </row>
    <row r="104" spans="2:16">
      <c r="B104" s="33"/>
      <c r="C104" s="33"/>
      <c r="D104" s="33"/>
      <c r="G104" s="3590"/>
      <c r="H104" s="3590"/>
      <c r="I104" s="3590"/>
      <c r="J104" s="3590"/>
      <c r="K104" s="3590"/>
      <c r="L104" s="3590"/>
      <c r="M104" s="3590"/>
      <c r="N104" s="3590"/>
      <c r="O104" s="3590"/>
      <c r="P104" s="3590"/>
    </row>
    <row r="105" spans="2:16">
      <c r="B105" s="33"/>
      <c r="C105" s="33"/>
      <c r="D105" s="33"/>
      <c r="G105" s="3590"/>
      <c r="H105" s="3590"/>
      <c r="I105" s="3590"/>
      <c r="J105" s="3590"/>
      <c r="K105" s="3590"/>
      <c r="L105" s="3590"/>
      <c r="M105" s="3590"/>
      <c r="N105" s="3590"/>
      <c r="O105" s="3590"/>
      <c r="P105" s="3590"/>
    </row>
    <row r="106" spans="2:16">
      <c r="B106" s="33"/>
      <c r="C106" s="33"/>
      <c r="D106" s="33"/>
      <c r="G106" s="3590"/>
      <c r="H106" s="3590"/>
      <c r="I106" s="3590"/>
      <c r="J106" s="3590"/>
      <c r="K106" s="3590"/>
      <c r="L106" s="3590"/>
      <c r="M106" s="3590"/>
      <c r="N106" s="3590"/>
      <c r="O106" s="3590"/>
      <c r="P106" s="3590"/>
    </row>
    <row r="107" spans="2:16">
      <c r="B107" s="33"/>
      <c r="C107" s="33"/>
      <c r="D107" s="33"/>
      <c r="G107" s="3590"/>
      <c r="H107" s="3590"/>
      <c r="I107" s="3590"/>
      <c r="J107" s="3590"/>
      <c r="K107" s="3590"/>
      <c r="L107" s="3590"/>
      <c r="M107" s="3590"/>
      <c r="N107" s="3590"/>
      <c r="O107" s="3590"/>
      <c r="P107" s="3590"/>
    </row>
    <row r="108" spans="2:16">
      <c r="G108" s="3590"/>
      <c r="H108" s="3590"/>
      <c r="I108" s="3590"/>
      <c r="J108" s="3590"/>
      <c r="K108" s="3590"/>
      <c r="L108" s="3590"/>
      <c r="M108" s="3590"/>
      <c r="N108" s="3590"/>
      <c r="O108" s="3590"/>
      <c r="P108" s="3590"/>
    </row>
    <row r="109" spans="2:16">
      <c r="G109" s="3590"/>
      <c r="H109" s="3590"/>
      <c r="I109" s="3590"/>
      <c r="J109" s="3590"/>
      <c r="K109" s="3590"/>
      <c r="L109" s="3590"/>
      <c r="M109" s="3590"/>
      <c r="N109" s="3590"/>
      <c r="O109" s="3590"/>
      <c r="P109" s="3590"/>
    </row>
    <row r="110" spans="2:16">
      <c r="G110" s="3590"/>
      <c r="H110" s="3590"/>
      <c r="I110" s="3590"/>
      <c r="J110" s="3590"/>
      <c r="K110" s="3590"/>
      <c r="L110" s="3590"/>
      <c r="M110" s="3590"/>
      <c r="N110" s="3590"/>
      <c r="O110" s="3590"/>
      <c r="P110" s="3590"/>
    </row>
    <row r="111" spans="2:16">
      <c r="G111" s="3590"/>
      <c r="H111" s="3590"/>
      <c r="I111" s="3590"/>
      <c r="J111" s="3590"/>
      <c r="K111" s="3590"/>
      <c r="L111" s="3590"/>
      <c r="M111" s="3590"/>
      <c r="N111" s="3590"/>
      <c r="O111" s="3590"/>
      <c r="P111" s="3590"/>
    </row>
    <row r="112" spans="2: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L138" s="33"/>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0">
    <mergeCell ref="C21:F21"/>
    <mergeCell ref="C20:F20"/>
    <mergeCell ref="C78:F78"/>
    <mergeCell ref="C79:F79"/>
    <mergeCell ref="N6:O6"/>
    <mergeCell ref="C16:F16"/>
    <mergeCell ref="K6:L6"/>
    <mergeCell ref="C14:F14"/>
    <mergeCell ref="C15:F15"/>
    <mergeCell ref="H6:I6"/>
    <mergeCell ref="C38:E38"/>
    <mergeCell ref="C56:D56"/>
    <mergeCell ref="C54:D54"/>
    <mergeCell ref="E10:F10"/>
    <mergeCell ref="C17:F17"/>
    <mergeCell ref="C19:F19"/>
    <mergeCell ref="F23:G23"/>
    <mergeCell ref="C74:E74"/>
    <mergeCell ref="N3:O4"/>
    <mergeCell ref="E4:M4"/>
    <mergeCell ref="G1:I1"/>
    <mergeCell ref="K1:L1"/>
    <mergeCell ref="N1:O1"/>
    <mergeCell ref="K2:P2"/>
    <mergeCell ref="E22:G22"/>
    <mergeCell ref="C68:E68"/>
    <mergeCell ref="C73:E73"/>
    <mergeCell ref="C62:E62"/>
    <mergeCell ref="C51:D51"/>
    <mergeCell ref="C52:D52"/>
    <mergeCell ref="C48:D48"/>
    <mergeCell ref="C49:D49"/>
    <mergeCell ref="F34:G34"/>
    <mergeCell ref="C42:E42"/>
    <mergeCell ref="C57:D57"/>
    <mergeCell ref="C47:D47"/>
    <mergeCell ref="C37:E37"/>
    <mergeCell ref="C46:D46"/>
    <mergeCell ref="C36:E36"/>
    <mergeCell ref="C39:E39"/>
    <mergeCell ref="C40:E40"/>
    <mergeCell ref="C53:D53"/>
    <mergeCell ref="C55:D55"/>
    <mergeCell ref="C50:D50"/>
    <mergeCell ref="C41:E41"/>
    <mergeCell ref="B75:C75"/>
    <mergeCell ref="D25:E25"/>
    <mergeCell ref="D26:E26"/>
    <mergeCell ref="C64:E64"/>
    <mergeCell ref="C63:E63"/>
  </mergeCells>
  <dataValidations count="4">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82"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C19:C21 D19:F19</xm:sqref>
        </x14:dataValidation>
        <x14:dataValidation type="list" allowBlank="1" showInputMessage="1" showErrorMessage="1" errorTitle="Verfahrensabh. Ausgleichsleist." error="Bitte aus Dropdownliste auswählen.">
          <x14:formula1>
            <xm:f>'SD2'!$C$11:$C$49</xm:f>
          </x14:formula1>
          <xm:sqref>C14:F17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6">
    <tabColor theme="6" tint="-0.249977111117893"/>
    <pageSetUpPr fitToPage="1"/>
  </sheetPr>
  <dimension ref="A1:AO206"/>
  <sheetViews>
    <sheetView showZeros="0" workbookViewId="0"/>
  </sheetViews>
  <sheetFormatPr baseColWidth="10" defaultColWidth="10.5" defaultRowHeight="12.75"/>
  <cols>
    <col min="1" max="1" width="1.5" style="32" customWidth="1"/>
    <col min="2" max="2" width="3.25" style="32" customWidth="1"/>
    <col min="3" max="3" width="13.25" style="32" customWidth="1"/>
    <col min="4" max="6" width="9.25" style="32" customWidth="1"/>
    <col min="7" max="7" width="9.25" style="39" customWidth="1"/>
    <col min="8" max="8" width="9.25" style="32" customWidth="1"/>
    <col min="9" max="16" width="7.25" style="32" customWidth="1"/>
    <col min="17" max="17" width="38.625" style="32" hidden="1" customWidth="1"/>
    <col min="18" max="27" width="0" style="31" hidden="1" customWidth="1"/>
    <col min="28" max="16384" width="10.5" style="31"/>
  </cols>
  <sheetData>
    <row r="1" spans="1:41" s="274" customFormat="1" ht="30.2" customHeight="1">
      <c r="A1" s="2475"/>
      <c r="B1" s="319"/>
      <c r="C1" s="1876"/>
      <c r="D1" s="136"/>
      <c r="E1" s="316"/>
      <c r="F1" s="316"/>
      <c r="G1" s="4933" t="s">
        <v>1636</v>
      </c>
      <c r="H1" s="4933"/>
      <c r="I1" s="4933"/>
      <c r="J1" s="1874">
        <f>(J7+J13+J18+J22+I11+I12)-(J23+J27+J34+J43+J60+J65+J67+J69+J71+J75)</f>
        <v>-326.21750127920171</v>
      </c>
      <c r="K1" s="4855">
        <f>M1-J1</f>
        <v>0</v>
      </c>
      <c r="L1" s="4855"/>
      <c r="M1" s="1874">
        <f>(M7+M13+M18+M22+L11+L12)-(M23+M27+M34+M43+M60+M65+M67+M69+M71+M75)</f>
        <v>-326.21750127920171</v>
      </c>
      <c r="N1" s="4855">
        <f>P1-M1</f>
        <v>0</v>
      </c>
      <c r="O1" s="4855"/>
      <c r="P1" s="1874">
        <f>(P7+P13+P18+P22+O11+O12)-(P23+P27+P34+P43+P60+P65+P67+P69+P71+P75)</f>
        <v>-326.21750127920171</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592" t="str">
        <f>"Berechnungsgrundlagen (Deckungsbeitrag "&amp;SDÖ1!O8 &amp;")"</f>
        <v>Berechnungsgrundlagen (Deckungsbeitrag ohne MwSt.)</v>
      </c>
      <c r="G2" s="1859"/>
      <c r="H2" s="1870"/>
      <c r="K2" s="4867" t="s">
        <v>1656</v>
      </c>
      <c r="L2" s="4867"/>
      <c r="M2" s="4867"/>
      <c r="N2" s="4867"/>
      <c r="O2" s="4867"/>
      <c r="P2" s="4867"/>
      <c r="Q2" s="2475"/>
    </row>
    <row r="3" spans="1:41" s="274" customFormat="1" ht="21.75" customHeight="1">
      <c r="A3" s="2475"/>
      <c r="B3" s="1871" t="s">
        <v>1635</v>
      </c>
      <c r="G3" s="1859"/>
      <c r="H3" s="1870"/>
      <c r="J3" s="33"/>
      <c r="K3" s="33"/>
      <c r="L3" s="33"/>
      <c r="M3" s="33"/>
      <c r="N3" s="4934" t="str">
        <f>IF(AND(T3=TRUE,T4=TRUE),"nur 1 Strohnutzung möglich","")</f>
        <v/>
      </c>
      <c r="O3" s="4869"/>
      <c r="P3" s="1868"/>
      <c r="Q3" s="2475"/>
      <c r="T3" s="1886" t="b">
        <v>0</v>
      </c>
    </row>
    <row r="4" spans="1:41" s="274" customFormat="1" ht="20.25" customHeight="1">
      <c r="A4" s="2475"/>
      <c r="B4" s="370" t="s">
        <v>1098</v>
      </c>
      <c r="C4" s="31"/>
      <c r="D4" s="31"/>
      <c r="E4" s="4994" t="s">
        <v>1655</v>
      </c>
      <c r="F4" s="4994"/>
      <c r="G4" s="4994"/>
      <c r="H4" s="4994"/>
      <c r="I4" s="4994"/>
      <c r="J4" s="33"/>
      <c r="K4" s="33"/>
      <c r="L4" s="33"/>
      <c r="M4" s="33"/>
      <c r="N4" s="4869"/>
      <c r="O4" s="4869"/>
      <c r="P4" s="1864">
        <f>SDÖ1!O3</f>
        <v>0</v>
      </c>
      <c r="Q4" s="2475"/>
      <c r="T4" s="1886" t="b">
        <v>1</v>
      </c>
    </row>
    <row r="5" spans="1:41" ht="6" customHeight="1"/>
    <row r="6" spans="1:41" s="1853" customFormat="1" ht="24" customHeight="1">
      <c r="A6" s="48"/>
      <c r="B6" s="1858" t="s">
        <v>1151</v>
      </c>
      <c r="C6" s="1857"/>
      <c r="D6" s="1857"/>
      <c r="E6" s="1857"/>
      <c r="F6" s="1857"/>
      <c r="G6" s="1856" t="s">
        <v>1642</v>
      </c>
      <c r="H6" s="4861" t="s">
        <v>179</v>
      </c>
      <c r="I6" s="4862"/>
      <c r="J6" s="1855"/>
      <c r="K6" s="4874" t="s">
        <v>152</v>
      </c>
      <c r="L6" s="4875"/>
      <c r="M6" s="1855"/>
      <c r="N6" s="4861" t="s">
        <v>178</v>
      </c>
      <c r="O6" s="4862"/>
      <c r="P6" s="1854"/>
      <c r="Q6" s="70"/>
    </row>
    <row r="7" spans="1:41" s="251" customFormat="1" ht="18.75" customHeight="1">
      <c r="A7" s="47"/>
      <c r="B7" s="305" t="s">
        <v>1633</v>
      </c>
      <c r="C7" s="47"/>
      <c r="D7" s="47"/>
      <c r="E7" s="47"/>
      <c r="F7" s="47"/>
      <c r="G7" s="1852" t="s">
        <v>171</v>
      </c>
      <c r="H7" s="1849"/>
      <c r="I7" s="1848"/>
      <c r="J7" s="1582">
        <f>SUM(I9:I10)</f>
        <v>0</v>
      </c>
      <c r="K7" s="1851"/>
      <c r="L7" s="1850"/>
      <c r="M7" s="1585">
        <f>SUM(L9:L10)</f>
        <v>0</v>
      </c>
      <c r="N7" s="1849"/>
      <c r="O7" s="1848"/>
      <c r="P7" s="1582">
        <f>SUM(O9:O10)</f>
        <v>0</v>
      </c>
      <c r="Q7" s="32"/>
    </row>
    <row r="8" spans="1:41" s="251" customFormat="1" ht="13.15" customHeight="1">
      <c r="A8" s="47"/>
      <c r="B8" s="1767"/>
      <c r="C8" s="1847"/>
      <c r="D8" s="1847"/>
      <c r="E8" s="1847"/>
      <c r="F8" s="1847"/>
      <c r="G8" s="1574" t="s">
        <v>228</v>
      </c>
      <c r="H8" s="1746" t="s">
        <v>172</v>
      </c>
      <c r="I8" s="1568" t="s">
        <v>171</v>
      </c>
      <c r="J8" s="1567"/>
      <c r="K8" s="1748" t="s">
        <v>172</v>
      </c>
      <c r="L8" s="1571" t="s">
        <v>171</v>
      </c>
      <c r="M8" s="1768"/>
      <c r="N8" s="1746" t="s">
        <v>172</v>
      </c>
      <c r="O8" s="1568" t="s">
        <v>171</v>
      </c>
      <c r="P8" s="1567"/>
      <c r="Q8" s="32"/>
    </row>
    <row r="9" spans="1:41" s="251" customFormat="1" ht="16.5" customHeight="1">
      <c r="A9" s="47"/>
      <c r="B9" s="305"/>
      <c r="C9" s="45" t="s">
        <v>1632</v>
      </c>
      <c r="D9" s="47"/>
      <c r="E9" s="47"/>
      <c r="F9" s="1846" t="s">
        <v>1201</v>
      </c>
      <c r="G9" s="1762"/>
      <c r="H9" s="1845">
        <f>J6-H10</f>
        <v>0</v>
      </c>
      <c r="I9" s="1841">
        <f>H9*G9</f>
        <v>0</v>
      </c>
      <c r="J9" s="43"/>
      <c r="K9" s="1844">
        <f>M6-K10</f>
        <v>0</v>
      </c>
      <c r="L9" s="1843">
        <f>K9*G9</f>
        <v>0</v>
      </c>
      <c r="M9" s="1822"/>
      <c r="N9" s="1842">
        <f>P6-N10</f>
        <v>0</v>
      </c>
      <c r="O9" s="1841">
        <f>N9*G9</f>
        <v>0</v>
      </c>
      <c r="P9" s="43"/>
      <c r="Q9" s="32"/>
      <c r="R9" s="913"/>
      <c r="S9" s="263" t="s">
        <v>1208</v>
      </c>
      <c r="T9" s="1840"/>
    </row>
    <row r="10" spans="1:41" s="1810" customFormat="1" ht="15" customHeight="1">
      <c r="A10" s="370"/>
      <c r="B10" s="239"/>
      <c r="C10" s="279" t="s">
        <v>1631</v>
      </c>
      <c r="D10" s="1819"/>
      <c r="E10" s="4872"/>
      <c r="F10" s="4873"/>
      <c r="G10" s="1839"/>
      <c r="H10" s="1834"/>
      <c r="I10" s="1833">
        <f>H10*G10</f>
        <v>0</v>
      </c>
      <c r="J10" s="1838"/>
      <c r="K10" s="1837"/>
      <c r="L10" s="1836">
        <f>K10*G10</f>
        <v>0</v>
      </c>
      <c r="M10" s="1835"/>
      <c r="N10" s="1834"/>
      <c r="O10" s="1833">
        <f>N10*G10</f>
        <v>0</v>
      </c>
      <c r="P10" s="1832"/>
      <c r="Q10" s="38"/>
      <c r="R10" s="1831">
        <f>I10+I11+I12</f>
        <v>0</v>
      </c>
      <c r="S10" s="1830">
        <f>L10+L11+L12</f>
        <v>0</v>
      </c>
      <c r="T10" s="1829">
        <f>O10+O11+O12</f>
        <v>0</v>
      </c>
      <c r="W10" s="251" t="s">
        <v>1198</v>
      </c>
    </row>
    <row r="11" spans="1:41" s="1810" customFormat="1" ht="15" customHeight="1">
      <c r="A11" s="370"/>
      <c r="B11" s="272"/>
      <c r="C11" s="45" t="s">
        <v>1197</v>
      </c>
      <c r="D11" s="370"/>
      <c r="E11" s="1828">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43"/>
      <c r="Q11" s="38"/>
      <c r="W11" s="1810" t="s">
        <v>1195</v>
      </c>
    </row>
    <row r="12" spans="1:41" s="1810" customFormat="1" ht="15" customHeight="1">
      <c r="A12" s="370"/>
      <c r="B12" s="239"/>
      <c r="C12" s="279" t="s">
        <v>1194</v>
      </c>
      <c r="D12" s="1819"/>
      <c r="E12" s="1818"/>
      <c r="F12" s="279" t="s">
        <v>1193</v>
      </c>
      <c r="G12" s="1817"/>
      <c r="H12" s="1816"/>
      <c r="I12" s="1811"/>
      <c r="J12" s="1815"/>
      <c r="K12" s="1812"/>
      <c r="L12" s="1814"/>
      <c r="M12" s="1813">
        <f>IF(AND(L12&gt;0,T4=FALSE),"keine Angabe bei M4 ?",0)</f>
        <v>0</v>
      </c>
      <c r="N12" s="1812"/>
      <c r="O12" s="1811"/>
      <c r="P12" s="43"/>
      <c r="Q12" s="38"/>
      <c r="U12" s="251"/>
      <c r="V12" s="251"/>
      <c r="W12" s="1808" t="s">
        <v>1191</v>
      </c>
      <c r="X12" s="1806">
        <f>IF(OR(T3=TRUE,T4=TRUE),J6*$E$11,"0")</f>
        <v>0</v>
      </c>
      <c r="Y12" s="1807">
        <f>IF(OR(T3=TRUE,T4=TRUE),M6*$E$11,"0")</f>
        <v>0</v>
      </c>
      <c r="Z12" s="1806">
        <f>IF(OR(T3=TRUE,T4=TRUE),P6*$E$11,"0")</f>
        <v>0</v>
      </c>
    </row>
    <row r="13" spans="1:41" s="251" customFormat="1" ht="18.75" customHeight="1">
      <c r="A13" s="47"/>
      <c r="B13" s="264" t="s">
        <v>1630</v>
      </c>
      <c r="C13" s="47"/>
      <c r="D13" s="47"/>
      <c r="E13" s="47"/>
      <c r="F13" s="47"/>
      <c r="G13" s="1809" t="s">
        <v>171</v>
      </c>
      <c r="H13" s="1792"/>
      <c r="I13" s="1791"/>
      <c r="J13" s="1582">
        <f>SUM(I14:I17)</f>
        <v>0</v>
      </c>
      <c r="K13" s="1794"/>
      <c r="L13" s="1793"/>
      <c r="M13" s="1585">
        <f>SUM(L14:L16)</f>
        <v>0</v>
      </c>
      <c r="N13" s="1792"/>
      <c r="O13" s="1791"/>
      <c r="P13" s="1582">
        <f>SUM(O14:O16)</f>
        <v>0</v>
      </c>
      <c r="Q13" s="32"/>
      <c r="R13" s="136"/>
      <c r="U13" s="42"/>
      <c r="V13" s="42"/>
      <c r="X13" s="1806">
        <f>IF(OR(T4=TRUE,T5=TRUE),J7*$E$11,"0")</f>
        <v>0</v>
      </c>
      <c r="Y13" s="1807">
        <f>IF(OR(T4=TRUE,T5=TRUE),M7*$E$11,"0")</f>
        <v>0</v>
      </c>
      <c r="Z13" s="1806">
        <f>IF(OR(T4=TRUE,T5=TRUE),P7*$E$11,"0")</f>
        <v>0</v>
      </c>
    </row>
    <row r="14" spans="1:41" s="42" customFormat="1" ht="15" customHeight="1">
      <c r="A14" s="45"/>
      <c r="B14" s="1789"/>
      <c r="C14" s="4860" t="s">
        <v>2042</v>
      </c>
      <c r="D14" s="4860"/>
      <c r="E14" s="4860"/>
      <c r="F14" s="4860"/>
      <c r="G14" s="1805"/>
      <c r="H14" s="1935" t="s">
        <v>1190</v>
      </c>
      <c r="I14" s="3909">
        <f>IF(H14="ja",Q14,0)</f>
        <v>0</v>
      </c>
      <c r="J14" s="45"/>
      <c r="K14" s="1804" t="s">
        <v>1190</v>
      </c>
      <c r="L14" s="1639">
        <f>IF(K14="ja",Q14,0)</f>
        <v>0</v>
      </c>
      <c r="M14" s="1557"/>
      <c r="N14" s="1804" t="s">
        <v>1190</v>
      </c>
      <c r="O14" s="1785">
        <f>IF(N14="ja",Q14,0)</f>
        <v>0</v>
      </c>
      <c r="P14" s="1554"/>
      <c r="Q14" s="1803">
        <f>IF(C14=0,0,VLOOKUP(C14,'SD2'!$C$11:$N$49,'SD2'!$N$1,FALSE))</f>
        <v>240</v>
      </c>
      <c r="R14" s="1893"/>
      <c r="S14" s="1892"/>
      <c r="T14" s="1891"/>
      <c r="W14" s="42" t="s">
        <v>246</v>
      </c>
      <c r="X14" s="1802">
        <f>$X$12*F31</f>
        <v>0</v>
      </c>
      <c r="Y14" s="1802">
        <f>$Y$12*F31</f>
        <v>0</v>
      </c>
      <c r="Z14" s="1802">
        <f>$Z$12*F31</f>
        <v>0</v>
      </c>
    </row>
    <row r="15" spans="1:41" s="42" customFormat="1" ht="15" customHeight="1">
      <c r="A15" s="45"/>
      <c r="B15" s="1789"/>
      <c r="C15" s="4860"/>
      <c r="D15" s="4860"/>
      <c r="E15" s="4860"/>
      <c r="F15" s="4860"/>
      <c r="G15" s="1805"/>
      <c r="H15" s="1804" t="s">
        <v>1190</v>
      </c>
      <c r="I15" s="1785">
        <f>IF(H15="ja",Q15,0)</f>
        <v>0</v>
      </c>
      <c r="J15" s="45"/>
      <c r="K15" s="1804" t="s">
        <v>1190</v>
      </c>
      <c r="L15" s="1639">
        <f>IF(K15="ja",Q15,0)</f>
        <v>0</v>
      </c>
      <c r="M15" s="1557"/>
      <c r="N15" s="1804" t="s">
        <v>1190</v>
      </c>
      <c r="O15" s="1785">
        <f>IF(N15="ja",Q15,0)</f>
        <v>0</v>
      </c>
      <c r="P15" s="1554"/>
      <c r="Q15" s="1803">
        <f>IF(C15=0,0,VLOOKUP(C15,'SD2'!$C$11:$N$49,'SD2'!$N$1,FALSE))</f>
        <v>0</v>
      </c>
      <c r="R15" s="1890"/>
      <c r="S15" s="1886"/>
      <c r="T15" s="1889"/>
      <c r="W15" s="42" t="s">
        <v>998</v>
      </c>
      <c r="X15" s="1802">
        <f>$X$12*F32</f>
        <v>0</v>
      </c>
      <c r="Y15" s="1802">
        <f>$Y$12*F32</f>
        <v>0</v>
      </c>
      <c r="Z15" s="1802">
        <f>$Z$12*F32</f>
        <v>0</v>
      </c>
    </row>
    <row r="16" spans="1:41" s="42" customFormat="1" ht="15" customHeight="1">
      <c r="A16" s="45"/>
      <c r="B16" s="1789"/>
      <c r="C16" s="4860"/>
      <c r="D16" s="4860"/>
      <c r="E16" s="4860"/>
      <c r="F16" s="4860"/>
      <c r="G16" s="1805"/>
      <c r="H16" s="1804" t="s">
        <v>1190</v>
      </c>
      <c r="I16" s="1785">
        <f>IF(H16="ja",Q16,0)</f>
        <v>0</v>
      </c>
      <c r="J16" s="45"/>
      <c r="K16" s="1804" t="s">
        <v>1190</v>
      </c>
      <c r="L16" s="1639">
        <f>IF(K16="ja",Q16,0)</f>
        <v>0</v>
      </c>
      <c r="M16" s="1557"/>
      <c r="N16" s="1804" t="s">
        <v>1190</v>
      </c>
      <c r="O16" s="1785">
        <f>IF(N16="ja",Q16,0)</f>
        <v>0</v>
      </c>
      <c r="P16" s="1554"/>
      <c r="Q16" s="1803">
        <f>IF(C16=0,0,VLOOKUP(C16,'SD2'!$C$11:$N$49,'SD2'!$N$1,FALSE))</f>
        <v>0</v>
      </c>
      <c r="R16" s="1890"/>
      <c r="S16" s="1886"/>
      <c r="T16" s="1889"/>
      <c r="W16" s="42" t="s">
        <v>997</v>
      </c>
      <c r="X16" s="1802">
        <f>$X$12*F33</f>
        <v>0</v>
      </c>
      <c r="Y16" s="1802">
        <f>$Y$12*F33</f>
        <v>0</v>
      </c>
      <c r="Z16" s="1802">
        <f>$Z$12*F33</f>
        <v>0</v>
      </c>
    </row>
    <row r="17" spans="1:26" s="686" customFormat="1" ht="15" customHeight="1">
      <c r="A17" s="47"/>
      <c r="B17" s="1789"/>
      <c r="C17" s="4860"/>
      <c r="D17" s="4860"/>
      <c r="E17" s="4860"/>
      <c r="F17" s="4860"/>
      <c r="G17" s="1805"/>
      <c r="H17" s="1804" t="s">
        <v>1190</v>
      </c>
      <c r="I17" s="1785">
        <f>IF(H17="ja",Q17,0)</f>
        <v>0</v>
      </c>
      <c r="J17" s="45"/>
      <c r="K17" s="1804" t="s">
        <v>1190</v>
      </c>
      <c r="L17" s="1639">
        <f>IF(K17="ja",Q17,0)</f>
        <v>0</v>
      </c>
      <c r="M17" s="1557"/>
      <c r="N17" s="1804" t="s">
        <v>1190</v>
      </c>
      <c r="O17" s="1785">
        <f>IF(N17="ja",Q17,0)</f>
        <v>0</v>
      </c>
      <c r="P17" s="1554"/>
      <c r="Q17" s="1803">
        <f>IF(C17=0,0,VLOOKUP(C17,'SD2'!$C$11:$N$49,'SD2'!$N$1,FALSE))</f>
        <v>0</v>
      </c>
      <c r="W17" s="42" t="s">
        <v>240</v>
      </c>
      <c r="X17" s="1802">
        <f>$X$12*F34</f>
        <v>0</v>
      </c>
      <c r="Y17" s="1802">
        <f>$Y$12*F34</f>
        <v>0</v>
      </c>
      <c r="Z17" s="1802">
        <f>$Z$12*F34</f>
        <v>0</v>
      </c>
    </row>
    <row r="18" spans="1:26" s="42" customFormat="1" ht="18.75" customHeight="1">
      <c r="A18" s="45"/>
      <c r="B18" s="264" t="s">
        <v>2114</v>
      </c>
      <c r="C18" s="2466"/>
      <c r="D18" s="2466"/>
      <c r="E18" s="2466"/>
      <c r="F18" s="2466"/>
      <c r="G18" s="3306"/>
      <c r="H18" s="3068"/>
      <c r="I18" s="3307"/>
      <c r="J18" s="1582">
        <f>SUM(I19:I21)</f>
        <v>0</v>
      </c>
      <c r="K18" s="3069"/>
      <c r="L18" s="3308"/>
      <c r="M18" s="1585">
        <f>SUM(L19:L21)</f>
        <v>0</v>
      </c>
      <c r="N18" s="3068"/>
      <c r="O18" s="3307"/>
      <c r="P18" s="1582">
        <f>SUM(O19:O21)</f>
        <v>0</v>
      </c>
      <c r="Q18" s="32"/>
      <c r="R18" s="693" t="s">
        <v>1189</v>
      </c>
      <c r="S18" s="369"/>
      <c r="T18" s="1790"/>
    </row>
    <row r="19" spans="1:26" ht="15.6" customHeight="1">
      <c r="A19" s="370"/>
      <c r="B19" s="1789"/>
      <c r="C19" s="4860" t="s">
        <v>2109</v>
      </c>
      <c r="D19" s="4860"/>
      <c r="E19" s="4860"/>
      <c r="F19" s="4860"/>
      <c r="G19" s="1788" t="s">
        <v>171</v>
      </c>
      <c r="H19" s="1786"/>
      <c r="I19" s="3909">
        <f>IF(OR($C19=0,$J$6=0),0,VLOOKUP($C19,'SD2'!C59:N75,12,FALSE))</f>
        <v>0</v>
      </c>
      <c r="J19" s="45">
        <f>SUM(I23:I24)</f>
        <v>0</v>
      </c>
      <c r="K19" s="1787"/>
      <c r="L19" s="1639">
        <f>IF(OR($C19=0,$M$6=0),0,VLOOKUP($C19,'SD2'!$C$59:$N$74,12,FALSE))</f>
        <v>0</v>
      </c>
      <c r="M19" s="1557">
        <f>SUM(L23:L24)</f>
        <v>0</v>
      </c>
      <c r="N19" s="1786"/>
      <c r="O19" s="1785">
        <f>IF(OR($C19=0,$P$6=0),0,VLOOKUP($C19,'SD2'!C59:N75,12,FALSE))</f>
        <v>0</v>
      </c>
      <c r="P19" s="1554">
        <f>SUM(O23:O24)</f>
        <v>0</v>
      </c>
      <c r="R19" s="1784">
        <f>J13+J18</f>
        <v>0</v>
      </c>
      <c r="S19" s="1784">
        <f>M13+M18</f>
        <v>0</v>
      </c>
      <c r="T19" s="1784">
        <f>P13+P18</f>
        <v>0</v>
      </c>
    </row>
    <row r="20" spans="1:26" s="3981" customFormat="1" ht="15.6" customHeight="1">
      <c r="A20" s="3857"/>
      <c r="B20" s="1789"/>
      <c r="C20" s="4860" t="s">
        <v>2119</v>
      </c>
      <c r="D20" s="4860"/>
      <c r="E20" s="4860"/>
      <c r="F20" s="4860"/>
      <c r="G20" s="1788"/>
      <c r="H20" s="1786"/>
      <c r="I20" s="3909">
        <f>IF(OR($C20=0,$J$6=0),0,VLOOKUP($C20,'SD2'!C60:N76,12,FALSE))</f>
        <v>0</v>
      </c>
      <c r="J20" s="3852"/>
      <c r="K20" s="1787"/>
      <c r="L20" s="3899">
        <f>IF(OR($C20=0,$M$6=0),0,VLOOKUP($C20,'SD2'!$C$59:$N$74,12,FALSE))</f>
        <v>0</v>
      </c>
      <c r="M20" s="3864"/>
      <c r="N20" s="1786"/>
      <c r="O20" s="3909">
        <f>IF(OR($C20=0,$P$6=0),0,VLOOKUP($C20,'SD2'!C60:N76,12,FALSE))</f>
        <v>0</v>
      </c>
      <c r="P20" s="1554"/>
      <c r="Q20" s="3982"/>
      <c r="R20" s="3968"/>
      <c r="S20" s="3968"/>
      <c r="T20" s="3968"/>
    </row>
    <row r="21" spans="1:26" s="3981" customFormat="1" ht="15.6" customHeight="1">
      <c r="A21" s="3857"/>
      <c r="B21" s="1789"/>
      <c r="C21" s="4860" t="s">
        <v>2120</v>
      </c>
      <c r="D21" s="4860"/>
      <c r="E21" s="4860"/>
      <c r="F21" s="4860"/>
      <c r="G21" s="4018"/>
      <c r="H21" s="1786"/>
      <c r="I21" s="3909">
        <f>IF(OR($C21=0,$J$6=0),0,VLOOKUP($C21,'SD2'!C61:N77,12,FALSE))</f>
        <v>0</v>
      </c>
      <c r="J21" s="3852"/>
      <c r="K21" s="1787"/>
      <c r="L21" s="3899">
        <f>IF(OR($C21=0,$M$6=0),0,VLOOKUP($C21,'SD2'!$C$59:$N$74,12,FALSE))</f>
        <v>0</v>
      </c>
      <c r="M21" s="3864"/>
      <c r="N21" s="1786"/>
      <c r="O21" s="3909">
        <f>IF(OR($C21=0,$P$6=0),0,VLOOKUP($C21,'SD2'!C61:N77,12,FALSE))</f>
        <v>0</v>
      </c>
      <c r="P21" s="1554"/>
      <c r="Q21" s="3982"/>
      <c r="R21" s="3968"/>
      <c r="S21" s="3968"/>
      <c r="T21" s="3968"/>
    </row>
    <row r="22" spans="1:26" ht="15.6" customHeight="1">
      <c r="A22" s="370"/>
      <c r="B22" s="305" t="s">
        <v>1188</v>
      </c>
      <c r="C22" s="45"/>
      <c r="D22" s="1775"/>
      <c r="E22" s="4865" t="s">
        <v>1187</v>
      </c>
      <c r="F22" s="4865"/>
      <c r="G22" s="4866"/>
      <c r="H22" s="1772"/>
      <c r="I22" s="1771"/>
      <c r="J22" s="1770"/>
      <c r="K22" s="1774"/>
      <c r="L22" s="1773"/>
      <c r="M22" s="1770"/>
      <c r="N22" s="1772"/>
      <c r="O22" s="1771"/>
      <c r="P22" s="1770"/>
    </row>
    <row r="23" spans="1:26" s="42" customFormat="1" ht="18.75" customHeight="1">
      <c r="A23" s="1284"/>
      <c r="B23" s="264" t="s">
        <v>222</v>
      </c>
      <c r="C23" s="1769"/>
      <c r="D23" s="1769"/>
      <c r="E23" s="38"/>
      <c r="F23" s="4876"/>
      <c r="G23" s="4877" t="s">
        <v>171</v>
      </c>
      <c r="H23" s="1584"/>
      <c r="I23" s="1583"/>
      <c r="J23" s="1567">
        <f>SUM(I25:I26)</f>
        <v>245</v>
      </c>
      <c r="K23" s="1587"/>
      <c r="L23" s="1586"/>
      <c r="M23" s="1768">
        <f>SUM(L25:L26)</f>
        <v>245</v>
      </c>
      <c r="N23" s="1584"/>
      <c r="O23" s="1583"/>
      <c r="P23" s="1567">
        <f>SUM(O25:O26)</f>
        <v>245</v>
      </c>
      <c r="Q23" s="32"/>
    </row>
    <row r="24" spans="1:26" s="42" customFormat="1" ht="15" customHeight="1">
      <c r="A24" s="1284"/>
      <c r="B24" s="1767"/>
      <c r="C24" s="1580" t="s">
        <v>1156</v>
      </c>
      <c r="D24" s="1651">
        <f>SDÖ1!$O$10</f>
        <v>0</v>
      </c>
      <c r="E24" s="1766"/>
      <c r="F24" s="1574" t="s">
        <v>249</v>
      </c>
      <c r="G24" s="1650" t="s">
        <v>1155</v>
      </c>
      <c r="H24" s="1746" t="s">
        <v>1176</v>
      </c>
      <c r="I24" s="1568" t="s">
        <v>171</v>
      </c>
      <c r="J24" s="38"/>
      <c r="K24" s="1748" t="s">
        <v>1176</v>
      </c>
      <c r="L24" s="1571" t="s">
        <v>171</v>
      </c>
      <c r="M24" s="1765"/>
      <c r="N24" s="1746" t="s">
        <v>1176</v>
      </c>
      <c r="O24" s="1568" t="s">
        <v>171</v>
      </c>
      <c r="P24" s="1726"/>
      <c r="Q24" s="32"/>
    </row>
    <row r="25" spans="1:26" s="686" customFormat="1" ht="18.75" customHeight="1">
      <c r="A25" s="1248"/>
      <c r="B25" s="1764"/>
      <c r="C25" s="1284" t="s">
        <v>1185</v>
      </c>
      <c r="D25" s="4878"/>
      <c r="E25" s="4879"/>
      <c r="F25" s="1763"/>
      <c r="G25" s="1762">
        <f>F25*(100+$D$24)/100</f>
        <v>0</v>
      </c>
      <c r="H25" s="1761"/>
      <c r="I25" s="1722">
        <f>H25*$G25</f>
        <v>0</v>
      </c>
      <c r="J25" s="45"/>
      <c r="K25" s="1761">
        <f>H25</f>
        <v>0</v>
      </c>
      <c r="L25" s="1564">
        <f>K25*$G25</f>
        <v>0</v>
      </c>
      <c r="M25" s="1557"/>
      <c r="N25" s="1761">
        <f>H25</f>
        <v>0</v>
      </c>
      <c r="O25" s="1722">
        <f>N25*$G25</f>
        <v>0</v>
      </c>
      <c r="P25" s="1686"/>
      <c r="Q25" s="32"/>
    </row>
    <row r="26" spans="1:26" s="686" customFormat="1" ht="13.9" customHeight="1">
      <c r="A26" s="1248"/>
      <c r="B26" s="1310"/>
      <c r="C26" s="1760" t="s">
        <v>191</v>
      </c>
      <c r="D26" s="4925" t="s">
        <v>888</v>
      </c>
      <c r="E26" s="4881"/>
      <c r="F26" s="1759">
        <v>3.5</v>
      </c>
      <c r="G26" s="1758">
        <f>F26*(100+$D$24)/100</f>
        <v>3.5</v>
      </c>
      <c r="H26" s="1757">
        <v>70</v>
      </c>
      <c r="I26" s="1718">
        <f>H26*$G26</f>
        <v>245</v>
      </c>
      <c r="J26" s="45"/>
      <c r="K26" s="1757">
        <f>H26</f>
        <v>70</v>
      </c>
      <c r="L26" s="1558">
        <f>K26*$G26</f>
        <v>245</v>
      </c>
      <c r="M26" s="1557"/>
      <c r="N26" s="1757">
        <f>H26</f>
        <v>70</v>
      </c>
      <c r="O26" s="1718">
        <f>N26*$G26</f>
        <v>245</v>
      </c>
      <c r="P26" s="1717"/>
      <c r="Q26" s="32"/>
    </row>
    <row r="27" spans="1:26" s="686" customFormat="1" ht="17.45" customHeight="1">
      <c r="A27" s="1248"/>
      <c r="B27" s="1756" t="s">
        <v>221</v>
      </c>
      <c r="C27" s="1248"/>
      <c r="D27" s="73" t="str">
        <f>IF(SDÖ1!U17=FALSE,"(Nährstoffabfuhr nicht bewertet)","(Nährstoffabfuhr bewertet)")</f>
        <v>(Nährstoffabfuhr bewertet)</v>
      </c>
      <c r="E27" s="38"/>
      <c r="F27" s="38"/>
      <c r="G27" s="1755" t="s">
        <v>171</v>
      </c>
      <c r="H27" s="1714"/>
      <c r="I27" s="1713"/>
      <c r="J27" s="1582">
        <f>SUM(I30:I33)</f>
        <v>0</v>
      </c>
      <c r="K27" s="1716"/>
      <c r="L27" s="1715"/>
      <c r="M27" s="1585">
        <f>SUM(L30:L33)</f>
        <v>0</v>
      </c>
      <c r="N27" s="1714"/>
      <c r="O27" s="1713"/>
      <c r="P27" s="1582">
        <f>SUM(O30:O33)</f>
        <v>0</v>
      </c>
      <c r="Q27" s="32"/>
    </row>
    <row r="28" spans="1:26" s="42" customFormat="1" ht="15" customHeight="1">
      <c r="A28" s="1284"/>
      <c r="B28" s="1312"/>
      <c r="C28" s="3195"/>
      <c r="D28" s="1754" t="s">
        <v>1019</v>
      </c>
      <c r="E28" s="1754" t="s">
        <v>1183</v>
      </c>
      <c r="F28" s="1754" t="s">
        <v>1183</v>
      </c>
      <c r="G28" s="1753" t="s">
        <v>1182</v>
      </c>
      <c r="H28" s="1713"/>
      <c r="I28" s="1750"/>
      <c r="J28" s="3196"/>
      <c r="K28" s="1716"/>
      <c r="L28" s="1646"/>
      <c r="M28" s="1751"/>
      <c r="N28" s="1714"/>
      <c r="O28" s="1750"/>
      <c r="P28" s="1567"/>
      <c r="Q28" s="32"/>
    </row>
    <row r="29" spans="1:26" s="42" customFormat="1" ht="15" customHeight="1">
      <c r="A29" s="1284"/>
      <c r="B29" s="1749"/>
      <c r="C29" s="1285" t="s">
        <v>1181</v>
      </c>
      <c r="D29" s="1575" t="s">
        <v>852</v>
      </c>
      <c r="E29" s="1575" t="s">
        <v>1180</v>
      </c>
      <c r="F29" s="1575" t="s">
        <v>1179</v>
      </c>
      <c r="G29" s="1575" t="s">
        <v>1628</v>
      </c>
      <c r="H29" s="1746" t="s">
        <v>853</v>
      </c>
      <c r="I29" s="1568" t="s">
        <v>171</v>
      </c>
      <c r="J29" s="3195"/>
      <c r="K29" s="1748" t="s">
        <v>853</v>
      </c>
      <c r="L29" s="1571" t="s">
        <v>171</v>
      </c>
      <c r="M29" s="1747"/>
      <c r="N29" s="1746" t="s">
        <v>853</v>
      </c>
      <c r="O29" s="1568" t="s">
        <v>171</v>
      </c>
      <c r="P29" s="1745"/>
      <c r="Q29" s="32"/>
    </row>
    <row r="30" spans="1:26" s="42" customFormat="1" ht="15" customHeight="1">
      <c r="A30" s="1284"/>
      <c r="B30" s="1744"/>
      <c r="C30" s="1743" t="s">
        <v>246</v>
      </c>
      <c r="D30" s="1691">
        <f>IF(SDÖ1!$U$17=TRUE,SDÖ1!O55,0)</f>
        <v>4.37</v>
      </c>
      <c r="E30" s="1742">
        <v>-0.35</v>
      </c>
      <c r="F30" s="1742"/>
      <c r="G30" s="1741">
        <v>20</v>
      </c>
      <c r="H30" s="1739">
        <f>IF(J$6=0,0,(J$6*$E30+$G30+X13))</f>
        <v>0</v>
      </c>
      <c r="I30" s="1722">
        <f>H30*$D30</f>
        <v>0</v>
      </c>
      <c r="J30" s="45"/>
      <c r="K30" s="1740">
        <f>IF(M$6=0,0,(M$6*$E30+$G30+AA14))</f>
        <v>0</v>
      </c>
      <c r="L30" s="1564">
        <f>K30*$D30</f>
        <v>0</v>
      </c>
      <c r="M30" s="1557"/>
      <c r="N30" s="1739">
        <f>IF(P$6=0,0,(P$6*$E30+$G30+AD14))</f>
        <v>0</v>
      </c>
      <c r="O30" s="1722">
        <f>N30*$D30</f>
        <v>0</v>
      </c>
      <c r="P30" s="1686"/>
      <c r="Q30" s="32"/>
    </row>
    <row r="31" spans="1:26" s="42" customFormat="1" ht="15" customHeight="1">
      <c r="A31" s="1284"/>
      <c r="B31" s="272"/>
      <c r="C31" s="1284" t="s">
        <v>244</v>
      </c>
      <c r="D31" s="1691">
        <f>IF(SDÖ1!$U$17=TRUE,SDÖ1!O56,0)</f>
        <v>1.3740000000000001</v>
      </c>
      <c r="E31" s="1742"/>
      <c r="F31" s="1742"/>
      <c r="G31" s="1741"/>
      <c r="H31" s="1739">
        <f>IF(J$6=0,0,(J$6*$E31+$G31+X14))</f>
        <v>0</v>
      </c>
      <c r="I31" s="1722">
        <f>H31*$D31</f>
        <v>0</v>
      </c>
      <c r="J31" s="45"/>
      <c r="K31" s="1740">
        <f>IF(M$6=0,0,(M$6*$E31+$G31+Y14))</f>
        <v>0</v>
      </c>
      <c r="L31" s="1564">
        <f>K31*$D31</f>
        <v>0</v>
      </c>
      <c r="M31" s="1557"/>
      <c r="N31" s="1739">
        <f>IF(P$6=0,0,(P$6*$E31+$G31+Z14))</f>
        <v>0</v>
      </c>
      <c r="O31" s="1722">
        <f>N31*$D31</f>
        <v>0</v>
      </c>
      <c r="P31" s="1686"/>
      <c r="Q31" s="32"/>
    </row>
    <row r="32" spans="1:26" s="686" customFormat="1" ht="18.75" customHeight="1">
      <c r="A32" s="1248"/>
      <c r="B32" s="272"/>
      <c r="C32" s="1284" t="s">
        <v>242</v>
      </c>
      <c r="D32" s="1691">
        <f>IF(SDÖ1!$U$17=TRUE,SDÖ1!O57,0)</f>
        <v>1.35</v>
      </c>
      <c r="E32" s="1742"/>
      <c r="F32" s="1742"/>
      <c r="G32" s="1741"/>
      <c r="H32" s="1739">
        <f>IF(J$6=0,0,(J$6*$E32+$G32+X15))</f>
        <v>0</v>
      </c>
      <c r="I32" s="1722">
        <f>H32*$D32</f>
        <v>0</v>
      </c>
      <c r="J32" s="45"/>
      <c r="K32" s="1740">
        <f>IF(M$6=0,0,(M$6*$E32+$G32+Y15))</f>
        <v>0</v>
      </c>
      <c r="L32" s="1564">
        <f>K32*$D32</f>
        <v>0</v>
      </c>
      <c r="M32" s="1557"/>
      <c r="N32" s="1739">
        <f>IF(P$6=0,0,(P$6*$E32+$G32+Z15))</f>
        <v>0</v>
      </c>
      <c r="O32" s="1722">
        <f>N32*$D32</f>
        <v>0</v>
      </c>
      <c r="P32" s="1686"/>
      <c r="Q32" s="32"/>
    </row>
    <row r="33" spans="1:17" s="686" customFormat="1" ht="13.15" customHeight="1">
      <c r="A33" s="1248"/>
      <c r="B33" s="239"/>
      <c r="C33" s="1309" t="s">
        <v>240</v>
      </c>
      <c r="D33" s="1674">
        <f>IF(SDÖ1!$U$17=TRUE,SDÖ1!O58,0)</f>
        <v>0.5</v>
      </c>
      <c r="E33" s="1738"/>
      <c r="F33" s="1738"/>
      <c r="G33" s="1737"/>
      <c r="H33" s="1735">
        <f>IF(J$6=0,0,(J$6*$E33+$G33+X16))</f>
        <v>0</v>
      </c>
      <c r="I33" s="1718">
        <f>H33*$D33</f>
        <v>0</v>
      </c>
      <c r="J33" s="45"/>
      <c r="K33" s="1736">
        <f>IF(M$6=0,0,(M$6*$E33+$G33+Y16))</f>
        <v>0</v>
      </c>
      <c r="L33" s="1558">
        <f>K33*$D33</f>
        <v>0</v>
      </c>
      <c r="M33" s="1557"/>
      <c r="N33" s="1735">
        <f>IF(P$6=0,0,(P$6*$E33+$G33+Z16))</f>
        <v>0</v>
      </c>
      <c r="O33" s="1718">
        <f>N33*$D33</f>
        <v>0</v>
      </c>
      <c r="P33" s="1717"/>
      <c r="Q33" s="32"/>
    </row>
    <row r="34" spans="1:17" s="42" customFormat="1" ht="15" customHeight="1">
      <c r="A34" s="1284"/>
      <c r="B34" s="1254" t="s">
        <v>1627</v>
      </c>
      <c r="C34" s="1248"/>
      <c r="D34" s="3195"/>
      <c r="E34" s="3195"/>
      <c r="F34" s="4876"/>
      <c r="G34" s="4877" t="s">
        <v>171</v>
      </c>
      <c r="H34" s="1732"/>
      <c r="I34" s="1731"/>
      <c r="J34" s="1582">
        <f>SUM(I36:I42)</f>
        <v>0</v>
      </c>
      <c r="K34" s="1734"/>
      <c r="L34" s="1733"/>
      <c r="M34" s="1585">
        <f>SUM(L36:L42)</f>
        <v>0</v>
      </c>
      <c r="N34" s="1732"/>
      <c r="O34" s="1731"/>
      <c r="P34" s="1582">
        <f>SUM(O36:O42)</f>
        <v>0</v>
      </c>
      <c r="Q34" s="32"/>
    </row>
    <row r="35" spans="1:17" s="42" customFormat="1" ht="15" customHeight="1">
      <c r="A35" s="1284"/>
      <c r="B35" s="1581"/>
      <c r="C35" s="1580" t="s">
        <v>1156</v>
      </c>
      <c r="D35" s="1651">
        <f>SDÖ1!$O$11</f>
        <v>0</v>
      </c>
      <c r="E35" s="1578"/>
      <c r="F35" s="1574" t="s">
        <v>249</v>
      </c>
      <c r="G35" s="1650" t="s">
        <v>1155</v>
      </c>
      <c r="H35" s="1727" t="s">
        <v>1176</v>
      </c>
      <c r="I35" s="1568" t="s">
        <v>171</v>
      </c>
      <c r="J35" s="1730"/>
      <c r="K35" s="1729" t="s">
        <v>1176</v>
      </c>
      <c r="L35" s="1571" t="s">
        <v>171</v>
      </c>
      <c r="M35" s="1728"/>
      <c r="N35" s="1727" t="s">
        <v>1176</v>
      </c>
      <c r="O35" s="1568" t="s">
        <v>171</v>
      </c>
      <c r="P35" s="1567"/>
      <c r="Q35" s="32"/>
    </row>
    <row r="36" spans="1:17" s="42" customFormat="1" ht="15" customHeight="1">
      <c r="A36" s="1284"/>
      <c r="B36" s="1562"/>
      <c r="C36" s="4884" t="s">
        <v>1523</v>
      </c>
      <c r="D36" s="4884"/>
      <c r="E36" s="4885"/>
      <c r="F36" s="1724">
        <f>IF(C36=0,0,VLOOKUP(C36,SDÖ5!$C$6:$D$33,2,FALSE))</f>
        <v>10</v>
      </c>
      <c r="G36" s="1724">
        <f t="shared" ref="G36:G42" si="0">F36*(100+$D$35)/100</f>
        <v>10</v>
      </c>
      <c r="H36" s="1723"/>
      <c r="I36" s="1722">
        <f t="shared" ref="I36:I42" si="1">$G36*H36</f>
        <v>0</v>
      </c>
      <c r="J36" s="45"/>
      <c r="K36" s="1723"/>
      <c r="L36" s="1564">
        <f t="shared" ref="L36:L42" si="2">$G36*K36</f>
        <v>0</v>
      </c>
      <c r="M36" s="1557"/>
      <c r="N36" s="1723"/>
      <c r="O36" s="1722">
        <f t="shared" ref="O36:O42" si="3">$G36*N36</f>
        <v>0</v>
      </c>
      <c r="P36" s="1726"/>
      <c r="Q36" s="32"/>
    </row>
    <row r="37" spans="1:17" s="42" customFormat="1" ht="15" customHeight="1">
      <c r="A37" s="1284"/>
      <c r="B37" s="1562"/>
      <c r="C37" s="4870"/>
      <c r="D37" s="4870"/>
      <c r="E37" s="4871"/>
      <c r="F37" s="1724">
        <f>IF(C37=0,0,VLOOKUP(C37,SDÖ5!$C$6:$D$33,2,FALSE))</f>
        <v>0</v>
      </c>
      <c r="G37" s="1724">
        <f t="shared" si="0"/>
        <v>0</v>
      </c>
      <c r="H37" s="1723"/>
      <c r="I37" s="1722">
        <f t="shared" si="1"/>
        <v>0</v>
      </c>
      <c r="J37" s="45"/>
      <c r="K37" s="1723"/>
      <c r="L37" s="1564">
        <f t="shared" si="2"/>
        <v>0</v>
      </c>
      <c r="M37" s="1557"/>
      <c r="N37" s="1723"/>
      <c r="O37" s="1722">
        <f t="shared" si="3"/>
        <v>0</v>
      </c>
      <c r="P37" s="1686"/>
      <c r="Q37" s="32"/>
    </row>
    <row r="38" spans="1:17" s="42" customFormat="1" ht="15" hidden="1" customHeight="1">
      <c r="A38" s="1284"/>
      <c r="B38" s="1725"/>
      <c r="C38" s="4870"/>
      <c r="D38" s="4870"/>
      <c r="E38" s="4871"/>
      <c r="F38" s="1724">
        <f>IF(C38=0,0,VLOOKUP(C38,SDÖ5!$C$6:$D$33,2,FALSE))</f>
        <v>0</v>
      </c>
      <c r="G38" s="1724">
        <f t="shared" si="0"/>
        <v>0</v>
      </c>
      <c r="H38" s="1723"/>
      <c r="I38" s="1722">
        <f t="shared" si="1"/>
        <v>0</v>
      </c>
      <c r="J38" s="45"/>
      <c r="K38" s="1723"/>
      <c r="L38" s="1564">
        <f t="shared" si="2"/>
        <v>0</v>
      </c>
      <c r="M38" s="1557"/>
      <c r="N38" s="1723"/>
      <c r="O38" s="1722">
        <f t="shared" si="3"/>
        <v>0</v>
      </c>
      <c r="P38" s="1686"/>
      <c r="Q38" s="32"/>
    </row>
    <row r="39" spans="1:17" s="42" customFormat="1" ht="15" hidden="1" customHeight="1">
      <c r="A39" s="1284"/>
      <c r="B39" s="1562"/>
      <c r="C39" s="4870">
        <v>0</v>
      </c>
      <c r="D39" s="4870"/>
      <c r="E39" s="4871"/>
      <c r="F39" s="1724">
        <f>IF(C39=0,0,VLOOKUP(C39,SDÖ5!$C$6:$D$33,2,FALSE))</f>
        <v>0</v>
      </c>
      <c r="G39" s="1724">
        <f t="shared" si="0"/>
        <v>0</v>
      </c>
      <c r="H39" s="1723"/>
      <c r="I39" s="1722">
        <f t="shared" si="1"/>
        <v>0</v>
      </c>
      <c r="J39" s="45"/>
      <c r="K39" s="1723"/>
      <c r="L39" s="1564">
        <f t="shared" si="2"/>
        <v>0</v>
      </c>
      <c r="M39" s="1557"/>
      <c r="N39" s="1723"/>
      <c r="O39" s="1722">
        <f t="shared" si="3"/>
        <v>0</v>
      </c>
      <c r="P39" s="1686"/>
      <c r="Q39" s="32"/>
    </row>
    <row r="40" spans="1:17" s="42" customFormat="1" ht="15" hidden="1" customHeight="1">
      <c r="A40" s="1284"/>
      <c r="B40" s="1562"/>
      <c r="C40" s="4870"/>
      <c r="D40" s="4870"/>
      <c r="E40" s="4871"/>
      <c r="F40" s="1724">
        <f>IF(C40=0,0,VLOOKUP(C40,SDÖ5!$C$6:$D$16,2,FALSE))</f>
        <v>0</v>
      </c>
      <c r="G40" s="1724">
        <f t="shared" si="0"/>
        <v>0</v>
      </c>
      <c r="H40" s="1723"/>
      <c r="I40" s="1722">
        <f t="shared" si="1"/>
        <v>0</v>
      </c>
      <c r="J40" s="45"/>
      <c r="K40" s="1723"/>
      <c r="L40" s="1564">
        <f t="shared" si="2"/>
        <v>0</v>
      </c>
      <c r="M40" s="1557"/>
      <c r="N40" s="1723"/>
      <c r="O40" s="1722">
        <f t="shared" si="3"/>
        <v>0</v>
      </c>
      <c r="P40" s="1686"/>
      <c r="Q40" s="32"/>
    </row>
    <row r="41" spans="1:17" s="42" customFormat="1" ht="15" hidden="1" customHeight="1">
      <c r="A41" s="1284"/>
      <c r="B41" s="1562"/>
      <c r="C41" s="4870"/>
      <c r="D41" s="4870"/>
      <c r="E41" s="4871"/>
      <c r="F41" s="1724">
        <f>IF(C41=0,0,VLOOKUP(C41,SDÖ5!$C$6:$D$16,2,FALSE))</f>
        <v>0</v>
      </c>
      <c r="G41" s="1724">
        <f t="shared" si="0"/>
        <v>0</v>
      </c>
      <c r="H41" s="1723"/>
      <c r="I41" s="1722">
        <f t="shared" si="1"/>
        <v>0</v>
      </c>
      <c r="J41" s="45"/>
      <c r="K41" s="1723"/>
      <c r="L41" s="1564">
        <f t="shared" si="2"/>
        <v>0</v>
      </c>
      <c r="M41" s="1557"/>
      <c r="N41" s="1723"/>
      <c r="O41" s="1722">
        <f t="shared" si="3"/>
        <v>0</v>
      </c>
      <c r="P41" s="1686"/>
      <c r="Q41" s="32"/>
    </row>
    <row r="42" spans="1:17" s="686" customFormat="1" ht="18.75" customHeight="1">
      <c r="A42" s="1248"/>
      <c r="B42" s="1721"/>
      <c r="C42" s="4856"/>
      <c r="D42" s="4856"/>
      <c r="E42" s="4857"/>
      <c r="F42" s="1720">
        <f>IF(C42=0,0,VLOOKUP(C42,SDÖ5!$C$6:$D$16,2,FALSE))</f>
        <v>0</v>
      </c>
      <c r="G42" s="1720">
        <f t="shared" si="0"/>
        <v>0</v>
      </c>
      <c r="H42" s="1719"/>
      <c r="I42" s="1718">
        <f t="shared" si="1"/>
        <v>0</v>
      </c>
      <c r="J42" s="45"/>
      <c r="K42" s="1719"/>
      <c r="L42" s="1558">
        <f t="shared" si="2"/>
        <v>0</v>
      </c>
      <c r="M42" s="1557"/>
      <c r="N42" s="1719"/>
      <c r="O42" s="1718">
        <f t="shared" si="3"/>
        <v>0</v>
      </c>
      <c r="P42" s="1717"/>
      <c r="Q42" s="32"/>
    </row>
    <row r="43" spans="1:17" s="42" customFormat="1" ht="15" customHeight="1">
      <c r="A43" s="1284"/>
      <c r="B43" s="1254" t="s">
        <v>1175</v>
      </c>
      <c r="C43" s="1248"/>
      <c r="D43" s="1248"/>
      <c r="E43" s="1248"/>
      <c r="F43" s="1248"/>
      <c r="G43" s="1588"/>
      <c r="H43" s="1714"/>
      <c r="I43" s="1713"/>
      <c r="J43" s="1582">
        <f>SUM(J46:J57)</f>
        <v>77.455520210084018</v>
      </c>
      <c r="K43" s="1716"/>
      <c r="L43" s="1715"/>
      <c r="M43" s="1585">
        <f>SUM(M46:M57)</f>
        <v>77.455520210084018</v>
      </c>
      <c r="N43" s="1714"/>
      <c r="O43" s="1713"/>
      <c r="P43" s="1582">
        <f>SUM(P46:P57)</f>
        <v>77.455520210084018</v>
      </c>
      <c r="Q43" s="32"/>
    </row>
    <row r="44" spans="1:17" s="42" customFormat="1" ht="15" customHeight="1">
      <c r="A44" s="1284"/>
      <c r="B44" s="1312"/>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1705"/>
      <c r="Q44" s="32"/>
    </row>
    <row r="45" spans="1:17" s="42" customFormat="1" ht="15" customHeight="1">
      <c r="A45" s="1284"/>
      <c r="B45" s="551"/>
      <c r="C45" s="532"/>
      <c r="D45" s="1704"/>
      <c r="E45" s="1575" t="s">
        <v>1625</v>
      </c>
      <c r="F45" s="1575" t="s">
        <v>1169</v>
      </c>
      <c r="G45" s="1575" t="s">
        <v>556</v>
      </c>
      <c r="H45" s="1700" t="s">
        <v>1168</v>
      </c>
      <c r="I45" s="1574" t="s">
        <v>114</v>
      </c>
      <c r="J45" s="1699" t="s">
        <v>171</v>
      </c>
      <c r="K45" s="1703" t="s">
        <v>1168</v>
      </c>
      <c r="L45" s="1702" t="s">
        <v>114</v>
      </c>
      <c r="M45" s="1701" t="s">
        <v>171</v>
      </c>
      <c r="N45" s="1700" t="s">
        <v>1168</v>
      </c>
      <c r="O45" s="1574" t="s">
        <v>114</v>
      </c>
      <c r="P45" s="1699" t="s">
        <v>171</v>
      </c>
      <c r="Q45" s="32"/>
    </row>
    <row r="46" spans="1:17" s="42" customFormat="1" ht="15" customHeight="1">
      <c r="A46" s="1284"/>
      <c r="B46" s="1694"/>
      <c r="C46" s="4882" t="s">
        <v>446</v>
      </c>
      <c r="D46" s="4883"/>
      <c r="E46" s="1693">
        <f>IF($C46=0,0,VLOOKUP($C46,SDÖ3!$C$24:$O$99,4,FALSE))</f>
        <v>120</v>
      </c>
      <c r="F46" s="1692">
        <f>IF($C46=0,0,VLOOKUP($C46,SDÖ3!$C$24:$O$99,12,FALSE))</f>
        <v>1.05</v>
      </c>
      <c r="G46" s="1691">
        <f>IF($C46=0,0,VLOOKUP($C46,SDÖ3!$C$24:$O$99,13,FALSE))</f>
        <v>36.26405764705882</v>
      </c>
      <c r="H46" s="1688">
        <v>1</v>
      </c>
      <c r="I46" s="1687">
        <f t="shared" ref="I46:I56" si="4">$F46*H46</f>
        <v>1.05</v>
      </c>
      <c r="J46" s="1686">
        <f t="shared" ref="J46:J56" si="5">H46*$G46</f>
        <v>36.26405764705882</v>
      </c>
      <c r="K46" s="1688">
        <v>1</v>
      </c>
      <c r="L46" s="1690">
        <f t="shared" ref="L46:L56" si="6">$F46*K46</f>
        <v>1.05</v>
      </c>
      <c r="M46" s="1689">
        <f t="shared" ref="M46:M56" si="7">K46*$G46</f>
        <v>36.26405764705882</v>
      </c>
      <c r="N46" s="1688">
        <v>1</v>
      </c>
      <c r="O46" s="1687">
        <f t="shared" ref="O46:O56" si="8">$F46*N46</f>
        <v>1.05</v>
      </c>
      <c r="P46" s="1686">
        <f t="shared" ref="P46:P56" si="9">N46*$G46</f>
        <v>36.26405764705882</v>
      </c>
      <c r="Q46" s="32"/>
    </row>
    <row r="47" spans="1:17" s="42" customFormat="1" ht="15" customHeight="1">
      <c r="A47" s="1284"/>
      <c r="B47" s="1694"/>
      <c r="C47" s="4882"/>
      <c r="D47" s="4883"/>
      <c r="E47" s="1693">
        <f>IF($C47=0,0,VLOOKUP($C47,SDÖ3!$C$24:$O$99,4,FALSE))</f>
        <v>0</v>
      </c>
      <c r="F47" s="1692">
        <f>IF($C47=0,0,VLOOKUP($C47,SDÖ3!$C$24:$O$99,12,FALSE))</f>
        <v>0</v>
      </c>
      <c r="G47" s="1691">
        <f>IF($C47=0,0,VLOOKUP($C47,SDÖ3!$C$24:$O$99,13,FALSE))</f>
        <v>0</v>
      </c>
      <c r="H47" s="1688"/>
      <c r="I47" s="1687">
        <f t="shared" si="4"/>
        <v>0</v>
      </c>
      <c r="J47" s="1686">
        <f t="shared" si="5"/>
        <v>0</v>
      </c>
      <c r="K47" s="1688"/>
      <c r="L47" s="1690">
        <f t="shared" si="6"/>
        <v>0</v>
      </c>
      <c r="M47" s="1689">
        <f t="shared" si="7"/>
        <v>0</v>
      </c>
      <c r="N47" s="1688"/>
      <c r="O47" s="1687">
        <f t="shared" si="8"/>
        <v>0</v>
      </c>
      <c r="P47" s="1686">
        <f t="shared" si="9"/>
        <v>0</v>
      </c>
      <c r="Q47" s="32"/>
    </row>
    <row r="48" spans="1:17" s="42" customFormat="1" ht="15" customHeight="1">
      <c r="A48" s="1284"/>
      <c r="B48" s="1694"/>
      <c r="C48" s="4882" t="s">
        <v>414</v>
      </c>
      <c r="D48" s="4883"/>
      <c r="E48" s="1693">
        <f>IF($C48=0,0,VLOOKUP($C48,SDÖ3!$C$24:$O$99,4,FALSE))</f>
        <v>83</v>
      </c>
      <c r="F48" s="1692">
        <f>IF($C48=0,0,VLOOKUP($C48,SDÖ3!$C$24:$O$99,12,FALSE))</f>
        <v>1.17</v>
      </c>
      <c r="G48" s="1691">
        <f>IF($C48=0,0,VLOOKUP($C48,SDÖ3!$C$24:$O$99,13,FALSE))</f>
        <v>24.250817363025202</v>
      </c>
      <c r="H48" s="1688">
        <v>1</v>
      </c>
      <c r="I48" s="1687">
        <f t="shared" si="4"/>
        <v>1.17</v>
      </c>
      <c r="J48" s="1686">
        <f t="shared" si="5"/>
        <v>24.250817363025202</v>
      </c>
      <c r="K48" s="1688">
        <v>1</v>
      </c>
      <c r="L48" s="1690">
        <f t="shared" si="6"/>
        <v>1.17</v>
      </c>
      <c r="M48" s="1689">
        <f t="shared" si="7"/>
        <v>24.250817363025202</v>
      </c>
      <c r="N48" s="1688">
        <v>1</v>
      </c>
      <c r="O48" s="1687">
        <f t="shared" si="8"/>
        <v>1.17</v>
      </c>
      <c r="P48" s="1686">
        <f t="shared" si="9"/>
        <v>24.250817363025202</v>
      </c>
      <c r="Q48" s="32"/>
    </row>
    <row r="49" spans="1:17" s="42" customFormat="1" ht="15" customHeight="1">
      <c r="A49" s="1284"/>
      <c r="B49" s="1694"/>
      <c r="C49" s="4882"/>
      <c r="D49" s="4883"/>
      <c r="E49" s="1693">
        <f>IF($C49=0,0,VLOOKUP($C49,SDÖ3!$C$24:$O$99,4,FALSE))</f>
        <v>0</v>
      </c>
      <c r="F49" s="1692">
        <f>IF($C49=0,0,VLOOKUP($C49,SDÖ3!$C$24:$O$99,12,FALSE))</f>
        <v>0</v>
      </c>
      <c r="G49" s="1691">
        <f>IF($C49=0,0,VLOOKUP($C49,SDÖ3!$C$24:$O$99,13,FALSE))</f>
        <v>0</v>
      </c>
      <c r="H49" s="1688"/>
      <c r="I49" s="1687">
        <f t="shared" si="4"/>
        <v>0</v>
      </c>
      <c r="J49" s="1686">
        <f t="shared" si="5"/>
        <v>0</v>
      </c>
      <c r="K49" s="1688"/>
      <c r="L49" s="1690">
        <f t="shared" si="6"/>
        <v>0</v>
      </c>
      <c r="M49" s="1689">
        <f t="shared" si="7"/>
        <v>0</v>
      </c>
      <c r="N49" s="1688"/>
      <c r="O49" s="1687">
        <f t="shared" si="8"/>
        <v>0</v>
      </c>
      <c r="P49" s="1686">
        <f t="shared" si="9"/>
        <v>0</v>
      </c>
      <c r="Q49" s="32"/>
    </row>
    <row r="50" spans="1:17" s="42" customFormat="1" ht="15" customHeight="1">
      <c r="A50" s="1284"/>
      <c r="B50" s="1694"/>
      <c r="C50" s="4882" t="s">
        <v>456</v>
      </c>
      <c r="D50" s="4883"/>
      <c r="E50" s="1693">
        <f>IF($C50=0,0,VLOOKUP($C50,SDÖ3!$C$24:$O$99,4,FALSE))</f>
        <v>102</v>
      </c>
      <c r="F50" s="1692">
        <f>IF($C50=0,0,VLOOKUP($C50,SDÖ3!$C$24:$O$99,12,FALSE))</f>
        <v>0.54</v>
      </c>
      <c r="G50" s="1691">
        <f>IF($C50=0,0,VLOOKUP($C50,SDÖ3!$C$24:$O$99,13,FALSE))</f>
        <v>16.940645199999999</v>
      </c>
      <c r="H50" s="1688">
        <v>1</v>
      </c>
      <c r="I50" s="1687">
        <f t="shared" si="4"/>
        <v>0.54</v>
      </c>
      <c r="J50" s="1686">
        <f t="shared" si="5"/>
        <v>16.940645199999999</v>
      </c>
      <c r="K50" s="1688">
        <v>1</v>
      </c>
      <c r="L50" s="1690">
        <f t="shared" si="6"/>
        <v>0.54</v>
      </c>
      <c r="M50" s="1689">
        <f t="shared" si="7"/>
        <v>16.940645199999999</v>
      </c>
      <c r="N50" s="1688">
        <v>1</v>
      </c>
      <c r="O50" s="1687">
        <f t="shared" si="8"/>
        <v>0.54</v>
      </c>
      <c r="P50" s="1686">
        <f t="shared" si="9"/>
        <v>16.940645199999999</v>
      </c>
      <c r="Q50" s="32"/>
    </row>
    <row r="51" spans="1:17" s="42" customFormat="1" ht="15" customHeight="1">
      <c r="A51" s="1284"/>
      <c r="B51" s="1694"/>
      <c r="C51" s="4882"/>
      <c r="D51" s="4883"/>
      <c r="E51" s="1693">
        <f>IF($C51=0,0,VLOOKUP($C51,SDÖ3!$C$24:$O$99,4,FALSE))</f>
        <v>0</v>
      </c>
      <c r="F51" s="1692">
        <f>IF($C51=0,0,VLOOKUP($C51,SDÖ3!$C$24:$O$99,12,FALSE))</f>
        <v>0</v>
      </c>
      <c r="G51" s="1691">
        <f>IF($C51=0,0,VLOOKUP($C51,SDÖ3!$C$24:$O$99,13,FALSE))</f>
        <v>0</v>
      </c>
      <c r="H51" s="1688"/>
      <c r="I51" s="1687">
        <f t="shared" si="4"/>
        <v>0</v>
      </c>
      <c r="J51" s="1686">
        <f t="shared" si="5"/>
        <v>0</v>
      </c>
      <c r="K51" s="1688"/>
      <c r="L51" s="1690">
        <f t="shared" si="6"/>
        <v>0</v>
      </c>
      <c r="M51" s="1689">
        <f t="shared" si="7"/>
        <v>0</v>
      </c>
      <c r="N51" s="1688"/>
      <c r="O51" s="1687">
        <f t="shared" si="8"/>
        <v>0</v>
      </c>
      <c r="P51" s="1686">
        <f t="shared" si="9"/>
        <v>0</v>
      </c>
      <c r="Q51" s="32"/>
    </row>
    <row r="52" spans="1:17" s="42" customFormat="1" ht="15" customHeight="1">
      <c r="A52" s="1284"/>
      <c r="B52" s="1694"/>
      <c r="C52" s="4882">
        <v>0</v>
      </c>
      <c r="D52" s="4883"/>
      <c r="E52" s="1693">
        <f>IF($C52=0,0,VLOOKUP($C52,SDÖ3!$C$24:$O$99,4,FALSE))</f>
        <v>0</v>
      </c>
      <c r="F52" s="1692">
        <f>IF($C52=0,0,VLOOKUP($C52,SDÖ3!$C$24:$O$99,12,FALSE))</f>
        <v>0</v>
      </c>
      <c r="G52" s="1691">
        <f>IF($C52=0,0,VLOOKUP($C52,SDÖ3!$C$24:$O$99,13,FALSE))</f>
        <v>0</v>
      </c>
      <c r="H52" s="1688"/>
      <c r="I52" s="1687">
        <f t="shared" si="4"/>
        <v>0</v>
      </c>
      <c r="J52" s="1686">
        <f t="shared" si="5"/>
        <v>0</v>
      </c>
      <c r="K52" s="1688"/>
      <c r="L52" s="1690">
        <f t="shared" si="6"/>
        <v>0</v>
      </c>
      <c r="M52" s="1689">
        <f t="shared" si="7"/>
        <v>0</v>
      </c>
      <c r="N52" s="1688"/>
      <c r="O52" s="1687">
        <f t="shared" si="8"/>
        <v>0</v>
      </c>
      <c r="P52" s="1686">
        <f t="shared" si="9"/>
        <v>0</v>
      </c>
      <c r="Q52" s="32"/>
    </row>
    <row r="53" spans="1:17" s="42" customFormat="1" ht="15" customHeight="1">
      <c r="A53" s="1284"/>
      <c r="B53" s="1694"/>
      <c r="C53" s="4882">
        <v>0</v>
      </c>
      <c r="D53" s="4883"/>
      <c r="E53" s="1693">
        <f>IF($C53=0,0,VLOOKUP($C53,SDÖ3!$C$24:$O$99,4,FALSE))</f>
        <v>0</v>
      </c>
      <c r="F53" s="1692">
        <f>IF($C53=0,0,VLOOKUP($C53,SDÖ3!$C$24:$O$99,12,FALSE))</f>
        <v>0</v>
      </c>
      <c r="G53" s="1691">
        <f>IF($C53=0,0,VLOOKUP($C53,SDÖ3!$C$24:$O$99,13,FALSE))</f>
        <v>0</v>
      </c>
      <c r="H53" s="1688"/>
      <c r="I53" s="1687">
        <f t="shared" si="4"/>
        <v>0</v>
      </c>
      <c r="J53" s="1686">
        <f t="shared" si="5"/>
        <v>0</v>
      </c>
      <c r="K53" s="1688"/>
      <c r="L53" s="1690">
        <f t="shared" si="6"/>
        <v>0</v>
      </c>
      <c r="M53" s="1689">
        <f t="shared" si="7"/>
        <v>0</v>
      </c>
      <c r="N53" s="1688"/>
      <c r="O53" s="1687">
        <f t="shared" si="8"/>
        <v>0</v>
      </c>
      <c r="P53" s="1686">
        <f t="shared" si="9"/>
        <v>0</v>
      </c>
      <c r="Q53" s="32"/>
    </row>
    <row r="54" spans="1:17" s="42" customFormat="1" ht="15" customHeight="1">
      <c r="A54" s="1284"/>
      <c r="B54" s="1694"/>
      <c r="C54" s="4882">
        <v>0</v>
      </c>
      <c r="D54" s="4883"/>
      <c r="E54" s="1693">
        <f>IF($C54=0,0,VLOOKUP($C54,SDÖ3!$C$24:$O$99,4,FALSE))</f>
        <v>0</v>
      </c>
      <c r="F54" s="1692">
        <f>IF($C54=0,0,VLOOKUP($C54,SDÖ3!$C$24:$O$99,12,FALSE))</f>
        <v>0</v>
      </c>
      <c r="G54" s="1691">
        <f>IF($C54=0,0,VLOOKUP($C54,SDÖ3!$C$24:$O$99,13,FALSE))</f>
        <v>0</v>
      </c>
      <c r="H54" s="1688"/>
      <c r="I54" s="1687">
        <f t="shared" si="4"/>
        <v>0</v>
      </c>
      <c r="J54" s="1686">
        <f t="shared" si="5"/>
        <v>0</v>
      </c>
      <c r="K54" s="1688"/>
      <c r="L54" s="1690">
        <f t="shared" si="6"/>
        <v>0</v>
      </c>
      <c r="M54" s="1689">
        <f t="shared" si="7"/>
        <v>0</v>
      </c>
      <c r="N54" s="1688"/>
      <c r="O54" s="1687">
        <f t="shared" si="8"/>
        <v>0</v>
      </c>
      <c r="P54" s="1686">
        <f t="shared" si="9"/>
        <v>0</v>
      </c>
      <c r="Q54" s="32"/>
    </row>
    <row r="55" spans="1:17" s="42" customFormat="1" ht="15" customHeight="1">
      <c r="A55" s="1284"/>
      <c r="B55" s="1694"/>
      <c r="C55" s="4935"/>
      <c r="D55" s="4936"/>
      <c r="E55" s="1693">
        <f>IF($C55=0,0,VLOOKUP($C55,SDÖ3!$C$24:$O$99,4,FALSE))</f>
        <v>0</v>
      </c>
      <c r="F55" s="1692">
        <f>IF($C55=0,0,VLOOKUP($C55,SDÖ3!$C$24:$O$99,12,FALSE))</f>
        <v>0</v>
      </c>
      <c r="G55" s="1691">
        <f>IF($C55=0,0,VLOOKUP($C55,SDÖ3!$C$24:$O$99,13,FALSE))</f>
        <v>0</v>
      </c>
      <c r="H55" s="1688"/>
      <c r="I55" s="1687">
        <f t="shared" si="4"/>
        <v>0</v>
      </c>
      <c r="J55" s="1686">
        <f t="shared" si="5"/>
        <v>0</v>
      </c>
      <c r="K55" s="1688"/>
      <c r="L55" s="1690">
        <f t="shared" si="6"/>
        <v>0</v>
      </c>
      <c r="M55" s="1689">
        <f t="shared" si="7"/>
        <v>0</v>
      </c>
      <c r="N55" s="1688"/>
      <c r="O55" s="1687">
        <f t="shared" si="8"/>
        <v>0</v>
      </c>
      <c r="P55" s="1686">
        <f t="shared" si="9"/>
        <v>0</v>
      </c>
      <c r="Q55" s="32"/>
    </row>
    <row r="56" spans="1:17" s="42" customFormat="1" ht="24.75" customHeight="1">
      <c r="A56" s="1284"/>
      <c r="B56" s="1885"/>
      <c r="C56" s="4889"/>
      <c r="D56" s="4890"/>
      <c r="E56" s="1693">
        <f>IF($C56=0,0,VLOOKUP($C56,SDÖ3!$C$24:$O$99,4,FALSE))</f>
        <v>0</v>
      </c>
      <c r="F56" s="1692">
        <f>IF($C56=0,0,VLOOKUP($C56,SDÖ3!$C$24:$O$99,12,FALSE))</f>
        <v>0</v>
      </c>
      <c r="G56" s="1691">
        <f>IF($C56=0,0,VLOOKUP($C56,SDÖ3!$C$24:$O$99,13,FALSE))</f>
        <v>0</v>
      </c>
      <c r="H56" s="1879"/>
      <c r="I56" s="1878">
        <f t="shared" si="4"/>
        <v>0</v>
      </c>
      <c r="J56" s="1877">
        <f t="shared" si="5"/>
        <v>0</v>
      </c>
      <c r="K56" s="1879"/>
      <c r="L56" s="1881">
        <f t="shared" si="6"/>
        <v>0</v>
      </c>
      <c r="M56" s="1880">
        <f t="shared" si="7"/>
        <v>0</v>
      </c>
      <c r="N56" s="1879"/>
      <c r="O56" s="1878">
        <f t="shared" si="8"/>
        <v>0</v>
      </c>
      <c r="P56" s="1877">
        <f t="shared" si="9"/>
        <v>0</v>
      </c>
      <c r="Q56" s="32"/>
    </row>
    <row r="57" spans="1:17" s="42" customFormat="1" ht="24.75" customHeight="1">
      <c r="A57" s="1284"/>
      <c r="B57" s="1625"/>
      <c r="C57" s="4896"/>
      <c r="D57" s="4897"/>
      <c r="E57" s="3565">
        <f>IF($C57=0,0,VLOOKUP($C57,SDÖ3!$C$24:$O$99,4,FALSE))</f>
        <v>0</v>
      </c>
      <c r="F57" s="3566">
        <f>IF($C57=0,0,VLOOKUP($C57,SDÖ3!$C$24:$O$99,12,FALSE))</f>
        <v>0</v>
      </c>
      <c r="G57" s="3567">
        <f>IF($C57=0,0,VLOOKUP($C57,SDÖ3!$C$24:$O$99,13,FALSE))</f>
        <v>0</v>
      </c>
      <c r="H57" s="1672"/>
      <c r="I57" s="1671">
        <f>SUM(I44:I56)</f>
        <v>2.76</v>
      </c>
      <c r="J57" s="1670"/>
      <c r="K57" s="1672"/>
      <c r="L57" s="1673">
        <f>SUM(L44:L56)</f>
        <v>2.76</v>
      </c>
      <c r="M57" s="1620"/>
      <c r="N57" s="1672"/>
      <c r="O57" s="1671">
        <f>SUM(O44:O56)</f>
        <v>2.76</v>
      </c>
      <c r="P57" s="1670"/>
      <c r="Q57" s="32"/>
    </row>
    <row r="58" spans="1:17" s="686" customFormat="1" ht="18.75" customHeight="1">
      <c r="A58" s="1248"/>
      <c r="B58" s="1254" t="s">
        <v>1167</v>
      </c>
      <c r="C58" s="1351"/>
      <c r="D58" s="1351"/>
      <c r="E58" s="1351"/>
      <c r="F58" s="38"/>
      <c r="G58" s="1588"/>
      <c r="H58" s="1665"/>
      <c r="I58" s="1664">
        <f>SUM($I$46:$I$57)</f>
        <v>5.52</v>
      </c>
      <c r="J58" s="1669"/>
      <c r="K58" s="1668"/>
      <c r="L58" s="1667">
        <f>SUM($L$46:$L$57)</f>
        <v>5.52</v>
      </c>
      <c r="M58" s="1666"/>
      <c r="N58" s="1665"/>
      <c r="O58" s="1664">
        <f>SUM($O$46:$O$57)</f>
        <v>5.52</v>
      </c>
      <c r="P58" s="1663"/>
      <c r="Q58" s="32"/>
    </row>
    <row r="59" spans="1:17" s="686" customFormat="1" ht="15" customHeight="1">
      <c r="A59" s="1248"/>
      <c r="B59" s="1662"/>
      <c r="C59" s="346"/>
      <c r="D59" s="278" t="s">
        <v>1166</v>
      </c>
      <c r="E59" s="1661">
        <v>80</v>
      </c>
      <c r="F59" s="346" t="s">
        <v>1165</v>
      </c>
      <c r="G59" s="1660"/>
      <c r="H59" s="1656"/>
      <c r="I59" s="1655">
        <f>IF(I58+SUM($I$46:$I$57)*$E$59%&gt;I58+10,I58+10,I58+SUM($I$46:$I$57)*$E$59%)</f>
        <v>9.9359999999999999</v>
      </c>
      <c r="J59" s="1654"/>
      <c r="K59" s="1659"/>
      <c r="L59" s="1658">
        <f>IF(L58+SUM($L$46:$L$57)*$E$59%&gt;L58+10,L58+10,L58+SUM($L$46:$L$57)*$E$59%)</f>
        <v>9.9359999999999999</v>
      </c>
      <c r="M59" s="1657"/>
      <c r="N59" s="1656"/>
      <c r="O59" s="1655">
        <f>IF(O58+SUM($O$46:$O$57)*$E$59%&gt;O58+10,O58+10,O58+SUM($O$46:$O$57)*$E$59%)</f>
        <v>9.9359999999999999</v>
      </c>
      <c r="P59" s="1654"/>
      <c r="Q59" s="32"/>
    </row>
    <row r="60" spans="1:17" s="65" customFormat="1" ht="18.75" customHeight="1">
      <c r="A60" s="1351"/>
      <c r="B60" s="1254" t="s">
        <v>1164</v>
      </c>
      <c r="C60" s="1351"/>
      <c r="D60" s="1351"/>
      <c r="E60" s="45"/>
      <c r="F60" s="45"/>
      <c r="G60" s="1653"/>
      <c r="H60" s="1645"/>
      <c r="I60" s="1644"/>
      <c r="J60" s="1652">
        <f>IF(J6=0,0,SUM(I62:I64))</f>
        <v>0</v>
      </c>
      <c r="K60" s="1648"/>
      <c r="L60" s="1647"/>
      <c r="M60" s="1585">
        <f>IF(M6=0,0,SUM(L62:L64))</f>
        <v>0</v>
      </c>
      <c r="N60" s="1645"/>
      <c r="O60" s="1644"/>
      <c r="P60" s="1652">
        <f>IF(P6=0,0,SUM(O62:O64))</f>
        <v>0</v>
      </c>
      <c r="Q60" s="32"/>
    </row>
    <row r="61" spans="1:17" s="65" customFormat="1" ht="15" customHeight="1">
      <c r="A61" s="1351"/>
      <c r="B61" s="1581"/>
      <c r="C61" s="1580" t="s">
        <v>1156</v>
      </c>
      <c r="D61" s="1651">
        <f>'SDK1'!$O$11</f>
        <v>0</v>
      </c>
      <c r="E61" s="1578"/>
      <c r="F61" s="1574" t="s">
        <v>249</v>
      </c>
      <c r="G61" s="1650" t="s">
        <v>1155</v>
      </c>
      <c r="H61" s="1645"/>
      <c r="I61" s="1644"/>
      <c r="J61" s="1649"/>
      <c r="K61" s="1648"/>
      <c r="L61" s="1647"/>
      <c r="M61" s="1646"/>
      <c r="N61" s="1645"/>
      <c r="O61" s="1644"/>
      <c r="P61" s="1643"/>
      <c r="Q61" s="32"/>
    </row>
    <row r="62" spans="1:17" s="42" customFormat="1" ht="18.75" customHeight="1">
      <c r="A62" s="1284"/>
      <c r="B62" s="1562"/>
      <c r="C62" s="4860"/>
      <c r="D62" s="4860"/>
      <c r="E62" s="4860"/>
      <c r="F62" s="1642">
        <f>IF($C62=0,0,VLOOKUP($C62,'SDK3'!$C$92:$D$106,2,FALSE))</f>
        <v>0</v>
      </c>
      <c r="G62" s="1641">
        <f>(100+$D$61)/100*F62</f>
        <v>0</v>
      </c>
      <c r="H62" s="227"/>
      <c r="I62" s="1637">
        <f>$G$62</f>
        <v>0</v>
      </c>
      <c r="J62" s="227"/>
      <c r="K62" s="1640"/>
      <c r="L62" s="1639">
        <f>$G$62</f>
        <v>0</v>
      </c>
      <c r="M62" s="1557"/>
      <c r="N62" s="1638"/>
      <c r="O62" s="1637">
        <f>$G$62</f>
        <v>0</v>
      </c>
      <c r="P62" s="1636"/>
      <c r="Q62" s="32"/>
    </row>
    <row r="63" spans="1:17" s="42" customFormat="1" ht="13.15" customHeight="1">
      <c r="A63" s="1284"/>
      <c r="B63" s="1635"/>
      <c r="C63" s="4892"/>
      <c r="D63" s="4892"/>
      <c r="E63" s="4893"/>
      <c r="F63" s="1634">
        <f>IF($C63=0,0,VLOOKUP($C63,'SDK3'!$C$92:$D$106,2,FALSE))</f>
        <v>0</v>
      </c>
      <c r="G63" s="1633">
        <f>(100+$D$61)/100*F63</f>
        <v>0</v>
      </c>
      <c r="H63" s="1632"/>
      <c r="I63" s="1627">
        <f>$G$63</f>
        <v>0</v>
      </c>
      <c r="J63" s="1632"/>
      <c r="K63" s="1631"/>
      <c r="L63" s="1630">
        <f>$G$63</f>
        <v>0</v>
      </c>
      <c r="M63" s="1629"/>
      <c r="N63" s="1628"/>
      <c r="O63" s="1627">
        <f>$G$63</f>
        <v>0</v>
      </c>
      <c r="P63" s="1626"/>
      <c r="Q63" s="32"/>
    </row>
    <row r="64" spans="1:17" s="42" customFormat="1" ht="15" customHeight="1">
      <c r="A64" s="1284"/>
      <c r="B64" s="1625"/>
      <c r="C64" s="4891" t="s">
        <v>307</v>
      </c>
      <c r="D64" s="4891"/>
      <c r="E64" s="4891"/>
      <c r="F64" s="1624">
        <f>IF($T$3=FALSE,0,VLOOKUP($C64,'SDK3'!$C$92:$D$106,2,FALSE))</f>
        <v>0</v>
      </c>
      <c r="G64" s="1623">
        <f>(100+$D$61)/100*F64</f>
        <v>0</v>
      </c>
      <c r="H64" s="1619"/>
      <c r="I64" s="1618">
        <f>H11*$G$64</f>
        <v>0</v>
      </c>
      <c r="J64" s="227"/>
      <c r="K64" s="1622"/>
      <c r="L64" s="1621">
        <f>K11*$G$64</f>
        <v>0</v>
      </c>
      <c r="M64" s="1620"/>
      <c r="N64" s="1619"/>
      <c r="O64" s="1618">
        <f>N11*$G$64</f>
        <v>0</v>
      </c>
      <c r="P64" s="1617"/>
      <c r="Q64" s="32"/>
    </row>
    <row r="65" spans="1:20" s="42" customFormat="1" ht="15" customHeight="1">
      <c r="A65" s="1284"/>
      <c r="B65" s="1254" t="s">
        <v>1163</v>
      </c>
      <c r="C65" s="1248"/>
      <c r="D65" s="1248"/>
      <c r="E65" s="1248"/>
      <c r="F65" s="38"/>
      <c r="G65" s="1588"/>
      <c r="H65" s="73"/>
      <c r="I65" s="73"/>
      <c r="J65" s="1582">
        <f>H66*$E66</f>
        <v>0</v>
      </c>
      <c r="K65" s="1597"/>
      <c r="L65" s="1597"/>
      <c r="M65" s="1585">
        <f>K66*$E66</f>
        <v>0</v>
      </c>
      <c r="N65" s="73"/>
      <c r="O65" s="73"/>
      <c r="P65" s="1582">
        <f>N66*$E66</f>
        <v>0</v>
      </c>
      <c r="Q65" s="32"/>
    </row>
    <row r="66" spans="1:20" s="42" customFormat="1" ht="15" customHeight="1">
      <c r="A66" s="1284"/>
      <c r="B66" s="1616"/>
      <c r="C66" s="1355"/>
      <c r="D66" s="278" t="s">
        <v>1004</v>
      </c>
      <c r="E66" s="1615"/>
      <c r="F66" s="1590"/>
      <c r="G66" s="1614" t="s">
        <v>463</v>
      </c>
      <c r="H66" s="1612"/>
      <c r="I66" s="1611"/>
      <c r="J66" s="1600"/>
      <c r="K66" s="1612"/>
      <c r="L66" s="1613"/>
      <c r="M66" s="1603"/>
      <c r="N66" s="1612"/>
      <c r="O66" s="1611"/>
      <c r="P66" s="1600"/>
      <c r="Q66" s="32"/>
    </row>
    <row r="67" spans="1:20" s="686" customFormat="1" ht="22.9" customHeight="1">
      <c r="A67" s="1248"/>
      <c r="B67" s="1254" t="s">
        <v>1162</v>
      </c>
      <c r="C67" s="1248"/>
      <c r="D67" s="1248"/>
      <c r="E67" s="229"/>
      <c r="F67" s="1610"/>
      <c r="G67" s="1588"/>
      <c r="H67" s="1607" t="s">
        <v>1161</v>
      </c>
      <c r="I67" s="1606" t="s">
        <v>1160</v>
      </c>
      <c r="J67" s="1582">
        <f>R68*(H9+H10)*I68%+F68</f>
        <v>0</v>
      </c>
      <c r="K67" s="1609" t="s">
        <v>1161</v>
      </c>
      <c r="L67" s="1608" t="s">
        <v>1160</v>
      </c>
      <c r="M67" s="1585">
        <f>S68*(K9+K10)*L68%+F68</f>
        <v>0</v>
      </c>
      <c r="N67" s="1607" t="s">
        <v>1161</v>
      </c>
      <c r="O67" s="1606" t="s">
        <v>1160</v>
      </c>
      <c r="P67" s="1582">
        <f>T68*(N9+N10)*O68%+F68</f>
        <v>0</v>
      </c>
      <c r="Q67" s="32"/>
    </row>
    <row r="68" spans="1:20" s="686" customFormat="1" ht="15" customHeight="1">
      <c r="A68" s="1248"/>
      <c r="B68" s="1605"/>
      <c r="C68" s="4888" t="s">
        <v>1159</v>
      </c>
      <c r="D68" s="4888"/>
      <c r="E68" s="4888"/>
      <c r="F68" s="1604"/>
      <c r="G68" s="1595" t="s">
        <v>171</v>
      </c>
      <c r="H68" s="1602">
        <v>16</v>
      </c>
      <c r="I68" s="1601">
        <v>50</v>
      </c>
      <c r="J68" s="1600"/>
      <c r="K68" s="1602">
        <v>20</v>
      </c>
      <c r="L68" s="1601">
        <v>50</v>
      </c>
      <c r="M68" s="1603"/>
      <c r="N68" s="1602">
        <v>18</v>
      </c>
      <c r="O68" s="1601">
        <v>50</v>
      </c>
      <c r="P68" s="1600"/>
      <c r="Q68" s="32"/>
      <c r="R68" s="1912">
        <f>IF($H$64=0,0,VLOOKUP($H$64,#REF!,2,FALSE))</f>
        <v>0</v>
      </c>
      <c r="S68" s="1599">
        <f>IF($K$64=0,0,VLOOKUP($K$64,#REF!,2,FALSE))</f>
        <v>0</v>
      </c>
      <c r="T68" s="1912">
        <f>IF($N$64=0,0,VLOOKUP($N$64,#REF!,2,FALSE))</f>
        <v>0</v>
      </c>
    </row>
    <row r="69" spans="1:20" s="686" customFormat="1" ht="18.75" customHeight="1">
      <c r="A69" s="1248"/>
      <c r="B69" s="1254" t="s">
        <v>1158</v>
      </c>
      <c r="C69" s="1248"/>
      <c r="D69" s="1248"/>
      <c r="E69" s="38"/>
      <c r="F69" s="38"/>
      <c r="G69" s="1588"/>
      <c r="H69" s="44"/>
      <c r="I69" s="73"/>
      <c r="J69" s="1582">
        <f>H70*$F70/1000</f>
        <v>0</v>
      </c>
      <c r="K69" s="1598"/>
      <c r="L69" s="1597"/>
      <c r="M69" s="1585">
        <f>K70*$F70/1000</f>
        <v>0</v>
      </c>
      <c r="N69" s="44"/>
      <c r="O69" s="73"/>
      <c r="P69" s="1582">
        <f>N70*$F70/1000</f>
        <v>0</v>
      </c>
      <c r="Q69" s="32"/>
    </row>
    <row r="70" spans="1:20" s="686" customFormat="1" ht="15" customHeight="1">
      <c r="A70" s="1248"/>
      <c r="B70" s="1310"/>
      <c r="C70" s="1309" t="s">
        <v>840</v>
      </c>
      <c r="D70" s="346"/>
      <c r="E70" s="278"/>
      <c r="F70" s="1596">
        <f>'SDK7'!G101</f>
        <v>16</v>
      </c>
      <c r="G70" s="1595" t="s">
        <v>171</v>
      </c>
      <c r="H70" s="1591">
        <f>I9+I10</f>
        <v>0</v>
      </c>
      <c r="I70" s="1590"/>
      <c r="J70" s="1589"/>
      <c r="K70" s="1594">
        <f>L9+L10</f>
        <v>0</v>
      </c>
      <c r="L70" s="1593"/>
      <c r="M70" s="1592"/>
      <c r="N70" s="1591">
        <f>O9+O10</f>
        <v>0</v>
      </c>
      <c r="O70" s="1590"/>
      <c r="P70" s="1589"/>
      <c r="Q70" s="32"/>
    </row>
    <row r="71" spans="1:20" ht="18.75" customHeight="1">
      <c r="A71" s="370"/>
      <c r="B71" s="305" t="s">
        <v>1157</v>
      </c>
      <c r="C71" s="370"/>
      <c r="D71" s="370"/>
      <c r="E71" s="229"/>
      <c r="F71" s="38"/>
      <c r="G71" s="1588"/>
      <c r="H71" s="1584"/>
      <c r="I71" s="1583"/>
      <c r="J71" s="1582">
        <f>SUM(I73:I74)</f>
        <v>0</v>
      </c>
      <c r="K71" s="1587"/>
      <c r="L71" s="1586"/>
      <c r="M71" s="1585">
        <f>SUM(L73:L74)</f>
        <v>0</v>
      </c>
      <c r="N71" s="1584"/>
      <c r="O71" s="1583"/>
      <c r="P71" s="1582">
        <f>SUM(O73:O74)</f>
        <v>0</v>
      </c>
    </row>
    <row r="72" spans="1:20" ht="13.15" customHeight="1">
      <c r="A72" s="370"/>
      <c r="B72" s="1581"/>
      <c r="C72" s="1580" t="s">
        <v>1156</v>
      </c>
      <c r="D72" s="1579">
        <f>'SDK1'!$O$12</f>
        <v>0</v>
      </c>
      <c r="E72" s="1578"/>
      <c r="F72" s="1577"/>
      <c r="G72" s="1576"/>
      <c r="H72" s="1575" t="s">
        <v>249</v>
      </c>
      <c r="I72" s="1574" t="s">
        <v>1155</v>
      </c>
      <c r="J72" s="1573"/>
      <c r="K72" s="1572" t="s">
        <v>249</v>
      </c>
      <c r="L72" s="1571" t="s">
        <v>1155</v>
      </c>
      <c r="M72" s="1570"/>
      <c r="N72" s="1569" t="s">
        <v>249</v>
      </c>
      <c r="O72" s="1568" t="s">
        <v>1155</v>
      </c>
      <c r="P72" s="1567"/>
    </row>
    <row r="73" spans="1:20" s="42" customFormat="1" ht="15" customHeight="1">
      <c r="A73" s="1284"/>
      <c r="B73" s="1562"/>
      <c r="C73" s="4895"/>
      <c r="D73" s="4895"/>
      <c r="E73" s="4895"/>
      <c r="F73" s="1566"/>
      <c r="G73" s="1565"/>
      <c r="H73" s="1559"/>
      <c r="I73" s="1563">
        <f>(100+$D$72)/100*H73</f>
        <v>0</v>
      </c>
      <c r="J73" s="45"/>
      <c r="K73" s="1559"/>
      <c r="L73" s="1564">
        <f>(100+$D$72)/100*K73</f>
        <v>0</v>
      </c>
      <c r="M73" s="1557"/>
      <c r="N73" s="1559"/>
      <c r="O73" s="1563">
        <f>(100+$D$72)/100*N73</f>
        <v>0</v>
      </c>
      <c r="P73" s="1554"/>
      <c r="Q73" s="32"/>
    </row>
    <row r="74" spans="1:20" s="42" customFormat="1" ht="15" customHeight="1">
      <c r="A74" s="1284"/>
      <c r="B74" s="1562"/>
      <c r="C74" s="4894"/>
      <c r="D74" s="4894"/>
      <c r="E74" s="4894"/>
      <c r="F74" s="1561"/>
      <c r="G74" s="1560"/>
      <c r="H74" s="1556"/>
      <c r="I74" s="1555">
        <f>(100+$D$72)/100*H74</f>
        <v>0</v>
      </c>
      <c r="J74" s="45"/>
      <c r="K74" s="1559"/>
      <c r="L74" s="1558">
        <f>(100+$D$72)/100*K74</f>
        <v>0</v>
      </c>
      <c r="M74" s="1557"/>
      <c r="N74" s="1556"/>
      <c r="O74" s="1555">
        <f>(100+$D$72)/100*N74</f>
        <v>0</v>
      </c>
      <c r="P74" s="1554"/>
      <c r="Q74" s="32"/>
    </row>
    <row r="75" spans="1:20" s="686" customFormat="1" ht="30.2" customHeight="1">
      <c r="A75" s="1248"/>
      <c r="B75" s="4886" t="s">
        <v>1154</v>
      </c>
      <c r="C75" s="4887"/>
      <c r="D75" s="1553" t="s">
        <v>1153</v>
      </c>
      <c r="E75" s="1552">
        <f>'SDK1'!$O$59/100</f>
        <v>0.02</v>
      </c>
      <c r="F75" s="1551" t="s">
        <v>1152</v>
      </c>
      <c r="G75" s="1550">
        <v>7</v>
      </c>
      <c r="H75" s="1548"/>
      <c r="I75" s="1549"/>
      <c r="J75" s="1546">
        <f>(J23+J27+J34+J43+J60+J65+J67+J69+J71)*('SDK1'!$O$59%*$G$75/12)</f>
        <v>3.7619810691176472</v>
      </c>
      <c r="K75" s="3031"/>
      <c r="L75" s="1034"/>
      <c r="M75" s="1546">
        <f>(M23+M27+M34+M43+M60+M65+M67+M69+M71)*('SDK1'!$O$59%*$G$75/12)</f>
        <v>3.7619810691176472</v>
      </c>
      <c r="N75" s="1548"/>
      <c r="O75" s="1547"/>
      <c r="P75" s="1546">
        <f>(P23+P27+P34+P43+P60+P65+P67+P69+P71)*('SDK1'!$O$59%*$G$75/12)</f>
        <v>3.7619810691176472</v>
      </c>
      <c r="Q75" s="32"/>
    </row>
    <row r="76" spans="1:20">
      <c r="L76" s="33"/>
    </row>
    <row r="77" spans="1:20">
      <c r="G77" s="3590"/>
      <c r="H77" s="3590"/>
      <c r="I77" s="3590"/>
      <c r="J77" s="3590"/>
      <c r="K77" s="3590"/>
      <c r="L77" s="3590"/>
      <c r="M77" s="3590"/>
      <c r="N77" s="3590"/>
      <c r="O77" s="3590"/>
      <c r="P77" s="3590"/>
    </row>
    <row r="78" spans="1:20" ht="14.25">
      <c r="C78" s="4950" t="s">
        <v>1888</v>
      </c>
      <c r="D78" s="4951"/>
      <c r="E78" s="4951"/>
      <c r="F78" s="4952"/>
      <c r="G78" s="3590"/>
      <c r="H78" s="3590"/>
      <c r="I78" s="3590"/>
      <c r="J78" s="3590"/>
      <c r="K78" s="3590"/>
      <c r="L78" s="3590"/>
      <c r="M78" s="3590"/>
      <c r="N78" s="3590"/>
      <c r="O78" s="3590"/>
      <c r="P78" s="3590"/>
    </row>
    <row r="79" spans="1:20">
      <c r="C79" s="4943" t="s">
        <v>295</v>
      </c>
      <c r="D79" s="4944"/>
      <c r="E79" s="4944"/>
      <c r="F79" s="4945"/>
      <c r="G79" s="3590"/>
      <c r="H79" s="3590"/>
      <c r="I79" s="3590"/>
      <c r="J79" s="3590"/>
      <c r="K79" s="3590"/>
      <c r="L79" s="3590"/>
      <c r="M79" s="3590"/>
      <c r="N79" s="3590"/>
      <c r="O79" s="3590"/>
      <c r="P79" s="3590"/>
    </row>
    <row r="80" spans="1:20" ht="14.25">
      <c r="B80" s="3046"/>
      <c r="C80" s="3042" t="s">
        <v>1884</v>
      </c>
      <c r="D80" s="3043"/>
      <c r="E80" s="3043"/>
      <c r="F80" s="3044"/>
      <c r="G80" s="3590"/>
      <c r="H80" s="3590"/>
      <c r="I80" s="3590"/>
      <c r="J80" s="3590"/>
      <c r="K80" s="3590"/>
      <c r="L80" s="3590"/>
      <c r="M80" s="3590"/>
      <c r="N80" s="3590"/>
      <c r="O80" s="3590"/>
      <c r="P80" s="3590"/>
    </row>
    <row r="81" spans="2:16" ht="14.25">
      <c r="B81" s="3046"/>
      <c r="C81" s="3042" t="s">
        <v>1885</v>
      </c>
      <c r="D81" s="3043"/>
      <c r="E81" s="3043"/>
      <c r="F81" s="3044"/>
      <c r="G81" s="3590"/>
      <c r="H81" s="3590"/>
      <c r="I81" s="3590"/>
      <c r="J81" s="3590"/>
      <c r="K81" s="3590"/>
      <c r="L81" s="3590"/>
      <c r="M81" s="3590"/>
      <c r="N81" s="3590"/>
      <c r="O81" s="3590"/>
      <c r="P81" s="3590"/>
    </row>
    <row r="82" spans="2:16">
      <c r="B82" s="3046"/>
      <c r="C82" s="3034" t="s">
        <v>294</v>
      </c>
      <c r="D82" s="3035"/>
      <c r="E82" s="3035"/>
      <c r="F82" s="3036"/>
      <c r="G82" s="3590"/>
      <c r="H82" s="3590"/>
      <c r="I82" s="3590"/>
      <c r="J82" s="3590"/>
      <c r="K82" s="3590"/>
      <c r="L82" s="3590"/>
      <c r="M82" s="3590"/>
      <c r="N82" s="3590"/>
      <c r="O82" s="3590"/>
      <c r="P82" s="3590"/>
    </row>
    <row r="83" spans="2:16" ht="14.25">
      <c r="B83" s="3046"/>
      <c r="C83" s="3042" t="s">
        <v>1886</v>
      </c>
      <c r="D83" s="3043"/>
      <c r="E83" s="3043"/>
      <c r="F83" s="3044"/>
      <c r="G83" s="3590"/>
      <c r="H83" s="3590"/>
      <c r="I83" s="3590"/>
      <c r="J83" s="3590"/>
      <c r="K83" s="3590"/>
      <c r="L83" s="3590"/>
      <c r="M83" s="3590"/>
      <c r="N83" s="3590"/>
      <c r="O83" s="3590"/>
      <c r="P83" s="3590"/>
    </row>
    <row r="84" spans="2:16" ht="14.25">
      <c r="B84" s="3046"/>
      <c r="C84" s="3042" t="s">
        <v>1887</v>
      </c>
      <c r="D84" s="3043"/>
      <c r="E84" s="3043"/>
      <c r="F84" s="3044"/>
      <c r="G84" s="3590"/>
      <c r="H84" s="3590"/>
      <c r="I84" s="3590"/>
      <c r="J84" s="3590"/>
      <c r="K84" s="3590"/>
      <c r="L84" s="3590"/>
      <c r="M84" s="3590"/>
      <c r="N84" s="3590"/>
      <c r="O84" s="3590"/>
      <c r="P84" s="3590"/>
    </row>
    <row r="85" spans="2:16">
      <c r="B85" s="3046"/>
      <c r="C85" s="3034" t="s">
        <v>293</v>
      </c>
      <c r="D85" s="3035"/>
      <c r="E85" s="3035"/>
      <c r="F85" s="3036"/>
      <c r="G85" s="3590"/>
      <c r="H85" s="3590"/>
      <c r="I85" s="3590"/>
      <c r="J85" s="3590"/>
      <c r="K85" s="3590"/>
      <c r="L85" s="3590"/>
      <c r="M85" s="3590"/>
      <c r="N85" s="3590"/>
      <c r="O85" s="3590"/>
      <c r="P85" s="3590"/>
    </row>
    <row r="86" spans="2:16">
      <c r="B86" s="3046"/>
      <c r="C86" s="3034" t="s">
        <v>292</v>
      </c>
      <c r="D86" s="3035"/>
      <c r="E86" s="3035"/>
      <c r="F86" s="3036"/>
      <c r="G86" s="3590"/>
      <c r="H86" s="3590"/>
      <c r="I86" s="3590"/>
      <c r="J86" s="3590"/>
      <c r="K86" s="3590"/>
      <c r="L86" s="3590"/>
      <c r="M86" s="3590"/>
      <c r="N86" s="3590"/>
      <c r="O86" s="3590"/>
      <c r="P86" s="3590"/>
    </row>
    <row r="87" spans="2:16" ht="14.25">
      <c r="B87" s="3046"/>
      <c r="C87" s="3034" t="s">
        <v>291</v>
      </c>
      <c r="D87" s="3035"/>
      <c r="E87" s="3035"/>
      <c r="F87" s="3036"/>
      <c r="G87" s="3590"/>
      <c r="H87" s="3590"/>
      <c r="I87" s="3590"/>
      <c r="J87" s="3590"/>
      <c r="K87" s="3590"/>
      <c r="L87" s="3590"/>
      <c r="M87" s="3590"/>
      <c r="N87" s="3590"/>
      <c r="O87" s="3590"/>
      <c r="P87" s="3590"/>
    </row>
    <row r="88" spans="2:16" ht="13.15" customHeight="1">
      <c r="B88" s="3046"/>
      <c r="C88" s="3034" t="s">
        <v>290</v>
      </c>
      <c r="D88" s="3037"/>
      <c r="E88" s="3037"/>
      <c r="F88" s="3038"/>
      <c r="G88" s="3590"/>
      <c r="H88" s="3590"/>
      <c r="I88" s="3590"/>
      <c r="J88" s="3590"/>
      <c r="K88" s="3590"/>
      <c r="L88" s="3590"/>
      <c r="M88" s="3590"/>
      <c r="N88" s="3590"/>
      <c r="O88" s="3590"/>
      <c r="P88" s="3590"/>
    </row>
    <row r="89" spans="2:16">
      <c r="B89" s="3046"/>
      <c r="C89" s="3034" t="s">
        <v>289</v>
      </c>
      <c r="D89" s="3037"/>
      <c r="E89" s="3037"/>
      <c r="F89" s="3038"/>
      <c r="G89" s="3590"/>
      <c r="H89" s="3590"/>
      <c r="I89" s="3590"/>
      <c r="J89" s="3590"/>
      <c r="K89" s="3590"/>
      <c r="L89" s="3590"/>
      <c r="M89" s="3590"/>
      <c r="N89" s="3590"/>
      <c r="O89" s="3590"/>
      <c r="P89" s="3590"/>
    </row>
    <row r="90" spans="2:16" ht="25.5">
      <c r="B90" s="3046"/>
      <c r="C90" s="3039" t="s">
        <v>288</v>
      </c>
      <c r="D90" s="3040"/>
      <c r="E90" s="3040"/>
      <c r="F90" s="3041"/>
      <c r="G90" s="3590"/>
      <c r="H90" s="3590"/>
      <c r="I90" s="3590"/>
      <c r="J90" s="3590"/>
      <c r="K90" s="3590"/>
      <c r="L90" s="3590"/>
      <c r="M90" s="3590"/>
      <c r="N90" s="3590"/>
      <c r="O90" s="3590"/>
      <c r="P90" s="3590"/>
    </row>
    <row r="91" spans="2:16">
      <c r="C91" s="33"/>
      <c r="D91" s="33"/>
      <c r="E91" s="33"/>
      <c r="F91" s="2506"/>
      <c r="G91" s="3590"/>
      <c r="H91" s="3590"/>
      <c r="I91" s="3590"/>
      <c r="J91" s="3590"/>
      <c r="K91" s="3590"/>
      <c r="L91" s="3590"/>
      <c r="M91" s="3590"/>
      <c r="N91" s="3590"/>
      <c r="O91" s="3590"/>
      <c r="P91" s="3590"/>
    </row>
    <row r="92" spans="2:16">
      <c r="C92" s="33"/>
      <c r="D92" s="33"/>
      <c r="E92" s="33"/>
      <c r="F92" s="2506"/>
      <c r="G92" s="3590"/>
      <c r="H92" s="3590"/>
      <c r="I92" s="3590"/>
      <c r="J92" s="3590"/>
      <c r="K92" s="3590"/>
      <c r="L92" s="3590"/>
      <c r="M92" s="3590"/>
      <c r="N92" s="3590"/>
      <c r="O92" s="3590"/>
      <c r="P92" s="3590"/>
    </row>
    <row r="93" spans="2:16">
      <c r="C93" s="33"/>
      <c r="D93" s="33"/>
      <c r="E93" s="33"/>
      <c r="F93" s="2506"/>
      <c r="G93" s="3590"/>
      <c r="H93" s="3590"/>
      <c r="I93" s="3590"/>
      <c r="J93" s="3590"/>
      <c r="K93" s="3590"/>
      <c r="L93" s="3590"/>
      <c r="M93" s="3590"/>
      <c r="N93" s="3590"/>
      <c r="O93" s="3590"/>
      <c r="P93" s="3590"/>
    </row>
    <row r="94" spans="2:16">
      <c r="C94" s="33"/>
      <c r="D94" s="33"/>
      <c r="E94" s="33"/>
      <c r="F94" s="2506"/>
      <c r="G94" s="3590"/>
      <c r="H94" s="3590"/>
      <c r="I94" s="3590"/>
      <c r="J94" s="3590"/>
      <c r="K94" s="3590"/>
      <c r="L94" s="3590"/>
      <c r="M94" s="3590"/>
      <c r="N94" s="3590"/>
      <c r="O94" s="3590"/>
      <c r="P94" s="3590"/>
    </row>
    <row r="95" spans="2:16">
      <c r="C95" s="33"/>
      <c r="D95" s="33"/>
      <c r="E95" s="33"/>
      <c r="F95" s="2506"/>
      <c r="G95" s="3590"/>
      <c r="H95" s="3590"/>
      <c r="I95" s="3590"/>
      <c r="J95" s="3590"/>
      <c r="K95" s="3590"/>
      <c r="L95" s="3590"/>
      <c r="M95" s="3590"/>
      <c r="N95" s="3590"/>
      <c r="O95" s="3590"/>
      <c r="P95" s="3590"/>
    </row>
    <row r="96" spans="2:16">
      <c r="C96" s="33"/>
      <c r="D96" s="33"/>
      <c r="E96" s="33"/>
      <c r="F96" s="2506"/>
      <c r="G96" s="3590"/>
      <c r="H96" s="3590"/>
      <c r="I96" s="3590"/>
      <c r="J96" s="3590"/>
      <c r="K96" s="3590"/>
      <c r="L96" s="3590"/>
      <c r="M96" s="3590"/>
      <c r="N96" s="3590"/>
      <c r="O96" s="3590"/>
      <c r="P96" s="3590"/>
    </row>
    <row r="97" spans="3:16">
      <c r="C97" s="33"/>
      <c r="D97" s="33"/>
      <c r="E97" s="33"/>
      <c r="G97" s="3590"/>
      <c r="H97" s="3590"/>
      <c r="I97" s="3590"/>
      <c r="J97" s="3590"/>
      <c r="K97" s="3590"/>
      <c r="L97" s="3590"/>
      <c r="M97" s="3590"/>
      <c r="N97" s="3590"/>
      <c r="O97" s="3590"/>
      <c r="P97" s="3590"/>
    </row>
    <row r="98" spans="3:16">
      <c r="C98" s="33"/>
      <c r="D98" s="33"/>
      <c r="E98" s="33"/>
      <c r="G98" s="3590"/>
      <c r="H98" s="3590"/>
      <c r="I98" s="3590"/>
      <c r="J98" s="3590"/>
      <c r="K98" s="3590"/>
      <c r="L98" s="3590"/>
      <c r="M98" s="3590"/>
      <c r="N98" s="3590"/>
      <c r="O98" s="3590"/>
      <c r="P98" s="3590"/>
    </row>
    <row r="99" spans="3:16">
      <c r="C99" s="33"/>
      <c r="D99" s="33"/>
      <c r="G99" s="3590"/>
      <c r="H99" s="3590"/>
      <c r="I99" s="3590"/>
      <c r="J99" s="3590"/>
      <c r="K99" s="3590"/>
      <c r="L99" s="3590"/>
      <c r="M99" s="3590"/>
      <c r="N99" s="3590"/>
      <c r="O99" s="3590"/>
      <c r="P99" s="3590"/>
    </row>
    <row r="100" spans="3:16">
      <c r="C100" s="33"/>
      <c r="D100" s="33"/>
      <c r="G100" s="3590"/>
      <c r="H100" s="3590"/>
      <c r="I100" s="3590"/>
      <c r="J100" s="3590"/>
      <c r="K100" s="3590"/>
      <c r="L100" s="3590"/>
      <c r="M100" s="3590"/>
      <c r="N100" s="3590"/>
      <c r="O100" s="3590"/>
      <c r="P100" s="3590"/>
    </row>
    <row r="101" spans="3:16">
      <c r="C101" s="33"/>
      <c r="D101" s="33"/>
      <c r="G101" s="3590"/>
      <c r="H101" s="3590"/>
      <c r="I101" s="3590"/>
      <c r="J101" s="3590"/>
      <c r="K101" s="3590"/>
      <c r="L101" s="3590"/>
      <c r="M101" s="3590"/>
      <c r="N101" s="3590"/>
      <c r="O101" s="3590"/>
      <c r="P101" s="3590"/>
    </row>
    <row r="102" spans="3:16">
      <c r="C102" s="33"/>
      <c r="D102" s="33"/>
      <c r="G102" s="3590"/>
      <c r="H102" s="3590"/>
      <c r="I102" s="3590"/>
      <c r="J102" s="3590"/>
      <c r="K102" s="3590"/>
      <c r="L102" s="3590"/>
      <c r="M102" s="3590"/>
      <c r="N102" s="3590"/>
      <c r="O102" s="3590"/>
      <c r="P102" s="3590"/>
    </row>
    <row r="103" spans="3:16">
      <c r="C103" s="33"/>
      <c r="D103" s="33"/>
      <c r="G103" s="3590"/>
      <c r="H103" s="3590"/>
      <c r="I103" s="3590"/>
      <c r="J103" s="3590"/>
      <c r="K103" s="3590"/>
      <c r="L103" s="3590"/>
      <c r="M103" s="3590"/>
      <c r="N103" s="3590"/>
      <c r="O103" s="3590"/>
      <c r="P103" s="3590"/>
    </row>
    <row r="104" spans="3:16">
      <c r="C104" s="33"/>
      <c r="D104" s="33"/>
      <c r="G104" s="3590"/>
      <c r="H104" s="3590"/>
      <c r="I104" s="3590"/>
      <c r="J104" s="3590"/>
      <c r="K104" s="3590"/>
      <c r="L104" s="3590"/>
      <c r="M104" s="3590"/>
      <c r="N104" s="3590"/>
      <c r="O104" s="3590"/>
      <c r="P104" s="3590"/>
    </row>
    <row r="105" spans="3:16">
      <c r="C105" s="33"/>
      <c r="D105" s="33"/>
      <c r="G105" s="3590"/>
      <c r="H105" s="3590"/>
      <c r="I105" s="3590"/>
      <c r="J105" s="3590"/>
      <c r="K105" s="3590"/>
      <c r="L105" s="3590"/>
      <c r="M105" s="3590"/>
      <c r="N105" s="3590"/>
      <c r="O105" s="3590"/>
      <c r="P105" s="3590"/>
    </row>
    <row r="106" spans="3:16">
      <c r="C106" s="33"/>
      <c r="D106" s="33"/>
      <c r="G106" s="3590"/>
      <c r="H106" s="3590"/>
      <c r="I106" s="3590"/>
      <c r="J106" s="3590"/>
      <c r="K106" s="3590"/>
      <c r="L106" s="3590"/>
      <c r="M106" s="3590"/>
      <c r="N106" s="3590"/>
      <c r="O106" s="3590"/>
      <c r="P106" s="3590"/>
    </row>
    <row r="107" spans="3:16">
      <c r="G107" s="3590"/>
      <c r="H107" s="3590"/>
      <c r="I107" s="3590"/>
      <c r="J107" s="3590"/>
      <c r="K107" s="3590"/>
      <c r="L107" s="3590"/>
      <c r="M107" s="3590"/>
      <c r="N107" s="3590"/>
      <c r="O107" s="3590"/>
      <c r="P107" s="3590"/>
    </row>
    <row r="108" spans="3:16">
      <c r="G108" s="3590"/>
      <c r="H108" s="3590"/>
      <c r="I108" s="3590"/>
      <c r="J108" s="3590"/>
      <c r="K108" s="3590"/>
      <c r="L108" s="3590"/>
      <c r="M108" s="3590"/>
      <c r="N108" s="3590"/>
      <c r="O108" s="3590"/>
      <c r="P108" s="3590"/>
    </row>
    <row r="109" spans="3:16">
      <c r="G109" s="3590"/>
      <c r="H109" s="3590"/>
      <c r="I109" s="3590"/>
      <c r="J109" s="3590"/>
      <c r="K109" s="3590"/>
      <c r="L109" s="3590"/>
      <c r="M109" s="3590"/>
      <c r="N109" s="3590"/>
      <c r="O109" s="3590"/>
      <c r="P109" s="3590"/>
    </row>
    <row r="110" spans="3:16">
      <c r="G110" s="3590"/>
      <c r="H110" s="3590"/>
      <c r="I110" s="3590"/>
      <c r="J110" s="3590"/>
      <c r="K110" s="3590"/>
      <c r="L110" s="3590"/>
      <c r="M110" s="3590"/>
      <c r="N110" s="3590"/>
      <c r="O110" s="3590"/>
      <c r="P110" s="3590"/>
    </row>
    <row r="111" spans="3:16">
      <c r="G111" s="3590"/>
      <c r="H111" s="3590"/>
      <c r="I111" s="3590"/>
      <c r="J111" s="3590"/>
      <c r="K111" s="3590"/>
      <c r="L111" s="3590"/>
      <c r="M111" s="3590"/>
      <c r="N111" s="3590"/>
      <c r="O111" s="3590"/>
      <c r="P111" s="3590"/>
    </row>
    <row r="112" spans="3:16">
      <c r="G112" s="3590"/>
      <c r="H112" s="3590"/>
      <c r="I112" s="3590"/>
      <c r="J112" s="3590"/>
      <c r="K112" s="3590"/>
      <c r="L112" s="3590"/>
      <c r="M112" s="3590"/>
      <c r="N112" s="3590"/>
      <c r="O112" s="3590"/>
      <c r="P112" s="3590"/>
    </row>
    <row r="113" spans="2:16">
      <c r="G113" s="3590"/>
      <c r="H113" s="3590"/>
      <c r="I113" s="3590"/>
      <c r="J113" s="3590"/>
      <c r="K113" s="3590"/>
      <c r="L113" s="3590"/>
      <c r="M113" s="3590"/>
      <c r="N113" s="3590"/>
      <c r="O113" s="3590"/>
      <c r="P113" s="3590"/>
    </row>
    <row r="114" spans="2:16">
      <c r="G114" s="3590"/>
      <c r="H114" s="3590"/>
      <c r="I114" s="3590"/>
      <c r="J114" s="3590"/>
      <c r="K114" s="3590"/>
      <c r="L114" s="3590"/>
      <c r="M114" s="3590"/>
      <c r="N114" s="3590"/>
      <c r="O114" s="3590"/>
      <c r="P114" s="3590"/>
    </row>
    <row r="115" spans="2:16">
      <c r="G115" s="3590"/>
      <c r="H115" s="3590"/>
      <c r="I115" s="3590"/>
      <c r="J115" s="3590"/>
      <c r="K115" s="3590"/>
      <c r="L115" s="3590"/>
      <c r="M115" s="3590"/>
      <c r="N115" s="3590"/>
      <c r="O115" s="3590"/>
      <c r="P115" s="3590"/>
    </row>
    <row r="116" spans="2:16">
      <c r="G116" s="3590"/>
      <c r="H116" s="3590"/>
      <c r="I116" s="3590"/>
      <c r="J116" s="3590"/>
      <c r="K116" s="3590"/>
      <c r="L116" s="3590"/>
      <c r="M116" s="3590"/>
      <c r="N116" s="3590"/>
      <c r="O116" s="3590"/>
      <c r="P116" s="3590"/>
    </row>
    <row r="117" spans="2:16">
      <c r="G117" s="3590"/>
      <c r="H117" s="3590"/>
      <c r="I117" s="3590"/>
      <c r="J117" s="3590"/>
      <c r="K117" s="3590"/>
      <c r="L117" s="3590"/>
      <c r="M117" s="3590"/>
      <c r="N117" s="3590"/>
      <c r="O117" s="3590"/>
      <c r="P117" s="3590"/>
    </row>
    <row r="118" spans="2:16">
      <c r="B118" s="600"/>
      <c r="C118" s="33"/>
      <c r="G118" s="3590"/>
      <c r="H118" s="3590"/>
      <c r="I118" s="3590"/>
      <c r="J118" s="3590"/>
      <c r="K118" s="3590"/>
      <c r="L118" s="3590"/>
      <c r="M118" s="3590"/>
      <c r="N118" s="3590"/>
      <c r="O118" s="3590"/>
      <c r="P118" s="3590"/>
    </row>
    <row r="119" spans="2:16">
      <c r="B119" s="600"/>
      <c r="C119" s="33"/>
      <c r="G119" s="3590"/>
      <c r="H119" s="3590"/>
      <c r="I119" s="3590"/>
      <c r="J119" s="3590"/>
      <c r="K119" s="3590"/>
      <c r="L119" s="3590"/>
      <c r="M119" s="3590"/>
      <c r="N119" s="3590"/>
      <c r="O119" s="3590"/>
      <c r="P119" s="3590"/>
    </row>
    <row r="120" spans="2:16">
      <c r="B120" s="600"/>
      <c r="C120" s="33"/>
      <c r="G120" s="3590"/>
      <c r="H120" s="3590"/>
      <c r="I120" s="3590"/>
      <c r="J120" s="3590"/>
      <c r="K120" s="3590"/>
      <c r="L120" s="3590"/>
      <c r="M120" s="3590"/>
      <c r="N120" s="3590"/>
      <c r="O120" s="3590"/>
      <c r="P120" s="3590"/>
    </row>
    <row r="121" spans="2:16">
      <c r="B121" s="600"/>
      <c r="C121" s="33"/>
      <c r="G121" s="3590"/>
      <c r="H121" s="3590"/>
      <c r="I121" s="3590"/>
      <c r="J121" s="3590"/>
      <c r="K121" s="3590"/>
      <c r="L121" s="3590"/>
      <c r="M121" s="3590"/>
      <c r="N121" s="3590"/>
      <c r="O121" s="3590"/>
      <c r="P121" s="3590"/>
    </row>
    <row r="122" spans="2:16">
      <c r="B122" s="600"/>
      <c r="C122" s="33"/>
      <c r="G122" s="3590"/>
      <c r="H122" s="3590"/>
      <c r="I122" s="3590"/>
      <c r="J122" s="3590"/>
      <c r="K122" s="3590"/>
      <c r="L122" s="3590"/>
      <c r="M122" s="3590"/>
      <c r="N122" s="3590"/>
      <c r="O122" s="3590"/>
      <c r="P122" s="3590"/>
    </row>
    <row r="123" spans="2:16">
      <c r="B123" s="600"/>
      <c r="C123" s="33"/>
      <c r="G123" s="3590"/>
      <c r="H123" s="3590"/>
      <c r="I123" s="3590"/>
      <c r="J123" s="3590"/>
      <c r="K123" s="3590"/>
      <c r="L123" s="3590"/>
      <c r="M123" s="3590"/>
      <c r="N123" s="3590"/>
      <c r="O123" s="3590"/>
      <c r="P123" s="3590"/>
    </row>
    <row r="124" spans="2:16">
      <c r="B124" s="600"/>
      <c r="C124" s="33"/>
      <c r="G124" s="3590"/>
      <c r="H124" s="3590"/>
      <c r="I124" s="3590"/>
      <c r="J124" s="3590"/>
      <c r="K124" s="3590"/>
      <c r="L124" s="3590"/>
      <c r="M124" s="3590"/>
      <c r="N124" s="3590"/>
      <c r="O124" s="3590"/>
      <c r="P124" s="3590"/>
    </row>
    <row r="125" spans="2:16">
      <c r="B125" s="600"/>
      <c r="C125" s="33"/>
      <c r="G125" s="3590"/>
      <c r="H125" s="3590"/>
      <c r="I125" s="3590"/>
      <c r="J125" s="3590"/>
      <c r="K125" s="3590"/>
      <c r="L125" s="3590"/>
      <c r="M125" s="3590"/>
      <c r="N125" s="3590"/>
      <c r="O125" s="3590"/>
      <c r="P125" s="3590"/>
    </row>
    <row r="126" spans="2:16">
      <c r="B126" s="600"/>
      <c r="C126" s="33"/>
      <c r="G126" s="3590"/>
      <c r="H126" s="3590"/>
      <c r="I126" s="3590"/>
      <c r="J126" s="3590"/>
      <c r="K126" s="3590"/>
      <c r="L126" s="3590"/>
      <c r="M126" s="3590"/>
      <c r="N126" s="3590"/>
      <c r="O126" s="3590"/>
      <c r="P126" s="3590"/>
    </row>
    <row r="127" spans="2:16">
      <c r="B127" s="600"/>
      <c r="C127" s="33"/>
      <c r="G127" s="3590"/>
      <c r="H127" s="3590"/>
      <c r="I127" s="3590"/>
      <c r="J127" s="3590"/>
      <c r="K127" s="3590"/>
      <c r="L127" s="3590"/>
      <c r="M127" s="3590"/>
      <c r="N127" s="3590"/>
      <c r="O127" s="3590"/>
      <c r="P127" s="3590"/>
    </row>
    <row r="128" spans="2:16">
      <c r="B128" s="600"/>
      <c r="C128" s="33"/>
      <c r="G128" s="3590"/>
      <c r="H128" s="3590"/>
      <c r="I128" s="3590"/>
      <c r="J128" s="3590"/>
      <c r="K128" s="3590"/>
      <c r="L128" s="3590"/>
      <c r="M128" s="3590"/>
      <c r="N128" s="3590"/>
      <c r="O128" s="3590"/>
      <c r="P128" s="3590"/>
    </row>
    <row r="129" spans="2:16">
      <c r="B129" s="600"/>
      <c r="C129" s="33"/>
      <c r="G129" s="3590"/>
      <c r="H129" s="3590"/>
      <c r="I129" s="3590"/>
      <c r="J129" s="3590"/>
      <c r="K129" s="3590"/>
      <c r="L129" s="3590"/>
      <c r="M129" s="3590"/>
      <c r="N129" s="3590"/>
      <c r="O129" s="3590"/>
      <c r="P129" s="3590"/>
    </row>
    <row r="130" spans="2:16">
      <c r="B130" s="600"/>
      <c r="C130" s="33"/>
      <c r="G130" s="3590"/>
      <c r="H130" s="3590"/>
      <c r="I130" s="3590"/>
      <c r="J130" s="3590"/>
      <c r="K130" s="3590"/>
      <c r="L130" s="3590"/>
      <c r="M130" s="3590"/>
      <c r="N130" s="3590"/>
      <c r="O130" s="3590"/>
      <c r="P130" s="3590"/>
    </row>
    <row r="131" spans="2:16">
      <c r="B131" s="600"/>
      <c r="C131" s="33"/>
      <c r="G131" s="3590"/>
      <c r="H131" s="3590"/>
      <c r="I131" s="3590"/>
      <c r="J131" s="3590"/>
      <c r="K131" s="3590"/>
      <c r="L131" s="3590"/>
      <c r="M131" s="3590"/>
      <c r="N131" s="3590"/>
      <c r="O131" s="3590"/>
      <c r="P131" s="3590"/>
    </row>
    <row r="132" spans="2:16">
      <c r="B132" s="600"/>
      <c r="C132" s="33"/>
      <c r="G132" s="3590"/>
      <c r="H132" s="3590"/>
      <c r="I132" s="3590"/>
      <c r="J132" s="3590"/>
      <c r="K132" s="3590"/>
      <c r="L132" s="3590"/>
      <c r="M132" s="3590"/>
      <c r="N132" s="3590"/>
      <c r="O132" s="3590"/>
      <c r="P132" s="3590"/>
    </row>
    <row r="133" spans="2:16">
      <c r="B133" s="600"/>
      <c r="C133" s="33"/>
      <c r="G133" s="3590"/>
      <c r="H133" s="3590"/>
      <c r="I133" s="3590"/>
      <c r="J133" s="3590"/>
      <c r="K133" s="3590"/>
      <c r="L133" s="3590"/>
      <c r="M133" s="3590"/>
      <c r="N133" s="3590"/>
      <c r="O133" s="3590"/>
      <c r="P133" s="3590"/>
    </row>
    <row r="134" spans="2:16">
      <c r="B134" s="600"/>
      <c r="C134" s="33"/>
      <c r="G134" s="3590"/>
      <c r="H134" s="3590"/>
      <c r="I134" s="3590"/>
      <c r="J134" s="3590"/>
      <c r="K134" s="3590"/>
      <c r="L134" s="3590"/>
      <c r="M134" s="3590"/>
      <c r="N134" s="3590"/>
      <c r="O134" s="3590"/>
      <c r="P134" s="3590"/>
    </row>
    <row r="135" spans="2:16">
      <c r="B135" s="600"/>
      <c r="C135" s="33"/>
      <c r="G135" s="3590"/>
      <c r="H135" s="3590"/>
      <c r="I135" s="3590"/>
      <c r="J135" s="3590"/>
      <c r="K135" s="3590"/>
      <c r="L135" s="3590"/>
      <c r="M135" s="3590"/>
      <c r="N135" s="3590"/>
      <c r="O135" s="3590"/>
      <c r="P135" s="3590"/>
    </row>
    <row r="136" spans="2:16">
      <c r="B136" s="600"/>
      <c r="C136" s="33"/>
      <c r="G136" s="3590"/>
      <c r="H136" s="3590"/>
      <c r="I136" s="3590"/>
      <c r="J136" s="3590"/>
      <c r="K136" s="3590"/>
      <c r="L136" s="3590"/>
      <c r="M136" s="3590"/>
      <c r="N136" s="3590"/>
      <c r="O136" s="3590"/>
      <c r="P136" s="3590"/>
    </row>
    <row r="137" spans="2:16">
      <c r="B137" s="600"/>
      <c r="C137" s="33"/>
      <c r="G137" s="3590"/>
      <c r="H137" s="3590"/>
      <c r="I137" s="3590"/>
      <c r="J137" s="3590"/>
      <c r="K137" s="3590"/>
      <c r="L137" s="3590"/>
      <c r="M137" s="3590"/>
      <c r="N137" s="3590"/>
      <c r="O137" s="3590"/>
      <c r="P137" s="3590"/>
    </row>
    <row r="138" spans="2:16">
      <c r="B138" s="600"/>
      <c r="C138" s="33"/>
      <c r="G138" s="3590"/>
      <c r="H138" s="3590"/>
      <c r="I138" s="3590"/>
      <c r="J138" s="3590"/>
      <c r="K138" s="3590"/>
      <c r="L138" s="3590"/>
      <c r="M138" s="3590"/>
      <c r="N138" s="3590"/>
      <c r="O138" s="3590"/>
      <c r="P138" s="3590"/>
    </row>
    <row r="139" spans="2:16">
      <c r="B139" s="600"/>
      <c r="C139" s="33"/>
      <c r="L139" s="33"/>
    </row>
    <row r="140" spans="2:16">
      <c r="B140" s="600"/>
      <c r="C140" s="33"/>
      <c r="L140" s="33"/>
    </row>
    <row r="141" spans="2:16">
      <c r="B141" s="600"/>
      <c r="C141" s="33"/>
      <c r="L141" s="33"/>
    </row>
    <row r="142" spans="2:16">
      <c r="B142" s="600"/>
      <c r="C142" s="33"/>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row>
    <row r="148" spans="2:12">
      <c r="B148" s="600"/>
      <c r="C148" s="33"/>
    </row>
    <row r="149" spans="2:12">
      <c r="B149" s="600"/>
      <c r="C149" s="33"/>
    </row>
    <row r="150" spans="2:12">
      <c r="B150" s="600"/>
      <c r="C150" s="33"/>
    </row>
    <row r="151" spans="2:12">
      <c r="B151" s="600"/>
      <c r="C151" s="33"/>
    </row>
    <row r="152" spans="2:12">
      <c r="B152" s="600"/>
      <c r="C152" s="33"/>
    </row>
    <row r="153" spans="2:12">
      <c r="B153" s="600"/>
      <c r="C153" s="33"/>
    </row>
    <row r="154" spans="2:12">
      <c r="B154" s="600"/>
      <c r="C154" s="33"/>
      <c r="D154" s="33"/>
      <c r="F154" s="33"/>
      <c r="G154" s="33"/>
      <c r="H154" s="33"/>
      <c r="I154" s="33"/>
      <c r="J154" s="33"/>
      <c r="K154" s="33"/>
    </row>
    <row r="155" spans="2:12">
      <c r="B155" s="600"/>
      <c r="C155" s="33"/>
      <c r="D155" s="33"/>
      <c r="F155" s="33"/>
      <c r="G155" s="33"/>
      <c r="H155" s="33"/>
      <c r="I155" s="33"/>
      <c r="J155" s="33"/>
      <c r="K155" s="33"/>
    </row>
    <row r="156" spans="2:12">
      <c r="B156" s="600"/>
      <c r="C156" s="33"/>
      <c r="D156" s="33"/>
      <c r="F156" s="33"/>
      <c r="G156" s="33"/>
      <c r="H156" s="33"/>
      <c r="I156" s="33"/>
      <c r="J156" s="33"/>
      <c r="K156" s="33"/>
    </row>
    <row r="157" spans="2:12">
      <c r="B157" s="600"/>
      <c r="C157" s="33"/>
    </row>
    <row r="158" spans="2:12">
      <c r="B158" s="600"/>
      <c r="C158" s="33"/>
    </row>
    <row r="159" spans="2:12">
      <c r="B159" s="600"/>
      <c r="C159" s="33"/>
    </row>
    <row r="160" spans="2:12">
      <c r="B160" s="600"/>
      <c r="C160" s="33"/>
    </row>
    <row r="161" spans="2:3">
      <c r="B161" s="600"/>
      <c r="C161" s="33"/>
    </row>
    <row r="162" spans="2:3">
      <c r="B162" s="600"/>
      <c r="C162" s="33"/>
    </row>
    <row r="163" spans="2:3">
      <c r="B163" s="600"/>
      <c r="C163" s="33"/>
    </row>
    <row r="164" spans="2:3">
      <c r="B164" s="600"/>
      <c r="C164" s="33"/>
    </row>
    <row r="165" spans="2:3">
      <c r="B165" s="600"/>
      <c r="C165" s="33"/>
    </row>
    <row r="166" spans="2:3">
      <c r="B166" s="600"/>
      <c r="C166" s="33"/>
    </row>
    <row r="167" spans="2:3">
      <c r="B167" s="600"/>
      <c r="C167" s="33"/>
    </row>
    <row r="168" spans="2:3">
      <c r="B168" s="600"/>
      <c r="C168" s="33"/>
    </row>
    <row r="169" spans="2:3">
      <c r="B169" s="600"/>
      <c r="C169" s="33"/>
    </row>
    <row r="170" spans="2:3">
      <c r="B170" s="600"/>
      <c r="C170" s="33"/>
    </row>
    <row r="171" spans="2:3">
      <c r="B171" s="600"/>
      <c r="C171" s="33"/>
    </row>
    <row r="172" spans="2:3">
      <c r="B172" s="600"/>
      <c r="C172" s="33"/>
    </row>
    <row r="173" spans="2:3">
      <c r="B173" s="600"/>
      <c r="C173" s="33"/>
    </row>
    <row r="174" spans="2:3">
      <c r="B174" s="600"/>
      <c r="C174" s="33"/>
    </row>
    <row r="175" spans="2:3">
      <c r="B175" s="600"/>
      <c r="C175" s="33"/>
    </row>
    <row r="176" spans="2:3">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sheetData>
  <sheetProtection sheet="1" selectLockedCells="1"/>
  <mergeCells count="50">
    <mergeCell ref="C78:F78"/>
    <mergeCell ref="C79:F79"/>
    <mergeCell ref="C17:F17"/>
    <mergeCell ref="N1:O1"/>
    <mergeCell ref="E4:I4"/>
    <mergeCell ref="N6:O6"/>
    <mergeCell ref="G1:I1"/>
    <mergeCell ref="K2:P2"/>
    <mergeCell ref="K1:L1"/>
    <mergeCell ref="N3:O4"/>
    <mergeCell ref="H6:I6"/>
    <mergeCell ref="K6:L6"/>
    <mergeCell ref="E10:F10"/>
    <mergeCell ref="C16:F16"/>
    <mergeCell ref="C14:F14"/>
    <mergeCell ref="C15:F15"/>
    <mergeCell ref="C19:F19"/>
    <mergeCell ref="F23:G23"/>
    <mergeCell ref="D25:E25"/>
    <mergeCell ref="D26:E26"/>
    <mergeCell ref="C38:E38"/>
    <mergeCell ref="C37:E37"/>
    <mergeCell ref="C36:E36"/>
    <mergeCell ref="E22:G22"/>
    <mergeCell ref="C21:F21"/>
    <mergeCell ref="C20:F20"/>
    <mergeCell ref="C73:E73"/>
    <mergeCell ref="C51:D51"/>
    <mergeCell ref="C74:E74"/>
    <mergeCell ref="B75:C75"/>
    <mergeCell ref="F34:G34"/>
    <mergeCell ref="C42:E42"/>
    <mergeCell ref="C57:D57"/>
    <mergeCell ref="C39:E39"/>
    <mergeCell ref="C52:D52"/>
    <mergeCell ref="C46:D46"/>
    <mergeCell ref="C50:D50"/>
    <mergeCell ref="C47:D47"/>
    <mergeCell ref="C48:D48"/>
    <mergeCell ref="C53:D53"/>
    <mergeCell ref="C64:E64"/>
    <mergeCell ref="C40:E40"/>
    <mergeCell ref="C41:E41"/>
    <mergeCell ref="C55:D55"/>
    <mergeCell ref="C62:E62"/>
    <mergeCell ref="C68:E68"/>
    <mergeCell ref="C54:D54"/>
    <mergeCell ref="C56:D56"/>
    <mergeCell ref="C49:D49"/>
    <mergeCell ref="C63:E63"/>
  </mergeCells>
  <dataValidations count="5">
    <dataValidation type="decimal" allowBlank="1" showInputMessage="1" showErrorMessage="1" errorTitle="Wassergehalt Getreide" error="Zulässig sind nur Werte zwischen 14,1 und 22,0 % Wassergehalt." sqref="H68 K68 N68">
      <formula1>14.1</formula1>
      <formula2>22</formula2>
    </dataValidation>
    <dataValidation type="whole" allowBlank="1" showInputMessage="1" showErrorMessage="1" errorTitle="Anteil Erntegut" error="Prozentwert darf nur zwischen 0 und 100 liegen." sqref="O68 L68 I68">
      <formula1>0</formula1>
      <formula2>100</formula2>
    </dataValidation>
    <dataValidation type="list" allowBlank="1" showInputMessage="1" showErrorMessage="1" errorTitle="Verfahrensabh. Ausgleichsleist." error="Bitte aus Dropdownliste auswählen." sqref="C17 C16:F16">
      <formula1>$C$78:$C$95</formula1>
    </dataValidation>
    <dataValidation type="list" showInputMessage="1" showErrorMessage="1" sqref="H14 K14 N14">
      <formula1>"ja,nein"</formula1>
    </dataValidation>
    <dataValidation type="list" allowBlank="1" showInputMessage="1" showErrorMessage="1" sqref="H15:H17 K15:K17 N15:N17">
      <formula1>"ja,nein"</formula1>
    </dataValidation>
  </dataValidations>
  <hyperlinks>
    <hyperlink ref="F9" location="SDÖ1!A1" display="Preis ändern"/>
  </hyperlinks>
  <printOptions horizontalCentered="1"/>
  <pageMargins left="0.59055118110236227" right="0.57999999999999996" top="0.59055118110236227" bottom="0.59055118110236227" header="0.39370078740157483" footer="0.39370078740157483"/>
  <pageSetup paperSize="9" scale="70" firstPageNumber="76" orientation="portrait" r:id="rId1"/>
  <headerFooter alignWithMargins="0">
    <oddFooter>&amp;L&amp;11LEL Schwäbisch Gmünd&amp;R&amp;11&amp;F</oddFooter>
  </headerFooter>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SDÖ5!$C$5:$C$33</xm:f>
          </x14:formula1>
          <xm:sqref>C36:E42</xm:sqref>
        </x14:dataValidation>
        <x14:dataValidation type="list" allowBlank="1" showInputMessage="1" showErrorMessage="1" errorTitle="Lohnmaschinen" error="Bitte aus Dropdownliste auswählen.">
          <x14:formula1>
            <xm:f>SDÖ3!$C$137:$C$162</xm:f>
          </x14:formula1>
          <xm:sqref>C62:E64</xm:sqref>
        </x14:dataValidation>
        <x14:dataValidation type="list" allowBlank="1" showInputMessage="1" showErrorMessage="1" errorTitle="Arbeitsgänge" error="Bitte aus Dropdownliste auswählen.">
          <x14:formula1>
            <xm:f>SDÖ3!$C$24:$C$99</xm:f>
          </x14:formula1>
          <xm:sqref>C46:D56</xm:sqref>
        </x14:dataValidation>
        <x14:dataValidation type="list" allowBlank="1" showInputMessage="1" showErrorMessage="1">
          <x14:formula1>
            <xm:f>'SD2'!$C$59:$C$74</xm:f>
          </x14:formula1>
          <xm:sqref>C19:F19 C20:C21</xm:sqref>
        </x14:dataValidation>
        <x14:dataValidation type="list" allowBlank="1" showInputMessage="1" showErrorMessage="1" errorTitle="Verfahrensabh. Ausgleichsleist." error="Bitte aus Dropdownliste auswählen.">
          <x14:formula1>
            <xm:f>'SD2'!$C$11:$C$49</xm:f>
          </x14:formula1>
          <xm:sqref>C14:F15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8">
    <tabColor rgb="FF7030A0"/>
    <pageSetUpPr fitToPage="1"/>
  </sheetPr>
  <dimension ref="A1:AO211"/>
  <sheetViews>
    <sheetView topLeftCell="A44"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7.75" style="2501" customWidth="1"/>
    <col min="10" max="10" width="8" style="2501" customWidth="1"/>
    <col min="11" max="11" width="7.25" style="2501" customWidth="1"/>
    <col min="12" max="12" width="7.75" style="2501" customWidth="1"/>
    <col min="13" max="13" width="8.125" style="2501" customWidth="1"/>
    <col min="14" max="14" width="7.25" style="2501" customWidth="1"/>
    <col min="15" max="15" width="8.125" style="2501" customWidth="1"/>
    <col min="16" max="16" width="8.25" style="2501" customWidth="1"/>
    <col min="17" max="17" width="19.75" style="2501" hidden="1" customWidth="1"/>
    <col min="18" max="30" width="0" style="2505" hidden="1" customWidth="1"/>
    <col min="31"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55" t="e">
        <f>M1-J1</f>
        <v>#REF!</v>
      </c>
      <c r="L1" s="4855"/>
      <c r="M1" s="1874" t="e">
        <f>(M7+M13+M19+M22+L11+L12)-(M23+M27+M34+M43+M63+M59+M68+M70+M72+M76)</f>
        <v>#REF!</v>
      </c>
      <c r="N1" s="4855" t="e">
        <f>P1-M1</f>
        <v>#REF!</v>
      </c>
      <c r="O1" s="4855"/>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30" t="s">
        <v>1873</v>
      </c>
      <c r="L2" s="4930"/>
      <c r="M2" s="4930"/>
      <c r="N2" s="4930"/>
      <c r="O2" s="4930"/>
      <c r="P2" s="4930"/>
      <c r="Q2" s="1863"/>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c r="W3" s="4863" t="s">
        <v>1205</v>
      </c>
      <c r="X3" s="4937"/>
      <c r="Y3" s="4937"/>
      <c r="Z3" s="1869"/>
    </row>
    <row r="4" spans="1:41" s="274" customFormat="1" ht="20.25" customHeight="1">
      <c r="A4" s="2475"/>
      <c r="B4" s="370" t="s">
        <v>1098</v>
      </c>
      <c r="C4" s="2505"/>
      <c r="D4" s="2505"/>
      <c r="E4" s="4898" t="s">
        <v>1648</v>
      </c>
      <c r="F4" s="4898"/>
      <c r="G4" s="4898"/>
      <c r="H4" s="4898"/>
      <c r="I4" s="4898"/>
      <c r="J4" s="4863" t="s">
        <v>1194</v>
      </c>
      <c r="K4" s="4937"/>
      <c r="L4" s="4937"/>
      <c r="M4" s="2490"/>
      <c r="N4" s="4869"/>
      <c r="O4" s="4869"/>
      <c r="P4" s="1864">
        <f>SDÖ1!O3</f>
        <v>0</v>
      </c>
      <c r="Q4" s="2475"/>
      <c r="T4" s="1886" t="b">
        <v>0</v>
      </c>
      <c r="W4" s="4863" t="s">
        <v>1194</v>
      </c>
      <c r="X4" s="4937"/>
      <c r="Y4" s="4937"/>
      <c r="Z4" s="2490"/>
    </row>
    <row r="5" spans="1:41" ht="6" customHeight="1" thickBot="1"/>
    <row r="6" spans="1:41" s="1853" customFormat="1" ht="24" customHeight="1">
      <c r="A6" s="48"/>
      <c r="B6" s="2981" t="s">
        <v>1151</v>
      </c>
      <c r="C6" s="2980"/>
      <c r="D6" s="2980"/>
      <c r="E6" s="2980"/>
      <c r="F6" s="2980"/>
      <c r="G6" s="2979" t="s">
        <v>1642</v>
      </c>
      <c r="H6" s="4995"/>
      <c r="I6" s="4996"/>
      <c r="J6" s="2472">
        <v>1</v>
      </c>
      <c r="K6" s="4997"/>
      <c r="L6" s="4998"/>
      <c r="M6" s="2472">
        <v>1</v>
      </c>
      <c r="N6" s="4999"/>
      <c r="O6" s="5000"/>
      <c r="P6" s="2471">
        <f>M6*1.25</f>
        <v>1.25</v>
      </c>
      <c r="Q6" s="70"/>
      <c r="R6" s="1853" t="s">
        <v>1872</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91" t="s">
        <v>1652</v>
      </c>
      <c r="F10" s="4992"/>
      <c r="G10" s="1839"/>
      <c r="H10" s="1834">
        <f>J6*0.25</f>
        <v>0.25</v>
      </c>
      <c r="I10" s="1833">
        <f>H10*G10</f>
        <v>0</v>
      </c>
      <c r="K10" s="1837">
        <f>M6*25%</f>
        <v>0.25</v>
      </c>
      <c r="L10" s="1836">
        <f>K10*G10</f>
        <v>0</v>
      </c>
      <c r="M10" s="1835"/>
      <c r="N10" s="1834">
        <f>P6*25%</f>
        <v>0.3125</v>
      </c>
      <c r="O10" s="1833">
        <f>N10*G10</f>
        <v>0</v>
      </c>
      <c r="P10" s="2468"/>
      <c r="Q10" s="2501"/>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2501"/>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2501"/>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7" t="s">
        <v>1364</v>
      </c>
      <c r="D14" s="4967"/>
      <c r="E14" s="4967"/>
      <c r="F14" s="4967"/>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7"/>
      <c r="D15" s="4967"/>
      <c r="E15" s="4967"/>
      <c r="F15" s="4967"/>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7">
        <v>0</v>
      </c>
      <c r="D16" s="4967"/>
      <c r="E16" s="4967"/>
      <c r="F16" s="4967"/>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7">
        <v>0</v>
      </c>
      <c r="D17" s="4967"/>
      <c r="E17" s="4967"/>
      <c r="F17" s="4967"/>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7" t="s">
        <v>286</v>
      </c>
      <c r="D20" s="4967"/>
      <c r="E20" s="4967"/>
      <c r="F20" s="4967"/>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84"/>
      <c r="D21" s="4984"/>
      <c r="E21" s="4984"/>
      <c r="F21" s="4984"/>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85"/>
      <c r="E22" s="4985"/>
      <c r="F22" s="4985"/>
      <c r="G22" s="4986"/>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R23" s="2500" t="s">
        <v>1871</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c r="R24" s="2505" t="s">
        <v>1870</v>
      </c>
    </row>
    <row r="25" spans="1:26" s="42" customFormat="1" ht="15" customHeight="1">
      <c r="A25" s="1284"/>
      <c r="B25" s="2455"/>
      <c r="C25" s="1284" t="s">
        <v>1185</v>
      </c>
      <c r="D25" s="4878"/>
      <c r="E25" s="4879"/>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80"/>
      <c r="E26" s="4881"/>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8"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8"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8"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8" s="42" customFormat="1" ht="15" customHeight="1">
      <c r="A36" s="1284"/>
      <c r="B36" s="2373"/>
      <c r="C36" s="4973"/>
      <c r="D36" s="4973"/>
      <c r="E36" s="497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8" s="42" customFormat="1" ht="15" customHeight="1">
      <c r="A37" s="1284"/>
      <c r="B37" s="2373"/>
      <c r="C37" s="4971"/>
      <c r="D37" s="4971"/>
      <c r="E37" s="497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8" s="42" customFormat="1" ht="15" customHeight="1">
      <c r="A38" s="1284"/>
      <c r="B38" s="2438"/>
      <c r="C38" s="4971"/>
      <c r="D38" s="4971"/>
      <c r="E38" s="4972"/>
      <c r="F38" s="1724">
        <f>IF(C38=0,0,VLOOKUP(C38,SDÖ5!$C$6:$D$16,2,FALSE))</f>
        <v>0</v>
      </c>
      <c r="G38" s="1724">
        <f t="shared" si="0"/>
        <v>0</v>
      </c>
      <c r="H38" s="2437"/>
      <c r="I38" s="1722">
        <f t="shared" si="1"/>
        <v>0</v>
      </c>
      <c r="K38" s="2437"/>
      <c r="L38" s="1564">
        <f t="shared" si="2"/>
        <v>0</v>
      </c>
      <c r="M38" s="2372"/>
      <c r="N38" s="2437"/>
      <c r="O38" s="1722">
        <f t="shared" si="3"/>
        <v>0</v>
      </c>
      <c r="P38" s="2417"/>
      <c r="Q38" s="2501"/>
      <c r="R38" s="42" t="s">
        <v>1869</v>
      </c>
    </row>
    <row r="39" spans="1:18" s="42" customFormat="1" ht="15" hidden="1" customHeight="1">
      <c r="A39" s="1284"/>
      <c r="B39" s="2373"/>
      <c r="C39" s="4971"/>
      <c r="D39" s="4971"/>
      <c r="E39" s="497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8" s="42" customFormat="1" ht="15" hidden="1" customHeight="1">
      <c r="A40" s="1284"/>
      <c r="B40" s="2373"/>
      <c r="C40" s="4971"/>
      <c r="D40" s="4971"/>
      <c r="E40" s="497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8" s="42" customFormat="1" ht="15" hidden="1" customHeight="1">
      <c r="A41" s="1284"/>
      <c r="B41" s="2373"/>
      <c r="C41" s="4971"/>
      <c r="D41" s="4971"/>
      <c r="E41" s="497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8" s="42" customFormat="1" ht="15" hidden="1" customHeight="1">
      <c r="A42" s="1284"/>
      <c r="B42" s="2436"/>
      <c r="C42" s="4975"/>
      <c r="D42" s="4975"/>
      <c r="E42" s="497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8"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8"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8"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8" s="42" customFormat="1" ht="15" customHeight="1">
      <c r="A46" s="1284"/>
      <c r="B46" s="2419"/>
      <c r="C46" s="4977"/>
      <c r="D46" s="497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8" s="42" customFormat="1" ht="15" customHeight="1">
      <c r="A47" s="1284"/>
      <c r="B47" s="2418"/>
      <c r="C47" s="4964"/>
      <c r="D47" s="4965"/>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8" s="42" customFormat="1" ht="15" customHeight="1">
      <c r="A48" s="1284"/>
      <c r="B48" s="2418"/>
      <c r="C48" s="4964"/>
      <c r="D48" s="4965"/>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64"/>
      <c r="D49" s="4965"/>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64"/>
      <c r="D50" s="4965"/>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64"/>
      <c r="D53" s="4965"/>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64"/>
      <c r="D54" s="4965"/>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64"/>
      <c r="D56" s="4965"/>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5001">
        <v>0</v>
      </c>
      <c r="D57" s="5002"/>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7"/>
      <c r="D65" s="4967"/>
      <c r="E65" s="4967"/>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7"/>
      <c r="D66" s="4967"/>
      <c r="E66" s="4968"/>
      <c r="F66" s="2399">
        <f>IF($C66=0,0,VLOOKUP($C66,SDÖ3!$C$140:$D$162,2,FALSE))</f>
        <v>0</v>
      </c>
      <c r="G66" s="1554">
        <f>(100+$D$64)/100*F66</f>
        <v>0</v>
      </c>
      <c r="K66" s="1640"/>
      <c r="L66" s="1639"/>
      <c r="M66" s="2372"/>
      <c r="N66" s="2398"/>
      <c r="O66" s="1785"/>
      <c r="P66" s="2371"/>
      <c r="Q66" s="2501"/>
    </row>
    <row r="67" spans="1:20" s="42" customFormat="1" ht="15" customHeight="1">
      <c r="A67" s="1284"/>
      <c r="B67" s="2397"/>
      <c r="C67" s="4969" t="s">
        <v>307</v>
      </c>
      <c r="D67" s="4969"/>
      <c r="E67" s="4969"/>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70" t="s">
        <v>1620</v>
      </c>
      <c r="D69" s="4970"/>
      <c r="E69" s="4970"/>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81" t="s">
        <v>1657</v>
      </c>
      <c r="D74" s="4981"/>
      <c r="E74" s="4981"/>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66"/>
      <c r="D75" s="4966"/>
      <c r="E75" s="4966"/>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82" t="s">
        <v>1154</v>
      </c>
      <c r="C76" s="4983"/>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TE5</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H162" s="1897"/>
      <c r="J162" s="2357"/>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75:E75"/>
    <mergeCell ref="B76:C76"/>
    <mergeCell ref="C57:D57"/>
    <mergeCell ref="C65:E65"/>
    <mergeCell ref="C66:E66"/>
    <mergeCell ref="C67:E67"/>
    <mergeCell ref="C69:E69"/>
    <mergeCell ref="C50:D50"/>
    <mergeCell ref="C51:D51"/>
    <mergeCell ref="C52:D52"/>
    <mergeCell ref="C53:D53"/>
    <mergeCell ref="C74:E74"/>
    <mergeCell ref="C54:D54"/>
    <mergeCell ref="C55:D55"/>
    <mergeCell ref="C56:D56"/>
    <mergeCell ref="C49:D49"/>
    <mergeCell ref="D26:E26"/>
    <mergeCell ref="C36:E36"/>
    <mergeCell ref="C37:E37"/>
    <mergeCell ref="C38:E38"/>
    <mergeCell ref="C39:E39"/>
    <mergeCell ref="C40:E40"/>
    <mergeCell ref="C41:E41"/>
    <mergeCell ref="C42:E42"/>
    <mergeCell ref="C46:D46"/>
    <mergeCell ref="C47:D47"/>
    <mergeCell ref="C48:D48"/>
    <mergeCell ref="D25:E25"/>
    <mergeCell ref="N1:O1"/>
    <mergeCell ref="K2:P2"/>
    <mergeCell ref="N3:O4"/>
    <mergeCell ref="E10:F10"/>
    <mergeCell ref="C14:F14"/>
    <mergeCell ref="C15:F15"/>
    <mergeCell ref="C16:F16"/>
    <mergeCell ref="C17:F17"/>
    <mergeCell ref="C20:F20"/>
    <mergeCell ref="C21:F21"/>
    <mergeCell ref="D22:G22"/>
    <mergeCell ref="W3:Y3"/>
    <mergeCell ref="E4:I4"/>
    <mergeCell ref="W4:Y4"/>
    <mergeCell ref="G1:I1"/>
    <mergeCell ref="H6:I6"/>
    <mergeCell ref="K6:L6"/>
    <mergeCell ref="N6:O6"/>
    <mergeCell ref="J3:L3"/>
    <mergeCell ref="J4:L4"/>
    <mergeCell ref="K1:L1"/>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7" firstPageNumber="68" orientation="portrait" r:id="rId1"/>
  <headerFooter alignWithMargins="0">
    <oddFooter>&amp;L&amp;11LEL Schwäbisch Gmünd&amp;C70&amp;R&amp;11&amp;F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464" r:id="rId4" name="Check Box 16">
              <controlPr defaultSize="0" autoFill="0" autoLine="0" autoPict="0">
                <anchor moveWithCells="1">
                  <from>
                    <xdr:col>17</xdr:col>
                    <xdr:colOff>752475</xdr:colOff>
                    <xdr:row>1</xdr:row>
                    <xdr:rowOff>247650</xdr:rowOff>
                  </from>
                  <to>
                    <xdr:col>30</xdr:col>
                    <xdr:colOff>257175</xdr:colOff>
                    <xdr:row>2</xdr:row>
                    <xdr:rowOff>171450</xdr:rowOff>
                  </to>
                </anchor>
              </controlPr>
            </control>
          </mc:Choice>
        </mc:AlternateContent>
        <mc:AlternateContent xmlns:mc="http://schemas.openxmlformats.org/markup-compatibility/2006">
          <mc:Choice Requires="x14">
            <control shapeId="104465" r:id="rId5" name="Check Box 17">
              <controlPr defaultSize="0" autoFill="0" autoLine="0" autoPict="0">
                <anchor moveWithCells="1">
                  <from>
                    <xdr:col>17</xdr:col>
                    <xdr:colOff>752475</xdr:colOff>
                    <xdr:row>1</xdr:row>
                    <xdr:rowOff>57150</xdr:rowOff>
                  </from>
                  <to>
                    <xdr:col>30</xdr:col>
                    <xdr:colOff>257175</xdr:colOff>
                    <xdr:row>1</xdr:row>
                    <xdr:rowOff>285750</xdr:rowOff>
                  </to>
                </anchor>
              </controlPr>
            </control>
          </mc:Choice>
        </mc:AlternateContent>
        <mc:AlternateContent xmlns:mc="http://schemas.openxmlformats.org/markup-compatibility/2006">
          <mc:Choice Requires="x14">
            <control shapeId="104466"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4467"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4468"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4469"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4470"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4471"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4472"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4473"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4474"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4475"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4476"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4477"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4478"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4479"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9">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9.5" style="2501" bestFit="1" customWidth="1"/>
    <col min="11"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55" t="e">
        <f>M1-J1</f>
        <v>#REF!</v>
      </c>
      <c r="L1" s="4855"/>
      <c r="M1" s="1874" t="e">
        <f>(M7+M13+M19+M22+L11+L12)-(M23+M27+M34+M43+M63+M59+M68+M70+M72+M76)</f>
        <v>#REF!</v>
      </c>
      <c r="N1" s="4855" t="e">
        <f>P1-M1</f>
        <v>#REF!</v>
      </c>
      <c r="O1" s="4855"/>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30" t="s">
        <v>1877</v>
      </c>
      <c r="L2" s="4930"/>
      <c r="M2" s="4930"/>
      <c r="N2" s="4930"/>
      <c r="O2" s="4930"/>
      <c r="P2" s="4930"/>
      <c r="Q2" s="2475"/>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c r="W3" s="4863" t="s">
        <v>1205</v>
      </c>
      <c r="X3" s="4937"/>
      <c r="Y3" s="4937"/>
      <c r="Z3" s="1869"/>
    </row>
    <row r="4" spans="1:41" s="274" customFormat="1" ht="20.25" customHeight="1">
      <c r="A4" s="2475"/>
      <c r="B4" s="370" t="s">
        <v>1098</v>
      </c>
      <c r="C4" s="2505"/>
      <c r="D4" s="2505"/>
      <c r="E4" s="4898" t="s">
        <v>1648</v>
      </c>
      <c r="F4" s="4898"/>
      <c r="G4" s="4898"/>
      <c r="H4" s="4898"/>
      <c r="I4" s="4898"/>
      <c r="J4" s="4863" t="s">
        <v>1194</v>
      </c>
      <c r="K4" s="4937"/>
      <c r="L4" s="4937"/>
      <c r="M4" s="2490"/>
      <c r="N4" s="4869"/>
      <c r="O4" s="4869"/>
      <c r="P4" s="1864">
        <f>SDÖ1!O3</f>
        <v>0</v>
      </c>
      <c r="Q4" s="2475"/>
      <c r="T4" s="1886"/>
      <c r="W4" s="4863" t="s">
        <v>1194</v>
      </c>
      <c r="X4" s="4937"/>
      <c r="Y4" s="4937"/>
      <c r="Z4" s="2490"/>
    </row>
    <row r="5" spans="1:41" ht="6" customHeight="1" thickBot="1"/>
    <row r="6" spans="1:41" s="1853" customFormat="1" ht="24" customHeight="1">
      <c r="A6" s="48"/>
      <c r="B6" s="2981" t="s">
        <v>1151</v>
      </c>
      <c r="C6" s="2980"/>
      <c r="D6" s="2980"/>
      <c r="E6" s="2980"/>
      <c r="F6" s="2980"/>
      <c r="G6" s="2979" t="s">
        <v>1642</v>
      </c>
      <c r="H6" s="4995"/>
      <c r="I6" s="4996"/>
      <c r="J6" s="2472">
        <v>1</v>
      </c>
      <c r="K6" s="4997"/>
      <c r="L6" s="4998"/>
      <c r="M6" s="2472">
        <v>1</v>
      </c>
      <c r="N6" s="4999"/>
      <c r="O6" s="5000"/>
      <c r="P6" s="2471">
        <f>M6*1.25</f>
        <v>1.25</v>
      </c>
      <c r="Q6" s="70"/>
      <c r="R6" s="1853" t="s">
        <v>1876</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91" t="s">
        <v>1652</v>
      </c>
      <c r="F10" s="4992"/>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7" t="s">
        <v>1364</v>
      </c>
      <c r="D14" s="4967"/>
      <c r="E14" s="4967"/>
      <c r="F14" s="4967"/>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7"/>
      <c r="D15" s="4967"/>
      <c r="E15" s="4967"/>
      <c r="F15" s="4967"/>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7">
        <v>0</v>
      </c>
      <c r="D16" s="4967"/>
      <c r="E16" s="4967"/>
      <c r="F16" s="4967"/>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7">
        <v>0</v>
      </c>
      <c r="D17" s="4967"/>
      <c r="E17" s="4967"/>
      <c r="F17" s="4967"/>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7" t="s">
        <v>286</v>
      </c>
      <c r="D20" s="4967"/>
      <c r="E20" s="4967"/>
      <c r="F20" s="4967"/>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84"/>
      <c r="D21" s="4984"/>
      <c r="E21" s="4984"/>
      <c r="F21" s="4984"/>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85"/>
      <c r="E22" s="4985"/>
      <c r="F22" s="4985"/>
      <c r="G22" s="4986"/>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Q23" s="38"/>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8"/>
      <c r="E25" s="4879"/>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80"/>
      <c r="E26" s="4881"/>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73"/>
      <c r="D36" s="4973"/>
      <c r="E36" s="497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71"/>
      <c r="D37" s="4971"/>
      <c r="E37" s="497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71"/>
      <c r="D38" s="4971"/>
      <c r="E38" s="497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71"/>
      <c r="D39" s="4971"/>
      <c r="E39" s="497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71"/>
      <c r="D40" s="4971"/>
      <c r="E40" s="497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71"/>
      <c r="D41" s="4971"/>
      <c r="E41" s="497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75"/>
      <c r="D42" s="4975"/>
      <c r="E42" s="497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77"/>
      <c r="D46" s="497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64"/>
      <c r="D47" s="4965"/>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64"/>
      <c r="D48" s="4965"/>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64"/>
      <c r="D49" s="4965"/>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64"/>
      <c r="D50" s="4965"/>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64"/>
      <c r="D53" s="4965"/>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64"/>
      <c r="D54" s="4965"/>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38" t="s">
        <v>1875</v>
      </c>
    </row>
    <row r="55" spans="1:17"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64"/>
      <c r="D56" s="4965"/>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5001">
        <v>0</v>
      </c>
      <c r="D57" s="5002"/>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7"/>
      <c r="D65" s="4967"/>
      <c r="E65" s="4967"/>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7"/>
      <c r="D66" s="4967"/>
      <c r="E66" s="4968"/>
      <c r="F66" s="2399">
        <f>IF($C66=0,0,VLOOKUP($C66,SDÖ3!$C$140:$D$162,2,FALSE))</f>
        <v>0</v>
      </c>
      <c r="G66" s="1554">
        <f>(100+$D$64)/100*F66</f>
        <v>0</v>
      </c>
      <c r="K66" s="1640"/>
      <c r="L66" s="1639"/>
      <c r="M66" s="2372"/>
      <c r="N66" s="2398"/>
      <c r="O66" s="1785"/>
      <c r="P66" s="2371"/>
      <c r="Q66" s="2501"/>
    </row>
    <row r="67" spans="1:20" s="42" customFormat="1" ht="15" customHeight="1">
      <c r="A67" s="1284"/>
      <c r="B67" s="2397"/>
      <c r="C67" s="4969" t="s">
        <v>307</v>
      </c>
      <c r="D67" s="4969"/>
      <c r="E67" s="4969"/>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70" t="s">
        <v>1620</v>
      </c>
      <c r="D69" s="4970"/>
      <c r="E69" s="4970"/>
      <c r="F69" s="1604"/>
      <c r="G69" s="1595" t="s">
        <v>228</v>
      </c>
      <c r="H69" s="1602"/>
      <c r="I69" s="1601"/>
      <c r="J69" s="1600"/>
      <c r="K69" s="1602"/>
      <c r="L69" s="1601"/>
      <c r="M69" s="1603"/>
      <c r="N69" s="1602"/>
      <c r="O69" s="1601"/>
      <c r="P69" s="2389"/>
      <c r="Q69" s="2501"/>
      <c r="R69" s="1599">
        <f>IF($H$69=0,0,VLOOKUP($H$69,#REF!,#REF!,FALSE))*(1+SDÖ1!$O$11/100)</f>
        <v>0</v>
      </c>
      <c r="S69" s="1599">
        <f>IF($K$69=0,0,VLOOKUP($K$69,#REF!,#REF!,FALSE))*(1+SDÖ1!$O$11/100)</f>
        <v>0</v>
      </c>
      <c r="T69" s="1599">
        <f>IF($N$69=0,0,VLOOKUP($N$69,#REF!,#REF!,FALSE))*(1+SDÖ1!$O$11/100)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81" t="s">
        <v>1657</v>
      </c>
      <c r="D74" s="4981"/>
      <c r="E74" s="4981"/>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66"/>
      <c r="D75" s="4966"/>
      <c r="E75" s="4966"/>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82" t="s">
        <v>1154</v>
      </c>
      <c r="C76" s="4983"/>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TE6</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D162" s="33"/>
      <c r="F162" s="33"/>
      <c r="G162" s="33"/>
      <c r="H162" s="33"/>
      <c r="I162" s="33"/>
      <c r="J162" s="33"/>
      <c r="K162" s="33"/>
    </row>
    <row r="163" spans="2:11">
      <c r="B163" s="600"/>
      <c r="C163" s="33"/>
      <c r="D163" s="33"/>
      <c r="F163" s="33"/>
      <c r="G163" s="33"/>
      <c r="H163" s="33"/>
      <c r="I163" s="33"/>
      <c r="J163" s="33"/>
      <c r="K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7">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50" orientation="portrait" r:id="rId1"/>
  <headerFooter alignWithMargins="0">
    <oddFooter>&amp;L&amp;11LEL Schwäbisch Gmünd&amp;C52&amp;R&amp;11&amp;F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488" r:id="rId4" name="Check Box 16">
              <controlPr defaultSize="0" autoFill="0" autoLine="0" autoPict="0">
                <anchor moveWithCells="1">
                  <from>
                    <xdr:col>18</xdr:col>
                    <xdr:colOff>266700</xdr:colOff>
                    <xdr:row>1</xdr:row>
                    <xdr:rowOff>257175</xdr:rowOff>
                  </from>
                  <to>
                    <xdr:col>18</xdr:col>
                    <xdr:colOff>523875</xdr:colOff>
                    <xdr:row>2</xdr:row>
                    <xdr:rowOff>180975</xdr:rowOff>
                  </to>
                </anchor>
              </controlPr>
            </control>
          </mc:Choice>
        </mc:AlternateContent>
        <mc:AlternateContent xmlns:mc="http://schemas.openxmlformats.org/markup-compatibility/2006">
          <mc:Choice Requires="x14">
            <control shapeId="105489" r:id="rId5" name="Check Box 17">
              <controlPr defaultSize="0" autoFill="0" autoLine="0" autoPict="0">
                <anchor moveWithCells="1">
                  <from>
                    <xdr:col>18</xdr:col>
                    <xdr:colOff>247650</xdr:colOff>
                    <xdr:row>1</xdr:row>
                    <xdr:rowOff>57150</xdr:rowOff>
                  </from>
                  <to>
                    <xdr:col>18</xdr:col>
                    <xdr:colOff>514350</xdr:colOff>
                    <xdr:row>1</xdr:row>
                    <xdr:rowOff>295275</xdr:rowOff>
                  </to>
                </anchor>
              </controlPr>
            </control>
          </mc:Choice>
        </mc:AlternateContent>
        <mc:AlternateContent xmlns:mc="http://schemas.openxmlformats.org/markup-compatibility/2006">
          <mc:Choice Requires="x14">
            <control shapeId="105490"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5491"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5492"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5493"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5494"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5495"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5496"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5497"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5498"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5499"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5500"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5501"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5502"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5503"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0">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8" style="2501" customWidth="1"/>
    <col min="10" max="11" width="7.25" style="2501" customWidth="1"/>
    <col min="12" max="12" width="7.75" style="2501" customWidth="1"/>
    <col min="13" max="14" width="7.25" style="2501" customWidth="1"/>
    <col min="15" max="15" width="8" style="2501" customWidth="1"/>
    <col min="16"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55" t="e">
        <f>M1-J1</f>
        <v>#REF!</v>
      </c>
      <c r="L1" s="4855"/>
      <c r="M1" s="1874" t="e">
        <f>(M7+M13+M19+M22+L11+L12)-(M23+M27+M34+M43+M63+M59+M68+M70+M72+M76)</f>
        <v>#REF!</v>
      </c>
      <c r="N1" s="4855" t="e">
        <f>P1-M1</f>
        <v>#REF!</v>
      </c>
      <c r="O1" s="4855"/>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5003" t="s">
        <v>1879</v>
      </c>
      <c r="L2" s="5003"/>
      <c r="M2" s="5003"/>
      <c r="N2" s="5003"/>
      <c r="O2" s="5003"/>
      <c r="P2" s="5003"/>
      <c r="Q2" s="2475"/>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c r="W3" s="4863" t="s">
        <v>1205</v>
      </c>
      <c r="X3" s="4937"/>
      <c r="Y3" s="4937"/>
      <c r="Z3" s="1869"/>
    </row>
    <row r="4" spans="1:41" s="274" customFormat="1" ht="20.25" customHeight="1">
      <c r="A4" s="2475"/>
      <c r="B4" s="370" t="s">
        <v>1098</v>
      </c>
      <c r="C4" s="2505"/>
      <c r="D4" s="2505"/>
      <c r="E4" s="4898" t="s">
        <v>1648</v>
      </c>
      <c r="F4" s="4898"/>
      <c r="G4" s="4898"/>
      <c r="H4" s="4898"/>
      <c r="I4" s="4898"/>
      <c r="J4" s="4863" t="s">
        <v>1194</v>
      </c>
      <c r="K4" s="4937"/>
      <c r="L4" s="4937"/>
      <c r="M4" s="2490"/>
      <c r="N4" s="4869"/>
      <c r="O4" s="4869"/>
      <c r="P4" s="1864">
        <f>SDÖ1!O3</f>
        <v>0</v>
      </c>
      <c r="Q4" s="2475"/>
      <c r="T4" s="1886" t="b">
        <v>0</v>
      </c>
      <c r="W4" s="4863" t="s">
        <v>1194</v>
      </c>
      <c r="X4" s="4937"/>
      <c r="Y4" s="4937"/>
      <c r="Z4" s="2490"/>
    </row>
    <row r="5" spans="1:41" ht="6" customHeight="1" thickBot="1"/>
    <row r="6" spans="1:41" s="1853" customFormat="1" ht="24" customHeight="1">
      <c r="A6" s="48"/>
      <c r="B6" s="2981" t="s">
        <v>1151</v>
      </c>
      <c r="C6" s="2980"/>
      <c r="D6" s="2980"/>
      <c r="E6" s="2980"/>
      <c r="F6" s="2980"/>
      <c r="G6" s="2979" t="s">
        <v>1642</v>
      </c>
      <c r="H6" s="4995"/>
      <c r="I6" s="4996"/>
      <c r="J6" s="2472">
        <v>1</v>
      </c>
      <c r="K6" s="4997"/>
      <c r="L6" s="4998"/>
      <c r="M6" s="2472">
        <v>1</v>
      </c>
      <c r="N6" s="4999"/>
      <c r="O6" s="5000"/>
      <c r="P6" s="2471">
        <f>M6*1.25</f>
        <v>1.25</v>
      </c>
      <c r="Q6" s="70"/>
      <c r="R6" s="1853" t="s">
        <v>1878</v>
      </c>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91" t="s">
        <v>1652</v>
      </c>
      <c r="F10" s="4992"/>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7" t="s">
        <v>1364</v>
      </c>
      <c r="D14" s="4967"/>
      <c r="E14" s="4967"/>
      <c r="F14" s="4967"/>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7"/>
      <c r="D15" s="4967"/>
      <c r="E15" s="4967"/>
      <c r="F15" s="4967"/>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7">
        <v>0</v>
      </c>
      <c r="D16" s="4967"/>
      <c r="E16" s="4967"/>
      <c r="F16" s="4967"/>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7">
        <v>0</v>
      </c>
      <c r="D17" s="4967"/>
      <c r="E17" s="4967"/>
      <c r="F17" s="4967"/>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7" t="s">
        <v>286</v>
      </c>
      <c r="D20" s="4967"/>
      <c r="E20" s="4967"/>
      <c r="F20" s="4967"/>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84"/>
      <c r="D21" s="4984"/>
      <c r="E21" s="4984"/>
      <c r="F21" s="4984"/>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85"/>
      <c r="E22" s="4985"/>
      <c r="F22" s="4985"/>
      <c r="G22" s="4986"/>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8"/>
      <c r="E25" s="4879"/>
      <c r="F25" s="1763"/>
      <c r="G25" s="1762">
        <f>F25*(100+$D$24)/100</f>
        <v>0</v>
      </c>
      <c r="H25" s="1761"/>
      <c r="I25" s="1722">
        <f>H25*$G25</f>
        <v>0</v>
      </c>
      <c r="K25" s="1761"/>
      <c r="L25" s="1564">
        <f>K25*$G25</f>
        <v>0</v>
      </c>
      <c r="M25" s="2372"/>
      <c r="N25" s="1761"/>
      <c r="O25" s="1722">
        <f>N25*$G25</f>
        <v>0</v>
      </c>
      <c r="P25" s="2417"/>
      <c r="Q25" s="2501"/>
    </row>
    <row r="26" spans="1:26" s="42" customFormat="1" ht="15" customHeight="1">
      <c r="A26" s="1284"/>
      <c r="B26" s="2387"/>
      <c r="C26" s="2476" t="s">
        <v>191</v>
      </c>
      <c r="D26" s="4880"/>
      <c r="E26" s="4881"/>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73"/>
      <c r="D36" s="4973"/>
      <c r="E36" s="497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71"/>
      <c r="D37" s="4971"/>
      <c r="E37" s="497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71"/>
      <c r="D38" s="4971"/>
      <c r="E38" s="497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71"/>
      <c r="D39" s="4971"/>
      <c r="E39" s="497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71"/>
      <c r="D40" s="4971"/>
      <c r="E40" s="497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71"/>
      <c r="D41" s="4971"/>
      <c r="E41" s="497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75"/>
      <c r="D42" s="4975"/>
      <c r="E42" s="497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77"/>
      <c r="D46" s="497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64"/>
      <c r="D47" s="4965"/>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64"/>
      <c r="D48" s="4965"/>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64"/>
      <c r="D49" s="4965"/>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64"/>
      <c r="D50" s="4965"/>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64"/>
      <c r="D53" s="4965"/>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64"/>
      <c r="D54" s="4965"/>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64"/>
      <c r="D56" s="4965"/>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5001">
        <v>0</v>
      </c>
      <c r="D57" s="5002"/>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7"/>
      <c r="D65" s="4967"/>
      <c r="E65" s="4967"/>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7"/>
      <c r="D66" s="4967"/>
      <c r="E66" s="4968"/>
      <c r="F66" s="2399">
        <f>IF($C66=0,0,VLOOKUP($C66,SDÖ3!$C$140:$D$162,2,FALSE))</f>
        <v>0</v>
      </c>
      <c r="G66" s="1554">
        <f>(100+$D$64)/100*F66</f>
        <v>0</v>
      </c>
      <c r="K66" s="1640"/>
      <c r="L66" s="1639"/>
      <c r="M66" s="2372"/>
      <c r="N66" s="2398"/>
      <c r="O66" s="1785"/>
      <c r="P66" s="2371"/>
      <c r="Q66" s="2501"/>
    </row>
    <row r="67" spans="1:20" s="42" customFormat="1" ht="15" customHeight="1">
      <c r="A67" s="1284"/>
      <c r="B67" s="2397"/>
      <c r="C67" s="4969" t="s">
        <v>307</v>
      </c>
      <c r="D67" s="4969"/>
      <c r="E67" s="4969"/>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70" t="s">
        <v>1620</v>
      </c>
      <c r="D69" s="4970"/>
      <c r="E69" s="4970"/>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81" t="s">
        <v>1657</v>
      </c>
      <c r="D74" s="4981"/>
      <c r="E74" s="4981"/>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66"/>
      <c r="D75" s="4966"/>
      <c r="E75" s="4966"/>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82" t="s">
        <v>1154</v>
      </c>
      <c r="C76" s="4983"/>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TE7</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c r="H153" s="1897"/>
      <c r="J153" s="2357"/>
    </row>
    <row r="154" spans="2:12">
      <c r="B154" s="600"/>
      <c r="C154" s="33"/>
      <c r="H154" s="1897"/>
      <c r="J154" s="2357"/>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C15:F15"/>
    <mergeCell ref="E4:I4"/>
    <mergeCell ref="W4:Y4"/>
    <mergeCell ref="G1:I1"/>
    <mergeCell ref="J3:L3"/>
    <mergeCell ref="J4:L4"/>
    <mergeCell ref="K1:L1"/>
    <mergeCell ref="N1:O1"/>
    <mergeCell ref="K2:P2"/>
    <mergeCell ref="N3:O4"/>
    <mergeCell ref="W3:Y3"/>
    <mergeCell ref="H6:I6"/>
    <mergeCell ref="K6:L6"/>
    <mergeCell ref="N6:O6"/>
    <mergeCell ref="E10:F10"/>
    <mergeCell ref="C14:F14"/>
    <mergeCell ref="C40:E40"/>
    <mergeCell ref="C16:F16"/>
    <mergeCell ref="C17:F17"/>
    <mergeCell ref="C20:F20"/>
    <mergeCell ref="C21:F21"/>
    <mergeCell ref="D22:G22"/>
    <mergeCell ref="D25:E25"/>
    <mergeCell ref="D26:E26"/>
    <mergeCell ref="C36:E36"/>
    <mergeCell ref="C37:E37"/>
    <mergeCell ref="C38:E38"/>
    <mergeCell ref="C39:E39"/>
    <mergeCell ref="C55:D55"/>
    <mergeCell ref="C41:E41"/>
    <mergeCell ref="C42:E42"/>
    <mergeCell ref="C46:D46"/>
    <mergeCell ref="C47:D47"/>
    <mergeCell ref="C48:D48"/>
    <mergeCell ref="C49:D49"/>
    <mergeCell ref="C50:D50"/>
    <mergeCell ref="C51:D51"/>
    <mergeCell ref="C52:D52"/>
    <mergeCell ref="C53:D53"/>
    <mergeCell ref="C54:D54"/>
    <mergeCell ref="C74:E74"/>
    <mergeCell ref="C75:E75"/>
    <mergeCell ref="B76:C76"/>
    <mergeCell ref="C56:D56"/>
    <mergeCell ref="C57:D57"/>
    <mergeCell ref="C65:E65"/>
    <mergeCell ref="C66:E66"/>
    <mergeCell ref="C67:E67"/>
    <mergeCell ref="C69:E69"/>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512"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6513"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6514"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6515"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6516"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6517"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6518"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6519"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6520"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6521"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6522"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6523"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6524"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6525"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6526"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6527"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1">
    <tabColor rgb="FF7030A0"/>
    <pageSetUpPr fitToPage="1"/>
  </sheetPr>
  <dimension ref="A1:AO211"/>
  <sheetViews>
    <sheetView workbookViewId="0">
      <selection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8" width="7.25" style="2501" customWidth="1"/>
    <col min="9" max="9" width="8.125" style="2501" customWidth="1"/>
    <col min="10" max="11" width="7.25" style="2501" customWidth="1"/>
    <col min="12" max="12" width="7.75" style="2501" customWidth="1"/>
    <col min="13" max="14" width="7.25" style="2501" customWidth="1"/>
    <col min="15" max="15" width="7.75" style="2501" customWidth="1"/>
    <col min="16" max="16" width="7.2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55" t="e">
        <f>M1-J1</f>
        <v>#REF!</v>
      </c>
      <c r="L1" s="4855"/>
      <c r="M1" s="1874" t="e">
        <f>(M7+M13+M19+M22+L11+L12)-(M23+M27+M34+M43+M63+M59+M68+M70+M72+M76)</f>
        <v>#REF!</v>
      </c>
      <c r="N1" s="4855" t="e">
        <f>P1-M1</f>
        <v>#REF!</v>
      </c>
      <c r="O1" s="4855"/>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5003" t="s">
        <v>1881</v>
      </c>
      <c r="L2" s="5003"/>
      <c r="M2" s="5003"/>
      <c r="N2" s="5003"/>
      <c r="O2" s="5003"/>
      <c r="P2" s="5003"/>
      <c r="Q2" s="2475"/>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c r="W3" s="4863" t="s">
        <v>1205</v>
      </c>
      <c r="X3" s="4937"/>
      <c r="Y3" s="4937"/>
      <c r="Z3" s="1869"/>
    </row>
    <row r="4" spans="1:41" s="274" customFormat="1" ht="20.25" customHeight="1">
      <c r="A4" s="2475"/>
      <c r="B4" s="370" t="s">
        <v>1098</v>
      </c>
      <c r="C4" s="2505"/>
      <c r="D4" s="2505"/>
      <c r="E4" s="4898" t="s">
        <v>1648</v>
      </c>
      <c r="F4" s="4898"/>
      <c r="G4" s="4898"/>
      <c r="H4" s="4898"/>
      <c r="I4" s="4898"/>
      <c r="J4" s="4863" t="s">
        <v>1194</v>
      </c>
      <c r="K4" s="4937"/>
      <c r="L4" s="4937"/>
      <c r="M4" s="2490"/>
      <c r="N4" s="4869"/>
      <c r="O4" s="4869"/>
      <c r="P4" s="1864">
        <f>SDÖ1!O3</f>
        <v>0</v>
      </c>
      <c r="Q4" s="2475"/>
      <c r="T4" s="1886" t="b">
        <v>0</v>
      </c>
      <c r="W4" s="4863" t="s">
        <v>1194</v>
      </c>
      <c r="X4" s="4937"/>
      <c r="Y4" s="4937"/>
      <c r="Z4" s="2490"/>
    </row>
    <row r="5" spans="1:41" ht="6" customHeight="1" thickBot="1"/>
    <row r="6" spans="1:41" s="1853" customFormat="1" ht="24" customHeight="1">
      <c r="A6" s="48"/>
      <c r="B6" s="2981" t="s">
        <v>1151</v>
      </c>
      <c r="C6" s="2980"/>
      <c r="D6" s="2980"/>
      <c r="E6" s="2980"/>
      <c r="F6" s="2980"/>
      <c r="G6" s="2979" t="s">
        <v>1642</v>
      </c>
      <c r="H6" s="4995"/>
      <c r="I6" s="4996"/>
      <c r="J6" s="2472">
        <v>1</v>
      </c>
      <c r="K6" s="4997"/>
      <c r="L6" s="4998"/>
      <c r="M6" s="2472">
        <v>1</v>
      </c>
      <c r="N6" s="4999"/>
      <c r="O6" s="5000"/>
      <c r="P6" s="2471">
        <f>M6*1.25</f>
        <v>1.25</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91" t="s">
        <v>1652</v>
      </c>
      <c r="F10" s="4992"/>
      <c r="G10" s="1839"/>
      <c r="H10" s="1834">
        <f>J6*0.25</f>
        <v>0.25</v>
      </c>
      <c r="I10" s="1833">
        <f>H10*G10</f>
        <v>0</v>
      </c>
      <c r="K10" s="1837">
        <f>M6*25%</f>
        <v>0.25</v>
      </c>
      <c r="L10" s="1836">
        <f>K10*G10</f>
        <v>0</v>
      </c>
      <c r="M10" s="1835"/>
      <c r="N10" s="1834">
        <f>P6*25%</f>
        <v>0.3125</v>
      </c>
      <c r="O10" s="1833">
        <f>N10*G10</f>
        <v>0</v>
      </c>
      <c r="P10" s="2468"/>
      <c r="Q10" s="38"/>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38"/>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38"/>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7" t="s">
        <v>1364</v>
      </c>
      <c r="D14" s="4967"/>
      <c r="E14" s="4967"/>
      <c r="F14" s="4967"/>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7"/>
      <c r="D15" s="4967"/>
      <c r="E15" s="4967"/>
      <c r="F15" s="4967"/>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7">
        <v>0</v>
      </c>
      <c r="D16" s="4967"/>
      <c r="E16" s="4967"/>
      <c r="F16" s="4967"/>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7">
        <v>0</v>
      </c>
      <c r="D17" s="4967"/>
      <c r="E17" s="4967"/>
      <c r="F17" s="4967"/>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1</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7" t="s">
        <v>286</v>
      </c>
      <c r="D20" s="4967"/>
      <c r="E20" s="4967"/>
      <c r="F20" s="4967"/>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84"/>
      <c r="D21" s="4984"/>
      <c r="E21" s="4984"/>
      <c r="F21" s="4984"/>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85"/>
      <c r="E22" s="4985"/>
      <c r="F22" s="4985"/>
      <c r="G22" s="4986"/>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row>
    <row r="25" spans="1:26" s="42" customFormat="1" ht="15" customHeight="1">
      <c r="A25" s="1284"/>
      <c r="B25" s="2455"/>
      <c r="C25" s="1284" t="s">
        <v>1185</v>
      </c>
      <c r="D25" s="4878"/>
      <c r="E25" s="4879"/>
      <c r="F25" s="1763"/>
      <c r="G25" s="1762">
        <f>F25*(100+$D$24)/100</f>
        <v>0</v>
      </c>
      <c r="H25" s="1761"/>
      <c r="I25" s="1722">
        <f>H25*$G25</f>
        <v>0</v>
      </c>
      <c r="K25" s="1761"/>
      <c r="L25" s="1564">
        <f>K25*$G25</f>
        <v>0</v>
      </c>
      <c r="M25" s="2372"/>
      <c r="N25" s="1761"/>
      <c r="O25" s="1722">
        <f>N25*$G25</f>
        <v>0</v>
      </c>
      <c r="P25" s="2417"/>
      <c r="Q25" s="2501"/>
      <c r="R25" s="42" t="s">
        <v>1880</v>
      </c>
    </row>
    <row r="26" spans="1:26" s="42" customFormat="1" ht="15" customHeight="1">
      <c r="A26" s="1284"/>
      <c r="B26" s="2387"/>
      <c r="C26" s="2476" t="s">
        <v>191</v>
      </c>
      <c r="D26" s="4880"/>
      <c r="E26" s="4881"/>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73"/>
      <c r="D36" s="4973"/>
      <c r="E36" s="497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71"/>
      <c r="D37" s="4971"/>
      <c r="E37" s="497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71"/>
      <c r="D38" s="4971"/>
      <c r="E38" s="497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71"/>
      <c r="D39" s="4971"/>
      <c r="E39" s="497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71"/>
      <c r="D40" s="4971"/>
      <c r="E40" s="497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71"/>
      <c r="D41" s="4971"/>
      <c r="E41" s="497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75"/>
      <c r="D42" s="4975"/>
      <c r="E42" s="497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77"/>
      <c r="D46" s="497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64"/>
      <c r="D47" s="4965"/>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64"/>
      <c r="D48" s="4965"/>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64"/>
      <c r="D49" s="4965"/>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64"/>
      <c r="D50" s="4965"/>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64"/>
      <c r="D53" s="4965"/>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64"/>
      <c r="D54" s="4965"/>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2501"/>
    </row>
    <row r="55" spans="1:17"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2501"/>
    </row>
    <row r="56" spans="1:17" s="42" customFormat="1" ht="15" customHeight="1">
      <c r="A56" s="1284"/>
      <c r="B56" s="2418"/>
      <c r="C56" s="4964"/>
      <c r="D56" s="4965"/>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5001">
        <v>0</v>
      </c>
      <c r="D57" s="5002"/>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7"/>
      <c r="D65" s="4967"/>
      <c r="E65" s="4967"/>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7"/>
      <c r="D66" s="4967"/>
      <c r="E66" s="4968"/>
      <c r="F66" s="2399">
        <f>IF($C66=0,0,VLOOKUP($C66,SDÖ3!$C$140:$D$162,2,FALSE))</f>
        <v>0</v>
      </c>
      <c r="G66" s="1554">
        <f>(100+$D$64)/100*F66</f>
        <v>0</v>
      </c>
      <c r="K66" s="1640"/>
      <c r="L66" s="1639"/>
      <c r="M66" s="2372"/>
      <c r="N66" s="2398"/>
      <c r="O66" s="1785"/>
      <c r="P66" s="2371"/>
      <c r="Q66" s="2501"/>
    </row>
    <row r="67" spans="1:20" s="42" customFormat="1" ht="15" customHeight="1">
      <c r="A67" s="1284"/>
      <c r="B67" s="2397"/>
      <c r="C67" s="4969" t="s">
        <v>307</v>
      </c>
      <c r="D67" s="4969"/>
      <c r="E67" s="4969"/>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70" t="s">
        <v>1620</v>
      </c>
      <c r="D69" s="4970"/>
      <c r="E69" s="4970"/>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81" t="s">
        <v>1657</v>
      </c>
      <c r="D74" s="4981"/>
      <c r="E74" s="4981"/>
      <c r="F74" s="1566"/>
      <c r="G74" s="1565"/>
      <c r="H74" s="1559"/>
      <c r="I74" s="1563">
        <f>(100+$D$73)/100*H74</f>
        <v>0</v>
      </c>
      <c r="K74" s="1559"/>
      <c r="L74" s="1564">
        <f>(100+$D$73)/100*K74</f>
        <v>0</v>
      </c>
      <c r="M74" s="2372"/>
      <c r="N74" s="1559"/>
      <c r="O74" s="1563">
        <f>(100+$D$73)/100*N74</f>
        <v>0</v>
      </c>
      <c r="P74" s="2371"/>
      <c r="Q74" s="2501"/>
    </row>
    <row r="75" spans="1:20" s="42" customFormat="1" ht="15" customHeight="1">
      <c r="A75" s="1284"/>
      <c r="B75" s="2373"/>
      <c r="C75" s="4966"/>
      <c r="D75" s="4966"/>
      <c r="E75" s="4966"/>
      <c r="F75" s="1561"/>
      <c r="G75" s="1560"/>
      <c r="H75" s="1556"/>
      <c r="I75" s="1555">
        <f>(100+$D$73)/100*H75</f>
        <v>0</v>
      </c>
      <c r="K75" s="1559"/>
      <c r="L75" s="1558">
        <f>(100+$D$73)/100*K75</f>
        <v>0</v>
      </c>
      <c r="M75" s="2372"/>
      <c r="N75" s="1556"/>
      <c r="O75" s="1555">
        <f>(100+$D$73)/100*N75</f>
        <v>0</v>
      </c>
      <c r="P75" s="2371"/>
      <c r="Q75" s="2501"/>
    </row>
    <row r="76" spans="1:20" s="2500" customFormat="1" ht="30.2" customHeight="1" thickBot="1">
      <c r="A76" s="1248"/>
      <c r="B76" s="4982" t="s">
        <v>1154</v>
      </c>
      <c r="C76" s="4983"/>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TE8</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c r="H153" s="1897"/>
      <c r="J153" s="2357"/>
    </row>
    <row r="154" spans="2:12">
      <c r="B154" s="600"/>
      <c r="C154" s="33"/>
      <c r="H154" s="1897"/>
      <c r="J154" s="2357"/>
    </row>
    <row r="155" spans="2:12">
      <c r="B155" s="600"/>
      <c r="C155" s="33"/>
      <c r="H155" s="1897"/>
      <c r="J155" s="2357"/>
    </row>
    <row r="156" spans="2:12">
      <c r="B156" s="600"/>
      <c r="C156" s="33"/>
      <c r="H156" s="1897"/>
      <c r="J156" s="2357"/>
    </row>
    <row r="157" spans="2:12">
      <c r="B157" s="600"/>
      <c r="C157" s="33"/>
      <c r="H157" s="1897"/>
      <c r="J157" s="2357"/>
    </row>
    <row r="158" spans="2:12">
      <c r="B158" s="600"/>
      <c r="C158" s="33"/>
      <c r="D158" s="33"/>
      <c r="F158" s="33"/>
      <c r="H158" s="33"/>
      <c r="I158" s="33"/>
      <c r="J158" s="33"/>
      <c r="K158" s="33"/>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W3:Y3"/>
    <mergeCell ref="W4:Y4"/>
    <mergeCell ref="H6:I6"/>
    <mergeCell ref="D25:E25"/>
    <mergeCell ref="D26:E26"/>
    <mergeCell ref="C14:F14"/>
    <mergeCell ref="C15:F15"/>
    <mergeCell ref="K6:L6"/>
    <mergeCell ref="N3:O4"/>
    <mergeCell ref="C21:F21"/>
    <mergeCell ref="K1:L1"/>
    <mergeCell ref="C74:E74"/>
    <mergeCell ref="C48:D48"/>
    <mergeCell ref="C37:E37"/>
    <mergeCell ref="C53:D53"/>
    <mergeCell ref="C54:D54"/>
    <mergeCell ref="C56:D56"/>
    <mergeCell ref="C41:E41"/>
    <mergeCell ref="C51:D51"/>
    <mergeCell ref="C47:D47"/>
    <mergeCell ref="C50:D50"/>
    <mergeCell ref="C46:D46"/>
    <mergeCell ref="C39:E39"/>
    <mergeCell ref="C40:E40"/>
    <mergeCell ref="C42:E42"/>
    <mergeCell ref="E4:I4"/>
    <mergeCell ref="C38:E38"/>
    <mergeCell ref="C55:D55"/>
    <mergeCell ref="B76:C76"/>
    <mergeCell ref="C52:D52"/>
    <mergeCell ref="D22:G22"/>
    <mergeCell ref="C49:D49"/>
    <mergeCell ref="C66:E66"/>
    <mergeCell ref="N1:O1"/>
    <mergeCell ref="C16:F16"/>
    <mergeCell ref="C75:E75"/>
    <mergeCell ref="C17:F17"/>
    <mergeCell ref="C20:F20"/>
    <mergeCell ref="G1:I1"/>
    <mergeCell ref="J3:L3"/>
    <mergeCell ref="J4:L4"/>
    <mergeCell ref="N6:O6"/>
    <mergeCell ref="E10:F10"/>
    <mergeCell ref="C57:D57"/>
    <mergeCell ref="C69:E69"/>
    <mergeCell ref="C65:E65"/>
    <mergeCell ref="C36:E36"/>
    <mergeCell ref="C67:E67"/>
    <mergeCell ref="K2:P2"/>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Pflanzenschutzmittel" error="Bitte aus Dropdownliste auswählen." sqref="C36:E42">
      <formula1>$E$122:$E$204</formula1>
    </dataValidation>
    <dataValidation type="list" allowBlank="1" showInputMessage="1" showErrorMessage="1" errorTitle="Verfahrensabh. Ausgleichsleist." error="Bitte aus Dropdownliste auswählen." sqref="C14:F17">
      <formula1>$C$81:$C$100</formula1>
    </dataValidation>
    <dataValidation type="decimal" allowBlank="1" showInputMessage="1" showErrorMessage="1" errorTitle="Wassergehalt Getreide" error="Zulässig sind nur Werte zwischen 14,1 und 22,0 % Wassergehalt." sqref="H69 K69 N69">
      <formula1>14.1</formula1>
      <formula2>22</formula2>
    </dataValidation>
    <dataValidation type="whole" allowBlank="1" showInputMessage="1" showErrorMessage="1" errorTitle="Anteil Erntegut" error="Prozentwert darf nur zwischen 0 und 100 liegen." sqref="O69 L69 I69">
      <formula1>0</formula1>
      <formula2>100</formula2>
    </dataValidation>
    <dataValidation type="list" allowBlank="1" showInputMessage="1" showErrorMessage="1" errorTitle="Lohnmaschinen" error="Bitte aus Dropdownliste auswählen." sqref="C65:C66 C67:E67">
      <formula1>$G$94:$G$116</formula1>
    </dataValidation>
    <dataValidation type="list" allowBlank="1" showInputMessage="1" showErrorMessage="1" errorTitle="Organisationsabh. Ausgleichsl." error="Bitte aus Dropdownliste auswählen." sqref="C20:F21">
      <formula1>$G$81:$G$91</formula1>
    </dataValidation>
  </dataValidations>
  <printOptions horizontalCentered="1"/>
  <pageMargins left="0.59055118110236227" right="0.57999999999999996" top="0.59055118110236227" bottom="0.59055118110236227" header="0.39370078740157483" footer="0.39370078740157483"/>
  <pageSetup paperSize="9" scale="68" firstPageNumber="70" orientation="portrait" r:id="rId1"/>
  <headerFooter alignWithMargins="0">
    <oddFooter>&amp;L&amp;11LEL Schwäbisch Gmünd&amp;C72&amp;R&amp;11&amp;F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536" r:id="rId4" name="Check Box 16">
              <controlPr defaultSize="0" autoFill="0" autoLine="0" autoPict="0">
                <anchor moveWithCells="1">
                  <from>
                    <xdr:col>18</xdr:col>
                    <xdr:colOff>209550</xdr:colOff>
                    <xdr:row>1</xdr:row>
                    <xdr:rowOff>257175</xdr:rowOff>
                  </from>
                  <to>
                    <xdr:col>18</xdr:col>
                    <xdr:colOff>466725</xdr:colOff>
                    <xdr:row>2</xdr:row>
                    <xdr:rowOff>180975</xdr:rowOff>
                  </to>
                </anchor>
              </controlPr>
            </control>
          </mc:Choice>
        </mc:AlternateContent>
        <mc:AlternateContent xmlns:mc="http://schemas.openxmlformats.org/markup-compatibility/2006">
          <mc:Choice Requires="x14">
            <control shapeId="107537" r:id="rId5" name="Check Box 17">
              <controlPr defaultSize="0" autoFill="0" autoLine="0" autoPict="0">
                <anchor moveWithCells="1">
                  <from>
                    <xdr:col>18</xdr:col>
                    <xdr:colOff>200025</xdr:colOff>
                    <xdr:row>1</xdr:row>
                    <xdr:rowOff>57150</xdr:rowOff>
                  </from>
                  <to>
                    <xdr:col>18</xdr:col>
                    <xdr:colOff>466725</xdr:colOff>
                    <xdr:row>1</xdr:row>
                    <xdr:rowOff>295275</xdr:rowOff>
                  </to>
                </anchor>
              </controlPr>
            </control>
          </mc:Choice>
        </mc:AlternateContent>
        <mc:AlternateContent xmlns:mc="http://schemas.openxmlformats.org/markup-compatibility/2006">
          <mc:Choice Requires="x14">
            <control shapeId="107538"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7539"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7540"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7541"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7542"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7543"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7544"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7545"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7546"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7547"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7548"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7549"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7550"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7551"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rgb="FF00B0F0"/>
    <pageSetUpPr fitToPage="1"/>
  </sheetPr>
  <dimension ref="A1:AP121"/>
  <sheetViews>
    <sheetView showZeros="0" zoomScale="110" zoomScaleNormal="110" workbookViewId="0"/>
  </sheetViews>
  <sheetFormatPr baseColWidth="10" defaultColWidth="10.25" defaultRowHeight="12.75"/>
  <cols>
    <col min="1" max="1" width="3.375" style="31" customWidth="1"/>
    <col min="2" max="2" width="3.375" style="32" customWidth="1"/>
    <col min="3" max="3" width="5.625" style="32" customWidth="1"/>
    <col min="4" max="4" width="11.75" style="32" customWidth="1"/>
    <col min="5" max="5" width="8.75" style="32" customWidth="1"/>
    <col min="6" max="6" width="8.75" style="224" customWidth="1"/>
    <col min="7" max="7" width="9.625" style="32" customWidth="1"/>
    <col min="8" max="10" width="9.625" style="39" customWidth="1"/>
    <col min="11" max="14" width="9.625" style="223" customWidth="1"/>
    <col min="15" max="16" width="9.625" style="32" customWidth="1"/>
    <col min="17" max="17" width="24.625" style="222" customWidth="1"/>
    <col min="18" max="18" width="26.625" style="136" hidden="1" customWidth="1"/>
    <col min="19" max="19" width="3.625" style="136" hidden="1" customWidth="1"/>
    <col min="20" max="20" width="30.125" style="136" hidden="1" customWidth="1"/>
    <col min="21" max="21" width="12.125" style="136" hidden="1" customWidth="1"/>
    <col min="22" max="22" width="19.625" style="136" hidden="1" customWidth="1"/>
    <col min="23" max="23" width="4.375" style="136" hidden="1" customWidth="1"/>
    <col min="24" max="24" width="25.375" style="136" hidden="1" customWidth="1"/>
    <col min="25" max="25" width="24.875" style="136" hidden="1" customWidth="1"/>
    <col min="26" max="26" width="10.75" style="136" hidden="1" customWidth="1"/>
    <col min="27" max="27" width="10.25" style="136" hidden="1" customWidth="1"/>
    <col min="28" max="41" width="10.25" style="136" customWidth="1"/>
    <col min="42" max="16384" width="10.25" style="136"/>
  </cols>
  <sheetData>
    <row r="1" spans="1:42" s="31" customFormat="1" ht="14.1" customHeight="1">
      <c r="B1" s="32"/>
      <c r="C1" s="32"/>
      <c r="D1" s="32"/>
      <c r="E1" s="32"/>
      <c r="F1" s="224"/>
      <c r="G1" s="32"/>
      <c r="H1" s="39"/>
      <c r="I1" s="39"/>
      <c r="J1" s="39"/>
      <c r="K1" s="223"/>
      <c r="L1" s="223"/>
      <c r="M1" s="223"/>
      <c r="N1" s="223"/>
      <c r="O1" s="32"/>
      <c r="P1" s="302"/>
      <c r="Q1" s="71"/>
      <c r="R1" s="136"/>
      <c r="S1" s="136"/>
      <c r="T1" s="136"/>
    </row>
    <row r="2" spans="1:42" s="31" customFormat="1" ht="21.95" customHeight="1">
      <c r="A2" s="313"/>
      <c r="B2" s="321" t="s">
        <v>285</v>
      </c>
      <c r="C2" s="274"/>
      <c r="D2" s="274"/>
      <c r="E2" s="274"/>
      <c r="F2" s="276"/>
      <c r="G2" s="274"/>
      <c r="H2" s="315"/>
      <c r="I2" s="136"/>
      <c r="J2" s="136"/>
      <c r="K2" s="275"/>
      <c r="L2" s="275"/>
      <c r="M2" s="275"/>
      <c r="N2" s="275"/>
      <c r="O2" s="320" t="s">
        <v>1979</v>
      </c>
      <c r="P2" s="302"/>
      <c r="Q2" s="71"/>
    </row>
    <row r="3" spans="1:42" s="31" customFormat="1" ht="31.5" customHeight="1">
      <c r="A3" s="313"/>
      <c r="B3" s="319"/>
      <c r="C3" s="274"/>
      <c r="D3" s="318"/>
      <c r="E3" s="316"/>
      <c r="F3" s="317"/>
      <c r="G3" s="316"/>
      <c r="H3" s="315"/>
      <c r="I3" s="136"/>
      <c r="J3" s="136"/>
      <c r="K3" s="314"/>
      <c r="L3" s="314"/>
      <c r="M3" s="314"/>
      <c r="N3" s="4160" t="s">
        <v>2123</v>
      </c>
      <c r="O3" s="3448"/>
      <c r="P3" s="302"/>
      <c r="Q3" s="71"/>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2" s="31" customFormat="1" ht="9" customHeight="1">
      <c r="A4" s="313"/>
      <c r="C4" s="274"/>
      <c r="D4" s="274"/>
      <c r="E4" s="274"/>
      <c r="F4" s="276"/>
      <c r="G4" s="274"/>
      <c r="H4" s="274"/>
      <c r="I4" s="274"/>
      <c r="J4" s="274"/>
      <c r="K4" s="275"/>
      <c r="L4" s="275"/>
      <c r="M4" s="275"/>
      <c r="N4" s="4160"/>
      <c r="O4" s="274"/>
      <c r="P4" s="302"/>
      <c r="Q4" s="71"/>
      <c r="R4" s="256"/>
      <c r="S4" s="256"/>
      <c r="T4" s="256"/>
      <c r="U4" s="256"/>
      <c r="V4" s="256"/>
      <c r="W4" s="256"/>
      <c r="X4" s="256"/>
      <c r="Y4" s="256"/>
      <c r="Z4" s="256"/>
      <c r="AA4" s="256"/>
      <c r="AB4" s="256"/>
      <c r="AC4" s="256"/>
      <c r="AD4" s="256"/>
      <c r="AE4" s="256"/>
      <c r="AF4" s="256"/>
      <c r="AG4" s="256"/>
      <c r="AH4" s="256"/>
      <c r="AI4" s="256"/>
      <c r="AJ4" s="256"/>
      <c r="AK4" s="256"/>
      <c r="AL4" s="256"/>
      <c r="AM4" s="256"/>
      <c r="AN4" s="256"/>
      <c r="AO4" s="256"/>
      <c r="AP4" s="256"/>
    </row>
    <row r="5" spans="1:42" s="31" customFormat="1" ht="15.75" customHeight="1">
      <c r="A5" s="313"/>
      <c r="B5" s="48"/>
      <c r="C5" s="3202" t="s">
        <v>116</v>
      </c>
      <c r="D5" s="3241">
        <v>45368</v>
      </c>
      <c r="E5" s="3202"/>
      <c r="F5" s="224"/>
      <c r="G5" s="269"/>
      <c r="H5" s="269"/>
      <c r="I5" s="269"/>
      <c r="J5" s="269"/>
      <c r="K5" s="4028"/>
      <c r="L5" s="4028"/>
      <c r="M5" s="4028"/>
      <c r="N5" s="4160"/>
      <c r="O5" s="3257" t="s">
        <v>283</v>
      </c>
      <c r="P5" s="302"/>
      <c r="Q5" s="71"/>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row>
    <row r="6" spans="1:42" s="31" customFormat="1" ht="15.6" customHeight="1">
      <c r="A6" s="240">
        <f>ROWS($A$6:A6)</f>
        <v>1</v>
      </c>
      <c r="B6" s="48"/>
      <c r="C6" s="3202"/>
      <c r="D6" s="3202"/>
      <c r="E6" s="3202"/>
      <c r="F6" s="224"/>
      <c r="G6" s="311">
        <v>2017</v>
      </c>
      <c r="H6" s="3242">
        <v>2018</v>
      </c>
      <c r="I6" s="3242">
        <v>2019</v>
      </c>
      <c r="J6" s="3242">
        <v>2020</v>
      </c>
      <c r="K6" s="3243">
        <v>2021</v>
      </c>
      <c r="L6" s="2939">
        <v>2022</v>
      </c>
      <c r="M6" s="3243">
        <v>2023</v>
      </c>
      <c r="N6" s="2939" t="s">
        <v>2138</v>
      </c>
      <c r="O6" s="3998" t="s">
        <v>2138</v>
      </c>
      <c r="P6" s="302"/>
      <c r="Q6" s="71"/>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row>
    <row r="7" spans="1:42" s="31" customFormat="1" ht="31.15" customHeight="1">
      <c r="A7" s="240">
        <f>ROWS($A$6:A7)</f>
        <v>2</v>
      </c>
      <c r="B7" s="48"/>
      <c r="C7" s="32"/>
      <c r="D7" s="32"/>
      <c r="E7" s="32"/>
      <c r="F7" s="224"/>
      <c r="G7" s="311"/>
      <c r="H7" s="311"/>
      <c r="I7" s="310"/>
      <c r="J7" s="3303"/>
      <c r="K7" s="3303"/>
      <c r="L7" s="3303"/>
      <c r="M7" s="3303"/>
      <c r="N7" s="3303"/>
      <c r="O7" s="3303"/>
      <c r="P7" s="302"/>
      <c r="Q7" s="71"/>
      <c r="R7" s="256"/>
      <c r="S7" s="256"/>
      <c r="T7" s="306" t="s">
        <v>282</v>
      </c>
      <c r="V7" s="35" t="s">
        <v>281</v>
      </c>
      <c r="W7" s="3364">
        <v>2</v>
      </c>
      <c r="X7" s="309" t="str">
        <f>VLOOKUP(W7,T8:U9,2,FALSE)</f>
        <v>ohne Mehrwertsteuer (Option)</v>
      </c>
      <c r="Y7" s="309"/>
      <c r="Z7" s="309"/>
      <c r="AA7" s="309"/>
      <c r="AB7" s="256"/>
      <c r="AC7" s="256"/>
      <c r="AD7" s="256"/>
      <c r="AE7" s="256"/>
      <c r="AF7" s="256"/>
      <c r="AG7" s="256"/>
      <c r="AH7" s="256"/>
      <c r="AI7" s="256"/>
      <c r="AJ7" s="256"/>
      <c r="AK7" s="256"/>
      <c r="AL7" s="256"/>
      <c r="AM7" s="256"/>
      <c r="AN7" s="256"/>
      <c r="AO7" s="256"/>
      <c r="AP7" s="256"/>
    </row>
    <row r="8" spans="1:42" s="31" customFormat="1" ht="19.899999999999999" customHeight="1">
      <c r="A8" s="240">
        <f>ROWS($A$6:A8)</f>
        <v>3</v>
      </c>
      <c r="B8" s="3258" t="s">
        <v>280</v>
      </c>
      <c r="C8" s="312"/>
      <c r="D8" s="312"/>
      <c r="E8" s="312"/>
      <c r="F8" s="268"/>
      <c r="G8" s="267"/>
      <c r="H8" s="267"/>
      <c r="I8" s="267"/>
      <c r="J8" s="267"/>
      <c r="K8" s="266"/>
      <c r="L8" s="266"/>
      <c r="M8" s="266"/>
      <c r="N8" s="266"/>
      <c r="O8" s="3246" t="str">
        <f>IF(W7=2,"ohne MwSt.","mit MwSt.")</f>
        <v>ohne MwSt.</v>
      </c>
      <c r="P8" s="302"/>
      <c r="Q8" s="71"/>
      <c r="R8" s="256"/>
      <c r="S8" s="256"/>
      <c r="T8" s="307">
        <v>1</v>
      </c>
      <c r="U8" s="306" t="s">
        <v>279</v>
      </c>
      <c r="V8" s="256"/>
      <c r="W8" s="256"/>
      <c r="X8" s="256"/>
      <c r="Y8" s="256"/>
      <c r="Z8" s="256"/>
      <c r="AA8" s="256"/>
      <c r="AB8" s="256"/>
      <c r="AC8" s="256"/>
      <c r="AD8" s="256"/>
      <c r="AE8" s="256"/>
      <c r="AF8" s="256"/>
      <c r="AG8" s="256"/>
      <c r="AH8" s="256"/>
      <c r="AI8" s="256"/>
      <c r="AJ8" s="256"/>
      <c r="AK8" s="256"/>
      <c r="AL8" s="256"/>
      <c r="AM8" s="256"/>
      <c r="AN8" s="256"/>
      <c r="AO8" s="256"/>
      <c r="AP8" s="256"/>
    </row>
    <row r="9" spans="1:42" s="251" customFormat="1" ht="15.6" customHeight="1">
      <c r="A9" s="240">
        <f>ROWS($A$6:A9)</f>
        <v>4</v>
      </c>
      <c r="B9" s="47"/>
      <c r="C9" s="45" t="s">
        <v>278</v>
      </c>
      <c r="D9" s="45"/>
      <c r="E9" s="45"/>
      <c r="F9" s="304"/>
      <c r="G9" s="303">
        <v>10.7</v>
      </c>
      <c r="H9" s="303">
        <v>10.7</v>
      </c>
      <c r="I9" s="303">
        <v>10.7</v>
      </c>
      <c r="J9" s="303">
        <v>10.7</v>
      </c>
      <c r="K9" s="303">
        <v>10.7</v>
      </c>
      <c r="L9" s="303">
        <v>9.5</v>
      </c>
      <c r="M9" s="303">
        <v>9</v>
      </c>
      <c r="N9" s="303">
        <v>9</v>
      </c>
      <c r="O9" s="3259">
        <f>IF($W$7=2,0,HLOOKUP($O$6,$H$6:$N$12,A9))</f>
        <v>0</v>
      </c>
      <c r="P9" s="302"/>
      <c r="T9" s="307">
        <v>2</v>
      </c>
      <c r="U9" s="306" t="s">
        <v>277</v>
      </c>
      <c r="V9" s="256"/>
      <c r="W9" s="256"/>
      <c r="X9" s="256"/>
      <c r="Y9" s="256"/>
      <c r="Z9" s="256"/>
      <c r="AA9" s="256"/>
    </row>
    <row r="10" spans="1:42" s="251" customFormat="1" ht="15.6" customHeight="1">
      <c r="A10" s="240">
        <f>ROWS($A$6:A10)</f>
        <v>5</v>
      </c>
      <c r="B10" s="47"/>
      <c r="C10" s="45" t="s">
        <v>276</v>
      </c>
      <c r="D10" s="45"/>
      <c r="E10" s="45"/>
      <c r="F10" s="304"/>
      <c r="G10" s="303">
        <v>7</v>
      </c>
      <c r="H10" s="303">
        <v>7</v>
      </c>
      <c r="I10" s="303">
        <v>7</v>
      </c>
      <c r="J10" s="303">
        <v>7</v>
      </c>
      <c r="K10" s="303">
        <v>7</v>
      </c>
      <c r="L10" s="303">
        <v>7</v>
      </c>
      <c r="M10" s="303">
        <v>7</v>
      </c>
      <c r="N10" s="303">
        <v>7</v>
      </c>
      <c r="O10" s="3260">
        <f>IF($W$7=2,0,HLOOKUP($O$6,$H$6:$N$12,A10))</f>
        <v>0</v>
      </c>
      <c r="P10" s="302"/>
    </row>
    <row r="11" spans="1:42" s="251" customFormat="1" ht="15.6" customHeight="1">
      <c r="A11" s="240">
        <f>ROWS($A$6:A11)</f>
        <v>6</v>
      </c>
      <c r="B11" s="47"/>
      <c r="C11" s="45" t="s">
        <v>275</v>
      </c>
      <c r="D11" s="45"/>
      <c r="E11" s="45"/>
      <c r="F11" s="304"/>
      <c r="G11" s="303">
        <v>19</v>
      </c>
      <c r="H11" s="303">
        <v>19</v>
      </c>
      <c r="I11" s="303">
        <v>19</v>
      </c>
      <c r="J11" s="303">
        <v>19</v>
      </c>
      <c r="K11" s="303">
        <v>19</v>
      </c>
      <c r="L11" s="303">
        <v>19</v>
      </c>
      <c r="M11" s="303">
        <v>19</v>
      </c>
      <c r="N11" s="303">
        <v>19</v>
      </c>
      <c r="O11" s="3260">
        <f>IF($W$7=2,0,HLOOKUP($O$6,$H$6:$N$12,A11))</f>
        <v>0</v>
      </c>
      <c r="P11" s="302"/>
    </row>
    <row r="12" spans="1:42" s="251" customFormat="1" ht="15.6" customHeight="1">
      <c r="A12" s="240">
        <f>ROWS($A$6:A12)</f>
        <v>7</v>
      </c>
      <c r="B12" s="47"/>
      <c r="C12" s="45" t="s">
        <v>274</v>
      </c>
      <c r="D12" s="45"/>
      <c r="E12" s="45"/>
      <c r="F12" s="304"/>
      <c r="G12" s="303">
        <v>12</v>
      </c>
      <c r="H12" s="303">
        <v>12</v>
      </c>
      <c r="I12" s="303">
        <v>12</v>
      </c>
      <c r="J12" s="303">
        <v>12</v>
      </c>
      <c r="K12" s="303">
        <v>12</v>
      </c>
      <c r="L12" s="303">
        <v>12</v>
      </c>
      <c r="M12" s="303">
        <v>12</v>
      </c>
      <c r="N12" s="303">
        <v>12</v>
      </c>
      <c r="O12" s="3260">
        <f>IF($W$7=2,0,HLOOKUP($O$6,$H$6:$N$12,A12))</f>
        <v>0</v>
      </c>
      <c r="P12" s="302"/>
    </row>
    <row r="13" spans="1:42" s="31" customFormat="1" ht="15.6" customHeight="1">
      <c r="A13" s="240">
        <f>ROWS($A$6:A13)</f>
        <v>8</v>
      </c>
      <c r="C13" s="274"/>
      <c r="D13" s="274"/>
      <c r="E13" s="274"/>
      <c r="F13" s="276"/>
      <c r="G13" s="274"/>
      <c r="H13" s="274"/>
      <c r="I13" s="274"/>
      <c r="J13" s="274"/>
      <c r="K13" s="274"/>
      <c r="L13" s="274"/>
      <c r="M13" s="274"/>
      <c r="N13" s="274"/>
      <c r="P13" s="302"/>
      <c r="Q13" s="71"/>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row>
    <row r="14" spans="1:42" s="31" customFormat="1" ht="19.899999999999999" customHeight="1" thickBot="1">
      <c r="A14" s="240">
        <f>ROWS($A$6:A14)</f>
        <v>9</v>
      </c>
      <c r="B14" s="3261" t="s">
        <v>273</v>
      </c>
      <c r="C14" s="3202"/>
      <c r="D14" s="45"/>
      <c r="E14" s="45"/>
      <c r="F14" s="3262"/>
      <c r="G14" s="3263" t="s">
        <v>249</v>
      </c>
      <c r="H14" s="3264"/>
      <c r="I14" s="3264"/>
      <c r="J14" s="3264"/>
      <c r="K14" s="3265"/>
      <c r="L14" s="3265"/>
      <c r="M14" s="4115"/>
      <c r="N14" s="3265"/>
      <c r="O14" s="3274" t="str">
        <f>O8</f>
        <v>ohne MwSt.</v>
      </c>
      <c r="P14" s="302"/>
      <c r="Q14" s="71"/>
      <c r="W14" s="256"/>
      <c r="X14" s="256"/>
      <c r="Y14" s="256"/>
      <c r="Z14" s="256"/>
      <c r="AA14" s="256"/>
      <c r="AB14" s="256"/>
      <c r="AC14" s="256"/>
      <c r="AD14" s="256"/>
      <c r="AE14" s="256"/>
      <c r="AF14" s="256"/>
      <c r="AG14" s="256"/>
      <c r="AH14" s="256"/>
      <c r="AI14" s="256"/>
      <c r="AJ14" s="256"/>
      <c r="AK14" s="256"/>
      <c r="AL14" s="256"/>
      <c r="AM14" s="256"/>
      <c r="AN14" s="256"/>
      <c r="AO14" s="256"/>
      <c r="AP14" s="256"/>
    </row>
    <row r="15" spans="1:42" s="31" customFormat="1" ht="15.6" customHeight="1" thickBot="1">
      <c r="A15" s="240">
        <f>ROWS($A$6:A15)</f>
        <v>10</v>
      </c>
      <c r="B15" s="48"/>
      <c r="C15" s="301" t="s">
        <v>272</v>
      </c>
      <c r="D15" s="45"/>
      <c r="E15" s="45"/>
      <c r="F15" s="229"/>
      <c r="G15" s="282"/>
      <c r="H15" s="282"/>
      <c r="I15" s="282"/>
      <c r="J15" s="300"/>
      <c r="K15" s="282"/>
      <c r="L15" s="4120"/>
      <c r="M15" s="4122"/>
      <c r="N15" s="282"/>
      <c r="O15" s="3253">
        <f>O9/100</f>
        <v>0</v>
      </c>
      <c r="P15" s="302"/>
      <c r="Q15" s="71"/>
      <c r="R15" s="299" t="s">
        <v>2034</v>
      </c>
      <c r="S15" s="298"/>
      <c r="T15" s="298" t="s">
        <v>2035</v>
      </c>
      <c r="U15" s="298"/>
      <c r="V15" s="297" t="s">
        <v>1933</v>
      </c>
      <c r="W15" s="296"/>
      <c r="X15" s="3946" t="s">
        <v>2033</v>
      </c>
      <c r="Y15" s="298" t="s">
        <v>2011</v>
      </c>
      <c r="Z15" s="256"/>
      <c r="AA15" s="256"/>
      <c r="AB15" s="256"/>
      <c r="AC15" s="256"/>
      <c r="AD15" s="256"/>
      <c r="AE15" s="256"/>
      <c r="AF15" s="256"/>
      <c r="AG15" s="256"/>
      <c r="AH15" s="256"/>
      <c r="AI15" s="256"/>
      <c r="AJ15" s="256"/>
      <c r="AK15" s="256"/>
      <c r="AL15" s="256"/>
      <c r="AM15" s="256"/>
      <c r="AN15" s="256"/>
      <c r="AO15" s="256"/>
      <c r="AP15" s="256"/>
    </row>
    <row r="16" spans="1:42" s="251" customFormat="1" ht="15.6" customHeight="1">
      <c r="A16" s="240">
        <f>ROWS($A$6:A16)</f>
        <v>11</v>
      </c>
      <c r="B16" s="3267"/>
      <c r="C16" s="3268" t="s">
        <v>269</v>
      </c>
      <c r="D16" s="3268"/>
      <c r="E16" s="3268" t="s">
        <v>266</v>
      </c>
      <c r="F16" s="3269"/>
      <c r="G16" s="288">
        <v>14</v>
      </c>
      <c r="H16" s="288">
        <v>15.3</v>
      </c>
      <c r="I16" s="288">
        <v>14.7</v>
      </c>
      <c r="J16" s="288">
        <v>14.5</v>
      </c>
      <c r="K16" s="3935">
        <v>20.7</v>
      </c>
      <c r="L16" s="4121">
        <f>(28+28.5+28+28+28.5)/5</f>
        <v>28.2</v>
      </c>
      <c r="M16" s="4123">
        <v>17.8</v>
      </c>
      <c r="N16" s="245">
        <f>AVERAGE(K16:M16)</f>
        <v>22.233333333333334</v>
      </c>
      <c r="O16" s="3270">
        <f>HLOOKUP($O$6,$G$6:$N$48,A16)*(100+$O$9)/100</f>
        <v>22.233333333333334</v>
      </c>
      <c r="P16" s="4115"/>
      <c r="Q16" s="71"/>
      <c r="R16" s="285" t="s">
        <v>255</v>
      </c>
      <c r="S16" s="295"/>
      <c r="T16" s="254" t="s">
        <v>2012</v>
      </c>
      <c r="U16" s="254"/>
      <c r="V16" s="294" t="s">
        <v>2020</v>
      </c>
      <c r="W16" s="252"/>
      <c r="X16" s="285" t="s">
        <v>255</v>
      </c>
    </row>
    <row r="17" spans="1:25" s="231" customFormat="1" ht="15.6" customHeight="1">
      <c r="A17" s="240">
        <f>ROWS($A$6:A17)</f>
        <v>12</v>
      </c>
      <c r="B17" s="68"/>
      <c r="C17" s="45" t="s">
        <v>269</v>
      </c>
      <c r="D17" s="45"/>
      <c r="E17" s="45" t="s">
        <v>271</v>
      </c>
      <c r="F17" s="3833"/>
      <c r="G17" s="288">
        <v>14.4</v>
      </c>
      <c r="H17" s="288">
        <v>17.600000000000001</v>
      </c>
      <c r="I17" s="288">
        <v>15.1</v>
      </c>
      <c r="J17" s="288">
        <v>15</v>
      </c>
      <c r="K17" s="3934">
        <v>20.2</v>
      </c>
      <c r="L17" s="4121">
        <v>29.9</v>
      </c>
      <c r="M17" s="4123">
        <v>20.5</v>
      </c>
      <c r="N17" s="3937">
        <f t="shared" ref="N17:N48" si="0">AVERAGE(K17:M17)</f>
        <v>23.533333333333331</v>
      </c>
      <c r="O17" s="3271">
        <f t="shared" ref="O17:O48" si="1">HLOOKUP($O$6,$G$6:$N$48,A17)*(100+$O$9)/100</f>
        <v>23.533333333333331</v>
      </c>
      <c r="P17" s="4115"/>
      <c r="R17" s="285" t="s">
        <v>255</v>
      </c>
      <c r="S17" s="295"/>
      <c r="T17" s="243" t="s">
        <v>2013</v>
      </c>
      <c r="U17" s="243"/>
      <c r="V17" s="294" t="s">
        <v>2020</v>
      </c>
      <c r="W17" s="241"/>
      <c r="X17" s="285" t="s">
        <v>255</v>
      </c>
    </row>
    <row r="18" spans="1:25" s="231" customFormat="1" ht="15.6" customHeight="1">
      <c r="A18" s="240">
        <f>ROWS($A$6:A18)</f>
        <v>13</v>
      </c>
      <c r="B18" s="68"/>
      <c r="C18" s="45" t="s">
        <v>269</v>
      </c>
      <c r="D18" s="45"/>
      <c r="E18" s="45" t="s">
        <v>270</v>
      </c>
      <c r="F18" s="3201"/>
      <c r="G18" s="288">
        <v>15</v>
      </c>
      <c r="H18" s="288">
        <v>15</v>
      </c>
      <c r="I18" s="288">
        <v>15.4</v>
      </c>
      <c r="J18" s="288">
        <v>15.5</v>
      </c>
      <c r="K18" s="3934">
        <v>21.1</v>
      </c>
      <c r="L18" s="4121">
        <f>(31+32+31.5+31.5+32)/5</f>
        <v>31.6</v>
      </c>
      <c r="M18" s="4123">
        <v>21.7</v>
      </c>
      <c r="N18" s="3937">
        <f t="shared" si="0"/>
        <v>24.8</v>
      </c>
      <c r="O18" s="3271">
        <f t="shared" si="1"/>
        <v>24.8</v>
      </c>
      <c r="P18" s="4115"/>
      <c r="R18" s="285" t="s">
        <v>255</v>
      </c>
      <c r="S18" s="295"/>
      <c r="T18" s="243" t="s">
        <v>2014</v>
      </c>
      <c r="U18" s="243"/>
      <c r="V18" s="294" t="s">
        <v>2020</v>
      </c>
      <c r="W18" s="241"/>
      <c r="X18" s="285" t="s">
        <v>255</v>
      </c>
      <c r="Y18" s="251"/>
    </row>
    <row r="19" spans="1:25" s="231" customFormat="1" ht="15.6" customHeight="1">
      <c r="A19" s="240">
        <f>ROWS($A$6:A19)</f>
        <v>14</v>
      </c>
      <c r="B19" s="68"/>
      <c r="C19" s="45" t="s">
        <v>269</v>
      </c>
      <c r="D19" s="45"/>
      <c r="E19" s="45" t="s">
        <v>268</v>
      </c>
      <c r="F19" s="3833"/>
      <c r="G19" s="288">
        <v>16</v>
      </c>
      <c r="H19" s="288">
        <v>16.600000000000001</v>
      </c>
      <c r="I19" s="288">
        <v>16</v>
      </c>
      <c r="J19" s="288">
        <v>17</v>
      </c>
      <c r="K19" s="3934">
        <v>20.9</v>
      </c>
      <c r="L19" s="4121">
        <f>(34.98+35.03+35.06+34.8+34.65)/5</f>
        <v>34.904000000000003</v>
      </c>
      <c r="M19" s="4123">
        <v>25</v>
      </c>
      <c r="N19" s="3937">
        <f t="shared" si="0"/>
        <v>26.934666666666669</v>
      </c>
      <c r="O19" s="3271">
        <f t="shared" si="1"/>
        <v>26.934666666666669</v>
      </c>
      <c r="P19" s="4115"/>
      <c r="R19" s="285" t="s">
        <v>255</v>
      </c>
      <c r="S19" s="295"/>
      <c r="T19" s="243" t="s">
        <v>2015</v>
      </c>
      <c r="U19" s="243"/>
      <c r="V19" s="294" t="s">
        <v>2020</v>
      </c>
      <c r="W19" s="241"/>
      <c r="X19" s="285" t="s">
        <v>255</v>
      </c>
      <c r="Y19" s="251"/>
    </row>
    <row r="20" spans="1:25" s="231" customFormat="1" ht="15.6" customHeight="1">
      <c r="A20" s="240">
        <f>ROWS($A$6:A20)</f>
        <v>15</v>
      </c>
      <c r="B20" s="68"/>
      <c r="C20" s="45" t="s">
        <v>90</v>
      </c>
      <c r="D20" s="45"/>
      <c r="E20" s="45"/>
      <c r="F20" s="3833"/>
      <c r="G20" s="288">
        <v>13.9</v>
      </c>
      <c r="H20" s="288">
        <v>15.75</v>
      </c>
      <c r="I20" s="288">
        <v>14</v>
      </c>
      <c r="J20" s="288">
        <v>13.5</v>
      </c>
      <c r="K20" s="3934">
        <v>16.899999999999999</v>
      </c>
      <c r="L20" s="4121">
        <f>(28+28+28+28+28)/5</f>
        <v>28</v>
      </c>
      <c r="M20" s="4123">
        <v>19.5</v>
      </c>
      <c r="N20" s="3937">
        <f t="shared" si="0"/>
        <v>21.466666666666669</v>
      </c>
      <c r="O20" s="3271">
        <f t="shared" si="1"/>
        <v>21.466666666666669</v>
      </c>
      <c r="P20" s="4115"/>
      <c r="R20" s="285" t="s">
        <v>255</v>
      </c>
      <c r="S20" s="295"/>
      <c r="T20" s="243" t="s">
        <v>2016</v>
      </c>
      <c r="U20" s="243"/>
      <c r="V20" s="294" t="s">
        <v>2020</v>
      </c>
      <c r="W20" s="241"/>
      <c r="X20" s="285" t="s">
        <v>255</v>
      </c>
    </row>
    <row r="21" spans="1:25" s="231" customFormat="1" ht="15.6" customHeight="1">
      <c r="A21" s="240">
        <f>ROWS($A$6:A21)</f>
        <v>16</v>
      </c>
      <c r="B21" s="68"/>
      <c r="C21" s="45" t="s">
        <v>88</v>
      </c>
      <c r="D21" s="45"/>
      <c r="E21" s="45"/>
      <c r="F21" s="3833"/>
      <c r="G21" s="288">
        <v>13</v>
      </c>
      <c r="H21" s="288">
        <v>15.75</v>
      </c>
      <c r="I21" s="288">
        <v>13.5</v>
      </c>
      <c r="J21" s="288">
        <v>14.7</v>
      </c>
      <c r="K21" s="3934">
        <v>18.7</v>
      </c>
      <c r="L21" s="4121">
        <f>(24.5+24.5+25+26+26)/5</f>
        <v>25.2</v>
      </c>
      <c r="M21" s="4123">
        <v>17.7</v>
      </c>
      <c r="N21" s="3937">
        <f t="shared" si="0"/>
        <v>20.533333333333331</v>
      </c>
      <c r="O21" s="3271">
        <f t="shared" si="1"/>
        <v>20.533333333333331</v>
      </c>
      <c r="P21" s="4115"/>
      <c r="R21" s="285" t="s">
        <v>255</v>
      </c>
      <c r="S21" s="295"/>
      <c r="T21" s="243"/>
      <c r="U21" s="243"/>
      <c r="V21" s="294" t="s">
        <v>2020</v>
      </c>
      <c r="W21" s="241"/>
      <c r="X21" s="285" t="s">
        <v>255</v>
      </c>
    </row>
    <row r="22" spans="1:25" s="231" customFormat="1" ht="15.6" customHeight="1">
      <c r="A22" s="240">
        <f>ROWS($A$6:A22)</f>
        <v>17</v>
      </c>
      <c r="B22" s="68"/>
      <c r="C22" s="45" t="s">
        <v>86</v>
      </c>
      <c r="D22" s="45"/>
      <c r="E22" s="45"/>
      <c r="F22" s="3833"/>
      <c r="G22" s="288">
        <v>12.6</v>
      </c>
      <c r="H22" s="288">
        <v>16.899999999999999</v>
      </c>
      <c r="I22" s="288">
        <v>14</v>
      </c>
      <c r="J22" s="288">
        <v>13.5</v>
      </c>
      <c r="K22" s="3934">
        <v>17.100000000000001</v>
      </c>
      <c r="L22" s="4121">
        <v>25.4</v>
      </c>
      <c r="M22" s="4123">
        <v>17.2</v>
      </c>
      <c r="N22" s="3937">
        <f t="shared" si="0"/>
        <v>19.900000000000002</v>
      </c>
      <c r="O22" s="3271">
        <f t="shared" si="1"/>
        <v>19.900000000000002</v>
      </c>
      <c r="P22" s="4115"/>
      <c r="R22" s="285" t="s">
        <v>255</v>
      </c>
      <c r="S22" s="295"/>
      <c r="T22" s="243" t="s">
        <v>2014</v>
      </c>
      <c r="U22" s="243"/>
      <c r="V22" s="294" t="s">
        <v>2020</v>
      </c>
      <c r="W22" s="241"/>
      <c r="X22" s="285" t="s">
        <v>255</v>
      </c>
    </row>
    <row r="23" spans="1:25" s="231" customFormat="1" ht="15.6" customHeight="1">
      <c r="A23" s="240">
        <f>ROWS($A$6:A23)</f>
        <v>18</v>
      </c>
      <c r="B23" s="68"/>
      <c r="C23" s="45" t="s">
        <v>84</v>
      </c>
      <c r="D23" s="45"/>
      <c r="E23" s="45"/>
      <c r="F23" s="3833"/>
      <c r="G23" s="288">
        <v>17</v>
      </c>
      <c r="H23" s="288">
        <v>19</v>
      </c>
      <c r="I23" s="288">
        <v>20</v>
      </c>
      <c r="J23" s="288">
        <v>22</v>
      </c>
      <c r="K23" s="3934">
        <v>20.5</v>
      </c>
      <c r="L23" s="4121">
        <v>23</v>
      </c>
      <c r="M23" s="4121">
        <v>19.5</v>
      </c>
      <c r="N23" s="3937">
        <f t="shared" si="0"/>
        <v>21</v>
      </c>
      <c r="O23" s="3271">
        <f t="shared" si="1"/>
        <v>21</v>
      </c>
      <c r="P23" s="4116"/>
      <c r="R23" s="285" t="s">
        <v>255</v>
      </c>
      <c r="S23" s="295"/>
      <c r="T23" s="243" t="s">
        <v>2014</v>
      </c>
      <c r="U23" s="243"/>
      <c r="V23" s="294" t="s">
        <v>2020</v>
      </c>
      <c r="W23" s="241"/>
      <c r="X23" s="285" t="s">
        <v>255</v>
      </c>
    </row>
    <row r="24" spans="1:25" s="231" customFormat="1" ht="15.6" customHeight="1">
      <c r="A24" s="240">
        <f>ROWS($A$6:A24)</f>
        <v>19</v>
      </c>
      <c r="B24" s="68"/>
      <c r="C24" s="45" t="s">
        <v>81</v>
      </c>
      <c r="D24" s="45"/>
      <c r="E24" s="45"/>
      <c r="F24" s="3833"/>
      <c r="G24" s="288">
        <v>14.4</v>
      </c>
      <c r="H24" s="288">
        <v>17.600000000000001</v>
      </c>
      <c r="I24" s="288">
        <v>15.1</v>
      </c>
      <c r="J24" s="288">
        <v>15</v>
      </c>
      <c r="K24" s="3934">
        <v>20.2</v>
      </c>
      <c r="L24" s="4121">
        <v>29.8</v>
      </c>
      <c r="M24" s="4123">
        <v>20.5</v>
      </c>
      <c r="N24" s="3937">
        <f t="shared" si="0"/>
        <v>23.5</v>
      </c>
      <c r="O24" s="3271">
        <f t="shared" si="1"/>
        <v>23.5</v>
      </c>
      <c r="P24" s="4115"/>
      <c r="R24" s="285" t="s">
        <v>255</v>
      </c>
      <c r="S24" s="295"/>
      <c r="T24" s="243" t="s">
        <v>2014</v>
      </c>
      <c r="U24" s="243"/>
      <c r="V24" s="294" t="s">
        <v>2020</v>
      </c>
      <c r="W24" s="241"/>
      <c r="X24" s="285" t="s">
        <v>255</v>
      </c>
    </row>
    <row r="25" spans="1:25" s="231" customFormat="1" ht="15.6" customHeight="1">
      <c r="A25" s="240">
        <f>ROWS($A$6:A25)</f>
        <v>20</v>
      </c>
      <c r="B25" s="68"/>
      <c r="C25" s="45" t="s">
        <v>267</v>
      </c>
      <c r="D25" s="45"/>
      <c r="E25" s="45" t="s">
        <v>266</v>
      </c>
      <c r="F25" s="3833"/>
      <c r="G25" s="288">
        <v>12.6</v>
      </c>
      <c r="H25" s="288">
        <v>16.899999999999999</v>
      </c>
      <c r="I25" s="288">
        <v>14</v>
      </c>
      <c r="J25" s="288">
        <v>13.5</v>
      </c>
      <c r="K25" s="3934">
        <v>17.100000000000001</v>
      </c>
      <c r="L25" s="4121">
        <f>(24.5+25.5+25.5+25.5+26)/5</f>
        <v>25.4</v>
      </c>
      <c r="M25" s="4123">
        <v>17.2</v>
      </c>
      <c r="N25" s="3937">
        <f t="shared" si="0"/>
        <v>19.900000000000002</v>
      </c>
      <c r="O25" s="3271">
        <f t="shared" si="1"/>
        <v>19.900000000000002</v>
      </c>
      <c r="P25" s="4115"/>
      <c r="R25" s="285" t="s">
        <v>255</v>
      </c>
      <c r="S25" s="295"/>
      <c r="T25" s="243" t="s">
        <v>2014</v>
      </c>
      <c r="U25" s="243"/>
      <c r="V25" s="294" t="s">
        <v>2020</v>
      </c>
      <c r="W25" s="241"/>
      <c r="X25" s="285" t="s">
        <v>255</v>
      </c>
    </row>
    <row r="26" spans="1:25" s="231" customFormat="1" ht="15.6" customHeight="1">
      <c r="A26" s="240">
        <f>ROWS($A$6:A26)</f>
        <v>21</v>
      </c>
      <c r="B26" s="68"/>
      <c r="C26" s="45" t="s">
        <v>77</v>
      </c>
      <c r="D26" s="45"/>
      <c r="E26" s="45"/>
      <c r="F26" s="3833"/>
      <c r="G26" s="288">
        <v>17.899999999999999</v>
      </c>
      <c r="H26" s="288">
        <v>20.399999999999999</v>
      </c>
      <c r="I26" s="288">
        <v>18.399999999999999</v>
      </c>
      <c r="J26" s="288">
        <v>16</v>
      </c>
      <c r="K26" s="3934">
        <v>22.2</v>
      </c>
      <c r="L26" s="4121">
        <v>37</v>
      </c>
      <c r="M26" s="4123">
        <v>31.4</v>
      </c>
      <c r="N26" s="3937">
        <f t="shared" si="0"/>
        <v>30.2</v>
      </c>
      <c r="O26" s="3271">
        <f t="shared" si="1"/>
        <v>30.2</v>
      </c>
      <c r="P26" s="4115"/>
      <c r="R26" s="285" t="s">
        <v>255</v>
      </c>
      <c r="S26" s="295"/>
      <c r="T26" s="243" t="s">
        <v>2014</v>
      </c>
      <c r="U26" s="243"/>
      <c r="V26" s="294" t="s">
        <v>2020</v>
      </c>
      <c r="W26" s="241"/>
      <c r="X26" s="285" t="s">
        <v>255</v>
      </c>
    </row>
    <row r="27" spans="1:25" s="231" customFormat="1" ht="15.6" customHeight="1">
      <c r="A27" s="240">
        <f>ROWS($A$6:A27)</f>
        <v>22</v>
      </c>
      <c r="B27" s="68"/>
      <c r="C27" s="45" t="s">
        <v>75</v>
      </c>
      <c r="D27" s="45"/>
      <c r="E27" s="45"/>
      <c r="F27" s="3833"/>
      <c r="G27" s="288">
        <v>14</v>
      </c>
      <c r="H27" s="288">
        <v>15.5</v>
      </c>
      <c r="I27" s="288">
        <v>14.5</v>
      </c>
      <c r="J27" s="288">
        <v>15</v>
      </c>
      <c r="K27" s="3934">
        <v>16</v>
      </c>
      <c r="L27" s="4121">
        <v>26.5</v>
      </c>
      <c r="M27" s="4121">
        <v>21.5</v>
      </c>
      <c r="N27" s="3937">
        <f t="shared" si="0"/>
        <v>21.333333333333332</v>
      </c>
      <c r="O27" s="3271">
        <f t="shared" si="1"/>
        <v>21.333333333333329</v>
      </c>
      <c r="P27" s="237"/>
      <c r="R27" s="285" t="s">
        <v>255</v>
      </c>
      <c r="S27" s="295"/>
      <c r="T27" s="243" t="s">
        <v>2014</v>
      </c>
      <c r="U27" s="243"/>
      <c r="V27" s="294" t="s">
        <v>2020</v>
      </c>
      <c r="W27" s="241"/>
      <c r="X27" s="285" t="s">
        <v>255</v>
      </c>
    </row>
    <row r="28" spans="1:25" s="231" customFormat="1" ht="15.6" customHeight="1">
      <c r="A28" s="240">
        <f>ROWS($A$6:A28)</f>
        <v>23</v>
      </c>
      <c r="B28" s="68"/>
      <c r="C28" s="45" t="s">
        <v>73</v>
      </c>
      <c r="D28" s="45"/>
      <c r="E28" s="45"/>
      <c r="F28" s="3833"/>
      <c r="G28" s="288">
        <v>23.75</v>
      </c>
      <c r="H28" s="288">
        <v>22</v>
      </c>
      <c r="I28" s="288">
        <v>22.5</v>
      </c>
      <c r="J28" s="288">
        <v>25</v>
      </c>
      <c r="K28" s="3934">
        <v>27.5</v>
      </c>
      <c r="L28" s="4121">
        <v>43</v>
      </c>
      <c r="M28" s="4121">
        <v>28.5</v>
      </c>
      <c r="N28" s="3937">
        <f t="shared" si="0"/>
        <v>33</v>
      </c>
      <c r="O28" s="3271">
        <f t="shared" si="1"/>
        <v>33</v>
      </c>
      <c r="P28" s="237"/>
      <c r="R28" s="285" t="s">
        <v>255</v>
      </c>
      <c r="S28" s="295"/>
      <c r="T28" s="243" t="s">
        <v>2014</v>
      </c>
      <c r="U28" s="243"/>
      <c r="V28" s="294" t="s">
        <v>2020</v>
      </c>
      <c r="W28" s="241"/>
      <c r="X28" s="285" t="s">
        <v>255</v>
      </c>
    </row>
    <row r="29" spans="1:25" s="231" customFormat="1" ht="15.6" customHeight="1">
      <c r="A29" s="240">
        <f>ROWS($A$6:A29)</f>
        <v>24</v>
      </c>
      <c r="B29" s="68"/>
      <c r="C29" s="45" t="s">
        <v>70</v>
      </c>
      <c r="D29" s="45"/>
      <c r="E29" s="45"/>
      <c r="F29" s="3833"/>
      <c r="G29" s="288">
        <v>14.2</v>
      </c>
      <c r="H29" s="288">
        <v>16.600000000000001</v>
      </c>
      <c r="I29" s="288">
        <v>14.4</v>
      </c>
      <c r="J29" s="288">
        <v>17.350000000000001</v>
      </c>
      <c r="K29" s="3934">
        <v>22.8</v>
      </c>
      <c r="L29" s="4121">
        <v>32.200000000000003</v>
      </c>
      <c r="M29" s="4121">
        <v>18.899999999999999</v>
      </c>
      <c r="N29" s="3937">
        <f t="shared" si="0"/>
        <v>24.633333333333336</v>
      </c>
      <c r="O29" s="3271">
        <f t="shared" si="1"/>
        <v>24.633333333333336</v>
      </c>
      <c r="P29" s="4052"/>
      <c r="R29" s="285" t="s">
        <v>255</v>
      </c>
      <c r="S29" s="295"/>
      <c r="T29" s="243" t="s">
        <v>2014</v>
      </c>
      <c r="U29" s="243"/>
      <c r="V29" s="294" t="s">
        <v>2020</v>
      </c>
      <c r="W29" s="241"/>
      <c r="X29" s="285" t="s">
        <v>255</v>
      </c>
    </row>
    <row r="30" spans="1:25" s="231" customFormat="1" ht="15.6" customHeight="1">
      <c r="A30" s="240">
        <f>ROWS($A$6:A30)</f>
        <v>25</v>
      </c>
      <c r="B30" s="68"/>
      <c r="C30" s="45" t="s">
        <v>67</v>
      </c>
      <c r="D30" s="45"/>
      <c r="E30" s="45"/>
      <c r="F30" s="3833"/>
      <c r="G30" s="288">
        <f>G29-1</f>
        <v>13.2</v>
      </c>
      <c r="H30" s="288">
        <f>H29-1</f>
        <v>15.600000000000001</v>
      </c>
      <c r="I30" s="288">
        <v>15.6</v>
      </c>
      <c r="J30" s="288">
        <v>15.6</v>
      </c>
      <c r="K30" s="3934">
        <v>18.5</v>
      </c>
      <c r="L30" s="4121" t="s">
        <v>2105</v>
      </c>
      <c r="M30" s="4124" t="s">
        <v>2105</v>
      </c>
      <c r="N30" s="3937">
        <f>AVERAGE(K30:M30)</f>
        <v>18.5</v>
      </c>
      <c r="O30" s="3271">
        <f>HLOOKUP($O$6,$G$6:$N$48,A30)*(100+$O$9)/100</f>
        <v>18.5</v>
      </c>
      <c r="P30" s="237"/>
      <c r="R30" s="285"/>
      <c r="S30" s="295"/>
      <c r="T30" s="243" t="s">
        <v>2014</v>
      </c>
      <c r="U30" s="243"/>
      <c r="V30" s="294" t="s">
        <v>2020</v>
      </c>
      <c r="W30" s="241"/>
      <c r="X30" s="285" t="s">
        <v>255</v>
      </c>
    </row>
    <row r="31" spans="1:25" s="231" customFormat="1" ht="15.6" customHeight="1">
      <c r="A31" s="240">
        <f>ROWS($A$6:A31)</f>
        <v>26</v>
      </c>
      <c r="B31" s="68"/>
      <c r="C31" s="45" t="s">
        <v>265</v>
      </c>
      <c r="D31" s="45"/>
      <c r="E31" s="45" t="s">
        <v>264</v>
      </c>
      <c r="F31" s="3833"/>
      <c r="G31" s="288">
        <v>34.1</v>
      </c>
      <c r="H31" s="288">
        <v>35.200000000000003</v>
      </c>
      <c r="I31" s="288">
        <v>35.299999999999997</v>
      </c>
      <c r="J31" s="288">
        <v>35.5</v>
      </c>
      <c r="K31" s="3934">
        <v>52.7</v>
      </c>
      <c r="L31" s="4121">
        <v>61.2</v>
      </c>
      <c r="M31" s="4123">
        <v>42.6</v>
      </c>
      <c r="N31" s="3937">
        <f t="shared" si="0"/>
        <v>52.166666666666664</v>
      </c>
      <c r="O31" s="3271">
        <f t="shared" si="1"/>
        <v>52.166666666666657</v>
      </c>
      <c r="P31" s="237"/>
      <c r="R31" s="285" t="s">
        <v>255</v>
      </c>
      <c r="S31" s="295"/>
      <c r="T31" s="243" t="s">
        <v>2014</v>
      </c>
      <c r="U31" s="243"/>
      <c r="V31" s="294" t="s">
        <v>2020</v>
      </c>
      <c r="W31" s="241"/>
      <c r="X31" s="285" t="s">
        <v>255</v>
      </c>
    </row>
    <row r="32" spans="1:25" s="231" customFormat="1" ht="15.6" customHeight="1">
      <c r="A32" s="240">
        <f>ROWS($A$6:A32)</f>
        <v>27</v>
      </c>
      <c r="B32" s="68"/>
      <c r="C32" s="45" t="s">
        <v>60</v>
      </c>
      <c r="D32" s="45"/>
      <c r="E32" s="45"/>
      <c r="F32" s="3833"/>
      <c r="G32" s="288">
        <v>37</v>
      </c>
      <c r="H32" s="288">
        <v>31</v>
      </c>
      <c r="I32" s="288">
        <v>38</v>
      </c>
      <c r="J32" s="288">
        <v>38.5</v>
      </c>
      <c r="K32" s="3934">
        <v>44</v>
      </c>
      <c r="L32" s="4121">
        <v>57.5</v>
      </c>
      <c r="M32" s="4121">
        <v>34</v>
      </c>
      <c r="N32" s="3937">
        <f t="shared" si="0"/>
        <v>45.166666666666664</v>
      </c>
      <c r="O32" s="3271">
        <f t="shared" si="1"/>
        <v>45.166666666666657</v>
      </c>
      <c r="P32" s="237"/>
      <c r="R32" s="285" t="s">
        <v>255</v>
      </c>
      <c r="S32" s="295"/>
      <c r="T32" s="243" t="s">
        <v>2014</v>
      </c>
      <c r="U32" s="243"/>
      <c r="V32" s="294" t="s">
        <v>2020</v>
      </c>
      <c r="W32" s="241"/>
      <c r="X32" s="285" t="s">
        <v>255</v>
      </c>
    </row>
    <row r="33" spans="1:42" s="231" customFormat="1" ht="15.6" customHeight="1">
      <c r="A33" s="240">
        <f>ROWS($A$6:A33)</f>
        <v>28</v>
      </c>
      <c r="B33" s="68"/>
      <c r="C33" s="45" t="s">
        <v>263</v>
      </c>
      <c r="D33" s="45"/>
      <c r="E33" s="45"/>
      <c r="F33" s="3833"/>
      <c r="G33" s="288">
        <v>35.700000000000003</v>
      </c>
      <c r="H33" s="288">
        <v>34.299999999999997</v>
      </c>
      <c r="I33" s="288">
        <v>34.299999999999997</v>
      </c>
      <c r="J33" s="288">
        <v>36.5</v>
      </c>
      <c r="K33" s="3934">
        <v>55</v>
      </c>
      <c r="L33" s="4121">
        <v>62</v>
      </c>
      <c r="M33" s="4121">
        <v>40</v>
      </c>
      <c r="N33" s="3937">
        <f t="shared" si="0"/>
        <v>52.333333333333336</v>
      </c>
      <c r="O33" s="3271">
        <f t="shared" si="1"/>
        <v>52.333333333333343</v>
      </c>
      <c r="P33" s="4052"/>
      <c r="R33" s="285" t="s">
        <v>255</v>
      </c>
      <c r="S33" s="295"/>
      <c r="T33" s="243" t="s">
        <v>2014</v>
      </c>
      <c r="U33" s="243"/>
      <c r="V33" s="294" t="s">
        <v>2020</v>
      </c>
      <c r="W33" s="241"/>
      <c r="X33" s="285" t="s">
        <v>255</v>
      </c>
    </row>
    <row r="34" spans="1:42" s="231" customFormat="1" ht="15.6" customHeight="1">
      <c r="A34" s="240">
        <f>ROWS($A$6:A34)</f>
        <v>29</v>
      </c>
      <c r="B34" s="68"/>
      <c r="C34" s="45" t="s">
        <v>262</v>
      </c>
      <c r="D34" s="45"/>
      <c r="E34" s="45"/>
      <c r="F34" s="3833"/>
      <c r="G34" s="288">
        <v>30</v>
      </c>
      <c r="H34" s="288">
        <v>29.3</v>
      </c>
      <c r="I34" s="288">
        <v>29.3</v>
      </c>
      <c r="J34" s="288">
        <v>29.3</v>
      </c>
      <c r="K34" s="3934">
        <v>30</v>
      </c>
      <c r="L34" s="4121" t="s">
        <v>2105</v>
      </c>
      <c r="M34" s="4124" t="s">
        <v>2105</v>
      </c>
      <c r="N34" s="3937">
        <f t="shared" si="0"/>
        <v>30</v>
      </c>
      <c r="O34" s="3271">
        <f t="shared" si="1"/>
        <v>30</v>
      </c>
      <c r="P34" s="237"/>
      <c r="R34" s="285"/>
      <c r="S34" s="295"/>
      <c r="T34" s="243"/>
      <c r="U34" s="243"/>
      <c r="V34" s="294" t="s">
        <v>2020</v>
      </c>
      <c r="W34" s="241"/>
      <c r="X34" s="285" t="s">
        <v>255</v>
      </c>
    </row>
    <row r="35" spans="1:42" s="231" customFormat="1" ht="15.6" customHeight="1">
      <c r="A35" s="240">
        <f>ROWS($A$6:A35)</f>
        <v>30</v>
      </c>
      <c r="B35" s="68"/>
      <c r="C35" s="45" t="s">
        <v>54</v>
      </c>
      <c r="D35" s="45"/>
      <c r="E35" s="45"/>
      <c r="F35" s="3833"/>
      <c r="G35" s="288">
        <v>19.2</v>
      </c>
      <c r="H35" s="288">
        <v>18.7</v>
      </c>
      <c r="I35" s="288">
        <v>19</v>
      </c>
      <c r="J35" s="288">
        <v>19.399999999999999</v>
      </c>
      <c r="K35" s="3934">
        <v>23.8</v>
      </c>
      <c r="L35" s="4121">
        <v>32</v>
      </c>
      <c r="M35" s="4121">
        <v>34.1</v>
      </c>
      <c r="N35" s="3937">
        <f t="shared" si="0"/>
        <v>29.966666666666669</v>
      </c>
      <c r="O35" s="3271">
        <f t="shared" si="1"/>
        <v>29.966666666666669</v>
      </c>
      <c r="P35" s="237"/>
      <c r="R35" s="285" t="s">
        <v>255</v>
      </c>
      <c r="S35" s="295"/>
      <c r="T35" s="243" t="s">
        <v>2014</v>
      </c>
      <c r="U35" s="243"/>
      <c r="V35" s="294" t="s">
        <v>2020</v>
      </c>
      <c r="W35" s="241"/>
      <c r="X35" s="285" t="s">
        <v>255</v>
      </c>
    </row>
    <row r="36" spans="1:42" s="231" customFormat="1" ht="15.6" customHeight="1">
      <c r="A36" s="240">
        <f>ROWS($A$6:A36)</f>
        <v>31</v>
      </c>
      <c r="B36" s="68"/>
      <c r="C36" s="45" t="s">
        <v>52</v>
      </c>
      <c r="D36" s="45"/>
      <c r="E36" s="45"/>
      <c r="F36" s="3833"/>
      <c r="G36" s="288">
        <v>15.8</v>
      </c>
      <c r="H36" s="288">
        <v>17.399999999999999</v>
      </c>
      <c r="I36" s="288">
        <v>19.5</v>
      </c>
      <c r="J36" s="288">
        <v>20</v>
      </c>
      <c r="K36" s="3934">
        <v>22.6</v>
      </c>
      <c r="L36" s="4121">
        <v>34</v>
      </c>
      <c r="M36" s="4121">
        <v>34.299999999999997</v>
      </c>
      <c r="N36" s="3937">
        <f t="shared" si="0"/>
        <v>30.3</v>
      </c>
      <c r="O36" s="3271">
        <f t="shared" si="1"/>
        <v>30.3</v>
      </c>
      <c r="P36" s="237"/>
      <c r="R36" s="285" t="s">
        <v>255</v>
      </c>
      <c r="S36" s="295"/>
      <c r="T36" s="243" t="s">
        <v>2014</v>
      </c>
      <c r="U36" s="243"/>
      <c r="V36" s="294" t="s">
        <v>2020</v>
      </c>
      <c r="W36" s="241"/>
      <c r="X36" s="285" t="s">
        <v>255</v>
      </c>
    </row>
    <row r="37" spans="1:42" s="231" customFormat="1" ht="15.6" customHeight="1">
      <c r="A37" s="240">
        <f>ROWS($A$6:A37)</f>
        <v>32</v>
      </c>
      <c r="B37" s="68"/>
      <c r="C37" s="45" t="s">
        <v>50</v>
      </c>
      <c r="D37" s="45"/>
      <c r="E37" s="45"/>
      <c r="F37" s="3833"/>
      <c r="G37" s="288">
        <v>21</v>
      </c>
      <c r="H37" s="288">
        <v>20.2</v>
      </c>
      <c r="I37" s="288">
        <v>20</v>
      </c>
      <c r="J37" s="288">
        <v>20</v>
      </c>
      <c r="K37" s="3934">
        <v>20</v>
      </c>
      <c r="L37" s="4121">
        <v>33.799999999999997</v>
      </c>
      <c r="M37" s="4123">
        <v>26.1</v>
      </c>
      <c r="N37" s="3937">
        <f t="shared" si="0"/>
        <v>26.633333333333336</v>
      </c>
      <c r="O37" s="3271">
        <f t="shared" si="1"/>
        <v>26.633333333333336</v>
      </c>
      <c r="P37" s="237"/>
      <c r="R37" s="285"/>
      <c r="S37" s="295"/>
      <c r="T37" s="243" t="s">
        <v>2017</v>
      </c>
      <c r="U37" s="243"/>
      <c r="V37" s="294" t="s">
        <v>2020</v>
      </c>
      <c r="W37" s="241"/>
      <c r="X37" s="285" t="s">
        <v>255</v>
      </c>
    </row>
    <row r="38" spans="1:42" s="231" customFormat="1" ht="15.6" customHeight="1">
      <c r="A38" s="240">
        <f>ROWS($A$6:A38)</f>
        <v>33</v>
      </c>
      <c r="B38" s="68"/>
      <c r="C38" s="45" t="s">
        <v>45</v>
      </c>
      <c r="D38" s="45"/>
      <c r="E38" s="45"/>
      <c r="F38" s="3833"/>
      <c r="G38" s="288">
        <v>3</v>
      </c>
      <c r="H38" s="288">
        <v>2.8</v>
      </c>
      <c r="I38" s="288">
        <v>2.65</v>
      </c>
      <c r="J38" s="288">
        <v>2.65</v>
      </c>
      <c r="K38" s="3934">
        <v>2.75</v>
      </c>
      <c r="L38" s="4121">
        <v>3.09</v>
      </c>
      <c r="M38" s="4121">
        <v>2.99</v>
      </c>
      <c r="N38" s="3937">
        <f t="shared" si="0"/>
        <v>2.9433333333333334</v>
      </c>
      <c r="O38" s="3271">
        <f t="shared" si="1"/>
        <v>2.9433333333333334</v>
      </c>
      <c r="P38" s="237"/>
      <c r="Q38" s="3837"/>
      <c r="R38" s="285" t="s">
        <v>255</v>
      </c>
      <c r="S38" s="295"/>
      <c r="T38" s="243"/>
      <c r="U38" s="243"/>
      <c r="V38" s="294" t="s">
        <v>2020</v>
      </c>
      <c r="W38" s="241"/>
      <c r="X38" s="285" t="s">
        <v>255</v>
      </c>
    </row>
    <row r="39" spans="1:42" s="231" customFormat="1" ht="15.6" customHeight="1">
      <c r="A39" s="240">
        <f>ROWS($A$6:A39)</f>
        <v>34</v>
      </c>
      <c r="B39" s="68"/>
      <c r="C39" s="227" t="s">
        <v>45</v>
      </c>
      <c r="D39" s="45"/>
      <c r="E39" s="293" t="s">
        <v>261</v>
      </c>
      <c r="F39" s="292" t="s">
        <v>259</v>
      </c>
      <c r="G39" s="288">
        <v>1.9</v>
      </c>
      <c r="H39" s="288">
        <v>1.9</v>
      </c>
      <c r="I39" s="288">
        <v>1.4</v>
      </c>
      <c r="J39" s="288">
        <v>1.4</v>
      </c>
      <c r="K39" s="3934">
        <v>1.6</v>
      </c>
      <c r="L39" s="4121">
        <v>1.96</v>
      </c>
      <c r="M39" s="4121">
        <v>2.99</v>
      </c>
      <c r="N39" s="3937">
        <f t="shared" si="0"/>
        <v>2.1833333333333336</v>
      </c>
      <c r="O39" s="3271">
        <f t="shared" si="1"/>
        <v>2.1833333333333336</v>
      </c>
      <c r="P39" s="4052"/>
      <c r="Q39" s="3837"/>
      <c r="R39" s="285" t="s">
        <v>255</v>
      </c>
      <c r="S39" s="243"/>
      <c r="T39" s="243" t="s">
        <v>2018</v>
      </c>
      <c r="U39" s="243"/>
      <c r="V39" s="294" t="s">
        <v>2020</v>
      </c>
      <c r="W39" s="241"/>
      <c r="X39" s="285" t="s">
        <v>255</v>
      </c>
    </row>
    <row r="40" spans="1:42" s="231" customFormat="1" ht="15.6" customHeight="1">
      <c r="A40" s="240">
        <f>ROWS($A$6:A40)</f>
        <v>35</v>
      </c>
      <c r="B40" s="68"/>
      <c r="C40" s="45" t="s">
        <v>43</v>
      </c>
      <c r="D40" s="45"/>
      <c r="E40" s="293" t="s">
        <v>260</v>
      </c>
      <c r="F40" s="292" t="s">
        <v>259</v>
      </c>
      <c r="G40" s="288">
        <v>31</v>
      </c>
      <c r="H40" s="288">
        <v>32</v>
      </c>
      <c r="I40" s="288">
        <v>31</v>
      </c>
      <c r="J40" s="288">
        <v>29</v>
      </c>
      <c r="K40" s="3934">
        <v>54.3</v>
      </c>
      <c r="L40" s="4121">
        <v>47.5</v>
      </c>
      <c r="M40" s="4121">
        <v>69</v>
      </c>
      <c r="N40" s="3937">
        <f t="shared" si="0"/>
        <v>56.933333333333337</v>
      </c>
      <c r="O40" s="3271">
        <f t="shared" si="1"/>
        <v>56.933333333333337</v>
      </c>
      <c r="P40" s="237"/>
      <c r="R40" s="285" t="s">
        <v>255</v>
      </c>
      <c r="S40" s="243"/>
      <c r="T40" s="243" t="s">
        <v>2018</v>
      </c>
      <c r="U40" s="243"/>
      <c r="V40" s="294" t="s">
        <v>2020</v>
      </c>
      <c r="W40" s="241"/>
      <c r="X40" s="285" t="s">
        <v>255</v>
      </c>
    </row>
    <row r="41" spans="1:42" s="231" customFormat="1" ht="15.6" customHeight="1">
      <c r="A41" s="240">
        <f>ROWS($A$6:A41)</f>
        <v>36</v>
      </c>
      <c r="B41" s="68"/>
      <c r="C41" s="45" t="s">
        <v>43</v>
      </c>
      <c r="D41" s="45"/>
      <c r="E41" s="45" t="s">
        <v>258</v>
      </c>
      <c r="F41" s="3201"/>
      <c r="G41" s="288">
        <v>34</v>
      </c>
      <c r="H41" s="288">
        <v>35</v>
      </c>
      <c r="I41" s="288">
        <v>31</v>
      </c>
      <c r="J41" s="288">
        <v>29</v>
      </c>
      <c r="K41" s="3934">
        <v>54.3</v>
      </c>
      <c r="L41" s="4121">
        <v>47.5</v>
      </c>
      <c r="M41" s="4121">
        <v>69</v>
      </c>
      <c r="N41" s="3937">
        <f t="shared" si="0"/>
        <v>56.933333333333337</v>
      </c>
      <c r="O41" s="3271">
        <f t="shared" si="1"/>
        <v>56.933333333333337</v>
      </c>
      <c r="P41" s="237"/>
      <c r="R41" s="285" t="s">
        <v>255</v>
      </c>
      <c r="S41" s="243"/>
      <c r="T41" s="243"/>
      <c r="U41" s="243"/>
      <c r="V41" s="294" t="s">
        <v>2020</v>
      </c>
      <c r="W41" s="241"/>
      <c r="X41" s="285" t="s">
        <v>255</v>
      </c>
    </row>
    <row r="42" spans="1:42" s="231" customFormat="1" ht="15">
      <c r="A42" s="240">
        <f>ROWS($A$6:A42)</f>
        <v>37</v>
      </c>
      <c r="B42" s="68"/>
      <c r="C42" s="45" t="s">
        <v>257</v>
      </c>
      <c r="D42" s="45"/>
      <c r="E42" s="45" t="s">
        <v>256</v>
      </c>
      <c r="F42" s="3201"/>
      <c r="G42" s="288">
        <v>13.5</v>
      </c>
      <c r="H42" s="288">
        <v>24</v>
      </c>
      <c r="I42" s="288">
        <v>18</v>
      </c>
      <c r="J42" s="288">
        <v>10</v>
      </c>
      <c r="K42" s="3934">
        <v>16.7</v>
      </c>
      <c r="L42" s="4121">
        <v>27.4</v>
      </c>
      <c r="M42" s="4121">
        <v>40</v>
      </c>
      <c r="N42" s="3937">
        <f t="shared" si="0"/>
        <v>28.033333333333331</v>
      </c>
      <c r="O42" s="3271">
        <f t="shared" si="1"/>
        <v>28.033333333333331</v>
      </c>
      <c r="P42" s="237"/>
      <c r="R42" s="285" t="s">
        <v>255</v>
      </c>
      <c r="S42" s="243"/>
      <c r="T42" s="243" t="s">
        <v>2019</v>
      </c>
      <c r="U42" s="243"/>
      <c r="V42" s="294" t="s">
        <v>2020</v>
      </c>
      <c r="W42" s="241"/>
      <c r="X42" s="285" t="s">
        <v>255</v>
      </c>
    </row>
    <row r="43" spans="1:42" s="231" customFormat="1" ht="14.1" hidden="1" customHeight="1">
      <c r="A43" s="240">
        <f>ROWS($A$6:A43)</f>
        <v>38</v>
      </c>
      <c r="B43" s="68"/>
      <c r="C43" s="227" t="s">
        <v>254</v>
      </c>
      <c r="D43" s="45"/>
      <c r="E43" s="45"/>
      <c r="F43" s="3201"/>
      <c r="G43" s="287"/>
      <c r="H43" s="291"/>
      <c r="I43" s="291"/>
      <c r="J43" s="291"/>
      <c r="K43" s="3936"/>
      <c r="L43" s="4121">
        <v>29</v>
      </c>
      <c r="M43" s="4121">
        <v>29</v>
      </c>
      <c r="N43" s="3937">
        <f t="shared" si="0"/>
        <v>29</v>
      </c>
      <c r="O43" s="3271">
        <f t="shared" si="1"/>
        <v>29</v>
      </c>
      <c r="P43" s="237"/>
      <c r="R43" s="285" t="s">
        <v>255</v>
      </c>
      <c r="S43" s="243"/>
      <c r="T43" s="243" t="s">
        <v>2019</v>
      </c>
      <c r="U43" s="243"/>
      <c r="V43" s="242"/>
      <c r="W43" s="241"/>
      <c r="X43" s="285" t="s">
        <v>255</v>
      </c>
    </row>
    <row r="44" spans="1:42" s="42" customFormat="1" ht="14.1" hidden="1" customHeight="1">
      <c r="A44" s="240">
        <f>ROWS($A$6:A44)</f>
        <v>39</v>
      </c>
      <c r="B44" s="68"/>
      <c r="C44" s="227" t="s">
        <v>253</v>
      </c>
      <c r="D44" s="45"/>
      <c r="E44" s="45"/>
      <c r="F44" s="3201"/>
      <c r="G44" s="287"/>
      <c r="H44" s="291"/>
      <c r="I44" s="291"/>
      <c r="J44" s="291"/>
      <c r="K44" s="3936"/>
      <c r="L44" s="4121">
        <v>9.9</v>
      </c>
      <c r="M44" s="4121">
        <v>9.9</v>
      </c>
      <c r="N44" s="3937">
        <f t="shared" si="0"/>
        <v>9.9</v>
      </c>
      <c r="O44" s="3271">
        <f t="shared" si="1"/>
        <v>9.9</v>
      </c>
      <c r="P44" s="237"/>
      <c r="R44" s="285" t="s">
        <v>255</v>
      </c>
      <c r="S44" s="45"/>
      <c r="T44" s="45" t="s">
        <v>2014</v>
      </c>
      <c r="U44" s="45"/>
      <c r="V44" s="272"/>
      <c r="W44" s="271"/>
      <c r="X44" s="285" t="s">
        <v>255</v>
      </c>
    </row>
    <row r="45" spans="1:42" s="42" customFormat="1" ht="14.1" hidden="1" customHeight="1">
      <c r="A45" s="240">
        <f>ROWS($A$6:A45)</f>
        <v>40</v>
      </c>
      <c r="B45" s="68"/>
      <c r="C45" s="290"/>
      <c r="D45" s="290"/>
      <c r="E45" s="290"/>
      <c r="F45" s="290"/>
      <c r="G45" s="290"/>
      <c r="H45" s="290"/>
      <c r="I45" s="290"/>
      <c r="J45" s="290"/>
      <c r="K45" s="3932"/>
      <c r="L45" s="4121"/>
      <c r="M45" s="4121"/>
      <c r="N45" s="3937" t="e">
        <f t="shared" si="0"/>
        <v>#DIV/0!</v>
      </c>
      <c r="O45" s="3271" t="e">
        <f t="shared" si="1"/>
        <v>#DIV/0!</v>
      </c>
      <c r="P45" s="237"/>
      <c r="R45" s="285" t="s">
        <v>255</v>
      </c>
      <c r="S45" s="45"/>
      <c r="T45" s="45" t="s">
        <v>2014</v>
      </c>
      <c r="U45" s="45"/>
      <c r="V45" s="272" t="s">
        <v>252</v>
      </c>
      <c r="W45" s="271"/>
      <c r="X45" s="285" t="s">
        <v>255</v>
      </c>
    </row>
    <row r="46" spans="1:42" s="42" customFormat="1" ht="15.6" hidden="1" customHeight="1">
      <c r="A46" s="240">
        <f>ROWS($A$6:A46)</f>
        <v>41</v>
      </c>
      <c r="B46" s="68"/>
      <c r="C46" s="290"/>
      <c r="D46" s="290"/>
      <c r="E46" s="290"/>
      <c r="F46" s="290"/>
      <c r="G46" s="290"/>
      <c r="H46" s="290"/>
      <c r="I46" s="290"/>
      <c r="J46" s="290"/>
      <c r="K46" s="3932"/>
      <c r="L46" s="4121"/>
      <c r="M46" s="4121"/>
      <c r="N46" s="3937" t="e">
        <f t="shared" si="0"/>
        <v>#DIV/0!</v>
      </c>
      <c r="O46" s="3271" t="e">
        <f t="shared" si="1"/>
        <v>#DIV/0!</v>
      </c>
      <c r="P46" s="237"/>
      <c r="R46" s="285" t="s">
        <v>255</v>
      </c>
      <c r="S46" s="45"/>
      <c r="T46" s="45" t="s">
        <v>2014</v>
      </c>
      <c r="U46" s="45"/>
      <c r="V46" s="272"/>
      <c r="W46" s="271"/>
      <c r="X46" s="285" t="s">
        <v>255</v>
      </c>
    </row>
    <row r="47" spans="1:42" s="42" customFormat="1" ht="15.6" hidden="1" customHeight="1">
      <c r="A47" s="240">
        <f>ROWS($A$6:A47)</f>
        <v>42</v>
      </c>
      <c r="B47" s="68"/>
      <c r="C47" s="290"/>
      <c r="D47" s="290"/>
      <c r="E47" s="290"/>
      <c r="F47" s="290"/>
      <c r="G47" s="290"/>
      <c r="H47" s="290"/>
      <c r="I47" s="290"/>
      <c r="J47" s="290"/>
      <c r="K47" s="3932"/>
      <c r="L47" s="4121"/>
      <c r="M47" s="4121"/>
      <c r="N47" s="3937" t="e">
        <f t="shared" si="0"/>
        <v>#DIV/0!</v>
      </c>
      <c r="O47" s="3271" t="e">
        <f t="shared" si="1"/>
        <v>#DIV/0!</v>
      </c>
      <c r="P47" s="237"/>
      <c r="R47" s="285" t="s">
        <v>255</v>
      </c>
      <c r="S47" s="45"/>
      <c r="T47" s="45"/>
      <c r="U47" s="45"/>
      <c r="V47" s="272"/>
      <c r="W47" s="271"/>
      <c r="X47" s="285" t="s">
        <v>255</v>
      </c>
    </row>
    <row r="48" spans="1:42" s="31" customFormat="1" ht="15.6" customHeight="1">
      <c r="A48" s="240">
        <f>ROWS($A$6:A48)</f>
        <v>43</v>
      </c>
      <c r="B48" s="312"/>
      <c r="C48" s="279" t="s">
        <v>251</v>
      </c>
      <c r="D48" s="238"/>
      <c r="E48" s="238"/>
      <c r="F48" s="3927"/>
      <c r="G48" s="3928">
        <v>7.5</v>
      </c>
      <c r="H48" s="3928">
        <v>7.5</v>
      </c>
      <c r="I48" s="3928">
        <v>7.5</v>
      </c>
      <c r="J48" s="3926">
        <v>7.5</v>
      </c>
      <c r="K48" s="3933">
        <v>7.5</v>
      </c>
      <c r="L48" s="4121">
        <v>9.9</v>
      </c>
      <c r="M48" s="4125">
        <v>10.1</v>
      </c>
      <c r="N48" s="3937">
        <f t="shared" si="0"/>
        <v>9.1666666666666661</v>
      </c>
      <c r="O48" s="3929">
        <f t="shared" si="1"/>
        <v>9.1666666666666661</v>
      </c>
      <c r="P48" s="277"/>
      <c r="Q48" s="4027"/>
      <c r="R48" s="44"/>
      <c r="S48" s="259"/>
      <c r="T48" s="259"/>
      <c r="U48" s="259"/>
      <c r="V48" s="258"/>
      <c r="W48" s="257"/>
      <c r="X48" s="285" t="s">
        <v>255</v>
      </c>
      <c r="Y48" s="256"/>
      <c r="Z48" s="256"/>
      <c r="AA48" s="256"/>
      <c r="AB48" s="256"/>
      <c r="AC48" s="256"/>
      <c r="AD48" s="256"/>
      <c r="AE48" s="256"/>
      <c r="AF48" s="256"/>
      <c r="AG48" s="256"/>
      <c r="AH48" s="256"/>
      <c r="AI48" s="256"/>
      <c r="AJ48" s="256"/>
      <c r="AK48" s="256"/>
      <c r="AL48" s="256"/>
      <c r="AM48" s="256"/>
      <c r="AN48" s="256"/>
      <c r="AO48" s="256"/>
      <c r="AP48" s="256"/>
    </row>
    <row r="49" spans="1:42" s="31" customFormat="1" ht="19.899999999999999" customHeight="1">
      <c r="A49" s="240">
        <f>ROWS($A$6:A49)</f>
        <v>44</v>
      </c>
      <c r="K49" s="3913"/>
      <c r="L49" s="284"/>
      <c r="M49" s="284"/>
      <c r="N49" s="284"/>
      <c r="Q49" s="71"/>
      <c r="R49" s="260"/>
      <c r="S49" s="259"/>
      <c r="T49" s="259"/>
      <c r="U49" s="259"/>
      <c r="V49" s="258"/>
      <c r="W49" s="257"/>
      <c r="X49" s="256"/>
      <c r="Y49" s="256"/>
      <c r="Z49" s="256"/>
      <c r="AA49" s="256"/>
      <c r="AB49" s="256"/>
      <c r="AC49" s="256"/>
      <c r="AD49" s="256"/>
      <c r="AE49" s="256"/>
      <c r="AF49" s="256"/>
      <c r="AG49" s="256"/>
      <c r="AH49" s="256"/>
      <c r="AI49" s="256"/>
      <c r="AJ49" s="256"/>
      <c r="AK49" s="256"/>
      <c r="AL49" s="256"/>
      <c r="AM49" s="256"/>
      <c r="AN49" s="256"/>
      <c r="AO49" s="256"/>
      <c r="AP49" s="256"/>
    </row>
    <row r="50" spans="1:42" s="31" customFormat="1" ht="15.6" customHeight="1">
      <c r="A50" s="240">
        <f>ROWS($A$6:A50)</f>
        <v>45</v>
      </c>
      <c r="B50" s="3261" t="s">
        <v>250</v>
      </c>
      <c r="C50" s="3202"/>
      <c r="D50" s="45"/>
      <c r="E50" s="45"/>
      <c r="F50" s="229"/>
      <c r="G50" s="74" t="s">
        <v>249</v>
      </c>
      <c r="H50" s="3264"/>
      <c r="I50" s="3264"/>
      <c r="J50" s="3264"/>
      <c r="K50" s="3913"/>
      <c r="L50" s="553"/>
      <c r="M50" s="553"/>
      <c r="N50" s="3273"/>
      <c r="O50" s="3274" t="str">
        <f>O8</f>
        <v>ohne MwSt.</v>
      </c>
      <c r="P50" s="73"/>
      <c r="Q50" s="71"/>
      <c r="R50" s="260"/>
      <c r="S50" s="259"/>
      <c r="T50" s="259"/>
      <c r="U50" s="259"/>
      <c r="V50" s="258"/>
      <c r="W50" s="257"/>
      <c r="X50" s="256"/>
      <c r="Y50" s="256"/>
      <c r="Z50" s="256"/>
      <c r="AA50" s="256"/>
      <c r="AB50" s="256"/>
      <c r="AC50" s="256"/>
      <c r="AD50" s="256"/>
      <c r="AE50" s="256"/>
      <c r="AF50" s="256"/>
      <c r="AG50" s="256"/>
      <c r="AH50" s="256"/>
      <c r="AI50" s="256"/>
      <c r="AJ50" s="256"/>
      <c r="AK50" s="256"/>
      <c r="AL50" s="256"/>
      <c r="AM50" s="256"/>
      <c r="AN50" s="256"/>
      <c r="AO50" s="256"/>
      <c r="AP50" s="256"/>
    </row>
    <row r="51" spans="1:42" s="31" customFormat="1" ht="15.6" customHeight="1">
      <c r="A51" s="240">
        <f>ROWS($A$6:A51)</f>
        <v>46</v>
      </c>
      <c r="B51" s="48"/>
      <c r="C51" s="68" t="s">
        <v>248</v>
      </c>
      <c r="D51" s="45"/>
      <c r="E51" s="45"/>
      <c r="F51" s="229"/>
      <c r="G51" s="282"/>
      <c r="H51" s="282"/>
      <c r="I51" s="282"/>
      <c r="J51" s="282"/>
      <c r="K51" s="3913"/>
      <c r="L51" s="282"/>
      <c r="M51" s="282"/>
      <c r="N51" s="4119" t="s">
        <v>2230</v>
      </c>
      <c r="O51" s="3275"/>
      <c r="P51" s="265"/>
      <c r="Q51" s="71"/>
      <c r="R51" s="3925"/>
      <c r="S51" s="259"/>
      <c r="T51" s="259"/>
      <c r="U51" s="259"/>
      <c r="V51" s="258"/>
      <c r="W51" s="257"/>
      <c r="X51" s="256"/>
      <c r="Y51" s="256"/>
      <c r="Z51" s="256"/>
      <c r="AA51" s="256"/>
      <c r="AB51" s="256"/>
      <c r="AC51" s="256"/>
      <c r="AD51" s="256"/>
      <c r="AE51" s="256"/>
      <c r="AF51" s="256"/>
      <c r="AG51" s="256"/>
      <c r="AH51" s="256"/>
      <c r="AI51" s="256"/>
      <c r="AJ51" s="256"/>
      <c r="AK51" s="256"/>
      <c r="AL51" s="256"/>
      <c r="AM51" s="256"/>
      <c r="AN51" s="256"/>
      <c r="AO51" s="256"/>
      <c r="AP51" s="256"/>
    </row>
    <row r="52" spans="1:42" s="31" customFormat="1" ht="15.6" customHeight="1">
      <c r="A52" s="240">
        <f>ROWS($A$6:A52)</f>
        <v>47</v>
      </c>
      <c r="B52" s="3267"/>
      <c r="C52" s="3268" t="s">
        <v>247</v>
      </c>
      <c r="D52" s="3268"/>
      <c r="E52" s="3268" t="s">
        <v>246</v>
      </c>
      <c r="F52" s="3276"/>
      <c r="G52" s="262">
        <v>1</v>
      </c>
      <c r="H52" s="3277">
        <v>1</v>
      </c>
      <c r="I52" s="261">
        <v>1</v>
      </c>
      <c r="J52" s="262">
        <v>0.9</v>
      </c>
      <c r="K52" s="262">
        <v>1.1299999999999999</v>
      </c>
      <c r="L52" s="3939">
        <v>2.78</v>
      </c>
      <c r="M52" s="3939">
        <v>1.35</v>
      </c>
      <c r="N52" s="245">
        <f>AVERAGE(I52:M52)</f>
        <v>1.4319999999999999</v>
      </c>
      <c r="O52" s="3271">
        <f>HLOOKUP($O$6,$G$6:$N$55,A52)*(100+$O$11)/100</f>
        <v>1.4319999999999999</v>
      </c>
      <c r="P52" s="237"/>
      <c r="R52" s="281"/>
      <c r="S52" s="3915"/>
      <c r="T52" s="3915"/>
      <c r="U52" s="3915"/>
      <c r="V52" s="3916"/>
      <c r="W52" s="257"/>
      <c r="X52" s="256"/>
      <c r="Y52" s="256"/>
      <c r="Z52" s="256"/>
      <c r="AA52" s="256"/>
      <c r="AB52" s="256"/>
      <c r="AC52" s="256"/>
      <c r="AD52" s="256"/>
      <c r="AE52" s="256"/>
      <c r="AF52" s="256"/>
      <c r="AG52" s="256"/>
      <c r="AH52" s="256"/>
      <c r="AI52" s="256"/>
      <c r="AJ52" s="256"/>
      <c r="AK52" s="256"/>
      <c r="AL52" s="256"/>
      <c r="AM52" s="256"/>
      <c r="AN52" s="256"/>
      <c r="AO52" s="256"/>
      <c r="AP52" s="256"/>
    </row>
    <row r="53" spans="1:42" s="251" customFormat="1" ht="15.6" customHeight="1">
      <c r="A53" s="240">
        <f>ROWS($A$6:A53)</f>
        <v>48</v>
      </c>
      <c r="B53" s="68"/>
      <c r="C53" s="45" t="s">
        <v>245</v>
      </c>
      <c r="D53" s="45"/>
      <c r="E53" s="45" t="s">
        <v>244</v>
      </c>
      <c r="F53" s="229"/>
      <c r="G53" s="248">
        <v>0.8</v>
      </c>
      <c r="H53" s="247">
        <v>0.8</v>
      </c>
      <c r="I53" s="246">
        <v>0.8</v>
      </c>
      <c r="J53" s="248">
        <v>0.75</v>
      </c>
      <c r="K53" s="248">
        <v>0.9</v>
      </c>
      <c r="L53" s="3938">
        <v>1.65</v>
      </c>
      <c r="M53" s="3938">
        <v>1.1499999999999999</v>
      </c>
      <c r="N53" s="3937">
        <f t="shared" ref="N53:N55" si="2">AVERAGE(I53:M53)</f>
        <v>1.05</v>
      </c>
      <c r="O53" s="3271">
        <f>HLOOKUP($O$6,$G$6:$N$55,A53)*(100+$O$11)/100</f>
        <v>1.05</v>
      </c>
      <c r="P53" s="237"/>
      <c r="Q53" s="280"/>
      <c r="R53" s="3834"/>
      <c r="S53" s="3917"/>
      <c r="T53" s="3918"/>
      <c r="U53" s="3918"/>
      <c r="V53" s="3919"/>
      <c r="W53" s="252"/>
    </row>
    <row r="54" spans="1:42" s="231" customFormat="1" ht="15.6" customHeight="1">
      <c r="A54" s="240">
        <f>ROWS($A$6:A54)</f>
        <v>49</v>
      </c>
      <c r="B54" s="68"/>
      <c r="C54" s="45" t="s">
        <v>243</v>
      </c>
      <c r="D54" s="45"/>
      <c r="E54" s="45" t="s">
        <v>242</v>
      </c>
      <c r="F54" s="229"/>
      <c r="G54" s="248">
        <v>0.6</v>
      </c>
      <c r="H54" s="247">
        <v>0.6</v>
      </c>
      <c r="I54" s="246">
        <v>0.6</v>
      </c>
      <c r="J54" s="248">
        <v>0.7</v>
      </c>
      <c r="K54" s="248">
        <v>0.75</v>
      </c>
      <c r="L54" s="3938">
        <v>1.61</v>
      </c>
      <c r="M54" s="3938">
        <v>1.24</v>
      </c>
      <c r="N54" s="3937">
        <f t="shared" si="2"/>
        <v>0.98000000000000009</v>
      </c>
      <c r="O54" s="3271">
        <f>HLOOKUP($O$6,$G$6:$N$55,A54)*(100+$O$11)/100</f>
        <v>0.98000000000000009</v>
      </c>
      <c r="P54" s="237"/>
      <c r="Q54" s="44"/>
      <c r="R54" s="3834"/>
      <c r="S54" s="3917"/>
      <c r="T54" s="3918"/>
      <c r="U54" s="3920"/>
      <c r="V54" s="3919"/>
      <c r="W54" s="3914"/>
    </row>
    <row r="55" spans="1:42" s="231" customFormat="1" ht="15.6" customHeight="1">
      <c r="A55" s="240">
        <f>ROWS($A$6:A55)</f>
        <v>50</v>
      </c>
      <c r="B55" s="45"/>
      <c r="C55" s="45" t="s">
        <v>241</v>
      </c>
      <c r="D55" s="45"/>
      <c r="E55" s="45" t="s">
        <v>240</v>
      </c>
      <c r="F55" s="229"/>
      <c r="G55" s="248">
        <v>0.5</v>
      </c>
      <c r="H55" s="247">
        <v>0.5</v>
      </c>
      <c r="I55" s="248">
        <v>0.5</v>
      </c>
      <c r="J55" s="248">
        <v>0.5</v>
      </c>
      <c r="K55" s="248">
        <v>0.5</v>
      </c>
      <c r="L55" s="3938">
        <v>1.06</v>
      </c>
      <c r="M55" s="3938">
        <v>0.45</v>
      </c>
      <c r="N55" s="3937">
        <f t="shared" si="2"/>
        <v>0.60200000000000009</v>
      </c>
      <c r="O55" s="3272">
        <f>HLOOKUP($O$6,$G$6:$N$55,A55)*(100+$O$11)/100</f>
        <v>0.60200000000000009</v>
      </c>
      <c r="P55" s="277"/>
      <c r="Q55" s="44"/>
      <c r="R55" s="3834"/>
      <c r="S55" s="3917"/>
      <c r="T55" s="3918"/>
      <c r="U55" s="3920"/>
      <c r="V55" s="3919"/>
      <c r="W55" s="3914"/>
    </row>
    <row r="56" spans="1:42" s="42" customFormat="1" ht="15.6" customHeight="1">
      <c r="A56" s="240">
        <f>ROWS($A$6:A56)</f>
        <v>51</v>
      </c>
      <c r="B56" s="31"/>
      <c r="C56" s="274"/>
      <c r="D56" s="274"/>
      <c r="E56" s="274"/>
      <c r="F56" s="276"/>
      <c r="G56" s="274"/>
      <c r="H56" s="274"/>
      <c r="I56" s="274"/>
      <c r="J56" s="274"/>
      <c r="K56" s="275"/>
      <c r="L56" s="275"/>
      <c r="M56" s="275"/>
      <c r="N56" s="275"/>
      <c r="O56" s="274"/>
      <c r="P56" s="274"/>
      <c r="Q56" s="44"/>
      <c r="R56" s="3834"/>
      <c r="S56" s="3917"/>
      <c r="T56" s="3918"/>
      <c r="U56" s="3921"/>
      <c r="V56" s="3919"/>
      <c r="W56" s="3914"/>
    </row>
    <row r="57" spans="1:42" s="31" customFormat="1" ht="17.45" customHeight="1">
      <c r="A57" s="240">
        <f>ROWS($A$6:A57)</f>
        <v>52</v>
      </c>
      <c r="B57" s="3261" t="s">
        <v>239</v>
      </c>
      <c r="C57" s="3202"/>
      <c r="D57" s="3202"/>
      <c r="E57" s="3202"/>
      <c r="F57" s="224"/>
      <c r="G57" s="269"/>
      <c r="H57" s="74"/>
      <c r="I57" s="74"/>
      <c r="J57" s="74"/>
      <c r="K57" s="3278"/>
      <c r="L57" s="3278"/>
      <c r="M57" s="3278"/>
      <c r="N57" s="3278"/>
      <c r="O57" s="269"/>
      <c r="P57" s="269"/>
      <c r="Q57" s="71"/>
      <c r="R57" s="2202"/>
      <c r="S57" s="3922"/>
      <c r="T57" s="3923"/>
      <c r="U57" s="3915"/>
      <c r="V57" s="3924"/>
      <c r="W57" s="3914"/>
      <c r="X57" s="256"/>
      <c r="Y57" s="256"/>
      <c r="Z57" s="256"/>
      <c r="AA57" s="256"/>
      <c r="AB57" s="256"/>
      <c r="AC57" s="256"/>
      <c r="AD57" s="256"/>
      <c r="AE57" s="256"/>
      <c r="AF57" s="256"/>
      <c r="AG57" s="256"/>
      <c r="AH57" s="256"/>
      <c r="AI57" s="256"/>
      <c r="AJ57" s="256"/>
      <c r="AK57" s="256"/>
      <c r="AL57" s="256"/>
      <c r="AM57" s="256"/>
      <c r="AN57" s="256"/>
      <c r="AO57" s="256"/>
      <c r="AP57" s="256"/>
    </row>
    <row r="58" spans="1:42" s="31" customFormat="1" ht="19.899999999999999" customHeight="1">
      <c r="A58" s="240">
        <f>ROWS($A$6:A58)</f>
        <v>53</v>
      </c>
      <c r="B58" s="48"/>
      <c r="C58" s="3202"/>
      <c r="D58" s="3202"/>
      <c r="E58" s="3202"/>
      <c r="F58" s="268"/>
      <c r="G58" s="267"/>
      <c r="H58" s="267"/>
      <c r="I58" s="267"/>
      <c r="J58" s="267"/>
      <c r="K58" s="266"/>
      <c r="L58" s="266"/>
      <c r="M58" s="266"/>
      <c r="N58" s="266">
        <v>2023</v>
      </c>
      <c r="O58" s="3266"/>
      <c r="P58" s="265"/>
      <c r="Q58" s="71"/>
      <c r="R58" s="260"/>
      <c r="S58" s="259"/>
      <c r="T58" s="259"/>
      <c r="U58" s="259"/>
      <c r="V58" s="258"/>
      <c r="W58" s="257"/>
      <c r="X58" s="256"/>
      <c r="Y58" s="256"/>
      <c r="Z58" s="256"/>
      <c r="AA58" s="256"/>
      <c r="AB58" s="256"/>
      <c r="AC58" s="256"/>
      <c r="AD58" s="256"/>
      <c r="AE58" s="256"/>
      <c r="AF58" s="256"/>
      <c r="AG58" s="256"/>
      <c r="AH58" s="256"/>
      <c r="AI58" s="256"/>
      <c r="AJ58" s="256"/>
      <c r="AK58" s="256"/>
      <c r="AL58" s="256"/>
      <c r="AM58" s="256"/>
      <c r="AN58" s="256"/>
      <c r="AO58" s="256"/>
      <c r="AP58" s="256"/>
    </row>
    <row r="59" spans="1:42" s="31" customFormat="1" ht="15.6" customHeight="1">
      <c r="A59" s="240">
        <f>ROWS($A$6:A59)</f>
        <v>54</v>
      </c>
      <c r="B59" s="3267"/>
      <c r="C59" s="3268" t="s">
        <v>238</v>
      </c>
      <c r="D59" s="3268"/>
      <c r="E59" s="3268"/>
      <c r="F59" s="3276"/>
      <c r="G59" s="262">
        <v>2</v>
      </c>
      <c r="H59" s="261">
        <v>1.5</v>
      </c>
      <c r="I59" s="261">
        <v>1.5</v>
      </c>
      <c r="J59" s="261">
        <v>1.5</v>
      </c>
      <c r="K59" s="262">
        <v>1.5</v>
      </c>
      <c r="L59" s="3939">
        <v>1.5</v>
      </c>
      <c r="M59" s="3937">
        <v>2</v>
      </c>
      <c r="N59" s="245">
        <f>M59</f>
        <v>2</v>
      </c>
      <c r="O59" s="3271">
        <f t="shared" ref="O59:O64" si="3">HLOOKUP($O$6,$G$6:$N$64,A59)</f>
        <v>2</v>
      </c>
      <c r="P59" s="237"/>
      <c r="Q59" s="71"/>
      <c r="R59" s="260"/>
      <c r="S59" s="259"/>
      <c r="T59" s="259"/>
      <c r="U59" s="259"/>
      <c r="V59" s="258"/>
      <c r="W59" s="257"/>
      <c r="X59" s="256"/>
      <c r="Y59" s="256"/>
      <c r="Z59" s="256"/>
      <c r="AA59" s="256"/>
      <c r="AB59" s="256"/>
      <c r="AC59" s="256"/>
      <c r="AD59" s="256"/>
      <c r="AE59" s="256"/>
      <c r="AF59" s="256"/>
      <c r="AG59" s="256"/>
      <c r="AH59" s="256"/>
      <c r="AI59" s="256"/>
      <c r="AJ59" s="256"/>
      <c r="AK59" s="256"/>
      <c r="AL59" s="256"/>
      <c r="AM59" s="256"/>
      <c r="AN59" s="256"/>
      <c r="AO59" s="256"/>
      <c r="AP59" s="256"/>
    </row>
    <row r="60" spans="1:42" s="251" customFormat="1" ht="15.6" customHeight="1">
      <c r="A60" s="240">
        <f>ROWS($A$6:A60)</f>
        <v>55</v>
      </c>
      <c r="B60" s="68"/>
      <c r="C60" s="45" t="s">
        <v>237</v>
      </c>
      <c r="D60" s="45"/>
      <c r="E60" s="45"/>
      <c r="F60" s="229"/>
      <c r="G60" s="248">
        <v>2</v>
      </c>
      <c r="H60" s="246">
        <v>1.5</v>
      </c>
      <c r="I60" s="246">
        <v>1.5</v>
      </c>
      <c r="J60" s="246">
        <v>1.5</v>
      </c>
      <c r="K60" s="248">
        <v>1.5</v>
      </c>
      <c r="L60" s="3938">
        <v>1.5</v>
      </c>
      <c r="M60" s="3937">
        <v>2</v>
      </c>
      <c r="N60" s="3937">
        <f t="shared" ref="N60:N62" si="4">M60</f>
        <v>2</v>
      </c>
      <c r="O60" s="3271">
        <f t="shared" si="3"/>
        <v>2</v>
      </c>
      <c r="P60" s="237"/>
      <c r="Q60" s="71"/>
      <c r="R60" s="255"/>
      <c r="S60" s="254"/>
      <c r="T60" s="254"/>
      <c r="U60" s="254"/>
      <c r="V60" s="253"/>
      <c r="W60" s="252"/>
    </row>
    <row r="61" spans="1:42" s="231" customFormat="1" ht="15.6" customHeight="1">
      <c r="A61" s="240">
        <f>ROWS($A$6:A61)</f>
        <v>56</v>
      </c>
      <c r="B61" s="68"/>
      <c r="C61" s="250" t="s">
        <v>236</v>
      </c>
      <c r="D61" s="45"/>
      <c r="E61" s="45"/>
      <c r="F61" s="229"/>
      <c r="G61" s="248">
        <v>3</v>
      </c>
      <c r="H61" s="246">
        <v>2.5</v>
      </c>
      <c r="I61" s="246">
        <v>2.5</v>
      </c>
      <c r="J61" s="246">
        <v>2.5</v>
      </c>
      <c r="K61" s="248">
        <v>2.5</v>
      </c>
      <c r="L61" s="3938">
        <v>2.5</v>
      </c>
      <c r="M61" s="3937">
        <v>3</v>
      </c>
      <c r="N61" s="3937">
        <f t="shared" si="4"/>
        <v>3</v>
      </c>
      <c r="O61" s="3271">
        <f t="shared" si="3"/>
        <v>3</v>
      </c>
      <c r="P61" s="237"/>
      <c r="Q61" s="44"/>
      <c r="R61" s="244"/>
      <c r="S61" s="243"/>
      <c r="T61" s="243"/>
      <c r="U61" s="243"/>
      <c r="V61" s="242"/>
      <c r="W61" s="241"/>
    </row>
    <row r="62" spans="1:42" s="231" customFormat="1" ht="15.6" hidden="1" customHeight="1">
      <c r="A62" s="240">
        <f>ROWS($A$6:A62)</f>
        <v>57</v>
      </c>
      <c r="B62" s="68"/>
      <c r="C62" s="45" t="s">
        <v>235</v>
      </c>
      <c r="D62" s="45"/>
      <c r="E62" s="45"/>
      <c r="F62" s="229"/>
      <c r="G62" s="248">
        <v>3</v>
      </c>
      <c r="H62" s="247"/>
      <c r="I62" s="246"/>
      <c r="J62" s="261"/>
      <c r="K62" s="248"/>
      <c r="L62" s="245"/>
      <c r="M62" s="3937"/>
      <c r="N62" s="3937">
        <f t="shared" si="4"/>
        <v>0</v>
      </c>
      <c r="O62" s="3271">
        <f t="shared" si="3"/>
        <v>0</v>
      </c>
      <c r="P62" s="237"/>
      <c r="Q62" s="44"/>
      <c r="R62" s="244"/>
      <c r="S62" s="243"/>
      <c r="T62" s="243"/>
      <c r="U62" s="243"/>
      <c r="V62" s="242"/>
      <c r="W62" s="241"/>
    </row>
    <row r="63" spans="1:42" s="231" customFormat="1" ht="15.6" customHeight="1" thickBot="1">
      <c r="A63" s="240">
        <f>ROWS($A$6:A63)</f>
        <v>58</v>
      </c>
      <c r="B63" s="45"/>
      <c r="C63" s="232"/>
      <c r="D63" s="227"/>
      <c r="E63" s="227"/>
      <c r="F63" s="3279"/>
      <c r="G63" s="3280"/>
      <c r="H63" s="1053"/>
      <c r="I63" s="3281"/>
      <c r="J63" s="246"/>
      <c r="K63" s="3280"/>
      <c r="L63" s="3280"/>
      <c r="M63" s="3280"/>
      <c r="N63" s="3280"/>
      <c r="O63" s="3271">
        <f t="shared" si="3"/>
        <v>0</v>
      </c>
      <c r="P63" s="237"/>
      <c r="Q63" s="44"/>
      <c r="R63" s="236"/>
      <c r="S63" s="235"/>
      <c r="T63" s="235"/>
      <c r="U63" s="235"/>
      <c r="V63" s="234"/>
      <c r="W63" s="233"/>
    </row>
    <row r="64" spans="1:42" s="231" customFormat="1" ht="15.6" customHeight="1" thickBot="1">
      <c r="A64" s="240">
        <f>ROWS($A$6:A64)</f>
        <v>59</v>
      </c>
      <c r="B64" s="3940" t="s">
        <v>2233</v>
      </c>
      <c r="C64" s="3943"/>
      <c r="D64" s="3941"/>
      <c r="E64" s="3941"/>
      <c r="F64" s="3944"/>
      <c r="G64" s="3941"/>
      <c r="H64" s="3941"/>
      <c r="I64" s="3941"/>
      <c r="J64" s="3941">
        <v>1.2</v>
      </c>
      <c r="K64" s="3941">
        <v>1.4</v>
      </c>
      <c r="L64" s="3941">
        <v>1.96</v>
      </c>
      <c r="M64" s="4118">
        <v>1.7370000000000001</v>
      </c>
      <c r="N64" s="4126">
        <f>AVERAGE(J64:M64)</f>
        <v>1.5742499999999999</v>
      </c>
      <c r="O64" s="3942">
        <f t="shared" si="3"/>
        <v>1.5742499999999999</v>
      </c>
      <c r="Q64" s="44"/>
    </row>
    <row r="65" spans="1:16" ht="7.15" customHeight="1">
      <c r="A65" s="42"/>
      <c r="B65" s="45"/>
      <c r="C65" s="45"/>
      <c r="D65" s="230"/>
      <c r="E65" s="228"/>
      <c r="F65" s="229"/>
      <c r="G65" s="228"/>
      <c r="H65" s="45"/>
      <c r="I65" s="45"/>
      <c r="J65" s="45"/>
      <c r="K65" s="227"/>
      <c r="L65" s="227"/>
      <c r="M65" s="3853"/>
      <c r="N65" s="227"/>
      <c r="O65" s="45"/>
      <c r="P65" s="45"/>
    </row>
    <row r="66" spans="1:16" ht="16.149999999999999" customHeight="1">
      <c r="A66" s="136"/>
    </row>
    <row r="67" spans="1:16" ht="14.25">
      <c r="A67" s="42"/>
      <c r="B67" s="42"/>
      <c r="C67" s="42"/>
    </row>
    <row r="68" spans="1:16" ht="14.25">
      <c r="A68" s="42"/>
      <c r="B68" s="42"/>
      <c r="C68" s="42"/>
    </row>
    <row r="69" spans="1:16" ht="14.25">
      <c r="A69" s="42"/>
      <c r="B69" s="42"/>
      <c r="C69" s="42"/>
    </row>
    <row r="70" spans="1:16" ht="14.25">
      <c r="A70" s="42"/>
      <c r="B70" s="42"/>
      <c r="C70" s="42"/>
    </row>
    <row r="71" spans="1:16" ht="14.25">
      <c r="A71" s="42"/>
      <c r="B71" s="42"/>
      <c r="C71" s="42"/>
    </row>
    <row r="72" spans="1:16" ht="14.25">
      <c r="A72" s="42"/>
      <c r="B72" s="42"/>
      <c r="C72" s="42"/>
    </row>
    <row r="73" spans="1:16" ht="14.25">
      <c r="A73" s="42"/>
      <c r="B73" s="42"/>
      <c r="C73" s="42"/>
    </row>
    <row r="74" spans="1:16" ht="14.25">
      <c r="A74" s="42"/>
      <c r="B74" s="42"/>
      <c r="C74" s="42"/>
    </row>
    <row r="75" spans="1:16" ht="14.25">
      <c r="A75" s="42"/>
      <c r="B75" s="42"/>
      <c r="C75" s="42"/>
    </row>
    <row r="76" spans="1:16" ht="14.25">
      <c r="A76" s="42"/>
      <c r="B76" s="42"/>
      <c r="C76" s="42"/>
    </row>
    <row r="77" spans="1:16" ht="14.25">
      <c r="A77" s="42"/>
      <c r="B77" s="42"/>
      <c r="C77" s="42"/>
    </row>
    <row r="78" spans="1:16" ht="14.25">
      <c r="A78" s="42"/>
      <c r="B78" s="42"/>
      <c r="C78" s="42"/>
    </row>
    <row r="79" spans="1:16" ht="14.25">
      <c r="A79" s="42"/>
      <c r="B79" s="42"/>
      <c r="C79" s="42"/>
    </row>
    <row r="80" spans="1:16" ht="14.25">
      <c r="A80" s="42"/>
      <c r="B80" s="42"/>
      <c r="C80" s="42"/>
    </row>
    <row r="81" spans="1:3" ht="14.25">
      <c r="A81" s="42"/>
      <c r="B81" s="42"/>
      <c r="C81" s="42"/>
    </row>
    <row r="82" spans="1:3" ht="14.25">
      <c r="A82" s="42"/>
      <c r="B82" s="42"/>
      <c r="C82" s="42"/>
    </row>
    <row r="83" spans="1:3" ht="14.25">
      <c r="A83" s="42"/>
      <c r="B83" s="42"/>
      <c r="C83" s="42"/>
    </row>
    <row r="84" spans="1:3" ht="14.25">
      <c r="A84" s="42"/>
      <c r="B84" s="42"/>
      <c r="C84" s="42"/>
    </row>
    <row r="85" spans="1:3" ht="14.25">
      <c r="A85" s="42"/>
      <c r="B85" s="42"/>
      <c r="C85" s="42"/>
    </row>
    <row r="86" spans="1:3" ht="14.25">
      <c r="A86" s="42"/>
      <c r="B86" s="42"/>
      <c r="C86" s="42"/>
    </row>
    <row r="87" spans="1:3" ht="14.25">
      <c r="A87" s="42"/>
      <c r="B87" s="42"/>
      <c r="C87" s="42"/>
    </row>
    <row r="88" spans="1:3" ht="14.25">
      <c r="A88" s="42"/>
      <c r="B88" s="42"/>
      <c r="C88" s="42"/>
    </row>
    <row r="89" spans="1:3" ht="14.25">
      <c r="A89" s="42"/>
      <c r="B89" s="42"/>
      <c r="C89" s="42"/>
    </row>
    <row r="90" spans="1:3" ht="14.25">
      <c r="A90" s="42"/>
      <c r="B90" s="42"/>
      <c r="C90" s="42"/>
    </row>
    <row r="91" spans="1:3" ht="14.25">
      <c r="A91" s="42"/>
      <c r="B91" s="42"/>
      <c r="C91" s="42"/>
    </row>
    <row r="92" spans="1:3" ht="14.25">
      <c r="A92" s="42"/>
      <c r="B92" s="42"/>
      <c r="C92" s="42"/>
    </row>
    <row r="93" spans="1:3" ht="14.25">
      <c r="A93" s="42"/>
      <c r="B93" s="42"/>
      <c r="C93" s="42"/>
    </row>
    <row r="94" spans="1:3" ht="14.25">
      <c r="A94" s="42"/>
      <c r="B94" s="42"/>
      <c r="C94" s="42"/>
    </row>
    <row r="95" spans="1:3" ht="14.25">
      <c r="A95" s="42"/>
      <c r="B95" s="42"/>
      <c r="C95" s="42"/>
    </row>
    <row r="96" spans="1:3" ht="14.25">
      <c r="A96" s="42"/>
      <c r="B96" s="42"/>
      <c r="C96" s="42"/>
    </row>
    <row r="97" spans="1:16" ht="14.25">
      <c r="A97" s="42"/>
      <c r="B97" s="42"/>
      <c r="C97" s="42"/>
    </row>
    <row r="98" spans="1:16" ht="14.25">
      <c r="A98" s="42"/>
      <c r="B98" s="42"/>
      <c r="C98" s="42"/>
    </row>
    <row r="99" spans="1:16" ht="14.25">
      <c r="A99" s="42"/>
      <c r="B99" s="42"/>
      <c r="C99" s="42"/>
    </row>
    <row r="100" spans="1:16" ht="14.25">
      <c r="A100" s="42"/>
      <c r="B100" s="42"/>
      <c r="C100" s="42"/>
    </row>
    <row r="101" spans="1:16" ht="14.25">
      <c r="A101" s="42"/>
      <c r="B101" s="42"/>
      <c r="C101" s="42"/>
    </row>
    <row r="102" spans="1:16" ht="14.25">
      <c r="A102" s="42"/>
      <c r="B102" s="42"/>
      <c r="C102" s="42"/>
    </row>
    <row r="103" spans="1:16" ht="14.25">
      <c r="A103" s="42"/>
      <c r="B103" s="42"/>
      <c r="C103" s="42"/>
    </row>
    <row r="104" spans="1:16" ht="14.25">
      <c r="A104" s="42"/>
      <c r="B104" s="42"/>
      <c r="C104" s="42"/>
    </row>
    <row r="105" spans="1:16" ht="14.25">
      <c r="A105" s="42"/>
      <c r="B105" s="42"/>
      <c r="C105" s="42"/>
    </row>
    <row r="106" spans="1:16" ht="14.25">
      <c r="A106" s="42"/>
      <c r="B106" s="42"/>
      <c r="C106" s="42"/>
    </row>
    <row r="107" spans="1:16" ht="14.25">
      <c r="A107" s="42"/>
      <c r="B107" s="42"/>
      <c r="C107" s="42"/>
      <c r="D107" s="42"/>
      <c r="E107" s="42"/>
      <c r="F107" s="226"/>
      <c r="G107" s="42"/>
      <c r="H107" s="42"/>
      <c r="I107" s="42"/>
      <c r="J107" s="42"/>
      <c r="K107" s="225"/>
      <c r="L107" s="225"/>
      <c r="M107" s="225"/>
      <c r="N107" s="225"/>
      <c r="O107" s="42"/>
      <c r="P107" s="42"/>
    </row>
    <row r="108" spans="1:16" ht="14.25">
      <c r="A108" s="42"/>
      <c r="B108" s="42"/>
      <c r="C108" s="42"/>
      <c r="D108" s="42"/>
      <c r="E108" s="42"/>
      <c r="F108" s="226"/>
      <c r="G108" s="42"/>
      <c r="H108" s="42"/>
      <c r="I108" s="42"/>
      <c r="J108" s="42"/>
      <c r="K108" s="225"/>
      <c r="L108" s="225"/>
      <c r="M108" s="225"/>
      <c r="N108" s="225"/>
      <c r="O108" s="42"/>
      <c r="P108" s="42"/>
    </row>
    <row r="109" spans="1:16" ht="14.25">
      <c r="A109" s="42"/>
      <c r="B109" s="42"/>
      <c r="C109" s="42"/>
      <c r="D109" s="42"/>
      <c r="E109" s="42"/>
      <c r="F109" s="226"/>
      <c r="G109" s="42"/>
      <c r="H109" s="42"/>
      <c r="I109" s="42"/>
      <c r="J109" s="42"/>
      <c r="K109" s="225"/>
      <c r="L109" s="225"/>
      <c r="M109" s="225"/>
      <c r="N109" s="225"/>
      <c r="O109" s="42"/>
      <c r="P109" s="42"/>
    </row>
    <row r="110" spans="1:16" ht="14.25">
      <c r="A110" s="42"/>
      <c r="B110" s="42"/>
      <c r="C110" s="42"/>
      <c r="D110" s="42"/>
      <c r="E110" s="42"/>
      <c r="F110" s="226"/>
      <c r="G110" s="42"/>
      <c r="H110" s="42"/>
      <c r="I110" s="42"/>
      <c r="J110" s="42"/>
      <c r="K110" s="225"/>
      <c r="L110" s="225"/>
      <c r="M110" s="225"/>
      <c r="N110" s="225"/>
      <c r="O110" s="42"/>
      <c r="P110" s="42"/>
    </row>
    <row r="111" spans="1:16" ht="14.25">
      <c r="A111" s="42"/>
      <c r="B111" s="42"/>
      <c r="C111" s="42"/>
      <c r="D111" s="42"/>
      <c r="E111" s="42"/>
      <c r="F111" s="226"/>
      <c r="G111" s="42"/>
      <c r="H111" s="42"/>
      <c r="I111" s="42"/>
      <c r="J111" s="42"/>
      <c r="K111" s="225"/>
      <c r="L111" s="225"/>
      <c r="M111" s="225"/>
      <c r="N111" s="225"/>
      <c r="O111" s="42"/>
      <c r="P111" s="42"/>
    </row>
    <row r="112" spans="1:16" ht="14.25">
      <c r="A112" s="42"/>
      <c r="B112" s="42"/>
      <c r="C112" s="42"/>
      <c r="D112" s="42"/>
      <c r="E112" s="42"/>
      <c r="F112" s="226"/>
      <c r="G112" s="42"/>
      <c r="H112" s="42"/>
      <c r="I112" s="42"/>
      <c r="J112" s="42"/>
      <c r="K112" s="225"/>
      <c r="L112" s="225"/>
      <c r="M112" s="225"/>
      <c r="N112" s="225"/>
      <c r="O112" s="42"/>
      <c r="P112" s="42"/>
    </row>
    <row r="113" spans="1:16" ht="14.25">
      <c r="A113" s="42"/>
      <c r="B113" s="42"/>
      <c r="C113" s="42"/>
      <c r="D113" s="42"/>
      <c r="E113" s="42"/>
      <c r="F113" s="226"/>
      <c r="G113" s="42"/>
      <c r="H113" s="42"/>
      <c r="I113" s="42"/>
      <c r="J113" s="42"/>
      <c r="K113" s="225"/>
      <c r="L113" s="225"/>
      <c r="M113" s="225"/>
      <c r="N113" s="225"/>
      <c r="O113" s="42"/>
      <c r="P113" s="42"/>
    </row>
    <row r="114" spans="1:16" ht="14.25">
      <c r="A114" s="42"/>
      <c r="B114" s="42"/>
      <c r="C114" s="42"/>
      <c r="D114" s="42"/>
      <c r="E114" s="42"/>
      <c r="F114" s="226"/>
      <c r="G114" s="42"/>
      <c r="H114" s="42"/>
      <c r="I114" s="42"/>
      <c r="J114" s="42"/>
      <c r="K114" s="225"/>
      <c r="L114" s="225"/>
      <c r="M114" s="225"/>
      <c r="N114" s="225"/>
      <c r="O114" s="42"/>
      <c r="P114" s="42"/>
    </row>
    <row r="115" spans="1:16" ht="14.25">
      <c r="A115" s="42"/>
      <c r="B115" s="42"/>
      <c r="C115" s="42"/>
      <c r="D115" s="42"/>
      <c r="E115" s="42"/>
      <c r="F115" s="226"/>
      <c r="G115" s="42"/>
      <c r="H115" s="42"/>
      <c r="I115" s="42"/>
      <c r="J115" s="42"/>
      <c r="K115" s="225"/>
      <c r="L115" s="225"/>
      <c r="M115" s="225"/>
      <c r="N115" s="225"/>
      <c r="O115" s="42"/>
      <c r="P115" s="42"/>
    </row>
    <row r="116" spans="1:16" ht="14.25">
      <c r="A116" s="42"/>
      <c r="B116" s="42"/>
      <c r="C116" s="42"/>
      <c r="D116" s="42"/>
      <c r="E116" s="42"/>
      <c r="F116" s="226"/>
      <c r="G116" s="42"/>
      <c r="H116" s="42"/>
      <c r="I116" s="42"/>
      <c r="J116" s="42"/>
      <c r="K116" s="225"/>
      <c r="L116" s="225"/>
      <c r="M116" s="225"/>
      <c r="N116" s="225"/>
      <c r="O116" s="42"/>
      <c r="P116" s="42"/>
    </row>
    <row r="117" spans="1:16" ht="14.25">
      <c r="A117" s="42"/>
      <c r="B117" s="42"/>
      <c r="C117" s="42"/>
      <c r="D117" s="42"/>
      <c r="E117" s="42"/>
      <c r="F117" s="226"/>
      <c r="G117" s="42"/>
      <c r="H117" s="42"/>
      <c r="I117" s="42"/>
      <c r="J117" s="42"/>
      <c r="K117" s="225"/>
      <c r="L117" s="225"/>
      <c r="M117" s="225"/>
      <c r="N117" s="225"/>
      <c r="O117" s="42"/>
      <c r="P117" s="42"/>
    </row>
    <row r="118" spans="1:16" ht="14.25">
      <c r="A118" s="42"/>
      <c r="B118" s="42"/>
      <c r="C118" s="42"/>
      <c r="D118" s="42"/>
      <c r="E118" s="42"/>
      <c r="F118" s="226"/>
      <c r="G118" s="42"/>
      <c r="H118" s="42"/>
      <c r="I118" s="42"/>
      <c r="J118" s="42"/>
      <c r="K118" s="225"/>
      <c r="L118" s="225"/>
      <c r="M118" s="225"/>
      <c r="N118" s="225"/>
      <c r="O118" s="42"/>
      <c r="P118" s="42"/>
    </row>
    <row r="119" spans="1:16" ht="14.25">
      <c r="A119" s="42"/>
      <c r="B119" s="42"/>
      <c r="C119" s="42"/>
      <c r="D119" s="42"/>
      <c r="E119" s="42"/>
      <c r="F119" s="226"/>
      <c r="G119" s="42"/>
      <c r="H119" s="42"/>
      <c r="I119" s="42"/>
      <c r="J119" s="42"/>
      <c r="K119" s="225"/>
      <c r="L119" s="225"/>
      <c r="M119" s="225"/>
      <c r="N119" s="225"/>
      <c r="O119" s="42"/>
      <c r="P119" s="42"/>
    </row>
    <row r="120" spans="1:16" ht="14.25">
      <c r="A120" s="42"/>
      <c r="B120" s="42"/>
      <c r="C120" s="42"/>
      <c r="D120" s="42"/>
      <c r="E120" s="42"/>
      <c r="F120" s="226"/>
      <c r="G120" s="42"/>
      <c r="H120" s="42"/>
      <c r="I120" s="42"/>
      <c r="J120" s="42"/>
      <c r="K120" s="225"/>
      <c r="L120" s="225"/>
      <c r="M120" s="225"/>
      <c r="N120" s="225"/>
      <c r="O120" s="42"/>
      <c r="P120" s="42"/>
    </row>
    <row r="121" spans="1:16" ht="14.25">
      <c r="A121" s="42"/>
      <c r="B121" s="42"/>
      <c r="C121" s="42"/>
      <c r="D121" s="42"/>
      <c r="E121" s="42"/>
      <c r="F121" s="226"/>
      <c r="G121" s="42"/>
      <c r="H121" s="42"/>
      <c r="I121" s="42"/>
      <c r="J121" s="42"/>
      <c r="K121" s="225"/>
      <c r="L121" s="225"/>
      <c r="M121" s="225"/>
      <c r="N121" s="225"/>
      <c r="O121" s="42"/>
      <c r="P121" s="42"/>
    </row>
  </sheetData>
  <mergeCells count="1">
    <mergeCell ref="N3:N5"/>
  </mergeCells>
  <dataValidations count="1">
    <dataValidation type="list" allowBlank="1" showInputMessage="1" showErrorMessage="1" sqref="O6">
      <formula1>$G$6:$N$6</formula1>
    </dataValidation>
  </dataValidations>
  <printOptions horizontalCentered="1"/>
  <pageMargins left="0.59055118110236227" right="0.59055118110236227" top="0.59055118110236227" bottom="0.59055118110236227" header="0.39370078740157483" footer="0.39370078740157483"/>
  <pageSetup paperSize="9" scale="66" firstPageNumber="6" orientation="portrait" useFirstPageNumber="1" r:id="rId1"/>
  <headerFooter alignWithMargins="0">
    <oddFooter>&amp;L&amp;11LEL Schwäbisch Gmünd&amp;C&amp;11&amp;P+8&amp;R&amp;11&amp;F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9</xdr:col>
                    <xdr:colOff>180975</xdr:colOff>
                    <xdr:row>6</xdr:row>
                    <xdr:rowOff>76200</xdr:rowOff>
                  </from>
                  <to>
                    <xdr:col>12</xdr:col>
                    <xdr:colOff>19050</xdr:colOff>
                    <xdr:row>6</xdr:row>
                    <xdr:rowOff>323850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2">
    <tabColor rgb="FF7030A0"/>
    <pageSetUpPr fitToPage="1"/>
  </sheetPr>
  <dimension ref="A1:AO211"/>
  <sheetViews>
    <sheetView workbookViewId="0">
      <pane ySplit="4" topLeftCell="A5" activePane="bottomLeft" state="frozen"/>
      <selection activeCell="A5" sqref="A5"/>
      <selection pane="bottomLeft" activeCell="A5" sqref="A5"/>
    </sheetView>
  </sheetViews>
  <sheetFormatPr baseColWidth="10" defaultColWidth="10.5" defaultRowHeight="12.75"/>
  <cols>
    <col min="1" max="1" width="1.5" style="2501" customWidth="1"/>
    <col min="2" max="2" width="3.25" style="2501" customWidth="1"/>
    <col min="3" max="3" width="13.25" style="2501" customWidth="1"/>
    <col min="4" max="6" width="9.25" style="2501" customWidth="1"/>
    <col min="7" max="7" width="9.25" style="39" customWidth="1"/>
    <col min="8" max="9" width="7.25" style="2501" customWidth="1"/>
    <col min="10" max="10" width="7.75" style="2501" customWidth="1"/>
    <col min="11" max="12" width="7.25" style="2501" customWidth="1"/>
    <col min="13" max="13" width="7.75" style="2501" customWidth="1"/>
    <col min="14" max="15" width="7.25" style="2501" customWidth="1"/>
    <col min="16" max="16" width="7.75" style="2501" customWidth="1"/>
    <col min="17" max="17" width="19.75" style="2501" customWidth="1"/>
    <col min="18" max="16384" width="10.5" style="2505"/>
  </cols>
  <sheetData>
    <row r="1" spans="1:41" s="274" customFormat="1" ht="30.2" customHeight="1">
      <c r="A1" s="2475"/>
      <c r="B1" s="319"/>
      <c r="C1" s="1876"/>
      <c r="D1" s="136"/>
      <c r="E1" s="316"/>
      <c r="F1" s="316"/>
      <c r="G1" s="4933" t="s">
        <v>1636</v>
      </c>
      <c r="H1" s="4933"/>
      <c r="I1" s="4933"/>
      <c r="J1" s="1874" t="e">
        <f>(J7+J13+J19+J22+I11+I12)-(J23+J27+J34+J43+J63+J59+J68+J70+J72+J76)</f>
        <v>#REF!</v>
      </c>
      <c r="K1" s="4855" t="e">
        <f>M1-J1</f>
        <v>#REF!</v>
      </c>
      <c r="L1" s="4855"/>
      <c r="M1" s="1874" t="e">
        <f>(M7+M13+M19+M22+L11+L12)-(M23+M27+M34+M43+M63+M59+M68+M70+M72+M76)</f>
        <v>#REF!</v>
      </c>
      <c r="N1" s="4855" t="e">
        <f>P1-M1</f>
        <v>#REF!</v>
      </c>
      <c r="O1" s="4855"/>
      <c r="P1" s="1874" t="e">
        <f>(P7+P13+P19+P22+O11+O12)-(P23+P27+P34+P43+P63+P59+P68+P70+P72+P76)</f>
        <v>#REF!</v>
      </c>
      <c r="Q1" s="2475"/>
      <c r="R1" s="1873"/>
      <c r="S1" s="1873"/>
      <c r="T1" s="1873"/>
      <c r="U1" s="1873"/>
      <c r="V1" s="1873"/>
      <c r="W1" s="1873"/>
      <c r="X1" s="1873"/>
      <c r="Y1" s="1873"/>
      <c r="Z1" s="1873"/>
      <c r="AA1" s="1873"/>
      <c r="AB1" s="1873"/>
      <c r="AC1" s="1873"/>
      <c r="AD1" s="1873"/>
      <c r="AE1" s="1873"/>
      <c r="AF1" s="1873"/>
      <c r="AG1" s="1873"/>
      <c r="AH1" s="1873"/>
      <c r="AI1" s="1873"/>
      <c r="AJ1" s="1873"/>
      <c r="AK1" s="1873"/>
      <c r="AL1" s="1873"/>
      <c r="AM1" s="1873"/>
      <c r="AN1" s="1873"/>
      <c r="AO1" s="1873"/>
    </row>
    <row r="2" spans="1:41" s="274" customFormat="1" ht="24.6" customHeight="1">
      <c r="A2" s="2475"/>
      <c r="B2" s="1887" t="s">
        <v>1874</v>
      </c>
      <c r="G2" s="1859"/>
      <c r="H2" s="1870"/>
      <c r="K2" s="4930" t="s">
        <v>1883</v>
      </c>
      <c r="L2" s="4930"/>
      <c r="M2" s="4930"/>
      <c r="N2" s="4930"/>
      <c r="O2" s="4930"/>
      <c r="P2" s="4930"/>
      <c r="Q2" s="2475"/>
    </row>
    <row r="3" spans="1:41" s="274" customFormat="1" ht="21.75" customHeight="1">
      <c r="A3" s="2475"/>
      <c r="B3" s="1887"/>
      <c r="G3" s="1859"/>
      <c r="H3" s="1870"/>
      <c r="J3" s="4863" t="s">
        <v>1205</v>
      </c>
      <c r="K3" s="4937"/>
      <c r="L3" s="4937"/>
      <c r="M3" s="1869"/>
      <c r="N3" s="4934" t="str">
        <f>IF(AND(T3=TRUE,T4=TRUE),"nur 1 Strohnutzung möglich","")</f>
        <v/>
      </c>
      <c r="O3" s="4869"/>
      <c r="P3" s="1868"/>
      <c r="Q3" s="2475"/>
      <c r="T3" s="1886" t="b">
        <v>0</v>
      </c>
      <c r="W3" s="4863" t="s">
        <v>1205</v>
      </c>
      <c r="X3" s="4937"/>
      <c r="Y3" s="4937"/>
      <c r="Z3" s="1869"/>
    </row>
    <row r="4" spans="1:41" s="274" customFormat="1" ht="20.25" customHeight="1">
      <c r="A4" s="2475"/>
      <c r="B4" s="370" t="s">
        <v>1098</v>
      </c>
      <c r="C4" s="2505"/>
      <c r="D4" s="2505"/>
      <c r="E4" s="4898" t="s">
        <v>1648</v>
      </c>
      <c r="F4" s="4898"/>
      <c r="G4" s="4898"/>
      <c r="H4" s="4898"/>
      <c r="I4" s="4898"/>
      <c r="J4" s="4863" t="s">
        <v>1194</v>
      </c>
      <c r="K4" s="4937"/>
      <c r="L4" s="4937"/>
      <c r="M4" s="2490"/>
      <c r="N4" s="4869"/>
      <c r="O4" s="4869"/>
      <c r="P4" s="1864">
        <f>SDÖ1!O3</f>
        <v>0</v>
      </c>
      <c r="Q4" s="2475"/>
      <c r="T4" s="1886" t="b">
        <v>0</v>
      </c>
      <c r="W4" s="4863" t="s">
        <v>1194</v>
      </c>
      <c r="X4" s="4937"/>
      <c r="Y4" s="4937"/>
      <c r="Z4" s="2490"/>
    </row>
    <row r="5" spans="1:41" ht="6" customHeight="1" thickBot="1"/>
    <row r="6" spans="1:41" s="1853" customFormat="1" ht="24" customHeight="1">
      <c r="A6" s="48"/>
      <c r="B6" s="2981" t="s">
        <v>1151</v>
      </c>
      <c r="C6" s="2980"/>
      <c r="D6" s="2980"/>
      <c r="E6" s="2980"/>
      <c r="F6" s="2980"/>
      <c r="G6" s="2979" t="s">
        <v>1642</v>
      </c>
      <c r="H6" s="4995"/>
      <c r="I6" s="4996"/>
      <c r="J6" s="2472">
        <v>1</v>
      </c>
      <c r="K6" s="4997"/>
      <c r="L6" s="4998"/>
      <c r="M6" s="2472">
        <v>1</v>
      </c>
      <c r="N6" s="4999"/>
      <c r="O6" s="5000"/>
      <c r="P6" s="2471">
        <f>M6*1.25</f>
        <v>1.25</v>
      </c>
      <c r="Q6" s="70"/>
    </row>
    <row r="7" spans="1:41" s="251" customFormat="1" ht="18.75" customHeight="1">
      <c r="A7" s="47"/>
      <c r="B7" s="2470" t="s">
        <v>1633</v>
      </c>
      <c r="C7" s="47"/>
      <c r="D7" s="47"/>
      <c r="E7" s="47"/>
      <c r="F7" s="47"/>
      <c r="G7" s="2469" t="s">
        <v>171</v>
      </c>
      <c r="H7" s="1849"/>
      <c r="I7" s="1848"/>
      <c r="J7" s="1582">
        <f>SUM(I9:I10)</f>
        <v>0</v>
      </c>
      <c r="K7" s="1851"/>
      <c r="L7" s="1850"/>
      <c r="M7" s="1585">
        <f>SUM(L9:L10)</f>
        <v>0</v>
      </c>
      <c r="N7" s="1849"/>
      <c r="O7" s="1848"/>
      <c r="P7" s="2383">
        <f>SUM(O9:O10)</f>
        <v>0</v>
      </c>
      <c r="Q7" s="2501"/>
    </row>
    <row r="8" spans="1:41" s="251" customFormat="1" ht="13.15" customHeight="1">
      <c r="A8" s="47"/>
      <c r="B8" s="2459"/>
      <c r="C8" s="1847"/>
      <c r="D8" s="1847"/>
      <c r="E8" s="1847"/>
      <c r="F8" s="1847"/>
      <c r="G8" s="2379" t="s">
        <v>228</v>
      </c>
      <c r="H8" s="2449" t="s">
        <v>172</v>
      </c>
      <c r="I8" s="2375" t="s">
        <v>171</v>
      </c>
      <c r="J8" s="1567"/>
      <c r="K8" s="2451" t="s">
        <v>172</v>
      </c>
      <c r="L8" s="2377" t="s">
        <v>171</v>
      </c>
      <c r="M8" s="1768"/>
      <c r="N8" s="2449" t="s">
        <v>172</v>
      </c>
      <c r="O8" s="2375" t="s">
        <v>171</v>
      </c>
      <c r="P8" s="2374"/>
      <c r="Q8" s="2501"/>
    </row>
    <row r="9" spans="1:41" s="251" customFormat="1" ht="16.5" customHeight="1">
      <c r="A9" s="47"/>
      <c r="B9" s="2385"/>
      <c r="C9" s="45" t="s">
        <v>1632</v>
      </c>
      <c r="D9" s="47"/>
      <c r="E9" s="47"/>
      <c r="F9" s="47"/>
      <c r="G9" s="1762"/>
      <c r="H9" s="1845">
        <f>J6-H10</f>
        <v>0.75</v>
      </c>
      <c r="I9" s="1841">
        <f>H9*G9</f>
        <v>0</v>
      </c>
      <c r="J9" s="43"/>
      <c r="K9" s="1844">
        <f>M6-K10</f>
        <v>0.75</v>
      </c>
      <c r="L9" s="1843">
        <f>K9*G9</f>
        <v>0</v>
      </c>
      <c r="M9" s="1822"/>
      <c r="N9" s="1842">
        <f>P6-N10</f>
        <v>0.9375</v>
      </c>
      <c r="O9" s="1841">
        <f>N9*G9</f>
        <v>0</v>
      </c>
      <c r="P9" s="271"/>
      <c r="Q9" s="2501"/>
      <c r="R9" s="913"/>
      <c r="S9" s="263" t="s">
        <v>1208</v>
      </c>
      <c r="T9" s="1840"/>
    </row>
    <row r="10" spans="1:41" s="1810" customFormat="1" ht="15" customHeight="1">
      <c r="A10" s="370"/>
      <c r="B10" s="2088"/>
      <c r="C10" s="279" t="s">
        <v>1631</v>
      </c>
      <c r="D10" s="1819"/>
      <c r="E10" s="4991" t="s">
        <v>1652</v>
      </c>
      <c r="F10" s="4992"/>
      <c r="G10" s="1839"/>
      <c r="H10" s="1834">
        <f>J6*0.25</f>
        <v>0.25</v>
      </c>
      <c r="I10" s="1833">
        <f>H10*G10</f>
        <v>0</v>
      </c>
      <c r="K10" s="1837">
        <f>M6*25%</f>
        <v>0.25</v>
      </c>
      <c r="L10" s="1836">
        <f>K10*G10</f>
        <v>0</v>
      </c>
      <c r="M10" s="1835"/>
      <c r="N10" s="1834">
        <f>P6*25%</f>
        <v>0.3125</v>
      </c>
      <c r="O10" s="1833">
        <f>N10*G10</f>
        <v>0</v>
      </c>
      <c r="P10" s="2468"/>
      <c r="Q10" s="2501"/>
      <c r="R10" s="1831">
        <f>I10+I11+I12</f>
        <v>0</v>
      </c>
      <c r="S10" s="1830">
        <f>L10+L11+L12</f>
        <v>0</v>
      </c>
      <c r="T10" s="1829">
        <f>O10+O11+O12</f>
        <v>0</v>
      </c>
      <c r="W10" s="251" t="s">
        <v>1198</v>
      </c>
    </row>
    <row r="11" spans="1:41" s="1810" customFormat="1" ht="15" customHeight="1">
      <c r="A11" s="370"/>
      <c r="B11" s="273"/>
      <c r="C11" s="45" t="s">
        <v>1197</v>
      </c>
      <c r="D11" s="370"/>
      <c r="E11" s="2467">
        <v>0.8</v>
      </c>
      <c r="F11" s="45" t="s">
        <v>1196</v>
      </c>
      <c r="G11" s="1827">
        <f>SDÖ1!$O$51</f>
        <v>12</v>
      </c>
      <c r="H11" s="1826">
        <f>IF($T$3=FALSE,0,J6*$E$11)</f>
        <v>0</v>
      </c>
      <c r="I11" s="1820">
        <f>H11*$G$11</f>
        <v>0</v>
      </c>
      <c r="J11" s="1825"/>
      <c r="K11" s="1824">
        <f>IF($T$3=FALSE,0,M6*$E$11)</f>
        <v>0</v>
      </c>
      <c r="L11" s="1823">
        <f>K11*$G$11</f>
        <v>0</v>
      </c>
      <c r="M11" s="1822"/>
      <c r="N11" s="1821">
        <f>IF($T$3=FALSE,0,P6*$E$11)</f>
        <v>0</v>
      </c>
      <c r="O11" s="1820">
        <f>N11*$G$11</f>
        <v>0</v>
      </c>
      <c r="P11" s="271"/>
      <c r="Q11" s="2501"/>
      <c r="W11" s="1810" t="s">
        <v>1195</v>
      </c>
    </row>
    <row r="12" spans="1:41" s="1810" customFormat="1" ht="15" customHeight="1">
      <c r="A12" s="370"/>
      <c r="B12" s="2088"/>
      <c r="C12" s="279" t="s">
        <v>1194</v>
      </c>
      <c r="D12" s="1819"/>
      <c r="E12" s="1818"/>
      <c r="F12" s="279" t="s">
        <v>1193</v>
      </c>
      <c r="G12" s="1817"/>
      <c r="H12" s="1816"/>
      <c r="I12" s="1811">
        <f>IF(T4=TRUE,L12*(J6/M6),0)</f>
        <v>0</v>
      </c>
      <c r="J12" s="1815"/>
      <c r="K12" s="1812"/>
      <c r="L12" s="1814"/>
      <c r="M12" s="1813">
        <f>IF(AND(L12&gt;0,T4=FALSE),"keine Angabe bei M4 ?",0)</f>
        <v>0</v>
      </c>
      <c r="N12" s="1812"/>
      <c r="O12" s="1811">
        <f>IF(T4=TRUE,L12*(P6/M6),0)</f>
        <v>0</v>
      </c>
      <c r="P12" s="271"/>
      <c r="Q12" s="2501"/>
    </row>
    <row r="13" spans="1:41" s="251" customFormat="1" ht="18.75" customHeight="1">
      <c r="A13" s="47"/>
      <c r="B13" s="2385" t="s">
        <v>1630</v>
      </c>
      <c r="C13" s="47"/>
      <c r="D13" s="2466"/>
      <c r="E13" s="2466"/>
      <c r="F13" s="2466"/>
      <c r="G13" s="2465" t="s">
        <v>171</v>
      </c>
      <c r="H13" s="1894"/>
      <c r="I13" s="1791"/>
      <c r="J13" s="1582" t="e">
        <f>SUM(I14:I18)</f>
        <v>#REF!</v>
      </c>
      <c r="K13" s="1895"/>
      <c r="L13" s="1793"/>
      <c r="M13" s="1585" t="e">
        <f>SUM(L14:L18)</f>
        <v>#REF!</v>
      </c>
      <c r="N13" s="1894"/>
      <c r="O13" s="1791"/>
      <c r="P13" s="2383" t="e">
        <f>SUM(O14:O18)</f>
        <v>#REF!</v>
      </c>
      <c r="Q13" s="2501"/>
      <c r="R13" s="136"/>
      <c r="W13" s="1808" t="s">
        <v>1191</v>
      </c>
      <c r="X13" s="1806" t="str">
        <f>IF(OR(T3=TRUE,T4=TRUE),J6*$E$11,"0")</f>
        <v>0</v>
      </c>
      <c r="Y13" s="1807" t="str">
        <f>IF(OR(T3=TRUE,T4=TRUE),M6*$E$11,"0")</f>
        <v>0</v>
      </c>
      <c r="Z13" s="1806" t="str">
        <f>IF(OR(T3=TRUE,T4=TRUE),P6*$E$11,"0")</f>
        <v>0</v>
      </c>
    </row>
    <row r="14" spans="1:41" s="42" customFormat="1" ht="15" customHeight="1">
      <c r="A14" s="45"/>
      <c r="B14" s="2463"/>
      <c r="C14" s="4967" t="s">
        <v>1364</v>
      </c>
      <c r="D14" s="4967"/>
      <c r="E14" s="4967"/>
      <c r="F14" s="4967"/>
      <c r="G14" s="1805"/>
      <c r="H14" s="2499"/>
      <c r="I14" s="1785" t="e">
        <f>IF(R14=TRUE,Q14,0)</f>
        <v>#REF!</v>
      </c>
      <c r="K14" s="2499"/>
      <c r="L14" s="1639" t="e">
        <f>IF(S14=TRUE,Q14,0)</f>
        <v>#REF!</v>
      </c>
      <c r="M14" s="2372"/>
      <c r="N14" s="2499"/>
      <c r="O14" s="1785" t="e">
        <f>IF(T14=TRUE,Q14,0)</f>
        <v>#REF!</v>
      </c>
      <c r="P14" s="2371"/>
      <c r="Q14" s="1803" t="e">
        <f>IF(C14=0,0,VLOOKUP(C14,#REF!,10,FALSE))</f>
        <v>#REF!</v>
      </c>
      <c r="R14" s="1893" t="b">
        <v>1</v>
      </c>
      <c r="S14" s="1892" t="b">
        <v>1</v>
      </c>
      <c r="T14" s="1891" t="b">
        <v>1</v>
      </c>
      <c r="W14" s="42" t="s">
        <v>246</v>
      </c>
      <c r="X14" s="1802">
        <f>$X$13*F30</f>
        <v>0</v>
      </c>
      <c r="Y14" s="1802">
        <f>$Y$13*F30</f>
        <v>0</v>
      </c>
      <c r="Z14" s="1802">
        <f>$Z$13*F30</f>
        <v>0</v>
      </c>
    </row>
    <row r="15" spans="1:41" s="42" customFormat="1" ht="15" customHeight="1">
      <c r="A15" s="45"/>
      <c r="B15" s="2463"/>
      <c r="C15" s="4967"/>
      <c r="D15" s="4967"/>
      <c r="E15" s="4967"/>
      <c r="F15" s="4967"/>
      <c r="G15" s="1805"/>
      <c r="H15" s="2499"/>
      <c r="I15" s="1785">
        <f>IF(R15=TRUE,Q15,0)</f>
        <v>0</v>
      </c>
      <c r="J15" s="64"/>
      <c r="K15" s="2499"/>
      <c r="L15" s="1639">
        <f>IF(S15=TRUE,Q15,0)</f>
        <v>0</v>
      </c>
      <c r="M15" s="2372"/>
      <c r="N15" s="2499"/>
      <c r="O15" s="1785">
        <f>IF(T15=TRUE,Q15,0)</f>
        <v>0</v>
      </c>
      <c r="P15" s="2371"/>
      <c r="Q15" s="1803">
        <f>IF(C15=0,0,VLOOKUP(C15,#REF!,10,FALSE))</f>
        <v>0</v>
      </c>
      <c r="R15" s="1890" t="b">
        <v>0</v>
      </c>
      <c r="S15" s="1886" t="b">
        <v>0</v>
      </c>
      <c r="T15" s="1889" t="b">
        <v>0</v>
      </c>
      <c r="W15" s="42" t="s">
        <v>998</v>
      </c>
      <c r="X15" s="1802">
        <f>$X$13*F31</f>
        <v>0</v>
      </c>
      <c r="Y15" s="1802">
        <f>$Y$13*F31</f>
        <v>0</v>
      </c>
      <c r="Z15" s="1802">
        <f>$Z$13*F31</f>
        <v>0</v>
      </c>
    </row>
    <row r="16" spans="1:41" s="42" customFormat="1" ht="15" customHeight="1">
      <c r="A16" s="45"/>
      <c r="B16" s="2463">
        <v>0</v>
      </c>
      <c r="C16" s="4967">
        <v>0</v>
      </c>
      <c r="D16" s="4967"/>
      <c r="E16" s="4967"/>
      <c r="F16" s="4967"/>
      <c r="G16" s="1805"/>
      <c r="H16" s="2499"/>
      <c r="I16" s="1785">
        <f>IF(R16=TRUE,Q16,0)</f>
        <v>0</v>
      </c>
      <c r="K16" s="2499"/>
      <c r="L16" s="1639">
        <f>IF(S16=TRUE,Q16,0)</f>
        <v>0</v>
      </c>
      <c r="M16" s="2372"/>
      <c r="N16" s="2499"/>
      <c r="O16" s="1785">
        <f>IF(T16=TRUE,Q16,0)</f>
        <v>0</v>
      </c>
      <c r="P16" s="2371"/>
      <c r="Q16" s="1803">
        <f>IF(C16=0,0,VLOOKUP(C16,#REF!,10,FALSE))</f>
        <v>0</v>
      </c>
      <c r="R16" s="1890" t="b">
        <v>0</v>
      </c>
      <c r="S16" s="1886" t="b">
        <v>0</v>
      </c>
      <c r="T16" s="1889" t="b">
        <v>0</v>
      </c>
      <c r="W16" s="42" t="s">
        <v>997</v>
      </c>
      <c r="X16" s="1802">
        <f>$X$13*F32</f>
        <v>0</v>
      </c>
      <c r="Y16" s="1802">
        <f>$Y$13*F32</f>
        <v>0</v>
      </c>
      <c r="Z16" s="1802">
        <f>$Z$13*F32</f>
        <v>0</v>
      </c>
    </row>
    <row r="17" spans="1:26" s="42" customFormat="1" ht="15" customHeight="1">
      <c r="A17" s="45"/>
      <c r="B17" s="2463"/>
      <c r="C17" s="4967">
        <v>0</v>
      </c>
      <c r="D17" s="4967"/>
      <c r="E17" s="4967"/>
      <c r="F17" s="4967"/>
      <c r="G17" s="1805"/>
      <c r="H17" s="2499"/>
      <c r="I17" s="1785">
        <f>IF(R17=TRUE,Q17,0)</f>
        <v>0</v>
      </c>
      <c r="K17" s="2499"/>
      <c r="L17" s="1639">
        <f>IF(S17=TRUE,Q17,0)</f>
        <v>0</v>
      </c>
      <c r="M17" s="2372"/>
      <c r="N17" s="2499"/>
      <c r="O17" s="1785">
        <f>IF(T17=TRUE,Q17,0)</f>
        <v>0</v>
      </c>
      <c r="P17" s="2371"/>
      <c r="Q17" s="1803">
        <f>IF(C17=0,0,VLOOKUP(C17,#REF!,10,FALSE))</f>
        <v>0</v>
      </c>
      <c r="R17" s="1890" t="b">
        <v>0</v>
      </c>
      <c r="S17" s="1886" t="b">
        <v>0</v>
      </c>
      <c r="T17" s="1889" t="b">
        <v>0</v>
      </c>
      <c r="W17" s="42" t="s">
        <v>240</v>
      </c>
      <c r="X17" s="1802">
        <f>$X$13*F33</f>
        <v>0</v>
      </c>
      <c r="Y17" s="1802">
        <f>$Y$13*F33</f>
        <v>0</v>
      </c>
      <c r="Z17" s="1802">
        <f>$Z$13*F33</f>
        <v>0</v>
      </c>
    </row>
    <row r="18" spans="1:26" s="42" customFormat="1" ht="15" customHeight="1">
      <c r="A18" s="45"/>
      <c r="B18" s="2397"/>
      <c r="C18" s="1801"/>
      <c r="D18" s="279"/>
      <c r="E18" s="279"/>
      <c r="F18" s="279"/>
      <c r="G18" s="1780"/>
      <c r="H18" s="1797"/>
      <c r="I18" s="1800">
        <f>IF($R18=TRUE,IF(G18=0,0,LOOKUP($G$18,#REF!)),0)</f>
        <v>0</v>
      </c>
      <c r="J18" s="279"/>
      <c r="K18" s="1797"/>
      <c r="L18" s="1799">
        <f>IF($S18=TRUE,IF(G18=0,0,LOOKUP($G$18,#REF!)),0)</f>
        <v>0</v>
      </c>
      <c r="M18" s="1798"/>
      <c r="N18" s="1797"/>
      <c r="O18" s="1796">
        <f>IF($T18=TRUE,IF(G18=0,0,LOOKUP($G$18,#REF!)),0)</f>
        <v>0</v>
      </c>
      <c r="P18" s="2978"/>
      <c r="Q18" s="1803">
        <f>IF(C18=0,0,VLOOKUP(C18,#REF!,10,FALSE))</f>
        <v>0</v>
      </c>
      <c r="R18" s="2977" t="b">
        <v>0</v>
      </c>
      <c r="S18" s="2976" t="b">
        <v>0</v>
      </c>
      <c r="T18" s="1861" t="b">
        <v>0</v>
      </c>
    </row>
    <row r="19" spans="1:26" s="2500" customFormat="1" ht="18.75" customHeight="1">
      <c r="A19" s="47"/>
      <c r="B19" s="2385" t="s">
        <v>1629</v>
      </c>
      <c r="C19" s="47"/>
      <c r="D19" s="47"/>
      <c r="E19" s="47"/>
      <c r="F19" s="47"/>
      <c r="G19" s="229" t="s">
        <v>171</v>
      </c>
      <c r="H19" s="1792"/>
      <c r="I19" s="1791"/>
      <c r="J19" s="1582" t="e">
        <f>SUM(I20:I21)</f>
        <v>#REF!</v>
      </c>
      <c r="K19" s="1794"/>
      <c r="L19" s="1793"/>
      <c r="M19" s="1585" t="e">
        <f>SUM(L20:L21)</f>
        <v>#REF!</v>
      </c>
      <c r="N19" s="1792"/>
      <c r="O19" s="1791"/>
      <c r="P19" s="2383" t="e">
        <f>SUM(O20:O21)</f>
        <v>#REF!</v>
      </c>
      <c r="Q19" s="2501"/>
      <c r="R19" s="693" t="s">
        <v>1189</v>
      </c>
      <c r="S19" s="369"/>
      <c r="T19" s="1790"/>
    </row>
    <row r="20" spans="1:26" s="42" customFormat="1" ht="15" customHeight="1">
      <c r="A20" s="45"/>
      <c r="B20" s="2463"/>
      <c r="C20" s="4967" t="s">
        <v>286</v>
      </c>
      <c r="D20" s="4967"/>
      <c r="E20" s="4967"/>
      <c r="F20" s="4967"/>
      <c r="G20" s="1788"/>
      <c r="H20" s="1786"/>
      <c r="I20" s="1785" t="e">
        <f>IF(OR($C20=0,$J$6=0),0,VLOOKUP($C20,#REF!,10,FALSE))</f>
        <v>#REF!</v>
      </c>
      <c r="K20" s="1787"/>
      <c r="L20" s="1639" t="e">
        <f>IF($C20=0,0,VLOOKUP($C20,#REF!,10,FALSE))</f>
        <v>#REF!</v>
      </c>
      <c r="M20" s="2372"/>
      <c r="N20" s="1786"/>
      <c r="O20" s="1785" t="e">
        <f>IF(OR($C20=0,$P$6=0),0,VLOOKUP($C20,#REF!,10,FALSE))</f>
        <v>#REF!</v>
      </c>
      <c r="P20" s="2371"/>
      <c r="Q20" s="2501"/>
      <c r="R20" s="1784" t="e">
        <f>J13+J19</f>
        <v>#REF!</v>
      </c>
      <c r="S20" s="1783" t="e">
        <f>M13+M19</f>
        <v>#REF!</v>
      </c>
      <c r="T20" s="1782" t="e">
        <f>P13+P19</f>
        <v>#REF!</v>
      </c>
    </row>
    <row r="21" spans="1:26" s="42" customFormat="1" ht="0.75" customHeight="1">
      <c r="A21" s="45"/>
      <c r="B21" s="2462"/>
      <c r="C21" s="4984"/>
      <c r="D21" s="4984"/>
      <c r="E21" s="4984"/>
      <c r="F21" s="4984"/>
      <c r="G21" s="1780"/>
      <c r="H21" s="1778"/>
      <c r="I21" s="1777">
        <f>IF(OR($C21=0,$J$6=0),0,VLOOKUP($C21,#REF!,10,FALSE))</f>
        <v>0</v>
      </c>
      <c r="K21" s="1779"/>
      <c r="L21" s="1621">
        <f>IF(OR($C21=0,$M$6=0),0,VLOOKUP($C21,#REF!,10,FALSE))</f>
        <v>0</v>
      </c>
      <c r="M21" s="2372"/>
      <c r="N21" s="1778"/>
      <c r="O21" s="1777">
        <f>IF(OR($C21=0,$P$6=0),0,VLOOKUP($C21,#REF!,10,FALSE))</f>
        <v>0</v>
      </c>
      <c r="P21" s="2395"/>
      <c r="Q21" s="2501"/>
    </row>
    <row r="22" spans="1:26" ht="16.5" customHeight="1">
      <c r="A22" s="370"/>
      <c r="B22" s="2385" t="s">
        <v>845</v>
      </c>
      <c r="C22" s="45"/>
      <c r="D22" s="4985"/>
      <c r="E22" s="4985"/>
      <c r="F22" s="4985"/>
      <c r="G22" s="4986"/>
      <c r="H22" s="1772"/>
      <c r="I22" s="1771"/>
      <c r="J22" s="1770"/>
      <c r="K22" s="1774"/>
      <c r="L22" s="1773"/>
      <c r="M22" s="1770"/>
      <c r="N22" s="1772"/>
      <c r="O22" s="1771"/>
      <c r="P22" s="2461"/>
      <c r="R22" s="2501"/>
      <c r="S22" s="2501"/>
      <c r="T22" s="2501"/>
    </row>
    <row r="23" spans="1:26" ht="18.75" customHeight="1">
      <c r="A23" s="370"/>
      <c r="B23" s="2460" t="s">
        <v>222</v>
      </c>
      <c r="C23" s="1769"/>
      <c r="D23" s="1769"/>
      <c r="G23" s="2444" t="s">
        <v>171</v>
      </c>
      <c r="H23" s="1584"/>
      <c r="I23" s="1583"/>
      <c r="J23" s="1567">
        <f>SUM(I25:I26)</f>
        <v>0</v>
      </c>
      <c r="K23" s="1587"/>
      <c r="L23" s="1586"/>
      <c r="M23" s="1768">
        <f>SUM(L25:L26)</f>
        <v>0</v>
      </c>
      <c r="N23" s="1584"/>
      <c r="O23" s="1583"/>
      <c r="P23" s="2374">
        <f>SUM(O25:O26)</f>
        <v>0</v>
      </c>
      <c r="Q23" s="38"/>
    </row>
    <row r="24" spans="1:26" ht="13.15" customHeight="1">
      <c r="A24" s="370"/>
      <c r="B24" s="2459"/>
      <c r="C24" s="1580" t="s">
        <v>1156</v>
      </c>
      <c r="D24" s="1651">
        <f>SDÖ1!$O$10</f>
        <v>0</v>
      </c>
      <c r="E24" s="2458"/>
      <c r="F24" s="2379" t="s">
        <v>249</v>
      </c>
      <c r="G24" s="2402" t="s">
        <v>1155</v>
      </c>
      <c r="H24" s="2449" t="s">
        <v>1176</v>
      </c>
      <c r="I24" s="2375" t="s">
        <v>171</v>
      </c>
      <c r="J24" s="2457"/>
      <c r="K24" s="2451" t="s">
        <v>1176</v>
      </c>
      <c r="L24" s="2377" t="s">
        <v>171</v>
      </c>
      <c r="M24" s="2456"/>
      <c r="N24" s="2449" t="s">
        <v>1176</v>
      </c>
      <c r="O24" s="2375" t="s">
        <v>171</v>
      </c>
      <c r="P24" s="2439"/>
      <c r="R24" s="35" t="s">
        <v>1641</v>
      </c>
    </row>
    <row r="25" spans="1:26" s="42" customFormat="1" ht="15" customHeight="1">
      <c r="A25" s="1284"/>
      <c r="B25" s="2455"/>
      <c r="C25" s="1284" t="s">
        <v>1185</v>
      </c>
      <c r="D25" s="4878"/>
      <c r="E25" s="4879"/>
      <c r="F25" s="1763"/>
      <c r="G25" s="1762">
        <f>F25*(100+$D$24)/100</f>
        <v>0</v>
      </c>
      <c r="H25" s="1761"/>
      <c r="I25" s="1722">
        <f>H25*$G25</f>
        <v>0</v>
      </c>
      <c r="K25" s="1761"/>
      <c r="L25" s="1564">
        <f>K25*$G25</f>
        <v>0</v>
      </c>
      <c r="M25" s="2372"/>
      <c r="N25" s="1761"/>
      <c r="O25" s="1722">
        <f>N25*$G25</f>
        <v>0</v>
      </c>
      <c r="P25" s="2417"/>
      <c r="Q25" s="2501"/>
      <c r="R25" s="42" t="s">
        <v>1882</v>
      </c>
    </row>
    <row r="26" spans="1:26" s="42" customFormat="1" ht="15" customHeight="1">
      <c r="A26" s="1284"/>
      <c r="B26" s="2387"/>
      <c r="C26" s="2476" t="s">
        <v>191</v>
      </c>
      <c r="D26" s="4880"/>
      <c r="E26" s="4881"/>
      <c r="F26" s="1759"/>
      <c r="G26" s="1758">
        <f>F26*(100+$D$24)/100</f>
        <v>0</v>
      </c>
      <c r="H26" s="1757"/>
      <c r="I26" s="1718">
        <f>H26*$G26</f>
        <v>0</v>
      </c>
      <c r="K26" s="1757"/>
      <c r="L26" s="1558">
        <f>K26*$G26</f>
        <v>0</v>
      </c>
      <c r="M26" s="2372"/>
      <c r="N26" s="1757"/>
      <c r="O26" s="1718">
        <f>N26*$G26</f>
        <v>0</v>
      </c>
      <c r="P26" s="2434"/>
      <c r="Q26" s="2501"/>
    </row>
    <row r="27" spans="1:26" s="2500" customFormat="1" ht="18.75" customHeight="1">
      <c r="A27" s="1248"/>
      <c r="B27" s="2433" t="s">
        <v>221</v>
      </c>
      <c r="C27" s="1248"/>
      <c r="D27" s="2454" t="str">
        <f>IF(SDÖ1!U17=FALSE,"(Nährstoffabfuhr nicht bewertet)","(Nährstoffabfuhr bewertet)")</f>
        <v>(Nährstoffabfuhr bewertet)</v>
      </c>
      <c r="E27" s="2501"/>
      <c r="F27" s="2501"/>
      <c r="G27" s="2444" t="s">
        <v>171</v>
      </c>
      <c r="H27" s="1714"/>
      <c r="I27" s="1713"/>
      <c r="J27" s="1582">
        <f>SUM(I30:I33)</f>
        <v>0</v>
      </c>
      <c r="K27" s="1716"/>
      <c r="L27" s="1715"/>
      <c r="M27" s="1585">
        <f>SUM(L30:L33)</f>
        <v>0</v>
      </c>
      <c r="N27" s="1714"/>
      <c r="O27" s="1713"/>
      <c r="P27" s="2383">
        <f>SUM(O30:O33)</f>
        <v>0</v>
      </c>
      <c r="Q27" s="2501"/>
    </row>
    <row r="28" spans="1:26" s="2500" customFormat="1" ht="13.7" customHeight="1">
      <c r="A28" s="1248"/>
      <c r="B28" s="2427"/>
      <c r="C28" s="2503"/>
      <c r="D28" s="1754" t="s">
        <v>1019</v>
      </c>
      <c r="E28" s="1754" t="s">
        <v>1183</v>
      </c>
      <c r="F28" s="1754" t="s">
        <v>1183</v>
      </c>
      <c r="G28" s="1753" t="s">
        <v>1182</v>
      </c>
      <c r="H28" s="1713"/>
      <c r="I28" s="1750"/>
      <c r="J28" s="2504"/>
      <c r="K28" s="1716"/>
      <c r="L28" s="1646"/>
      <c r="M28" s="1751"/>
      <c r="N28" s="1714"/>
      <c r="O28" s="1750"/>
      <c r="P28" s="2374"/>
      <c r="Q28" s="2501"/>
    </row>
    <row r="29" spans="1:26" s="2500" customFormat="1" ht="15" customHeight="1">
      <c r="A29" s="1248"/>
      <c r="B29" s="2453"/>
      <c r="C29" s="1285" t="s">
        <v>1181</v>
      </c>
      <c r="D29" s="2380" t="s">
        <v>852</v>
      </c>
      <c r="E29" s="2380" t="s">
        <v>1180</v>
      </c>
      <c r="F29" s="2380" t="s">
        <v>1179</v>
      </c>
      <c r="G29" s="2380" t="s">
        <v>853</v>
      </c>
      <c r="H29" s="2449" t="s">
        <v>853</v>
      </c>
      <c r="I29" s="2375" t="s">
        <v>171</v>
      </c>
      <c r="J29" s="2452"/>
      <c r="K29" s="2451" t="s">
        <v>853</v>
      </c>
      <c r="L29" s="2377" t="s">
        <v>171</v>
      </c>
      <c r="M29" s="2450"/>
      <c r="N29" s="2449" t="s">
        <v>853</v>
      </c>
      <c r="O29" s="2375" t="s">
        <v>171</v>
      </c>
      <c r="P29" s="2448"/>
      <c r="Q29" s="2501"/>
    </row>
    <row r="30" spans="1:26" s="42" customFormat="1" ht="15" customHeight="1">
      <c r="A30" s="1284"/>
      <c r="B30" s="2447"/>
      <c r="C30" s="1743" t="s">
        <v>246</v>
      </c>
      <c r="D30" s="1691">
        <f>IF(SDÖ1!$U$17=TRUE,SDÖ1!O55,0)</f>
        <v>4.37</v>
      </c>
      <c r="E30" s="2446"/>
      <c r="F30" s="2446"/>
      <c r="G30" s="1741"/>
      <c r="H30" s="1739">
        <f>IF(J$6=0,0,(J$6*$E30+$G30+X14))</f>
        <v>0</v>
      </c>
      <c r="I30" s="1722">
        <f>H30*$D30</f>
        <v>0</v>
      </c>
      <c r="K30" s="1740">
        <f>IF(M$6=0,0,(M$6*$E30+$G30+Y14))</f>
        <v>0</v>
      </c>
      <c r="L30" s="1564">
        <f>K30*$D30</f>
        <v>0</v>
      </c>
      <c r="M30" s="2372"/>
      <c r="N30" s="1739">
        <f>IF(P$6=0,0,(P$6*$E30+$G30+Z14))</f>
        <v>0</v>
      </c>
      <c r="O30" s="1722">
        <f>N30*$D30</f>
        <v>0</v>
      </c>
      <c r="P30" s="2417"/>
      <c r="Q30" s="2501"/>
    </row>
    <row r="31" spans="1:26" s="42" customFormat="1" ht="15" customHeight="1">
      <c r="A31" s="1284"/>
      <c r="B31" s="273"/>
      <c r="C31" s="1284" t="s">
        <v>244</v>
      </c>
      <c r="D31" s="1691">
        <f>IF(SDÖ1!$U$17=TRUE,SDÖ1!O56,0)</f>
        <v>1.3740000000000001</v>
      </c>
      <c r="E31" s="2446"/>
      <c r="F31" s="2446"/>
      <c r="G31" s="1741"/>
      <c r="H31" s="1739">
        <f>IF(J$6=0,0,(J$6*$E31+$G31+X15))</f>
        <v>0</v>
      </c>
      <c r="I31" s="1722">
        <f>H31*$D31</f>
        <v>0</v>
      </c>
      <c r="K31" s="1740">
        <f>IF(M$6=0,0,(M$6*$E31+$G31+Y15))</f>
        <v>0</v>
      </c>
      <c r="L31" s="1564">
        <f>K31*$D31</f>
        <v>0</v>
      </c>
      <c r="M31" s="2372"/>
      <c r="N31" s="1739">
        <f>IF(P$6=0,0,(P$6*$E31+$G31+Z15))</f>
        <v>0</v>
      </c>
      <c r="O31" s="1722">
        <f>N31*$D31</f>
        <v>0</v>
      </c>
      <c r="P31" s="2417"/>
      <c r="Q31" s="2501"/>
    </row>
    <row r="32" spans="1:26" s="42" customFormat="1" ht="15" customHeight="1">
      <c r="A32" s="1284"/>
      <c r="B32" s="273"/>
      <c r="C32" s="1284" t="s">
        <v>242</v>
      </c>
      <c r="D32" s="1691">
        <f>IF(SDÖ1!$U$17=TRUE,SDÖ1!O57,0)</f>
        <v>1.35</v>
      </c>
      <c r="E32" s="2446"/>
      <c r="F32" s="2446"/>
      <c r="G32" s="1741"/>
      <c r="H32" s="1739">
        <f>IF(J$6=0,0,(J$6*$E32+$G32+X16))</f>
        <v>0</v>
      </c>
      <c r="I32" s="1722">
        <f>H32*$D32</f>
        <v>0</v>
      </c>
      <c r="K32" s="1740">
        <f>IF(M$6=0,0,(M$6*$E32+$G32+Y16))</f>
        <v>0</v>
      </c>
      <c r="L32" s="1564">
        <f>K32*$D32</f>
        <v>0</v>
      </c>
      <c r="M32" s="2372"/>
      <c r="N32" s="1739">
        <f>IF(P$6=0,0,(P$6*$E32+$G32+Z16))</f>
        <v>0</v>
      </c>
      <c r="O32" s="1722">
        <f>N32*$D32</f>
        <v>0</v>
      </c>
      <c r="P32" s="2417"/>
      <c r="Q32" s="2501"/>
    </row>
    <row r="33" spans="1:17" s="42" customFormat="1" ht="15" customHeight="1">
      <c r="A33" s="1284"/>
      <c r="B33" s="2088"/>
      <c r="C33" s="1309" t="s">
        <v>240</v>
      </c>
      <c r="D33" s="1674">
        <f>IF(SDÖ1!$U$17=TRUE,SDÖ1!O58,0)</f>
        <v>0.5</v>
      </c>
      <c r="E33" s="2445"/>
      <c r="F33" s="2445"/>
      <c r="G33" s="1737"/>
      <c r="H33" s="1735">
        <f>IF(J$6=0,0,(J$6*$E33+$G33+X17))</f>
        <v>0</v>
      </c>
      <c r="I33" s="1718">
        <f>H33*$D33</f>
        <v>0</v>
      </c>
      <c r="K33" s="1736">
        <f>IF(M$6=0,0,(M$6*$E33+$G33+Y17))</f>
        <v>0</v>
      </c>
      <c r="L33" s="1558">
        <f>K33*$D33</f>
        <v>0</v>
      </c>
      <c r="M33" s="2372"/>
      <c r="N33" s="1735">
        <f>IF(P$6=0,0,(P$6*$E33+$G33+Z17))</f>
        <v>0</v>
      </c>
      <c r="O33" s="1718">
        <f>N33*$D33</f>
        <v>0</v>
      </c>
      <c r="P33" s="2434"/>
      <c r="Q33" s="2501"/>
    </row>
    <row r="34" spans="1:17" s="2500" customFormat="1" ht="18.75" customHeight="1">
      <c r="A34" s="1248"/>
      <c r="B34" s="2388" t="s">
        <v>220</v>
      </c>
      <c r="C34" s="1248"/>
      <c r="G34" s="2444" t="s">
        <v>171</v>
      </c>
      <c r="H34" s="1732"/>
      <c r="I34" s="1731"/>
      <c r="J34" s="1582">
        <f>SUM(I36:I42)</f>
        <v>0</v>
      </c>
      <c r="K34" s="1734"/>
      <c r="L34" s="1733"/>
      <c r="M34" s="1585">
        <f>SUM(L36:L42)</f>
        <v>0</v>
      </c>
      <c r="N34" s="1732"/>
      <c r="O34" s="1731"/>
      <c r="P34" s="2383">
        <f>SUM(O36:O42)</f>
        <v>0</v>
      </c>
      <c r="Q34" s="2501"/>
    </row>
    <row r="35" spans="1:17" s="2500" customFormat="1" ht="13.15" customHeight="1">
      <c r="A35" s="1248"/>
      <c r="B35" s="2382"/>
      <c r="C35" s="1580" t="s">
        <v>1156</v>
      </c>
      <c r="D35" s="1651">
        <f>SDÖ1!$O$11</f>
        <v>0</v>
      </c>
      <c r="E35" s="2381"/>
      <c r="F35" s="2379" t="s">
        <v>249</v>
      </c>
      <c r="G35" s="2402" t="s">
        <v>1155</v>
      </c>
      <c r="H35" s="2440" t="s">
        <v>1176</v>
      </c>
      <c r="I35" s="2375" t="s">
        <v>171</v>
      </c>
      <c r="J35" s="2443"/>
      <c r="K35" s="2442" t="s">
        <v>1176</v>
      </c>
      <c r="L35" s="2377" t="s">
        <v>171</v>
      </c>
      <c r="M35" s="2441"/>
      <c r="N35" s="2440" t="s">
        <v>1176</v>
      </c>
      <c r="O35" s="2375" t="s">
        <v>171</v>
      </c>
      <c r="P35" s="2374"/>
      <c r="Q35" s="2501"/>
    </row>
    <row r="36" spans="1:17" s="42" customFormat="1" ht="15" customHeight="1">
      <c r="A36" s="1284"/>
      <c r="B36" s="2373"/>
      <c r="C36" s="4973"/>
      <c r="D36" s="4973"/>
      <c r="E36" s="4974"/>
      <c r="F36" s="1724">
        <f>IF(C36=0,0,VLOOKUP(C36,SDÖ5!$C$6:$D$16,2,FALSE))</f>
        <v>0</v>
      </c>
      <c r="G36" s="1724">
        <f t="shared" ref="G36:G42" si="0">F36*(100+$D$35)/100</f>
        <v>0</v>
      </c>
      <c r="H36" s="2437"/>
      <c r="I36" s="1722">
        <f t="shared" ref="I36:I42" si="1">$G36*H36</f>
        <v>0</v>
      </c>
      <c r="K36" s="2437"/>
      <c r="L36" s="1564">
        <f t="shared" ref="L36:L42" si="2">$G36*K36</f>
        <v>0</v>
      </c>
      <c r="M36" s="2372"/>
      <c r="N36" s="2437"/>
      <c r="O36" s="1722">
        <f t="shared" ref="O36:O42" si="3">$G36*N36</f>
        <v>0</v>
      </c>
      <c r="P36" s="2439"/>
      <c r="Q36" s="2501"/>
    </row>
    <row r="37" spans="1:17" s="42" customFormat="1" ht="15" customHeight="1">
      <c r="A37" s="1284"/>
      <c r="B37" s="2373"/>
      <c r="C37" s="4971"/>
      <c r="D37" s="4971"/>
      <c r="E37" s="4972"/>
      <c r="F37" s="1724">
        <f>IF(C37=0,0,VLOOKUP(C37,SDÖ5!$C$6:$D$16,2,FALSE))</f>
        <v>0</v>
      </c>
      <c r="G37" s="1724">
        <f t="shared" si="0"/>
        <v>0</v>
      </c>
      <c r="H37" s="2437"/>
      <c r="I37" s="1722">
        <f t="shared" si="1"/>
        <v>0</v>
      </c>
      <c r="K37" s="2437"/>
      <c r="L37" s="1564">
        <f t="shared" si="2"/>
        <v>0</v>
      </c>
      <c r="M37" s="2372"/>
      <c r="N37" s="2437"/>
      <c r="O37" s="1722">
        <f t="shared" si="3"/>
        <v>0</v>
      </c>
      <c r="P37" s="2417"/>
      <c r="Q37" s="2501"/>
    </row>
    <row r="38" spans="1:17" s="42" customFormat="1" ht="15" customHeight="1">
      <c r="A38" s="1284"/>
      <c r="B38" s="2438"/>
      <c r="C38" s="4971"/>
      <c r="D38" s="4971"/>
      <c r="E38" s="4972"/>
      <c r="F38" s="1724">
        <f>IF(C38=0,0,VLOOKUP(C38,SDÖ5!$C$6:$D$16,2,FALSE))</f>
        <v>0</v>
      </c>
      <c r="G38" s="1724">
        <f t="shared" si="0"/>
        <v>0</v>
      </c>
      <c r="H38" s="2437"/>
      <c r="I38" s="1722">
        <f t="shared" si="1"/>
        <v>0</v>
      </c>
      <c r="K38" s="2437"/>
      <c r="L38" s="1564">
        <f t="shared" si="2"/>
        <v>0</v>
      </c>
      <c r="M38" s="2372"/>
      <c r="N38" s="2437"/>
      <c r="O38" s="1722">
        <f t="shared" si="3"/>
        <v>0</v>
      </c>
      <c r="P38" s="2417"/>
      <c r="Q38" s="2501"/>
    </row>
    <row r="39" spans="1:17" s="42" customFormat="1" ht="15" hidden="1" customHeight="1">
      <c r="A39" s="1284"/>
      <c r="B39" s="2373"/>
      <c r="C39" s="4971"/>
      <c r="D39" s="4971"/>
      <c r="E39" s="4972"/>
      <c r="F39" s="1724">
        <f>IF(C39=0,0,VLOOKUP(C39,SDÖ5!$C$6:$D$16,2,FALSE))</f>
        <v>0</v>
      </c>
      <c r="G39" s="1724">
        <f t="shared" si="0"/>
        <v>0</v>
      </c>
      <c r="H39" s="2437"/>
      <c r="I39" s="1722">
        <f t="shared" si="1"/>
        <v>0</v>
      </c>
      <c r="K39" s="2437"/>
      <c r="L39" s="1564">
        <f t="shared" si="2"/>
        <v>0</v>
      </c>
      <c r="M39" s="2372"/>
      <c r="N39" s="2437"/>
      <c r="O39" s="1722">
        <f t="shared" si="3"/>
        <v>0</v>
      </c>
      <c r="P39" s="2417"/>
      <c r="Q39" s="2501"/>
    </row>
    <row r="40" spans="1:17" s="42" customFormat="1" ht="15" hidden="1" customHeight="1">
      <c r="A40" s="1284"/>
      <c r="B40" s="2373"/>
      <c r="C40" s="4971"/>
      <c r="D40" s="4971"/>
      <c r="E40" s="4972"/>
      <c r="F40" s="1724">
        <f>IF(C40=0,0,VLOOKUP(C40,SDÖ5!$C$6:$D$16,2,FALSE))</f>
        <v>0</v>
      </c>
      <c r="G40" s="1724">
        <f t="shared" si="0"/>
        <v>0</v>
      </c>
      <c r="H40" s="2437"/>
      <c r="I40" s="1722">
        <f t="shared" si="1"/>
        <v>0</v>
      </c>
      <c r="K40" s="2437"/>
      <c r="L40" s="1564">
        <f t="shared" si="2"/>
        <v>0</v>
      </c>
      <c r="M40" s="2372"/>
      <c r="N40" s="2437"/>
      <c r="O40" s="1722">
        <f t="shared" si="3"/>
        <v>0</v>
      </c>
      <c r="P40" s="2417"/>
      <c r="Q40" s="2501"/>
    </row>
    <row r="41" spans="1:17" s="42" customFormat="1" ht="15" hidden="1" customHeight="1">
      <c r="A41" s="1284"/>
      <c r="B41" s="2373"/>
      <c r="C41" s="4971"/>
      <c r="D41" s="4971"/>
      <c r="E41" s="4972"/>
      <c r="F41" s="1724">
        <f>IF(C41=0,0,VLOOKUP(C41,SDÖ5!$C$6:$D$16,2,FALSE))</f>
        <v>0</v>
      </c>
      <c r="G41" s="1724">
        <f t="shared" si="0"/>
        <v>0</v>
      </c>
      <c r="H41" s="2437"/>
      <c r="I41" s="1722">
        <f t="shared" si="1"/>
        <v>0</v>
      </c>
      <c r="K41" s="2437"/>
      <c r="L41" s="1564">
        <f t="shared" si="2"/>
        <v>0</v>
      </c>
      <c r="M41" s="2372"/>
      <c r="N41" s="2437"/>
      <c r="O41" s="1722">
        <f t="shared" si="3"/>
        <v>0</v>
      </c>
      <c r="P41" s="2417"/>
      <c r="Q41" s="2501"/>
    </row>
    <row r="42" spans="1:17" s="42" customFormat="1" ht="15" hidden="1" customHeight="1">
      <c r="A42" s="1284"/>
      <c r="B42" s="2436"/>
      <c r="C42" s="4975"/>
      <c r="D42" s="4975"/>
      <c r="E42" s="4976"/>
      <c r="F42" s="1720">
        <f>IF(C42=0,0,VLOOKUP(C42,SDÖ5!$C$6:$D$16,2,FALSE))</f>
        <v>0</v>
      </c>
      <c r="G42" s="1720">
        <f t="shared" si="0"/>
        <v>0</v>
      </c>
      <c r="H42" s="2435"/>
      <c r="I42" s="1718">
        <f t="shared" si="1"/>
        <v>0</v>
      </c>
      <c r="K42" s="2435"/>
      <c r="L42" s="1558">
        <f t="shared" si="2"/>
        <v>0</v>
      </c>
      <c r="M42" s="2372"/>
      <c r="N42" s="2435"/>
      <c r="O42" s="1718">
        <f t="shared" si="3"/>
        <v>0</v>
      </c>
      <c r="P42" s="2434"/>
      <c r="Q42" s="2501"/>
    </row>
    <row r="43" spans="1:17" s="2500" customFormat="1" ht="18.75" customHeight="1">
      <c r="A43" s="1248"/>
      <c r="B43" s="2433" t="s">
        <v>1626</v>
      </c>
      <c r="C43" s="1354"/>
      <c r="D43" s="1354"/>
      <c r="E43" s="1354"/>
      <c r="F43" s="1354"/>
      <c r="G43" s="2432" t="s">
        <v>171</v>
      </c>
      <c r="H43" s="2429"/>
      <c r="I43" s="2428"/>
      <c r="J43" s="1582">
        <f>SUM(J46:J57)</f>
        <v>0</v>
      </c>
      <c r="K43" s="2431"/>
      <c r="L43" s="2430"/>
      <c r="M43" s="1585">
        <f>SUM(M46:M57)</f>
        <v>0</v>
      </c>
      <c r="N43" s="2429"/>
      <c r="O43" s="2428"/>
      <c r="P43" s="2383">
        <f>SUM(P46:P57)</f>
        <v>0</v>
      </c>
      <c r="Q43" s="2501"/>
    </row>
    <row r="44" spans="1:17" s="42" customFormat="1" ht="15" customHeight="1">
      <c r="A44" s="1284"/>
      <c r="B44" s="2427"/>
      <c r="C44" s="1284" t="s">
        <v>1174</v>
      </c>
      <c r="D44" s="1284"/>
      <c r="E44" s="1712" t="s">
        <v>466</v>
      </c>
      <c r="F44" s="1711" t="s">
        <v>1173</v>
      </c>
      <c r="G44" s="1710"/>
      <c r="H44" s="367" t="s">
        <v>1172</v>
      </c>
      <c r="I44" s="1706" t="s">
        <v>1171</v>
      </c>
      <c r="J44" s="1705"/>
      <c r="K44" s="1709" t="s">
        <v>1172</v>
      </c>
      <c r="L44" s="1708" t="s">
        <v>1171</v>
      </c>
      <c r="M44" s="1707"/>
      <c r="N44" s="367" t="s">
        <v>1172</v>
      </c>
      <c r="O44" s="1706" t="s">
        <v>1171</v>
      </c>
      <c r="P44" s="2426"/>
      <c r="Q44" s="2501"/>
    </row>
    <row r="45" spans="1:17" s="42" customFormat="1" ht="15" customHeight="1">
      <c r="A45" s="1284"/>
      <c r="B45" s="2425"/>
      <c r="C45" s="2424"/>
      <c r="D45" s="1704"/>
      <c r="E45" s="1575" t="s">
        <v>1625</v>
      </c>
      <c r="F45" s="2380" t="s">
        <v>1169</v>
      </c>
      <c r="G45" s="2380" t="s">
        <v>556</v>
      </c>
      <c r="H45" s="1700" t="s">
        <v>1168</v>
      </c>
      <c r="I45" s="2379" t="s">
        <v>114</v>
      </c>
      <c r="J45" s="2423" t="s">
        <v>171</v>
      </c>
      <c r="K45" s="1703" t="s">
        <v>1168</v>
      </c>
      <c r="L45" s="2422" t="s">
        <v>114</v>
      </c>
      <c r="M45" s="2421" t="s">
        <v>171</v>
      </c>
      <c r="N45" s="1700" t="s">
        <v>1168</v>
      </c>
      <c r="O45" s="2379" t="s">
        <v>114</v>
      </c>
      <c r="P45" s="2420" t="s">
        <v>171</v>
      </c>
      <c r="Q45" s="2501"/>
    </row>
    <row r="46" spans="1:17" s="42" customFormat="1" ht="15" customHeight="1">
      <c r="A46" s="1284"/>
      <c r="B46" s="2419"/>
      <c r="C46" s="4977"/>
      <c r="D46" s="4978"/>
      <c r="E46" s="1693">
        <f>IF($C46=0,0,VLOOKUP($C46,SDÖ3!$C$24:$N$101,4,FALSE))</f>
        <v>0</v>
      </c>
      <c r="F46" s="1692">
        <f>IF($C46=0,0,VLOOKUP($C46,SDÖ3!$C$24:$N$101,12,FALSE))</f>
        <v>0</v>
      </c>
      <c r="G46" s="1691">
        <f>IF($C46=0,0,VLOOKUP($C46,SDÖ3!$C$24:$N$101,13,FALSE))</f>
        <v>0</v>
      </c>
      <c r="H46" s="1696"/>
      <c r="I46" s="1695">
        <f t="shared" ref="I46:I57" si="4">$F46*H46</f>
        <v>0</v>
      </c>
      <c r="J46" s="1686">
        <f t="shared" ref="J46:J57" si="5">H46*$G46</f>
        <v>0</v>
      </c>
      <c r="K46" s="1696"/>
      <c r="L46" s="1697">
        <f t="shared" ref="L46:L57" si="6">$F46*K46</f>
        <v>0</v>
      </c>
      <c r="M46" s="1689">
        <f t="shared" ref="M46:M57" si="7">K46*$G46</f>
        <v>0</v>
      </c>
      <c r="N46" s="1696"/>
      <c r="O46" s="1695">
        <f t="shared" ref="O46:O57" si="8">$F46*N46</f>
        <v>0</v>
      </c>
      <c r="P46" s="2417">
        <f t="shared" ref="P46:P57" si="9">N46*$G46</f>
        <v>0</v>
      </c>
      <c r="Q46" s="2501"/>
    </row>
    <row r="47" spans="1:17" s="42" customFormat="1" ht="15" customHeight="1">
      <c r="A47" s="1284"/>
      <c r="B47" s="2418"/>
      <c r="C47" s="4964"/>
      <c r="D47" s="4965"/>
      <c r="E47" s="1693">
        <f>IF($C47=0,0,VLOOKUP($C47,SDÖ3!$C$24:$N$101,4,FALSE))</f>
        <v>0</v>
      </c>
      <c r="F47" s="1692">
        <f>IF($C47=0,0,VLOOKUP($C47,SDÖ3!$C$24:$N$101,12,FALSE))</f>
        <v>0</v>
      </c>
      <c r="G47" s="1691">
        <f>IF($C47=0,0,VLOOKUP($C47,SDÖ3!$C$24:$N$101,13,FALSE))</f>
        <v>0</v>
      </c>
      <c r="H47" s="1688"/>
      <c r="I47" s="1687">
        <f t="shared" si="4"/>
        <v>0</v>
      </c>
      <c r="J47" s="1686">
        <f t="shared" si="5"/>
        <v>0</v>
      </c>
      <c r="K47" s="1688"/>
      <c r="L47" s="1690">
        <f t="shared" si="6"/>
        <v>0</v>
      </c>
      <c r="M47" s="1689">
        <f t="shared" si="7"/>
        <v>0</v>
      </c>
      <c r="N47" s="1688"/>
      <c r="O47" s="1687">
        <f t="shared" si="8"/>
        <v>0</v>
      </c>
      <c r="P47" s="2417">
        <f t="shared" si="9"/>
        <v>0</v>
      </c>
      <c r="Q47" s="2501"/>
    </row>
    <row r="48" spans="1:17" s="42" customFormat="1" ht="15" customHeight="1">
      <c r="A48" s="1284"/>
      <c r="B48" s="2418"/>
      <c r="C48" s="4964"/>
      <c r="D48" s="4965"/>
      <c r="E48" s="1693">
        <f>IF($C48=0,0,VLOOKUP($C48,SDÖ3!$C$24:$N$101,4,FALSE))</f>
        <v>0</v>
      </c>
      <c r="F48" s="1692">
        <f>IF($C48=0,0,VLOOKUP($C48,SDÖ3!$C$24:$N$101,12,FALSE))</f>
        <v>0</v>
      </c>
      <c r="G48" s="1691">
        <f>IF($C48=0,0,VLOOKUP($C48,SDÖ3!$C$24:$N$101,13,FALSE))</f>
        <v>0</v>
      </c>
      <c r="H48" s="1688"/>
      <c r="I48" s="1687">
        <f t="shared" si="4"/>
        <v>0</v>
      </c>
      <c r="J48" s="1686">
        <f t="shared" si="5"/>
        <v>0</v>
      </c>
      <c r="K48" s="1688"/>
      <c r="L48" s="1690">
        <f t="shared" si="6"/>
        <v>0</v>
      </c>
      <c r="M48" s="1689">
        <f t="shared" si="7"/>
        <v>0</v>
      </c>
      <c r="N48" s="1688"/>
      <c r="O48" s="1687">
        <f t="shared" si="8"/>
        <v>0</v>
      </c>
      <c r="P48" s="2417">
        <f t="shared" si="9"/>
        <v>0</v>
      </c>
      <c r="Q48" s="2501"/>
    </row>
    <row r="49" spans="1:17" s="42" customFormat="1" ht="15" customHeight="1">
      <c r="A49" s="1284"/>
      <c r="B49" s="2418"/>
      <c r="C49" s="4964"/>
      <c r="D49" s="4965"/>
      <c r="E49" s="1693">
        <f>IF($C49=0,0,VLOOKUP($C49,SDÖ3!$C$24:$N$101,4,FALSE))</f>
        <v>0</v>
      </c>
      <c r="F49" s="1692">
        <f>IF($C49=0,0,VLOOKUP($C49,SDÖ3!$C$24:$N$101,12,FALSE))</f>
        <v>0</v>
      </c>
      <c r="G49" s="1691">
        <f>IF($C49=0,0,VLOOKUP($C49,SDÖ3!$C$24:$N$101,13,FALSE))</f>
        <v>0</v>
      </c>
      <c r="H49" s="1688"/>
      <c r="I49" s="1687">
        <f t="shared" si="4"/>
        <v>0</v>
      </c>
      <c r="J49" s="1686">
        <f t="shared" si="5"/>
        <v>0</v>
      </c>
      <c r="K49" s="1688"/>
      <c r="L49" s="1690">
        <f t="shared" si="6"/>
        <v>0</v>
      </c>
      <c r="M49" s="1689">
        <f t="shared" si="7"/>
        <v>0</v>
      </c>
      <c r="N49" s="1688"/>
      <c r="O49" s="1687">
        <f t="shared" si="8"/>
        <v>0</v>
      </c>
      <c r="P49" s="2417">
        <f t="shared" si="9"/>
        <v>0</v>
      </c>
      <c r="Q49" s="2501"/>
    </row>
    <row r="50" spans="1:17" s="42" customFormat="1" ht="15" customHeight="1">
      <c r="A50" s="1284"/>
      <c r="B50" s="2418"/>
      <c r="C50" s="4964"/>
      <c r="D50" s="4965"/>
      <c r="E50" s="1693">
        <f>IF($C50=0,0,VLOOKUP($C50,SDÖ3!$C$24:$N$101,4,FALSE))</f>
        <v>0</v>
      </c>
      <c r="F50" s="1692">
        <f>IF($C50=0,0,VLOOKUP($C50,SDÖ3!$C$24:$N$101,12,FALSE))</f>
        <v>0</v>
      </c>
      <c r="G50" s="1691">
        <f>IF($C50=0,0,VLOOKUP($C50,SDÖ3!$C$24:$N$101,13,FALSE))</f>
        <v>0</v>
      </c>
      <c r="H50" s="1688"/>
      <c r="I50" s="1687">
        <f t="shared" si="4"/>
        <v>0</v>
      </c>
      <c r="J50" s="1686">
        <f t="shared" si="5"/>
        <v>0</v>
      </c>
      <c r="K50" s="1688"/>
      <c r="L50" s="1690">
        <f t="shared" si="6"/>
        <v>0</v>
      </c>
      <c r="M50" s="1689">
        <f t="shared" si="7"/>
        <v>0</v>
      </c>
      <c r="N50" s="1688"/>
      <c r="O50" s="1687">
        <f t="shared" si="8"/>
        <v>0</v>
      </c>
      <c r="P50" s="2417">
        <f t="shared" si="9"/>
        <v>0</v>
      </c>
      <c r="Q50" s="2501"/>
    </row>
    <row r="51" spans="1:17" s="42" customFormat="1" ht="15" customHeight="1">
      <c r="A51" s="1284"/>
      <c r="B51" s="2418"/>
      <c r="C51" s="4964"/>
      <c r="D51" s="4965"/>
      <c r="E51" s="1693">
        <f>IF($C51=0,0,VLOOKUP($C51,SDÖ3!$C$24:$N$101,4,FALSE))</f>
        <v>0</v>
      </c>
      <c r="F51" s="1692">
        <f>IF($C51=0,0,VLOOKUP($C51,SDÖ3!$C$24:$N$101,12,FALSE))</f>
        <v>0</v>
      </c>
      <c r="G51" s="1691">
        <f>IF($C51=0,0,VLOOKUP($C51,SDÖ3!$C$24:$N$101,13,FALSE))</f>
        <v>0</v>
      </c>
      <c r="H51" s="1688"/>
      <c r="I51" s="1687">
        <f t="shared" si="4"/>
        <v>0</v>
      </c>
      <c r="J51" s="1686">
        <f t="shared" si="5"/>
        <v>0</v>
      </c>
      <c r="K51" s="1688"/>
      <c r="L51" s="1690">
        <f t="shared" si="6"/>
        <v>0</v>
      </c>
      <c r="M51" s="1689">
        <f t="shared" si="7"/>
        <v>0</v>
      </c>
      <c r="N51" s="1688"/>
      <c r="O51" s="1687">
        <f t="shared" si="8"/>
        <v>0</v>
      </c>
      <c r="P51" s="2417">
        <f t="shared" si="9"/>
        <v>0</v>
      </c>
      <c r="Q51" s="2501"/>
    </row>
    <row r="52" spans="1:17" s="42" customFormat="1" ht="15" customHeight="1">
      <c r="A52" s="1284"/>
      <c r="B52" s="2418"/>
      <c r="C52" s="4964"/>
      <c r="D52" s="4965"/>
      <c r="E52" s="1693">
        <f>IF($C52=0,0,VLOOKUP($C52,SDÖ3!$C$24:$N$101,4,FALSE))</f>
        <v>0</v>
      </c>
      <c r="F52" s="1692">
        <f>IF($C52=0,0,VLOOKUP($C52,SDÖ3!$C$24:$N$101,12,FALSE))</f>
        <v>0</v>
      </c>
      <c r="G52" s="1691">
        <f>IF($C52=0,0,VLOOKUP($C52,SDÖ3!$C$24:$N$101,13,FALSE))</f>
        <v>0</v>
      </c>
      <c r="H52" s="1688"/>
      <c r="I52" s="1687">
        <f t="shared" si="4"/>
        <v>0</v>
      </c>
      <c r="J52" s="1686">
        <f t="shared" si="5"/>
        <v>0</v>
      </c>
      <c r="K52" s="1688"/>
      <c r="L52" s="1690">
        <f t="shared" si="6"/>
        <v>0</v>
      </c>
      <c r="M52" s="1689">
        <f t="shared" si="7"/>
        <v>0</v>
      </c>
      <c r="N52" s="1688"/>
      <c r="O52" s="1687">
        <f t="shared" si="8"/>
        <v>0</v>
      </c>
      <c r="P52" s="2417">
        <f t="shared" si="9"/>
        <v>0</v>
      </c>
      <c r="Q52" s="2501"/>
    </row>
    <row r="53" spans="1:17" s="42" customFormat="1" ht="15" customHeight="1">
      <c r="A53" s="1284"/>
      <c r="B53" s="2418"/>
      <c r="C53" s="4964"/>
      <c r="D53" s="4965"/>
      <c r="E53" s="1693">
        <f>IF($C53=0,0,VLOOKUP($C53,SDÖ3!$C$24:$N$101,4,FALSE))</f>
        <v>0</v>
      </c>
      <c r="F53" s="1692">
        <f>IF($C53=0,0,VLOOKUP($C53,SDÖ3!$C$24:$N$101,12,FALSE))</f>
        <v>0</v>
      </c>
      <c r="G53" s="1691">
        <f>IF($C53=0,0,VLOOKUP($C53,SDÖ3!$C$24:$N$101,13,FALSE))</f>
        <v>0</v>
      </c>
      <c r="H53" s="1688"/>
      <c r="I53" s="1687">
        <f t="shared" si="4"/>
        <v>0</v>
      </c>
      <c r="J53" s="1686">
        <f t="shared" si="5"/>
        <v>0</v>
      </c>
      <c r="K53" s="1688"/>
      <c r="L53" s="1690">
        <f t="shared" si="6"/>
        <v>0</v>
      </c>
      <c r="M53" s="1689">
        <f t="shared" si="7"/>
        <v>0</v>
      </c>
      <c r="N53" s="1688"/>
      <c r="O53" s="1687">
        <f t="shared" si="8"/>
        <v>0</v>
      </c>
      <c r="P53" s="2417">
        <f t="shared" si="9"/>
        <v>0</v>
      </c>
      <c r="Q53" s="2501"/>
    </row>
    <row r="54" spans="1:17" s="42" customFormat="1" ht="15" customHeight="1">
      <c r="A54" s="1284"/>
      <c r="B54" s="2418"/>
      <c r="C54" s="4964"/>
      <c r="D54" s="4965"/>
      <c r="E54" s="1693">
        <f>IF($C54=0,0,VLOOKUP($C54,SDÖ3!$C$24:$N$101,4,FALSE))</f>
        <v>0</v>
      </c>
      <c r="F54" s="1692">
        <f>IF($C54=0,0,VLOOKUP($C54,SDÖ3!$C$24:$N$101,12,FALSE))</f>
        <v>0</v>
      </c>
      <c r="G54" s="1691">
        <f>IF($C54=0,0,VLOOKUP($C54,SDÖ3!$C$24:$N$101,13,FALSE))</f>
        <v>0</v>
      </c>
      <c r="H54" s="1688"/>
      <c r="I54" s="1687">
        <f t="shared" si="4"/>
        <v>0</v>
      </c>
      <c r="J54" s="1686">
        <f t="shared" si="5"/>
        <v>0</v>
      </c>
      <c r="K54" s="1688"/>
      <c r="L54" s="1690">
        <f t="shared" si="6"/>
        <v>0</v>
      </c>
      <c r="M54" s="1689">
        <f t="shared" si="7"/>
        <v>0</v>
      </c>
      <c r="N54" s="1688"/>
      <c r="O54" s="1687">
        <f t="shared" si="8"/>
        <v>0</v>
      </c>
      <c r="P54" s="2417">
        <f t="shared" si="9"/>
        <v>0</v>
      </c>
      <c r="Q54" s="38"/>
    </row>
    <row r="55" spans="1:17" s="42" customFormat="1" ht="15" customHeight="1">
      <c r="A55" s="1284"/>
      <c r="B55" s="2418"/>
      <c r="C55" s="4964"/>
      <c r="D55" s="4965"/>
      <c r="E55" s="1693">
        <f>IF($C55=0,0,VLOOKUP($C55,SDÖ3!$C$24:$N$101,4,FALSE))</f>
        <v>0</v>
      </c>
      <c r="F55" s="1692">
        <f>IF($C55=0,0,VLOOKUP($C55,SDÖ3!$C$24:$N$101,12,FALSE))</f>
        <v>0</v>
      </c>
      <c r="G55" s="1691">
        <f>IF($C55=0,0,VLOOKUP($C55,SDÖ3!$C$24:$N$101,13,FALSE))</f>
        <v>0</v>
      </c>
      <c r="H55" s="1688"/>
      <c r="I55" s="1687">
        <f t="shared" si="4"/>
        <v>0</v>
      </c>
      <c r="J55" s="1686">
        <f t="shared" si="5"/>
        <v>0</v>
      </c>
      <c r="K55" s="1688"/>
      <c r="L55" s="1690">
        <f t="shared" si="6"/>
        <v>0</v>
      </c>
      <c r="M55" s="1689">
        <f t="shared" si="7"/>
        <v>0</v>
      </c>
      <c r="N55" s="1688"/>
      <c r="O55" s="1687">
        <f t="shared" si="8"/>
        <v>0</v>
      </c>
      <c r="P55" s="2417">
        <f t="shared" si="9"/>
        <v>0</v>
      </c>
      <c r="Q55" s="38"/>
    </row>
    <row r="56" spans="1:17" s="42" customFormat="1" ht="15" customHeight="1">
      <c r="A56" s="1284"/>
      <c r="B56" s="2418"/>
      <c r="C56" s="4964"/>
      <c r="D56" s="4965"/>
      <c r="E56" s="1693">
        <f>IF($C56=0,0,VLOOKUP($C56,SDÖ3!$C$24:$N$101,4,FALSE))</f>
        <v>0</v>
      </c>
      <c r="F56" s="1692">
        <f>IF($C56=0,0,VLOOKUP($C56,SDÖ3!$C$24:$N$101,12,FALSE))</f>
        <v>0</v>
      </c>
      <c r="G56" s="1691">
        <f>IF($C56=0,0,VLOOKUP($C56,SDÖ3!$C$24:$N$101,13,FALSE))</f>
        <v>0</v>
      </c>
      <c r="H56" s="1688"/>
      <c r="I56" s="1687">
        <f t="shared" si="4"/>
        <v>0</v>
      </c>
      <c r="J56" s="1686">
        <f t="shared" si="5"/>
        <v>0</v>
      </c>
      <c r="K56" s="1688"/>
      <c r="L56" s="1690">
        <f t="shared" si="6"/>
        <v>0</v>
      </c>
      <c r="M56" s="1689">
        <f t="shared" si="7"/>
        <v>0</v>
      </c>
      <c r="N56" s="1688"/>
      <c r="O56" s="1687">
        <f t="shared" si="8"/>
        <v>0</v>
      </c>
      <c r="P56" s="2417">
        <f t="shared" si="9"/>
        <v>0</v>
      </c>
      <c r="Q56" s="2501"/>
    </row>
    <row r="57" spans="1:17" s="42" customFormat="1" ht="24.75" customHeight="1">
      <c r="A57" s="1284"/>
      <c r="B57" s="2397"/>
      <c r="C57" s="5001">
        <v>0</v>
      </c>
      <c r="D57" s="5002"/>
      <c r="E57" s="1676">
        <f>IF($C57=0,0,VLOOKUP($C57,SDÖ3!$C$24:$N$101,4,FALSE))</f>
        <v>0</v>
      </c>
      <c r="F57" s="1675">
        <f>IF($C57=0,0,VLOOKUP($C57,SDÖ3!$C$24:$N$101,12,FALSE))</f>
        <v>0</v>
      </c>
      <c r="G57" s="1674">
        <f>IF($C57=0,0,VLOOKUP($C57,SDÖ3!$C$24:$N$101,13,FALSE))</f>
        <v>0</v>
      </c>
      <c r="H57" s="1672">
        <f>H11/50</f>
        <v>0</v>
      </c>
      <c r="I57" s="1671">
        <f t="shared" si="4"/>
        <v>0</v>
      </c>
      <c r="J57" s="1670">
        <f t="shared" si="5"/>
        <v>0</v>
      </c>
      <c r="K57" s="1672">
        <f>K11/50</f>
        <v>0</v>
      </c>
      <c r="L57" s="1673">
        <f t="shared" si="6"/>
        <v>0</v>
      </c>
      <c r="M57" s="1620">
        <f t="shared" si="7"/>
        <v>0</v>
      </c>
      <c r="N57" s="1672">
        <f>N11/50</f>
        <v>0</v>
      </c>
      <c r="O57" s="1671">
        <f t="shared" si="8"/>
        <v>0</v>
      </c>
      <c r="P57" s="2416">
        <f t="shared" si="9"/>
        <v>0</v>
      </c>
      <c r="Q57" s="2501"/>
    </row>
    <row r="58" spans="1:17" s="42" customFormat="1" ht="24.75" customHeight="1">
      <c r="A58" s="1284"/>
      <c r="B58" s="2415" t="s">
        <v>1624</v>
      </c>
      <c r="C58" s="2414"/>
      <c r="D58" s="2414"/>
      <c r="E58" s="2414"/>
      <c r="F58" s="2414"/>
      <c r="G58" s="2414"/>
      <c r="H58" s="2411"/>
      <c r="I58" s="2410">
        <f>SUM(I46:I57)</f>
        <v>0</v>
      </c>
      <c r="J58" s="2413"/>
      <c r="K58" s="2411"/>
      <c r="L58" s="2410">
        <f>SUM(L46:L57)</f>
        <v>0</v>
      </c>
      <c r="M58" s="2412"/>
      <c r="N58" s="2411"/>
      <c r="O58" s="2410">
        <f>SUM(O46:O57)</f>
        <v>0</v>
      </c>
      <c r="P58" s="2409"/>
      <c r="Q58" s="2501"/>
    </row>
    <row r="59" spans="1:17" s="2500" customFormat="1" ht="18.75" customHeight="1">
      <c r="A59" s="1248"/>
      <c r="B59" s="2388" t="s">
        <v>1623</v>
      </c>
      <c r="C59" s="1248"/>
      <c r="D59" s="1248"/>
      <c r="E59" s="1248"/>
      <c r="F59" s="2501"/>
      <c r="G59" s="2384" t="s">
        <v>171</v>
      </c>
      <c r="H59" s="73"/>
      <c r="I59" s="73"/>
      <c r="J59" s="1582">
        <f>H60*$E60</f>
        <v>0</v>
      </c>
      <c r="K59" s="1597"/>
      <c r="L59" s="1597"/>
      <c r="M59" s="1585">
        <f>K60*$E60</f>
        <v>0</v>
      </c>
      <c r="N59" s="73"/>
      <c r="O59" s="73"/>
      <c r="P59" s="2383">
        <f>N60*$E60</f>
        <v>0</v>
      </c>
      <c r="Q59" s="2501"/>
    </row>
    <row r="60" spans="1:17" s="2500" customFormat="1" ht="15" customHeight="1">
      <c r="A60" s="1248"/>
      <c r="B60" s="2408"/>
      <c r="C60" s="1355"/>
      <c r="D60" s="278" t="s">
        <v>1004</v>
      </c>
      <c r="E60" s="1615">
        <v>10</v>
      </c>
      <c r="F60" s="1590"/>
      <c r="G60" s="2407" t="s">
        <v>463</v>
      </c>
      <c r="H60" s="1556"/>
      <c r="I60" s="1611"/>
      <c r="J60" s="1600"/>
      <c r="K60" s="1556"/>
      <c r="L60" s="1613"/>
      <c r="M60" s="1603"/>
      <c r="N60" s="1556"/>
      <c r="O60" s="1611"/>
      <c r="P60" s="2389"/>
      <c r="Q60" s="2501"/>
    </row>
    <row r="61" spans="1:17" s="65" customFormat="1" ht="18.75" customHeight="1">
      <c r="A61" s="1351"/>
      <c r="B61" s="2388" t="s">
        <v>1622</v>
      </c>
      <c r="C61" s="1351"/>
      <c r="D61" s="1351"/>
      <c r="E61" s="1351"/>
      <c r="F61" s="2501"/>
      <c r="G61" s="2384" t="s">
        <v>463</v>
      </c>
      <c r="H61" s="1665"/>
      <c r="I61" s="1664">
        <f>I58-H60</f>
        <v>0</v>
      </c>
      <c r="J61" s="1669"/>
      <c r="K61" s="1668"/>
      <c r="L61" s="1667">
        <f>L58-K60</f>
        <v>0</v>
      </c>
      <c r="M61" s="1666"/>
      <c r="N61" s="1665"/>
      <c r="O61" s="1664">
        <f>O58-N60</f>
        <v>0</v>
      </c>
      <c r="P61" s="2406"/>
      <c r="Q61" s="2501"/>
    </row>
    <row r="62" spans="1:17" s="65" customFormat="1" ht="15" customHeight="1">
      <c r="A62" s="1351"/>
      <c r="B62" s="2405"/>
      <c r="C62" s="312"/>
      <c r="D62" s="278" t="s">
        <v>1166</v>
      </c>
      <c r="E62" s="1661">
        <v>80</v>
      </c>
      <c r="F62" s="312" t="s">
        <v>1165</v>
      </c>
      <c r="G62" s="142"/>
      <c r="H62" s="1656"/>
      <c r="I62" s="1655">
        <f>IF(I61+SUM($I$46:$I$57)*$E$62%&gt;I61+10,I61+10,I61+SUM($I$46:$I$57)*$E$62%)</f>
        <v>0</v>
      </c>
      <c r="J62" s="1654"/>
      <c r="K62" s="1659"/>
      <c r="L62" s="1658">
        <f>IF(L61+SUM($L$46:$L$57)*$E$62%&gt;L61+10,L61+10,L61+SUM($L$46:$L$57)*$E$62%)</f>
        <v>0</v>
      </c>
      <c r="M62" s="1657"/>
      <c r="N62" s="1656"/>
      <c r="O62" s="1655">
        <f>IF(O61+SUM($O$46:$O$57)*$E$62%&gt;O61+10,O61+10,O61+SUM($O$46:$O$57)*$E$62%)</f>
        <v>0</v>
      </c>
      <c r="P62" s="2404"/>
      <c r="Q62" s="2501"/>
    </row>
    <row r="63" spans="1:17" s="42" customFormat="1" ht="18.75" customHeight="1">
      <c r="A63" s="1284"/>
      <c r="B63" s="2388" t="s">
        <v>339</v>
      </c>
      <c r="C63" s="1351"/>
      <c r="D63" s="1351"/>
      <c r="G63" s="2403" t="s">
        <v>171</v>
      </c>
      <c r="H63" s="2401"/>
      <c r="I63" s="2400"/>
      <c r="J63" s="1582">
        <f>IF(J6=0,0,SUM(I65:I67))</f>
        <v>0</v>
      </c>
      <c r="K63" s="1648"/>
      <c r="L63" s="1647"/>
      <c r="M63" s="1585">
        <f>IF(M6=0,0,SUM(L65:L67))</f>
        <v>0</v>
      </c>
      <c r="N63" s="2401"/>
      <c r="O63" s="2400"/>
      <c r="P63" s="2383">
        <f>IF(P6=0,0,SUM(O65:O67))</f>
        <v>0</v>
      </c>
      <c r="Q63" s="2501"/>
    </row>
    <row r="64" spans="1:17" s="42" customFormat="1" ht="13.15" customHeight="1">
      <c r="A64" s="1284"/>
      <c r="B64" s="2382"/>
      <c r="C64" s="1580" t="s">
        <v>1156</v>
      </c>
      <c r="D64" s="1651">
        <f>SDÖ1!$O$11</f>
        <v>0</v>
      </c>
      <c r="E64" s="2381"/>
      <c r="F64" s="2379" t="s">
        <v>249</v>
      </c>
      <c r="G64" s="2402" t="s">
        <v>1155</v>
      </c>
      <c r="H64" s="2401"/>
      <c r="I64" s="2400"/>
      <c r="J64" s="1750"/>
      <c r="K64" s="1648"/>
      <c r="L64" s="1647"/>
      <c r="M64" s="1646"/>
      <c r="N64" s="2401"/>
      <c r="O64" s="2400"/>
      <c r="P64" s="2374"/>
      <c r="Q64" s="2501"/>
    </row>
    <row r="65" spans="1:20" s="42" customFormat="1" ht="15" customHeight="1">
      <c r="A65" s="1284"/>
      <c r="B65" s="2373"/>
      <c r="C65" s="4967"/>
      <c r="D65" s="4967"/>
      <c r="E65" s="4967"/>
      <c r="F65" s="1642">
        <f>IF($C65=0,0,VLOOKUP($C65,SDÖ3!$C$140:$D$162,2,FALSE))</f>
        <v>0</v>
      </c>
      <c r="G65" s="1641">
        <f>(100+$D$64)/100*F65</f>
        <v>0</v>
      </c>
      <c r="I65" s="1785">
        <f>$G$65</f>
        <v>0</v>
      </c>
      <c r="K65" s="1640"/>
      <c r="L65" s="1639">
        <f>$G$65</f>
        <v>0</v>
      </c>
      <c r="M65" s="2372"/>
      <c r="N65" s="2398"/>
      <c r="O65" s="1785">
        <f>$G$65</f>
        <v>0</v>
      </c>
      <c r="P65" s="2371"/>
      <c r="Q65" s="2501"/>
    </row>
    <row r="66" spans="1:20" s="42" customFormat="1" ht="15" customHeight="1">
      <c r="A66" s="1284"/>
      <c r="B66" s="2373"/>
      <c r="C66" s="4967"/>
      <c r="D66" s="4967"/>
      <c r="E66" s="4968"/>
      <c r="F66" s="2399">
        <f>IF($C66=0,0,VLOOKUP($C66,SDÖ3!$C$140:$D$162,2,FALSE))</f>
        <v>0</v>
      </c>
      <c r="G66" s="1554">
        <f>(100+$D$64)/100*F66</f>
        <v>0</v>
      </c>
      <c r="K66" s="1640"/>
      <c r="L66" s="1639"/>
      <c r="M66" s="2372"/>
      <c r="N66" s="2398"/>
      <c r="O66" s="1785"/>
      <c r="P66" s="2371"/>
      <c r="Q66" s="2501"/>
    </row>
    <row r="67" spans="1:20" s="42" customFormat="1" ht="15" customHeight="1">
      <c r="A67" s="1284"/>
      <c r="B67" s="2397"/>
      <c r="C67" s="4969" t="s">
        <v>307</v>
      </c>
      <c r="D67" s="4969"/>
      <c r="E67" s="4969"/>
      <c r="F67" s="1624">
        <f>IF($T$3=FALSE,0,VLOOKUP($C67,SDÖ3!$C$140:$D$162,2,FALSE))</f>
        <v>0</v>
      </c>
      <c r="G67" s="1623">
        <f>(100+$D$64)/100*F67</f>
        <v>0</v>
      </c>
      <c r="H67" s="2396"/>
      <c r="I67" s="1777">
        <f>H11*$G$67</f>
        <v>0</v>
      </c>
      <c r="K67" s="1622"/>
      <c r="L67" s="1621">
        <f>K11*$G$67</f>
        <v>0</v>
      </c>
      <c r="M67" s="1620"/>
      <c r="N67" s="2396"/>
      <c r="O67" s="1777">
        <f>N11*$G$67</f>
        <v>0</v>
      </c>
      <c r="P67" s="2395"/>
      <c r="Q67" s="2501"/>
    </row>
    <row r="68" spans="1:20" s="2500" customFormat="1" ht="22.9" customHeight="1">
      <c r="A68" s="1248"/>
      <c r="B68" s="2388" t="s">
        <v>1621</v>
      </c>
      <c r="C68" s="1248"/>
      <c r="D68" s="1248"/>
      <c r="E68" s="229"/>
      <c r="F68" s="1610"/>
      <c r="G68" s="2384" t="s">
        <v>171</v>
      </c>
      <c r="H68" s="2392" t="s">
        <v>1161</v>
      </c>
      <c r="I68" s="2391" t="s">
        <v>1160</v>
      </c>
      <c r="J68" s="1931">
        <f>IF($F$69=0,$R$69*H$9*I$69%,$F$69*H$9*I$69%)</f>
        <v>0</v>
      </c>
      <c r="K68" s="2394" t="s">
        <v>1161</v>
      </c>
      <c r="L68" s="2393" t="s">
        <v>1160</v>
      </c>
      <c r="M68" s="1931">
        <f>IF($F$69=0,$S$69*K$9*L$69%,$F$69*K$9*L$69%)</f>
        <v>0</v>
      </c>
      <c r="N68" s="2392" t="s">
        <v>1161</v>
      </c>
      <c r="O68" s="2391" t="s">
        <v>1160</v>
      </c>
      <c r="P68" s="2975">
        <f>IF($F$69=0,$T$69*N$9*O$69%,$F$69*N$9*O$69%)</f>
        <v>0</v>
      </c>
      <c r="Q68" s="2501"/>
    </row>
    <row r="69" spans="1:20" s="2500" customFormat="1" ht="15" customHeight="1">
      <c r="A69" s="1248"/>
      <c r="B69" s="2390"/>
      <c r="C69" s="4970" t="s">
        <v>1620</v>
      </c>
      <c r="D69" s="4970"/>
      <c r="E69" s="4970"/>
      <c r="F69" s="1604"/>
      <c r="G69" s="1595" t="s">
        <v>228</v>
      </c>
      <c r="H69" s="1602"/>
      <c r="I69" s="1601"/>
      <c r="J69" s="1600"/>
      <c r="K69" s="1602"/>
      <c r="L69" s="1601"/>
      <c r="M69" s="1603"/>
      <c r="N69" s="1602"/>
      <c r="O69" s="1601"/>
      <c r="P69" s="2389"/>
      <c r="Q69" s="2501"/>
      <c r="R69" s="1912">
        <f>IF($H$69=0,0,VLOOKUP($H$69,#REF!,2,FALSE))*(1+SDÖ1!$O$11/100)</f>
        <v>0</v>
      </c>
      <c r="S69" s="1599">
        <f>IF($K$69=0,0,VLOOKUP($K$69,#REF!,2,FALSE))*(1+SDÖ1!$O$11/100)</f>
        <v>0</v>
      </c>
      <c r="T69" s="1912">
        <f>IF($N$69=0,0,VLOOKUP($N$69,#REF!,2,FALSE))*(1+SDÖ1!$O$11/100)</f>
        <v>0</v>
      </c>
    </row>
    <row r="70" spans="1:20" s="2500" customFormat="1" ht="18.75" customHeight="1">
      <c r="A70" s="1248"/>
      <c r="B70" s="2388" t="s">
        <v>1619</v>
      </c>
      <c r="C70" s="1248"/>
      <c r="D70" s="1248"/>
      <c r="E70" s="229"/>
      <c r="F70" s="229"/>
      <c r="G70" s="2384" t="s">
        <v>171</v>
      </c>
      <c r="H70" s="44"/>
      <c r="I70" s="73"/>
      <c r="J70" s="1582">
        <f>H71*$F71/1000</f>
        <v>0</v>
      </c>
      <c r="K70" s="1598"/>
      <c r="L70" s="1597"/>
      <c r="M70" s="1585">
        <f>K71*$F71/1000</f>
        <v>0</v>
      </c>
      <c r="N70" s="44"/>
      <c r="O70" s="73"/>
      <c r="P70" s="2383">
        <f>N71*$F71/1000</f>
        <v>0</v>
      </c>
      <c r="Q70" s="2501"/>
    </row>
    <row r="71" spans="1:20" s="2500" customFormat="1" ht="15" customHeight="1">
      <c r="A71" s="1248"/>
      <c r="B71" s="2387"/>
      <c r="C71" s="1309" t="s">
        <v>840</v>
      </c>
      <c r="D71" s="312"/>
      <c r="E71" s="278"/>
      <c r="F71" s="1930"/>
      <c r="G71" s="1595" t="s">
        <v>171</v>
      </c>
      <c r="H71" s="1591">
        <f>I9+I10</f>
        <v>0</v>
      </c>
      <c r="I71" s="1590"/>
      <c r="J71" s="1589"/>
      <c r="K71" s="1594">
        <f>L9+L10</f>
        <v>0</v>
      </c>
      <c r="L71" s="1593"/>
      <c r="M71" s="1592"/>
      <c r="N71" s="1591">
        <f>O9+O10</f>
        <v>0</v>
      </c>
      <c r="O71" s="1590"/>
      <c r="P71" s="2386"/>
      <c r="Q71" s="2501"/>
    </row>
    <row r="72" spans="1:20" ht="18.75" customHeight="1">
      <c r="A72" s="370"/>
      <c r="B72" s="2385" t="s">
        <v>218</v>
      </c>
      <c r="C72" s="370"/>
      <c r="D72" s="370"/>
      <c r="E72" s="229"/>
      <c r="F72" s="2505"/>
      <c r="G72" s="2384" t="s">
        <v>171</v>
      </c>
      <c r="H72" s="1584"/>
      <c r="I72" s="1583"/>
      <c r="J72" s="1582">
        <f>SUM(I74:I75)</f>
        <v>0</v>
      </c>
      <c r="K72" s="1587"/>
      <c r="L72" s="1586"/>
      <c r="M72" s="1585">
        <f>SUM(L74:L75)</f>
        <v>0</v>
      </c>
      <c r="N72" s="1584"/>
      <c r="O72" s="1583"/>
      <c r="P72" s="2383">
        <f>SUM(O74:O75)</f>
        <v>0</v>
      </c>
    </row>
    <row r="73" spans="1:20" ht="13.15" customHeight="1">
      <c r="A73" s="370"/>
      <c r="B73" s="2382"/>
      <c r="C73" s="1580" t="s">
        <v>1156</v>
      </c>
      <c r="D73" s="1579">
        <f>SDÖ1!$O$12</f>
        <v>0</v>
      </c>
      <c r="E73" s="2381"/>
      <c r="F73" s="1577"/>
      <c r="G73" s="1576"/>
      <c r="H73" s="2380" t="s">
        <v>249</v>
      </c>
      <c r="I73" s="2379" t="s">
        <v>1155</v>
      </c>
      <c r="J73" s="1573"/>
      <c r="K73" s="2378" t="s">
        <v>249</v>
      </c>
      <c r="L73" s="2377" t="s">
        <v>1155</v>
      </c>
      <c r="M73" s="1570"/>
      <c r="N73" s="2376" t="s">
        <v>249</v>
      </c>
      <c r="O73" s="2375" t="s">
        <v>1155</v>
      </c>
      <c r="P73" s="2374"/>
    </row>
    <row r="74" spans="1:20" s="42" customFormat="1" ht="15" customHeight="1">
      <c r="A74" s="1284"/>
      <c r="B74" s="2373"/>
      <c r="C74" s="4981"/>
      <c r="D74" s="4981"/>
      <c r="E74" s="4981"/>
      <c r="F74" s="1566"/>
      <c r="G74" s="1565"/>
      <c r="H74" s="1559"/>
      <c r="I74" s="1563">
        <f>(100+$D$73)/100*H74</f>
        <v>0</v>
      </c>
      <c r="K74" s="1559"/>
      <c r="L74" s="1564">
        <f>(100+$D$73)/100*K74</f>
        <v>0</v>
      </c>
      <c r="M74" s="2372"/>
      <c r="N74" s="1559"/>
      <c r="O74" s="1563">
        <f>(100+$D$73)/100*N74</f>
        <v>0</v>
      </c>
      <c r="P74" s="2371"/>
      <c r="Q74" s="2498"/>
      <c r="R74" s="2497"/>
    </row>
    <row r="75" spans="1:20" s="42" customFormat="1" ht="15" customHeight="1">
      <c r="A75" s="1284"/>
      <c r="B75" s="2373"/>
      <c r="C75" s="4966"/>
      <c r="D75" s="4966"/>
      <c r="E75" s="4966"/>
      <c r="F75" s="1561"/>
      <c r="G75" s="1560"/>
      <c r="H75" s="1556"/>
      <c r="I75" s="1555">
        <f>(100+$D$73)/100*H75</f>
        <v>0</v>
      </c>
      <c r="K75" s="1559"/>
      <c r="L75" s="1558">
        <f>(100+$D$73)/100*K75</f>
        <v>0</v>
      </c>
      <c r="M75" s="2372"/>
      <c r="N75" s="1556"/>
      <c r="O75" s="1555">
        <f>(100+$D$73)/100*N75</f>
        <v>0</v>
      </c>
      <c r="P75" s="2371"/>
      <c r="Q75" s="2498"/>
      <c r="R75" s="2497"/>
    </row>
    <row r="76" spans="1:20" s="2500" customFormat="1" ht="30.2" customHeight="1" thickBot="1">
      <c r="A76" s="1248"/>
      <c r="B76" s="4982" t="s">
        <v>1154</v>
      </c>
      <c r="C76" s="4983"/>
      <c r="D76" s="2370" t="s">
        <v>1153</v>
      </c>
      <c r="E76" s="2369">
        <f>SDÖ1!$O$71/100</f>
        <v>0.02</v>
      </c>
      <c r="F76" s="2368" t="s">
        <v>1618</v>
      </c>
      <c r="G76" s="2367">
        <v>5</v>
      </c>
      <c r="H76" s="2363"/>
      <c r="I76" s="2366"/>
      <c r="J76" s="2361">
        <f>(J23+J27+J34+J43+J63+J59+J68+J70+J72)*(SDÖ1!$O$71%*$G$76/12)</f>
        <v>0</v>
      </c>
      <c r="K76" s="2365"/>
      <c r="L76" s="2364"/>
      <c r="M76" s="2361">
        <f>(M23+M27+M34+M43+M63+M59+M68+M70+M72)*(SDÖ1!$O$71%*$G$76/12)</f>
        <v>0</v>
      </c>
      <c r="N76" s="2363"/>
      <c r="O76" s="2362"/>
      <c r="P76" s="2361">
        <f>(P23+P27+P34+P43+P63+P59+P68+P70+P72)*(SDÖ1!$O$71%*$G$76/12)</f>
        <v>0</v>
      </c>
      <c r="Q76" s="2501"/>
    </row>
    <row r="81" spans="3:16">
      <c r="C81" s="2358" t="e">
        <f>#REF!</f>
        <v>#REF!</v>
      </c>
      <c r="D81" s="270"/>
      <c r="E81" s="699"/>
      <c r="G81" s="2358" t="e">
        <f>#REF!</f>
        <v>#REF!</v>
      </c>
      <c r="H81" s="270"/>
      <c r="I81" s="699"/>
      <c r="L81" s="33"/>
    </row>
    <row r="82" spans="3:16">
      <c r="C82" s="743" t="e">
        <f>#REF!</f>
        <v>#REF!</v>
      </c>
      <c r="E82" s="2502"/>
      <c r="G82" s="2359" t="e">
        <f>#REF!</f>
        <v>#REF!</v>
      </c>
      <c r="I82" s="2502"/>
      <c r="L82" s="33"/>
      <c r="N82" s="2358" t="str">
        <f>SDÖ3!C24</f>
        <v>Drehpflug 2,10 m</v>
      </c>
      <c r="O82" s="270"/>
      <c r="P82" s="699"/>
    </row>
    <row r="83" spans="3:16">
      <c r="C83" s="743" t="e">
        <f>#REF!</f>
        <v>#REF!</v>
      </c>
      <c r="E83" s="2502"/>
      <c r="G83" s="2360"/>
      <c r="H83" s="312"/>
      <c r="I83" s="687"/>
      <c r="L83" s="33"/>
      <c r="N83" s="2359" t="str">
        <f>SDÖ3!C25</f>
        <v>Schwergrubber 3 m</v>
      </c>
      <c r="P83" s="2502"/>
    </row>
    <row r="84" spans="3:16">
      <c r="C84" s="743" t="e">
        <f>#REF!</f>
        <v>#REF!</v>
      </c>
      <c r="E84" s="2502"/>
      <c r="G84" s="33"/>
      <c r="H84" s="33"/>
      <c r="I84" s="33"/>
      <c r="L84" s="33"/>
      <c r="N84" s="2359" t="str">
        <f>SDÖ3!C26</f>
        <v>Scheibenegge 5 m</v>
      </c>
      <c r="P84" s="2502"/>
    </row>
    <row r="85" spans="3:16">
      <c r="C85" s="743" t="e">
        <f>#REF!</f>
        <v>#REF!</v>
      </c>
      <c r="E85" s="2502"/>
      <c r="G85" s="33"/>
      <c r="H85" s="33"/>
      <c r="I85" s="33"/>
      <c r="L85" s="33"/>
      <c r="N85" s="2359" t="str">
        <f>SDÖ3!C28</f>
        <v>Kreiselegge 3 m</v>
      </c>
      <c r="P85" s="2502"/>
    </row>
    <row r="86" spans="3:16">
      <c r="C86" s="743" t="e">
        <f>#REF!</f>
        <v>#REF!</v>
      </c>
      <c r="E86" s="2502"/>
      <c r="G86" s="33" t="e">
        <f>#REF!</f>
        <v>#REF!</v>
      </c>
      <c r="H86" s="33"/>
      <c r="I86" s="33"/>
      <c r="L86" s="33"/>
      <c r="N86" s="2359" t="str">
        <f>SDÖ3!C29</f>
        <v>Cambridgewalze 4,5 m</v>
      </c>
      <c r="P86" s="2502"/>
    </row>
    <row r="87" spans="3:16">
      <c r="C87" s="743" t="e">
        <f>#REF!</f>
        <v>#REF!</v>
      </c>
      <c r="E87" s="2502"/>
      <c r="G87" s="33"/>
      <c r="H87" s="33"/>
      <c r="I87" s="33"/>
      <c r="L87" s="33"/>
      <c r="N87" s="2359">
        <f>SDÖ3!C30</f>
        <v>0</v>
      </c>
      <c r="P87" s="2502"/>
    </row>
    <row r="88" spans="3:16">
      <c r="C88" s="743" t="e">
        <f>#REF!</f>
        <v>#REF!</v>
      </c>
      <c r="E88" s="2502"/>
      <c r="G88" s="33" t="e">
        <f>#REF!</f>
        <v>#REF!</v>
      </c>
      <c r="H88" s="33"/>
      <c r="I88" s="33"/>
      <c r="L88" s="33"/>
      <c r="N88" s="2359" t="str">
        <f>SDÖ3!C31</f>
        <v>Kreiselegge-Säkomb. 3 m</v>
      </c>
      <c r="P88" s="2502"/>
    </row>
    <row r="89" spans="3:16">
      <c r="C89" s="743" t="e">
        <f>#REF!</f>
        <v>#REF!</v>
      </c>
      <c r="E89" s="2502"/>
      <c r="G89" s="33" t="e">
        <f>#REF!</f>
        <v>#REF!</v>
      </c>
      <c r="H89" s="33"/>
      <c r="I89" s="33"/>
      <c r="L89" s="33"/>
      <c r="N89" s="2359" t="str">
        <f>SDÖ3!C32</f>
        <v>Grubber-Kreiselegge-Säkomb. 3 m</v>
      </c>
      <c r="P89" s="2502"/>
    </row>
    <row r="90" spans="3:16">
      <c r="C90" s="743" t="e">
        <f>#REF!</f>
        <v>#REF!</v>
      </c>
      <c r="E90" s="2502"/>
      <c r="G90" s="33" t="e">
        <f>#REF!</f>
        <v>#REF!</v>
      </c>
      <c r="H90" s="33"/>
      <c r="I90" s="33"/>
      <c r="L90" s="33"/>
      <c r="N90" s="2359" t="str">
        <f>SDÖ3!C33</f>
        <v>Sämaschine 3m</v>
      </c>
      <c r="P90" s="2502"/>
    </row>
    <row r="91" spans="3:16">
      <c r="C91" s="743" t="e">
        <f>#REF!</f>
        <v>#REF!</v>
      </c>
      <c r="E91" s="2502"/>
      <c r="G91" s="33"/>
      <c r="H91" s="33"/>
      <c r="I91" s="33"/>
      <c r="L91" s="33"/>
      <c r="N91" s="2359" t="str">
        <f>SDÖ3!C34</f>
        <v>Einzelkornsaat 4 r (Mais, Sonnenblume)</v>
      </c>
      <c r="P91" s="2502"/>
    </row>
    <row r="92" spans="3:16">
      <c r="C92" s="743" t="e">
        <f>#REF!</f>
        <v>#REF!</v>
      </c>
      <c r="E92" s="2502"/>
      <c r="L92" s="33"/>
      <c r="N92" s="2359" t="str">
        <f>SDÖ3!C35</f>
        <v>Einzelkornsaat 6 r (Rüben)</v>
      </c>
      <c r="P92" s="2502"/>
    </row>
    <row r="93" spans="3:16">
      <c r="C93" s="743" t="e">
        <f>#REF!</f>
        <v>#REF!</v>
      </c>
      <c r="E93" s="2502"/>
      <c r="L93" s="33"/>
      <c r="N93" s="2359" t="str">
        <f>SDÖ3!C37</f>
        <v>Direktsämaschine 3 m</v>
      </c>
      <c r="P93" s="2502"/>
    </row>
    <row r="94" spans="3:16">
      <c r="C94" s="743" t="e">
        <f>#REF!</f>
        <v>#REF!</v>
      </c>
      <c r="E94" s="2502"/>
      <c r="G94" s="2358" t="str">
        <f>SDÖ3!C140</f>
        <v>Mähdrescher - Erbsen/Ackerbohnen</v>
      </c>
      <c r="H94" s="270"/>
      <c r="I94" s="699"/>
      <c r="L94" s="33"/>
      <c r="N94" s="2359" t="str">
        <f>SDÖ3!C38</f>
        <v>Dammkulturgerät mit Säeinheit(3m)</v>
      </c>
      <c r="P94" s="2502"/>
    </row>
    <row r="95" spans="3:16">
      <c r="C95" s="743" t="e">
        <f>#REF!</f>
        <v>#REF!</v>
      </c>
      <c r="E95" s="2502"/>
      <c r="G95" s="2359" t="str">
        <f>SDÖ3!C141</f>
        <v>Mähdrescher - Körnermais</v>
      </c>
      <c r="I95" s="2502"/>
      <c r="L95" s="33"/>
      <c r="N95" s="2359">
        <f>SDÖ3!C39</f>
        <v>0</v>
      </c>
      <c r="P95" s="2502"/>
    </row>
    <row r="96" spans="3:16">
      <c r="C96" s="743" t="e">
        <f>#REF!</f>
        <v>#REF!</v>
      </c>
      <c r="E96" s="2502"/>
      <c r="G96" s="2359" t="str">
        <f>SDÖ3!C142</f>
        <v>Mähdrescher - Getr. m. Strohhäcksler</v>
      </c>
      <c r="I96" s="2502"/>
      <c r="L96" s="33"/>
      <c r="N96" s="2359" t="str">
        <f>SDÖ3!C40</f>
        <v xml:space="preserve">Düngerstreuer ab Hof 12 m, 400 kg/ha </v>
      </c>
      <c r="P96" s="2502"/>
    </row>
    <row r="97" spans="3:16">
      <c r="C97" s="743" t="e">
        <f>#REF!</f>
        <v>#REF!</v>
      </c>
      <c r="E97" s="2502"/>
      <c r="G97" s="2359" t="str">
        <f>SDÖ3!C143</f>
        <v>ZR - Roden, 6-reihig</v>
      </c>
      <c r="I97" s="2502"/>
      <c r="L97" s="33"/>
      <c r="N97" s="2359" t="str">
        <f>SDÖ3!C41</f>
        <v>Mist/Kompost streuen 20 t/ha  (6 m, 10 t) inkl. Beladen</v>
      </c>
      <c r="P97" s="2502"/>
    </row>
    <row r="98" spans="3:16">
      <c r="C98" s="743" t="e">
        <f>#REF!</f>
        <v>#REF!</v>
      </c>
      <c r="E98" s="2502"/>
      <c r="G98" s="2359" t="str">
        <f>SDÖ3!C144</f>
        <v>KA - Vollernter mit Bunker, 2-reihig</v>
      </c>
      <c r="I98" s="2502"/>
      <c r="L98" s="33"/>
      <c r="N98" s="2359" t="e">
        <f>SDÖ3!#REF!</f>
        <v>#REF!</v>
      </c>
      <c r="P98" s="2502"/>
    </row>
    <row r="99" spans="3:16">
      <c r="C99" s="286" t="e">
        <f>#REF!</f>
        <v>#REF!</v>
      </c>
      <c r="D99" s="312"/>
      <c r="E99" s="687"/>
      <c r="G99" s="2359" t="str">
        <f>SDÖ3!C145</f>
        <v>KA - Schlägeln (m. Schl. + Fahrer)</v>
      </c>
      <c r="I99" s="2502"/>
      <c r="L99" s="33"/>
      <c r="N99" s="2359" t="e">
        <f>SDÖ3!#REF!</f>
        <v>#REF!</v>
      </c>
      <c r="P99" s="2502"/>
    </row>
    <row r="100" spans="3:16">
      <c r="C100" s="743"/>
      <c r="E100" s="2502"/>
      <c r="G100" s="2359" t="str">
        <f>SDÖ3!C146</f>
        <v>ZR - Laden, Abfuhr</v>
      </c>
      <c r="I100" s="2502"/>
      <c r="L100" s="33"/>
      <c r="N100" s="2359" t="str">
        <f>SDÖ3!C42</f>
        <v>Gülle ausbringen 20 m³/ha, (15 m³ Fass, Schleppschl. 7,5 m</v>
      </c>
      <c r="P100" s="2502"/>
    </row>
    <row r="101" spans="3:16">
      <c r="C101" s="743"/>
      <c r="E101" s="2502"/>
      <c r="G101" s="2359" t="str">
        <f>SDÖ3!C147</f>
        <v>Mulchen (Lohnunternehmer)</v>
      </c>
      <c r="I101" s="2502"/>
      <c r="L101" s="33"/>
      <c r="N101" s="2359" t="str">
        <f>SDÖ3!C44</f>
        <v>Kalkstreuer 6 m³,15 m, 2t/ha (ab Feld, mit Beladen)</v>
      </c>
      <c r="P101" s="2502"/>
    </row>
    <row r="102" spans="3:16">
      <c r="C102" s="270"/>
      <c r="D102" s="270"/>
      <c r="E102" s="270"/>
      <c r="G102" s="2359" t="str">
        <f>SDÖ3!C148</f>
        <v>Stroh-Rundballen pressen je ha</v>
      </c>
      <c r="I102" s="2502"/>
      <c r="L102" s="33"/>
      <c r="N102" s="2359">
        <f>SDÖ3!C45</f>
        <v>0</v>
      </c>
      <c r="P102" s="2502"/>
    </row>
    <row r="103" spans="3:16">
      <c r="G103" s="2359" t="str">
        <f>SDÖ3!C149</f>
        <v>Stroh-Quaderballen pressen je ha</v>
      </c>
      <c r="I103" s="2502"/>
      <c r="L103" s="33"/>
      <c r="N103" s="2359" t="str">
        <f>SDÖ3!C46</f>
        <v>Pflanzenschutzspritze 12 m, 300 l/ha</v>
      </c>
      <c r="P103" s="2502"/>
    </row>
    <row r="104" spans="3:16">
      <c r="G104" s="2359" t="str">
        <f>SDÖ3!C150</f>
        <v>Silomais Häckseln/Festfahren im Lohn</v>
      </c>
      <c r="I104" s="2502"/>
      <c r="L104" s="33"/>
      <c r="N104" s="2359" t="str">
        <f>SDÖ3!C47</f>
        <v>Mulchgerät 3 m</v>
      </c>
      <c r="P104" s="2502"/>
    </row>
    <row r="105" spans="3:16">
      <c r="C105" s="2496"/>
      <c r="G105" s="2359" t="str">
        <f>SDÖ3!C151</f>
        <v>Silomais Aussaat (im Lohn)</v>
      </c>
      <c r="I105" s="2502"/>
      <c r="L105" s="33"/>
      <c r="N105" s="2359" t="str">
        <f>SDÖ3!C48</f>
        <v>Präparatespritze 6 m</v>
      </c>
      <c r="P105" s="2502"/>
    </row>
    <row r="106" spans="3:16">
      <c r="C106" s="2495" t="s">
        <v>1647</v>
      </c>
      <c r="G106" s="2359" t="str">
        <f>SDÖ3!C152</f>
        <v>Silomais Häckseln (im Lohn)</v>
      </c>
      <c r="I106" s="2502"/>
      <c r="L106" s="33"/>
      <c r="N106" s="2359" t="str">
        <f>SDÖ3!C49</f>
        <v>Hackstriegel 9 m</v>
      </c>
      <c r="P106" s="2502"/>
    </row>
    <row r="107" spans="3:16">
      <c r="C107" s="2495" t="s">
        <v>841</v>
      </c>
      <c r="G107" s="2359" t="str">
        <f>SDÖ3!C153</f>
        <v>GPS Häckseln im Lohn</v>
      </c>
      <c r="I107" s="2502"/>
      <c r="L107" s="33"/>
      <c r="N107" s="2359" t="str">
        <f>SDÖ3!C51</f>
        <v>Reihenhackgerät 3 m</v>
      </c>
      <c r="P107" s="2502"/>
    </row>
    <row r="108" spans="3:16">
      <c r="C108" s="2495"/>
      <c r="G108" s="2359" t="str">
        <f>SDÖ3!C154</f>
        <v>GPS Häckseln/Festfahren im Lohn</v>
      </c>
      <c r="I108" s="2502"/>
      <c r="L108" s="33"/>
      <c r="N108" s="2359">
        <f>SDÖ3!C52</f>
        <v>0</v>
      </c>
      <c r="P108" s="2502"/>
    </row>
    <row r="109" spans="3:16">
      <c r="C109" s="2495"/>
      <c r="G109" s="2359" t="str">
        <f>SDÖ3!C155</f>
        <v>Nachsaatmaschine (¼ Betrag)</v>
      </c>
      <c r="I109" s="2502"/>
      <c r="L109" s="33"/>
      <c r="N109" s="2359" t="str">
        <f>SDÖ3!C53</f>
        <v>Mais/GPS Silage festwalzen, 50 t FM</v>
      </c>
      <c r="P109" s="2502"/>
    </row>
    <row r="110" spans="3:16">
      <c r="C110" s="2494"/>
      <c r="G110" s="2359">
        <f>SDÖ3!C156</f>
        <v>0</v>
      </c>
      <c r="I110" s="2502"/>
      <c r="L110" s="33"/>
      <c r="N110" s="2359" t="str">
        <f>SDÖ3!C54</f>
        <v>Bunkerroder Möhren 0,5 m Arbeitsbreite</v>
      </c>
      <c r="P110" s="2502"/>
    </row>
    <row r="111" spans="3:16">
      <c r="G111" s="2359" t="str">
        <f>SDÖ3!C157</f>
        <v>Stroh-Rundballen pressen je dt</v>
      </c>
      <c r="I111" s="2502"/>
      <c r="L111" s="33"/>
      <c r="N111" s="2359">
        <f>SDÖ3!C55</f>
        <v>0</v>
      </c>
      <c r="P111" s="2502"/>
    </row>
    <row r="112" spans="3:16">
      <c r="G112" s="2359" t="str">
        <f>SDÖ3!C158</f>
        <v>Stroh-Quaderballen pressen je dt</v>
      </c>
      <c r="I112" s="2502"/>
      <c r="L112" s="33"/>
      <c r="N112" s="2359" t="str">
        <f>SDÖ3!C56</f>
        <v>Transp. u. Abkip. Getr. 6 t/ha (5,7 t Ki.)</v>
      </c>
      <c r="P112" s="2502"/>
    </row>
    <row r="113" spans="2:16">
      <c r="G113" s="2359" t="str">
        <f>SDÖ3!C159</f>
        <v>Festmistausbringung (im Lohn) €/t</v>
      </c>
      <c r="I113" s="2502"/>
      <c r="L113" s="33"/>
      <c r="N113" s="2359" t="str">
        <f>SDÖ3!C57</f>
        <v>Transp. u. Abkip. Getr. 6 t/ha (13,5 t Ki.)</v>
      </c>
      <c r="P113" s="2502"/>
    </row>
    <row r="114" spans="2:16">
      <c r="G114" s="2359" t="str">
        <f>SDÖ3!C160</f>
        <v>Gülleausbringung (im Lohn); €/m³</v>
      </c>
      <c r="I114" s="2502"/>
      <c r="L114" s="33"/>
      <c r="N114" s="2359" t="str">
        <f>SDÖ3!C58</f>
        <v>Silagetransport Mais/GPS, 3S.Kip. (10t Nutzl.), 50 t FM</v>
      </c>
      <c r="P114" s="2502"/>
    </row>
    <row r="115" spans="2:16">
      <c r="G115" s="2359" t="str">
        <f>SDÖ3!C161</f>
        <v>Traktor75-92 kW inkl. Diesel + Fahrer je h</v>
      </c>
      <c r="I115" s="2502"/>
      <c r="L115" s="33"/>
      <c r="N115" s="2359" t="str">
        <f>SDÖ3!C59</f>
        <v>Stroh-Rundballen 4 t/ha laden, abfahren, stapeln, 3-S-Kipp.</v>
      </c>
      <c r="P115" s="2502"/>
    </row>
    <row r="116" spans="2:16">
      <c r="G116" s="2359" t="str">
        <f>SDÖ3!C162</f>
        <v>Kipper je t zul Gesamtgewicht je h</v>
      </c>
      <c r="I116" s="2502"/>
      <c r="L116" s="33"/>
      <c r="N116" s="2359">
        <f>SDÖ3!C60</f>
        <v>0</v>
      </c>
      <c r="P116" s="2502"/>
    </row>
    <row r="117" spans="2:16">
      <c r="G117" s="2359">
        <f>SDÖ3!C163</f>
        <v>0</v>
      </c>
      <c r="L117" s="33"/>
      <c r="N117" s="2359" t="str">
        <f>SDÖ3!C61</f>
        <v>Wiesenwalze 3 m</v>
      </c>
      <c r="P117" s="2502"/>
    </row>
    <row r="118" spans="2:16">
      <c r="G118" s="2359">
        <f>SDÖ3!C164</f>
        <v>0</v>
      </c>
      <c r="L118" s="33"/>
      <c r="N118" s="2359" t="str">
        <f>SDÖ3!C62</f>
        <v>Wiesenegge 6 m</v>
      </c>
      <c r="P118" s="2502"/>
    </row>
    <row r="119" spans="2:16">
      <c r="G119" s="2359">
        <f>SDÖ3!C165</f>
        <v>0</v>
      </c>
      <c r="L119" s="33"/>
      <c r="N119" s="2359" t="str">
        <f>SDÖ3!C63</f>
        <v>Mähkomb. Heck/Front (4,5m insges., ohne Aufb.)</v>
      </c>
      <c r="P119" s="2502"/>
    </row>
    <row r="120" spans="2:16">
      <c r="L120" s="33"/>
      <c r="N120" s="2359" t="str">
        <f>SDÖ3!C65</f>
        <v>Rotationsmähwerk (Heck) m. Aufb. 2,8 m</v>
      </c>
      <c r="P120" s="2502"/>
    </row>
    <row r="121" spans="2:16">
      <c r="L121" s="33"/>
      <c r="N121" s="2359" t="str">
        <f>SDÖ3!C66</f>
        <v>Kreiselwender 5,5m</v>
      </c>
      <c r="P121" s="2502"/>
    </row>
    <row r="122" spans="2:16">
      <c r="L122" s="33"/>
      <c r="N122" s="2359" t="str">
        <f>SDÖ3!C67</f>
        <v>Kreiselschwader 7,5m Seitenablage</v>
      </c>
      <c r="O122" s="2502"/>
    </row>
    <row r="123" spans="2:16">
      <c r="B123" s="600">
        <v>1</v>
      </c>
      <c r="C123" s="33" t="str">
        <f>SDÖ5!C6</f>
        <v>Bio-dyn-Präparate (je Anw.)</v>
      </c>
      <c r="E123" s="2501">
        <f>IF(ISNA(VLOOKUP(B123,SDÖ5!$U$26:$X$37,SDÖ5!$U$23,FALSE)),0,(VLOOKUP(B123,SDÖ5!$U$26:$X$37,SDÖ5!$U$23,FALSE)))</f>
        <v>0</v>
      </c>
      <c r="L123" s="33"/>
      <c r="N123" s="2359" t="str">
        <f>SDÖ3!C68</f>
        <v>LW Silage, o. Dosierwalzen; 12 t FM (28 m³, 4 t Nutzl.)</v>
      </c>
      <c r="P123" s="2502"/>
    </row>
    <row r="124" spans="2:16">
      <c r="B124" s="600">
        <v>2</v>
      </c>
      <c r="C124" s="33" t="str">
        <f>SDÖ5!C7</f>
        <v>Propangas (je Anw.)</v>
      </c>
      <c r="E124" s="2501">
        <f>IF(ISNA(VLOOKUP(B124,SDÖ5!$U$26:$X$37,SDÖ5!$U$23,FALSE)),0,(VLOOKUP(B124,SDÖ5!$U$26:$X$37,SDÖ5!$U$23,FALSE)))</f>
        <v>0</v>
      </c>
      <c r="L124" s="33"/>
      <c r="N124" s="2359" t="str">
        <f>SDÖ3!C69</f>
        <v>Grassilo festwalzen, 12 t FM</v>
      </c>
      <c r="P124" s="2502"/>
    </row>
    <row r="125" spans="2:16">
      <c r="B125" s="600">
        <v>3</v>
      </c>
      <c r="C125" s="33" t="str">
        <f>SDÖ5!C8</f>
        <v xml:space="preserve">Schutznetz (je Anw.) </v>
      </c>
      <c r="E125" s="2501">
        <f>IF(ISNA(VLOOKUP(B125,SDÖ5!$U$26:$X$37,SDÖ5!$U$23,FALSE)),0,(VLOOKUP(B125,SDÖ5!$U$26:$X$37,SDÖ5!$U$23,FALSE)))</f>
        <v>0</v>
      </c>
      <c r="L125" s="33"/>
      <c r="N125" s="2359">
        <f>SDÖ3!C70</f>
        <v>0</v>
      </c>
      <c r="P125" s="2502"/>
    </row>
    <row r="126" spans="2:16">
      <c r="B126" s="600">
        <v>4</v>
      </c>
      <c r="C126" s="33" t="str">
        <f>SDÖ5!C9</f>
        <v>Neempräparat (je Anw.)</v>
      </c>
      <c r="E126" s="2501">
        <f>IF(ISNA(VLOOKUP(B126,SDÖ5!$U$26:$X$37,SDÖ5!$U$23,FALSE)),0,(VLOOKUP(B126,SDÖ5!$U$26:$X$37,SDÖ5!$U$23,FALSE)))</f>
        <v>0</v>
      </c>
      <c r="L126" s="33"/>
      <c r="N126" s="2359" t="str">
        <f>SDÖ3!C71</f>
        <v>Kartoffeln vorkeimen</v>
      </c>
      <c r="P126" s="2502"/>
    </row>
    <row r="127" spans="2:16">
      <c r="B127" s="600">
        <v>5</v>
      </c>
      <c r="C127" s="33" t="str">
        <f>SDÖ5!C10</f>
        <v>Kupfer (je Anw.)</v>
      </c>
      <c r="E127" s="2501">
        <f>IF(ISNA(VLOOKUP(B127,SDÖ5!$U$26:$X$37,SDÖ5!$U$23,FALSE)),0,(VLOOKUP(B127,SDÖ5!$U$26:$X$37,SDÖ5!$U$23,FALSE)))</f>
        <v>0</v>
      </c>
      <c r="L127" s="33"/>
      <c r="N127" s="2359" t="str">
        <f>SDÖ3!C72</f>
        <v>Pflanzkartoffeltransport,-laden 2,5 t/ha</v>
      </c>
      <c r="P127" s="2502"/>
    </row>
    <row r="128" spans="2:16">
      <c r="B128" s="600">
        <v>6</v>
      </c>
      <c r="C128" s="33" t="str">
        <f>SDÖ5!C11</f>
        <v>Bac.thureng. kurstaki (je Anw.)</v>
      </c>
      <c r="E128" s="2501">
        <f>IF(ISNA(VLOOKUP(B128,SDÖ5!$U$26:$X$37,SDÖ5!$U$23,FALSE)),0,(VLOOKUP(B128,SDÖ5!$U$26:$X$37,SDÖ5!$U$23,FALSE)))</f>
        <v>0</v>
      </c>
      <c r="L128" s="33"/>
      <c r="N128" s="2359" t="str">
        <f>SDÖ3!C73</f>
        <v>Legemaschine mit starrem Bunker 4 r (Kartoffel)</v>
      </c>
      <c r="P128" s="2502"/>
    </row>
    <row r="129" spans="2:16">
      <c r="B129" s="600">
        <v>7</v>
      </c>
      <c r="C129" s="33" t="str">
        <f>SDÖ5!C12</f>
        <v>Bac.thureng. tenebrionis (je Anw.)</v>
      </c>
      <c r="E129" s="2501">
        <f>IF(ISNA(VLOOKUP(B129,SDÖ5!$U$26:$X$37,SDÖ5!$U$23,FALSE)),0,(VLOOKUP(B129,SDÖ5!$U$26:$X$37,SDÖ5!$U$23,FALSE)))</f>
        <v>0</v>
      </c>
      <c r="L129" s="33"/>
      <c r="N129" s="2359" t="str">
        <f>SDÖ3!C74</f>
        <v>Legemaschine mit Kippbunker 4 r (Kartoffel)</v>
      </c>
      <c r="P129" s="2502"/>
    </row>
    <row r="130" spans="2:16">
      <c r="B130" s="600">
        <v>8</v>
      </c>
      <c r="C130" s="33" t="str">
        <f>SDÖ5!C13</f>
        <v>Eisen-III-Phosphat</v>
      </c>
      <c r="E130" s="2501">
        <f>IF(ISNA(VLOOKUP(B130,SDÖ5!$U$26:$X$37,SDÖ5!$U$23,FALSE)),0,(VLOOKUP(B130,SDÖ5!$U$26:$X$37,SDÖ5!$U$23,FALSE)))</f>
        <v>0</v>
      </c>
      <c r="L130" s="33"/>
      <c r="N130" s="2359" t="str">
        <f>SDÖ3!C75</f>
        <v>Häufeln 4 r, Vorauflauf (Kartoffel)</v>
      </c>
      <c r="P130" s="2502"/>
    </row>
    <row r="131" spans="2:16">
      <c r="B131" s="600">
        <v>9</v>
      </c>
      <c r="C131" s="33">
        <f>SDÖ5!C14</f>
        <v>0</v>
      </c>
      <c r="E131" s="2501">
        <f>IF(ISNA(VLOOKUP(B131,SDÖ5!$U$26:$X$37,SDÖ5!$U$23,FALSE)),0,(VLOOKUP(B131,SDÖ5!$U$26:$X$37,SDÖ5!$U$23,FALSE)))</f>
        <v>0</v>
      </c>
      <c r="L131" s="33"/>
      <c r="N131" s="2359" t="str">
        <f>SDÖ3!C76</f>
        <v>Hacken Nachauflauf 4 r</v>
      </c>
      <c r="P131" s="2502"/>
    </row>
    <row r="132" spans="2:16">
      <c r="B132" s="600">
        <v>10</v>
      </c>
      <c r="C132" s="33">
        <f>SDÖ5!C15</f>
        <v>0</v>
      </c>
      <c r="E132" s="2501">
        <f>IF(ISNA(VLOOKUP(B132,SDÖ5!$U$26:$X$37,SDÖ5!$U$23,FALSE)),0,(VLOOKUP(B132,SDÖ5!$U$26:$X$37,SDÖ5!$U$23,FALSE)))</f>
        <v>0</v>
      </c>
      <c r="L132" s="33"/>
      <c r="N132" s="2359" t="e">
        <f>SDÖ3!#REF!</f>
        <v>#REF!</v>
      </c>
      <c r="P132" s="2502"/>
    </row>
    <row r="133" spans="2:16">
      <c r="B133" s="600">
        <v>11</v>
      </c>
      <c r="C133" s="33" t="str">
        <f>SDÖ5!C16</f>
        <v>Düngemittel</v>
      </c>
      <c r="E133" s="2501">
        <f>IF(ISNA(VLOOKUP(B133,SDÖ5!$U$26:$X$37,SDÖ5!$U$23,FALSE)),0,(VLOOKUP(B133,SDÖ5!$U$26:$X$37,SDÖ5!$U$23,FALSE)))</f>
        <v>0</v>
      </c>
      <c r="L133" s="33"/>
      <c r="N133" s="2359" t="str">
        <f>SDÖ3!C77</f>
        <v>Häufeln 4 r, Nachauflauf (Kartoffel)</v>
      </c>
      <c r="P133" s="2502"/>
    </row>
    <row r="134" spans="2:16">
      <c r="B134" s="600">
        <v>12</v>
      </c>
      <c r="C134" s="33" t="e">
        <f>SDÖ5!#REF!</f>
        <v>#REF!</v>
      </c>
      <c r="E134" s="2501">
        <f>IF(ISNA(VLOOKUP(B134,SDÖ5!$U$26:$X$37,SDÖ5!$U$23,FALSE)),0,(VLOOKUP(B134,SDÖ5!$U$26:$X$37,SDÖ5!$U$23,FALSE)))</f>
        <v>0</v>
      </c>
      <c r="L134" s="33"/>
      <c r="N134" s="2359" t="str">
        <f>SDÖ3!C91</f>
        <v>Hanfstroh Transport 15 km</v>
      </c>
    </row>
    <row r="135" spans="2:16">
      <c r="B135" s="600">
        <v>13</v>
      </c>
      <c r="C135" s="33" t="e">
        <f>SDÖ5!#REF!</f>
        <v>#REF!</v>
      </c>
      <c r="E135" s="2501">
        <f>IF(ISNA(VLOOKUP(B135,SDÖ5!$U$26:$X$37,SDÖ5!$U$23,FALSE)),0,(VLOOKUP(B135,SDÖ5!$U$26:$X$37,SDÖ5!$U$23,FALSE)))</f>
        <v>0</v>
      </c>
      <c r="L135" s="33"/>
      <c r="N135" s="2359" t="str">
        <f>SDÖ3!C92</f>
        <v>Hanfstroh Transport/ein-/auslag.</v>
      </c>
    </row>
    <row r="136" spans="2:16">
      <c r="B136" s="600">
        <v>14</v>
      </c>
      <c r="C136" s="33" t="e">
        <f>SDÖ5!#REF!</f>
        <v>#REF!</v>
      </c>
      <c r="E136" s="2501">
        <f>IF(ISNA(VLOOKUP(B136,SDÖ5!$U$26:$X$37,SDÖ5!$U$23,FALSE)),0,(VLOOKUP(B136,SDÖ5!$U$26:$X$37,SDÖ5!$U$23,FALSE)))</f>
        <v>0</v>
      </c>
      <c r="L136" s="33"/>
      <c r="N136" s="2359">
        <f>SDÖ3!C93</f>
        <v>0</v>
      </c>
    </row>
    <row r="137" spans="2:16">
      <c r="B137" s="600">
        <v>15</v>
      </c>
      <c r="C137" s="33"/>
      <c r="E137" s="2501">
        <f>IF(ISNA(VLOOKUP(B137,SDÖ5!$U$26:$X$37,SDÖ5!$U$23,FALSE)),0,(VLOOKUP(B137,SDÖ5!$U$26:$X$37,SDÖ5!$U$23,FALSE)))</f>
        <v>0</v>
      </c>
      <c r="L137" s="33"/>
      <c r="N137" s="2359" t="str">
        <f>SDÖ3!C94</f>
        <v>Handakh Feld Möhren</v>
      </c>
    </row>
    <row r="138" spans="2:16">
      <c r="B138" s="600">
        <v>16</v>
      </c>
      <c r="C138" s="33"/>
      <c r="E138" s="2501">
        <f>IF(ISNA(VLOOKUP(B138,SDÖ5!$U$26:$X$37,SDÖ5!$U$23,FALSE)),0,(VLOOKUP(B138,SDÖ5!$U$26:$X$37,SDÖ5!$U$23,FALSE)))</f>
        <v>0</v>
      </c>
      <c r="L138" s="33"/>
      <c r="N138" s="2359" t="str">
        <f>SDÖ3!C96</f>
        <v>Handakh Feld sonstige Kultur</v>
      </c>
    </row>
    <row r="139" spans="2:16">
      <c r="B139" s="600"/>
      <c r="C139" s="33"/>
      <c r="L139" s="33"/>
      <c r="N139" s="2359" t="str">
        <f>SDÖ3!C99</f>
        <v>Handakh Aufbereitung sonstige Kultur</v>
      </c>
    </row>
    <row r="140" spans="2:16">
      <c r="B140" s="600"/>
      <c r="C140" s="33"/>
      <c r="L140" s="33"/>
      <c r="N140" s="2359">
        <f>SDÖ3!C100</f>
        <v>0</v>
      </c>
    </row>
    <row r="141" spans="2:16">
      <c r="B141" s="600"/>
      <c r="C141" s="33"/>
      <c r="L141" s="33"/>
      <c r="N141" s="2359">
        <f>SDÖ3!C101</f>
        <v>0</v>
      </c>
    </row>
    <row r="142" spans="2:16">
      <c r="B142" s="600"/>
      <c r="C142" s="33" t="str">
        <f ca="1">MID(CELL("Dateiname",$A$1),FIND("]",CELL("Dateiname",$A$1))+1,31)</f>
        <v>TE9</v>
      </c>
      <c r="L142" s="33"/>
    </row>
    <row r="143" spans="2:16">
      <c r="B143" s="600"/>
      <c r="C143" s="33"/>
      <c r="L143" s="33"/>
    </row>
    <row r="144" spans="2:16">
      <c r="B144" s="600"/>
      <c r="C144" s="33"/>
      <c r="L144" s="33"/>
    </row>
    <row r="145" spans="2:12">
      <c r="B145" s="600"/>
      <c r="C145" s="33"/>
      <c r="L145" s="33"/>
    </row>
    <row r="146" spans="2:12">
      <c r="B146" s="600"/>
      <c r="C146" s="33"/>
      <c r="L146" s="33"/>
    </row>
    <row r="147" spans="2:12">
      <c r="B147" s="600"/>
      <c r="C147" s="33"/>
      <c r="L147" s="33"/>
    </row>
    <row r="148" spans="2:12">
      <c r="B148" s="600"/>
      <c r="C148" s="33"/>
      <c r="L148" s="33"/>
    </row>
    <row r="149" spans="2:12">
      <c r="B149" s="600"/>
      <c r="C149" s="33"/>
      <c r="L149" s="33"/>
    </row>
    <row r="150" spans="2:12">
      <c r="B150" s="600"/>
      <c r="C150" s="33"/>
      <c r="L150" s="33"/>
    </row>
    <row r="151" spans="2:12">
      <c r="B151" s="600"/>
      <c r="C151" s="33"/>
      <c r="L151" s="33"/>
    </row>
    <row r="152" spans="2:12">
      <c r="B152" s="600"/>
      <c r="C152" s="33"/>
    </row>
    <row r="153" spans="2:12">
      <c r="B153" s="600"/>
      <c r="C153" s="33"/>
    </row>
    <row r="154" spans="2:12">
      <c r="B154" s="600"/>
      <c r="C154" s="33"/>
    </row>
    <row r="155" spans="2:12">
      <c r="B155" s="600"/>
      <c r="C155" s="33"/>
    </row>
    <row r="156" spans="2:12">
      <c r="B156" s="600"/>
      <c r="C156" s="33"/>
      <c r="H156" s="1897"/>
      <c r="J156" s="2357"/>
    </row>
    <row r="157" spans="2:12">
      <c r="B157" s="600"/>
      <c r="C157" s="33"/>
      <c r="H157" s="1897"/>
      <c r="J157" s="2357"/>
    </row>
    <row r="158" spans="2:12">
      <c r="B158" s="600"/>
      <c r="C158" s="33"/>
      <c r="H158" s="1897"/>
      <c r="J158" s="2357"/>
    </row>
    <row r="159" spans="2:12">
      <c r="B159" s="600"/>
      <c r="C159" s="33"/>
      <c r="D159" s="33"/>
      <c r="F159" s="33"/>
      <c r="G159" s="33"/>
      <c r="H159" s="33"/>
      <c r="I159" s="33"/>
      <c r="J159" s="33"/>
      <c r="K159" s="33"/>
    </row>
    <row r="160" spans="2:12">
      <c r="B160" s="600"/>
      <c r="C160" s="33"/>
      <c r="D160" s="33"/>
      <c r="F160" s="33"/>
      <c r="G160" s="33"/>
      <c r="H160" s="33"/>
      <c r="I160" s="33"/>
      <c r="J160" s="33"/>
      <c r="K160" s="33"/>
    </row>
    <row r="161" spans="2:11">
      <c r="B161" s="600"/>
      <c r="C161" s="33"/>
      <c r="D161" s="33"/>
      <c r="F161" s="33"/>
      <c r="G161" s="33"/>
      <c r="H161" s="33"/>
      <c r="I161" s="33"/>
      <c r="J161" s="33"/>
      <c r="K161" s="33"/>
    </row>
    <row r="162" spans="2:11">
      <c r="B162" s="600"/>
      <c r="C162" s="33"/>
      <c r="H162" s="1897"/>
      <c r="J162" s="2357"/>
    </row>
    <row r="163" spans="2:11">
      <c r="B163" s="600"/>
      <c r="C163" s="33"/>
    </row>
    <row r="164" spans="2:11">
      <c r="B164" s="600"/>
      <c r="C164" s="33"/>
    </row>
    <row r="165" spans="2:11">
      <c r="B165" s="600"/>
      <c r="C165" s="33"/>
    </row>
    <row r="166" spans="2:11">
      <c r="B166" s="600"/>
      <c r="C166" s="33"/>
    </row>
    <row r="167" spans="2:11">
      <c r="B167" s="600"/>
      <c r="C167" s="33"/>
    </row>
    <row r="168" spans="2:11">
      <c r="B168" s="600"/>
      <c r="C168" s="33"/>
    </row>
    <row r="169" spans="2:11">
      <c r="B169" s="600"/>
      <c r="C169" s="33"/>
    </row>
    <row r="170" spans="2:11">
      <c r="B170" s="600"/>
      <c r="C170" s="33"/>
    </row>
    <row r="171" spans="2:11">
      <c r="B171" s="600"/>
      <c r="C171" s="33"/>
    </row>
    <row r="172" spans="2:11">
      <c r="B172" s="600"/>
      <c r="C172" s="33"/>
    </row>
    <row r="173" spans="2:11">
      <c r="B173" s="600"/>
      <c r="C173" s="33"/>
    </row>
    <row r="174" spans="2:11">
      <c r="B174" s="600"/>
      <c r="C174" s="33"/>
    </row>
    <row r="175" spans="2:11">
      <c r="B175" s="600"/>
      <c r="C175" s="33"/>
    </row>
    <row r="176" spans="2:11">
      <c r="B176" s="600"/>
      <c r="C176" s="33"/>
    </row>
    <row r="177" spans="2:3">
      <c r="B177" s="600"/>
      <c r="C177" s="33"/>
    </row>
    <row r="178" spans="2:3">
      <c r="B178" s="600"/>
      <c r="C178" s="33"/>
    </row>
    <row r="179" spans="2:3">
      <c r="B179" s="600"/>
      <c r="C179" s="33"/>
    </row>
    <row r="180" spans="2:3">
      <c r="B180" s="600"/>
      <c r="C180" s="33"/>
    </row>
    <row r="181" spans="2:3">
      <c r="B181" s="600"/>
      <c r="C181" s="33"/>
    </row>
    <row r="182" spans="2:3">
      <c r="B182" s="600"/>
      <c r="C182" s="33"/>
    </row>
    <row r="183" spans="2:3">
      <c r="B183" s="600"/>
      <c r="C183" s="33"/>
    </row>
    <row r="184" spans="2:3">
      <c r="B184" s="600"/>
      <c r="C184" s="33"/>
    </row>
    <row r="185" spans="2:3">
      <c r="B185" s="600"/>
      <c r="C185" s="33"/>
    </row>
    <row r="186" spans="2:3">
      <c r="B186" s="600"/>
      <c r="C186" s="33"/>
    </row>
    <row r="187" spans="2:3">
      <c r="B187" s="600"/>
      <c r="C187" s="33"/>
    </row>
    <row r="188" spans="2:3">
      <c r="B188" s="600"/>
      <c r="C188" s="33"/>
    </row>
    <row r="189" spans="2:3">
      <c r="B189" s="600"/>
      <c r="C189" s="33"/>
    </row>
    <row r="190" spans="2:3">
      <c r="B190" s="600"/>
      <c r="C190" s="33"/>
    </row>
    <row r="191" spans="2:3">
      <c r="B191" s="600"/>
      <c r="C191" s="33"/>
    </row>
    <row r="192" spans="2:3">
      <c r="B192" s="600"/>
      <c r="C192" s="33"/>
    </row>
    <row r="193" spans="2:3">
      <c r="B193" s="600"/>
      <c r="C193" s="33"/>
    </row>
    <row r="194" spans="2:3">
      <c r="B194" s="600"/>
      <c r="C194" s="33"/>
    </row>
    <row r="195" spans="2:3">
      <c r="B195" s="600"/>
      <c r="C195" s="33"/>
    </row>
    <row r="196" spans="2:3">
      <c r="B196" s="600"/>
      <c r="C196" s="33"/>
    </row>
    <row r="197" spans="2:3">
      <c r="B197" s="600"/>
      <c r="C197" s="33"/>
    </row>
    <row r="198" spans="2:3">
      <c r="B198" s="600"/>
      <c r="C198" s="33"/>
    </row>
    <row r="199" spans="2:3">
      <c r="B199" s="600"/>
      <c r="C199" s="33"/>
    </row>
    <row r="200" spans="2:3">
      <c r="B200" s="600"/>
      <c r="C200" s="33"/>
    </row>
    <row r="201" spans="2:3">
      <c r="B201" s="600"/>
      <c r="C201" s="33"/>
    </row>
    <row r="202" spans="2:3">
      <c r="B202" s="600"/>
      <c r="C202" s="33"/>
    </row>
    <row r="203" spans="2:3">
      <c r="B203" s="600"/>
      <c r="C203" s="33"/>
    </row>
    <row r="204" spans="2:3">
      <c r="B204" s="600"/>
      <c r="C204" s="33"/>
    </row>
    <row r="205" spans="2:3">
      <c r="B205" s="600"/>
      <c r="C205" s="33"/>
    </row>
    <row r="206" spans="2:3">
      <c r="B206" s="600"/>
      <c r="C206" s="33"/>
    </row>
    <row r="207" spans="2:3">
      <c r="B207" s="600"/>
      <c r="C207" s="33"/>
    </row>
    <row r="208" spans="2:3">
      <c r="B208" s="600"/>
      <c r="C208" s="33"/>
    </row>
    <row r="209" spans="2:3">
      <c r="B209" s="600"/>
      <c r="C209" s="33"/>
    </row>
    <row r="210" spans="2:3">
      <c r="B210" s="600"/>
      <c r="C210" s="33"/>
    </row>
    <row r="211" spans="2:3">
      <c r="B211" s="600"/>
      <c r="C211" s="33"/>
    </row>
  </sheetData>
  <sheetProtection selectLockedCells="1"/>
  <mergeCells count="49">
    <mergeCell ref="D22:G22"/>
    <mergeCell ref="C20:F20"/>
    <mergeCell ref="C21:F21"/>
    <mergeCell ref="C51:D51"/>
    <mergeCell ref="D25:E25"/>
    <mergeCell ref="C41:E41"/>
    <mergeCell ref="C47:D47"/>
    <mergeCell ref="C48:D48"/>
    <mergeCell ref="C49:D49"/>
    <mergeCell ref="C38:E38"/>
    <mergeCell ref="W3:Y3"/>
    <mergeCell ref="E4:I4"/>
    <mergeCell ref="W4:Y4"/>
    <mergeCell ref="C17:F17"/>
    <mergeCell ref="H6:I6"/>
    <mergeCell ref="K6:L6"/>
    <mergeCell ref="N6:O6"/>
    <mergeCell ref="E10:F10"/>
    <mergeCell ref="C14:F14"/>
    <mergeCell ref="C15:F15"/>
    <mergeCell ref="C16:F16"/>
    <mergeCell ref="G1:I1"/>
    <mergeCell ref="J3:L3"/>
    <mergeCell ref="J4:L4"/>
    <mergeCell ref="K1:L1"/>
    <mergeCell ref="N1:O1"/>
    <mergeCell ref="K2:P2"/>
    <mergeCell ref="N3:O4"/>
    <mergeCell ref="B76:C76"/>
    <mergeCell ref="C66:E66"/>
    <mergeCell ref="C67:E67"/>
    <mergeCell ref="C69:E69"/>
    <mergeCell ref="C74:E74"/>
    <mergeCell ref="C75:E75"/>
    <mergeCell ref="C65:E65"/>
    <mergeCell ref="D26:E26"/>
    <mergeCell ref="C39:E39"/>
    <mergeCell ref="C40:E40"/>
    <mergeCell ref="C46:D46"/>
    <mergeCell ref="C54:D54"/>
    <mergeCell ref="C55:D55"/>
    <mergeCell ref="C42:E42"/>
    <mergeCell ref="C36:E36"/>
    <mergeCell ref="C37:E37"/>
    <mergeCell ref="C53:D53"/>
    <mergeCell ref="C56:D56"/>
    <mergeCell ref="C57:D57"/>
    <mergeCell ref="C52:D52"/>
    <mergeCell ref="C50:D50"/>
  </mergeCells>
  <dataValidations count="7">
    <dataValidation type="list" allowBlank="1" showInputMessage="1" showErrorMessage="1" errorTitle="Arbeitsgänge" error="Bitte aus Dropdownliste auswählen." sqref="C46:D57">
      <formula1>$N$81:$N$142</formula1>
    </dataValidation>
    <dataValidation type="list" allowBlank="1" showInputMessage="1" showErrorMessage="1" errorTitle="Organisationsabh. Ausgleichsl." error="Bitte aus Dropdownliste auswählen." sqref="C20:F21">
      <formula1>$G$81:$G$91</formula1>
    </dataValidation>
    <dataValidation type="list" allowBlank="1" showInputMessage="1" showErrorMessage="1" errorTitle="Lohnmaschinen" error="Bitte aus Dropdownliste auswählen." sqref="C65:C66 C67:E67">
      <formula1>$G$94:$G$116</formula1>
    </dataValidation>
    <dataValidation type="whole" allowBlank="1" showInputMessage="1" showErrorMessage="1" errorTitle="Anteil Erntegut" error="Prozentwert darf nur zwischen 0 und 100 liegen." sqref="O69 L69 I69">
      <formula1>0</formula1>
      <formula2>100</formula2>
    </dataValidation>
    <dataValidation type="decimal" allowBlank="1" showInputMessage="1" showErrorMessage="1" errorTitle="Wassergehalt Getreide" error="Zulässig sind nur Werte zwischen 14,1 und 22,0 % Wassergehalt." sqref="H69 K69 N69">
      <formula1>14.1</formula1>
      <formula2>22</formula2>
    </dataValidation>
    <dataValidation type="list" allowBlank="1" showInputMessage="1" showErrorMessage="1" errorTitle="Verfahrensabh. Ausgleichsleist." error="Bitte aus Dropdownliste auswählen." sqref="C14:F17">
      <formula1>$C$81:$C$100</formula1>
    </dataValidation>
    <dataValidation type="list" allowBlank="1" showInputMessage="1" showErrorMessage="1" errorTitle="Pflanzenschutzmittel" error="Bitte aus Dropdownliste auswählen." sqref="C36:E42">
      <formula1>$E$122:$E$204</formula1>
    </dataValidation>
  </dataValidations>
  <printOptions horizontalCentered="1"/>
  <pageMargins left="0.59055118110236227" right="0.57999999999999996" top="0.59055118110236227" bottom="0.59055118110236227" header="0.39370078740157483" footer="0.39370078740157483"/>
  <pageSetup paperSize="9" scale="68" firstPageNumber="66" orientation="portrait" r:id="rId1"/>
  <headerFooter alignWithMargins="0">
    <oddFooter>&amp;L&amp;11LEL Schwäbisch Gmünd&amp;C68&amp;R&amp;11&amp;F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8560" r:id="rId4" name="Check Box 16">
              <controlPr defaultSize="0" autoFill="0" autoLine="0" autoPict="0">
                <anchor moveWithCells="1">
                  <from>
                    <xdr:col>18</xdr:col>
                    <xdr:colOff>209550</xdr:colOff>
                    <xdr:row>1</xdr:row>
                    <xdr:rowOff>257175</xdr:rowOff>
                  </from>
                  <to>
                    <xdr:col>18</xdr:col>
                    <xdr:colOff>476250</xdr:colOff>
                    <xdr:row>2</xdr:row>
                    <xdr:rowOff>180975</xdr:rowOff>
                  </to>
                </anchor>
              </controlPr>
            </control>
          </mc:Choice>
        </mc:AlternateContent>
        <mc:AlternateContent xmlns:mc="http://schemas.openxmlformats.org/markup-compatibility/2006">
          <mc:Choice Requires="x14">
            <control shapeId="108561" r:id="rId5" name="Check Box 17">
              <controlPr defaultSize="0" autoFill="0" autoLine="0" autoPict="0">
                <anchor moveWithCells="1">
                  <from>
                    <xdr:col>18</xdr:col>
                    <xdr:colOff>209550</xdr:colOff>
                    <xdr:row>1</xdr:row>
                    <xdr:rowOff>57150</xdr:rowOff>
                  </from>
                  <to>
                    <xdr:col>18</xdr:col>
                    <xdr:colOff>476250</xdr:colOff>
                    <xdr:row>1</xdr:row>
                    <xdr:rowOff>295275</xdr:rowOff>
                  </to>
                </anchor>
              </controlPr>
            </control>
          </mc:Choice>
        </mc:AlternateContent>
        <mc:AlternateContent xmlns:mc="http://schemas.openxmlformats.org/markup-compatibility/2006">
          <mc:Choice Requires="x14">
            <control shapeId="108562" r:id="rId6" name="Check Box 18">
              <controlPr defaultSize="0" print="0" autoFill="0" autoLine="0" autoPict="0">
                <anchor moveWithCells="1">
                  <from>
                    <xdr:col>10</xdr:col>
                    <xdr:colOff>171450</xdr:colOff>
                    <xdr:row>13</xdr:row>
                    <xdr:rowOff>57150</xdr:rowOff>
                  </from>
                  <to>
                    <xdr:col>10</xdr:col>
                    <xdr:colOff>390525</xdr:colOff>
                    <xdr:row>14</xdr:row>
                    <xdr:rowOff>47625</xdr:rowOff>
                  </to>
                </anchor>
              </controlPr>
            </control>
          </mc:Choice>
        </mc:AlternateContent>
        <mc:AlternateContent xmlns:mc="http://schemas.openxmlformats.org/markup-compatibility/2006">
          <mc:Choice Requires="x14">
            <control shapeId="108563" r:id="rId7" name="Check Box 19">
              <controlPr defaultSize="0" print="0" autoFill="0" autoLine="0" autoPict="0">
                <anchor moveWithCells="1">
                  <from>
                    <xdr:col>10</xdr:col>
                    <xdr:colOff>171450</xdr:colOff>
                    <xdr:row>14</xdr:row>
                    <xdr:rowOff>38100</xdr:rowOff>
                  </from>
                  <to>
                    <xdr:col>10</xdr:col>
                    <xdr:colOff>390525</xdr:colOff>
                    <xdr:row>14</xdr:row>
                    <xdr:rowOff>180975</xdr:rowOff>
                  </to>
                </anchor>
              </controlPr>
            </control>
          </mc:Choice>
        </mc:AlternateContent>
        <mc:AlternateContent xmlns:mc="http://schemas.openxmlformats.org/markup-compatibility/2006">
          <mc:Choice Requires="x14">
            <control shapeId="108564" r:id="rId8" name="Check Box 20">
              <controlPr defaultSize="0" print="0" autoFill="0" autoLine="0" autoPict="0">
                <anchor moveWithCells="1">
                  <from>
                    <xdr:col>10</xdr:col>
                    <xdr:colOff>171450</xdr:colOff>
                    <xdr:row>14</xdr:row>
                    <xdr:rowOff>171450</xdr:rowOff>
                  </from>
                  <to>
                    <xdr:col>10</xdr:col>
                    <xdr:colOff>390525</xdr:colOff>
                    <xdr:row>15</xdr:row>
                    <xdr:rowOff>123825</xdr:rowOff>
                  </to>
                </anchor>
              </controlPr>
            </control>
          </mc:Choice>
        </mc:AlternateContent>
        <mc:AlternateContent xmlns:mc="http://schemas.openxmlformats.org/markup-compatibility/2006">
          <mc:Choice Requires="x14">
            <control shapeId="108565" r:id="rId9" name="Check Box 21">
              <controlPr defaultSize="0" print="0" autoFill="0" autoLine="0" autoPict="0">
                <anchor moveWithCells="1">
                  <from>
                    <xdr:col>10</xdr:col>
                    <xdr:colOff>161925</xdr:colOff>
                    <xdr:row>15</xdr:row>
                    <xdr:rowOff>152400</xdr:rowOff>
                  </from>
                  <to>
                    <xdr:col>10</xdr:col>
                    <xdr:colOff>381000</xdr:colOff>
                    <xdr:row>16</xdr:row>
                    <xdr:rowOff>114300</xdr:rowOff>
                  </to>
                </anchor>
              </controlPr>
            </control>
          </mc:Choice>
        </mc:AlternateContent>
        <mc:AlternateContent xmlns:mc="http://schemas.openxmlformats.org/markup-compatibility/2006">
          <mc:Choice Requires="x14">
            <control shapeId="108566" r:id="rId10" name="Check Box 22">
              <controlPr defaultSize="0" print="0" autoFill="0" autoLine="0" autoPict="0">
                <anchor moveWithCells="1">
                  <from>
                    <xdr:col>7</xdr:col>
                    <xdr:colOff>133350</xdr:colOff>
                    <xdr:row>13</xdr:row>
                    <xdr:rowOff>38100</xdr:rowOff>
                  </from>
                  <to>
                    <xdr:col>7</xdr:col>
                    <xdr:colOff>361950</xdr:colOff>
                    <xdr:row>14</xdr:row>
                    <xdr:rowOff>19050</xdr:rowOff>
                  </to>
                </anchor>
              </controlPr>
            </control>
          </mc:Choice>
        </mc:AlternateContent>
        <mc:AlternateContent xmlns:mc="http://schemas.openxmlformats.org/markup-compatibility/2006">
          <mc:Choice Requires="x14">
            <control shapeId="108567" r:id="rId11" name="Check Box 23">
              <controlPr defaultSize="0" print="0" autoFill="0" autoLine="0" autoPict="0">
                <anchor moveWithCells="1">
                  <from>
                    <xdr:col>7</xdr:col>
                    <xdr:colOff>133350</xdr:colOff>
                    <xdr:row>14</xdr:row>
                    <xdr:rowOff>47625</xdr:rowOff>
                  </from>
                  <to>
                    <xdr:col>7</xdr:col>
                    <xdr:colOff>352425</xdr:colOff>
                    <xdr:row>15</xdr:row>
                    <xdr:rowOff>0</xdr:rowOff>
                  </to>
                </anchor>
              </controlPr>
            </control>
          </mc:Choice>
        </mc:AlternateContent>
        <mc:AlternateContent xmlns:mc="http://schemas.openxmlformats.org/markup-compatibility/2006">
          <mc:Choice Requires="x14">
            <control shapeId="108568" r:id="rId12" name="Check Box 24">
              <controlPr defaultSize="0" print="0" autoFill="0" autoLine="0" autoPict="0">
                <anchor moveWithCells="1">
                  <from>
                    <xdr:col>7</xdr:col>
                    <xdr:colOff>133350</xdr:colOff>
                    <xdr:row>15</xdr:row>
                    <xdr:rowOff>38100</xdr:rowOff>
                  </from>
                  <to>
                    <xdr:col>7</xdr:col>
                    <xdr:colOff>361950</xdr:colOff>
                    <xdr:row>15</xdr:row>
                    <xdr:rowOff>180975</xdr:rowOff>
                  </to>
                </anchor>
              </controlPr>
            </control>
          </mc:Choice>
        </mc:AlternateContent>
        <mc:AlternateContent xmlns:mc="http://schemas.openxmlformats.org/markup-compatibility/2006">
          <mc:Choice Requires="x14">
            <control shapeId="108569" r:id="rId13" name="Check Box 25">
              <controlPr defaultSize="0" print="0" autoFill="0" autoLine="0" autoPict="0">
                <anchor moveWithCells="1">
                  <from>
                    <xdr:col>7</xdr:col>
                    <xdr:colOff>161925</xdr:colOff>
                    <xdr:row>16</xdr:row>
                    <xdr:rowOff>38100</xdr:rowOff>
                  </from>
                  <to>
                    <xdr:col>7</xdr:col>
                    <xdr:colOff>390525</xdr:colOff>
                    <xdr:row>16</xdr:row>
                    <xdr:rowOff>180975</xdr:rowOff>
                  </to>
                </anchor>
              </controlPr>
            </control>
          </mc:Choice>
        </mc:AlternateContent>
        <mc:AlternateContent xmlns:mc="http://schemas.openxmlformats.org/markup-compatibility/2006">
          <mc:Choice Requires="x14">
            <control shapeId="108570" r:id="rId14" name="Check Box 26">
              <controlPr defaultSize="0" print="0" autoFill="0" autoLine="0" autoPict="0">
                <anchor moveWithCells="1">
                  <from>
                    <xdr:col>13</xdr:col>
                    <xdr:colOff>180975</xdr:colOff>
                    <xdr:row>13</xdr:row>
                    <xdr:rowOff>57150</xdr:rowOff>
                  </from>
                  <to>
                    <xdr:col>13</xdr:col>
                    <xdr:colOff>400050</xdr:colOff>
                    <xdr:row>14</xdr:row>
                    <xdr:rowOff>47625</xdr:rowOff>
                  </to>
                </anchor>
              </controlPr>
            </control>
          </mc:Choice>
        </mc:AlternateContent>
        <mc:AlternateContent xmlns:mc="http://schemas.openxmlformats.org/markup-compatibility/2006">
          <mc:Choice Requires="x14">
            <control shapeId="108571" r:id="rId15" name="Check Box 27">
              <controlPr defaultSize="0" print="0" autoFill="0" autoLine="0" autoPict="0">
                <anchor moveWithCells="1">
                  <from>
                    <xdr:col>13</xdr:col>
                    <xdr:colOff>180975</xdr:colOff>
                    <xdr:row>14</xdr:row>
                    <xdr:rowOff>38100</xdr:rowOff>
                  </from>
                  <to>
                    <xdr:col>13</xdr:col>
                    <xdr:colOff>400050</xdr:colOff>
                    <xdr:row>14</xdr:row>
                    <xdr:rowOff>180975</xdr:rowOff>
                  </to>
                </anchor>
              </controlPr>
            </control>
          </mc:Choice>
        </mc:AlternateContent>
        <mc:AlternateContent xmlns:mc="http://schemas.openxmlformats.org/markup-compatibility/2006">
          <mc:Choice Requires="x14">
            <control shapeId="108572" r:id="rId16" name="Check Box 28">
              <controlPr defaultSize="0" print="0" autoFill="0" autoLine="0" autoPict="0">
                <anchor moveWithCells="1">
                  <from>
                    <xdr:col>13</xdr:col>
                    <xdr:colOff>180975</xdr:colOff>
                    <xdr:row>15</xdr:row>
                    <xdr:rowOff>19050</xdr:rowOff>
                  </from>
                  <to>
                    <xdr:col>13</xdr:col>
                    <xdr:colOff>400050</xdr:colOff>
                    <xdr:row>15</xdr:row>
                    <xdr:rowOff>171450</xdr:rowOff>
                  </to>
                </anchor>
              </controlPr>
            </control>
          </mc:Choice>
        </mc:AlternateContent>
        <mc:AlternateContent xmlns:mc="http://schemas.openxmlformats.org/markup-compatibility/2006">
          <mc:Choice Requires="x14">
            <control shapeId="108573" r:id="rId17" name="Check Box 29">
              <controlPr defaultSize="0" print="0" autoFill="0" autoLine="0" autoPict="0">
                <anchor moveWithCells="1">
                  <from>
                    <xdr:col>13</xdr:col>
                    <xdr:colOff>180975</xdr:colOff>
                    <xdr:row>16</xdr:row>
                    <xdr:rowOff>19050</xdr:rowOff>
                  </from>
                  <to>
                    <xdr:col>13</xdr:col>
                    <xdr:colOff>400050</xdr:colOff>
                    <xdr:row>16</xdr:row>
                    <xdr:rowOff>171450</xdr:rowOff>
                  </to>
                </anchor>
              </controlPr>
            </control>
          </mc:Choice>
        </mc:AlternateContent>
        <mc:AlternateContent xmlns:mc="http://schemas.openxmlformats.org/markup-compatibility/2006">
          <mc:Choice Requires="x14">
            <control shapeId="108574" r:id="rId18" name="Check Box 30">
              <controlPr defaultSize="0" print="0" autoFill="0" autoLine="0" autoPict="0">
                <anchor moveWithCells="1">
                  <from>
                    <xdr:col>12</xdr:col>
                    <xdr:colOff>38100</xdr:colOff>
                    <xdr:row>2</xdr:row>
                    <xdr:rowOff>104775</xdr:rowOff>
                  </from>
                  <to>
                    <xdr:col>12</xdr:col>
                    <xdr:colOff>219075</xdr:colOff>
                    <xdr:row>2</xdr:row>
                    <xdr:rowOff>257175</xdr:rowOff>
                  </to>
                </anchor>
              </controlPr>
            </control>
          </mc:Choice>
        </mc:AlternateContent>
        <mc:AlternateContent xmlns:mc="http://schemas.openxmlformats.org/markup-compatibility/2006">
          <mc:Choice Requires="x14">
            <control shapeId="108575" r:id="rId19" name="Check Box 31">
              <controlPr defaultSize="0" print="0" autoFill="0" autoLine="0" autoPict="0">
                <anchor moveWithCells="1">
                  <from>
                    <xdr:col>12</xdr:col>
                    <xdr:colOff>47625</xdr:colOff>
                    <xdr:row>3</xdr:row>
                    <xdr:rowOff>57150</xdr:rowOff>
                  </from>
                  <to>
                    <xdr:col>12</xdr:col>
                    <xdr:colOff>228600</xdr:colOff>
                    <xdr:row>3</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90</vt:i4>
      </vt:variant>
      <vt:variant>
        <vt:lpstr>Benannte Bereiche</vt:lpstr>
      </vt:variant>
      <vt:variant>
        <vt:i4>96</vt:i4>
      </vt:variant>
    </vt:vector>
  </HeadingPairs>
  <TitlesOfParts>
    <vt:vector size="186" baseType="lpstr">
      <vt:lpstr>Inhalt</vt:lpstr>
      <vt:lpstr>Hinw</vt:lpstr>
      <vt:lpstr>E1</vt:lpstr>
      <vt:lpstr>E2</vt:lpstr>
      <vt:lpstr>EK1</vt:lpstr>
      <vt:lpstr>EK2</vt:lpstr>
      <vt:lpstr>EÖ1</vt:lpstr>
      <vt:lpstr>EÖ2</vt:lpstr>
      <vt:lpstr>SDK1</vt:lpstr>
      <vt:lpstr>Erträge_2-J</vt:lpstr>
      <vt:lpstr>Erträge_3-J</vt:lpstr>
      <vt:lpstr>Erträge_4-J</vt:lpstr>
      <vt:lpstr>Erträge_5-J</vt:lpstr>
      <vt:lpstr>Preiskalkulation_Biomasse</vt:lpstr>
      <vt:lpstr>Maschinenauslastung</vt:lpstr>
      <vt:lpstr>SDÖ1</vt:lpstr>
      <vt:lpstr>SD2</vt:lpstr>
      <vt:lpstr>SDK3</vt:lpstr>
      <vt:lpstr>SDÖ3</vt:lpstr>
      <vt:lpstr>SDK4</vt:lpstr>
      <vt:lpstr>SDÖ4</vt:lpstr>
      <vt:lpstr>SDK5</vt:lpstr>
      <vt:lpstr>SDÖ5</vt:lpstr>
      <vt:lpstr>SD6</vt:lpstr>
      <vt:lpstr>SDÖ7</vt:lpstr>
      <vt:lpstr>SDK7</vt:lpstr>
      <vt:lpstr>SD8</vt:lpstr>
      <vt:lpstr>Betriebsübersicht</vt:lpstr>
      <vt:lpstr>Kostenrechnung</vt:lpstr>
      <vt:lpstr>Daten</vt:lpstr>
      <vt:lpstr>WW1</vt:lpstr>
      <vt:lpstr>WW2</vt:lpstr>
      <vt:lpstr>WRo</vt:lpstr>
      <vt:lpstr>Tr</vt:lpstr>
      <vt:lpstr>WG</vt:lpstr>
      <vt:lpstr>Di</vt:lpstr>
      <vt:lpstr>SW</vt:lpstr>
      <vt:lpstr>SG-Fu</vt:lpstr>
      <vt:lpstr>BG</vt:lpstr>
      <vt:lpstr>Ha</vt:lpstr>
      <vt:lpstr>KöM</vt:lpstr>
      <vt:lpstr>Du</vt:lpstr>
      <vt:lpstr>KH</vt:lpstr>
      <vt:lpstr>WR</vt:lpstr>
      <vt:lpstr>SR</vt:lpstr>
      <vt:lpstr>Soja</vt:lpstr>
      <vt:lpstr>Öl</vt:lpstr>
      <vt:lpstr>FE</vt:lpstr>
      <vt:lpstr>AB</vt:lpstr>
      <vt:lpstr>Lu</vt:lpstr>
      <vt:lpstr>ZR</vt:lpstr>
      <vt:lpstr>FrühKa</vt:lpstr>
      <vt:lpstr>FrühKaFolieBer</vt:lpstr>
      <vt:lpstr>SpKa</vt:lpstr>
      <vt:lpstr>SpKaBer</vt:lpstr>
      <vt:lpstr>WW3</vt:lpstr>
      <vt:lpstr>WW4</vt:lpstr>
      <vt:lpstr>SoBl</vt:lpstr>
      <vt:lpstr>FAKT-Brachebegrünung</vt:lpstr>
      <vt:lpstr>Begr</vt:lpstr>
      <vt:lpstr>Kultur A</vt:lpstr>
      <vt:lpstr>Grafik1-DB</vt:lpstr>
      <vt:lpstr>Öko-KG1</vt:lpstr>
      <vt:lpstr>Öko-KG2</vt:lpstr>
      <vt:lpstr>Öko-LU1</vt:lpstr>
      <vt:lpstr>Öko-LU2</vt:lpstr>
      <vt:lpstr>Öko-WW-Brot</vt:lpstr>
      <vt:lpstr>Öko-WW-Futter</vt:lpstr>
      <vt:lpstr>Öko-Dinkel</vt:lpstr>
      <vt:lpstr>Öko-Dinkel,gegerbt</vt:lpstr>
      <vt:lpstr>Öko-Roggen</vt:lpstr>
      <vt:lpstr>Öko-Hafer</vt:lpstr>
      <vt:lpstr>Öko-Wintergerste</vt:lpstr>
      <vt:lpstr>Öko-Braugerste</vt:lpstr>
      <vt:lpstr>Öko-Körnermais</vt:lpstr>
      <vt:lpstr>Öko-Ackerbohnen</vt:lpstr>
      <vt:lpstr>Öko-Erbsen</vt:lpstr>
      <vt:lpstr>Öko-Sojabohnen</vt:lpstr>
      <vt:lpstr>Öko-Soblu</vt:lpstr>
      <vt:lpstr>Öko-Kartoffel</vt:lpstr>
      <vt:lpstr>Linsen</vt:lpstr>
      <vt:lpstr>Öko-Raps</vt:lpstr>
      <vt:lpstr>TE1</vt:lpstr>
      <vt:lpstr>Blühm.</vt:lpstr>
      <vt:lpstr>Begrün.</vt:lpstr>
      <vt:lpstr>TE5</vt:lpstr>
      <vt:lpstr>TE6</vt:lpstr>
      <vt:lpstr>TE7</vt:lpstr>
      <vt:lpstr>TE8</vt:lpstr>
      <vt:lpstr>TE9</vt:lpstr>
      <vt:lpstr>a</vt:lpstr>
      <vt:lpstr>AB!Druckbereich</vt:lpstr>
      <vt:lpstr>Begr!Druckbereich</vt:lpstr>
      <vt:lpstr>Begrün.!Druckbereich</vt:lpstr>
      <vt:lpstr>BG!Druckbereich</vt:lpstr>
      <vt:lpstr>Blühm.!Druckbereich</vt:lpstr>
      <vt:lpstr>Daten!Druckbereich</vt:lpstr>
      <vt:lpstr>Di!Druckbereich</vt:lpstr>
      <vt:lpstr>Du!Druckbereich</vt:lpstr>
      <vt:lpstr>'E1'!Druckbereich</vt:lpstr>
      <vt:lpstr>'E2'!Druckbereich</vt:lpstr>
      <vt:lpstr>'EK1'!Druckbereich</vt:lpstr>
      <vt:lpstr>'EK2'!Druckbereich</vt:lpstr>
      <vt:lpstr>EÖ1!Druckbereich</vt:lpstr>
      <vt:lpstr>EÖ2!Druckbereich</vt:lpstr>
      <vt:lpstr>'FAKT-Brachebegrünung'!Druckbereich</vt:lpstr>
      <vt:lpstr>FE!Druckbereich</vt:lpstr>
      <vt:lpstr>FrühKa!Druckbereich</vt:lpstr>
      <vt:lpstr>FrühKaFolieBer!Druckbereich</vt:lpstr>
      <vt:lpstr>'Grafik1-DB'!Druckbereich</vt:lpstr>
      <vt:lpstr>Ha!Druckbereich</vt:lpstr>
      <vt:lpstr>Hinw!Druckbereich</vt:lpstr>
      <vt:lpstr>Inhalt!Druckbereich</vt:lpstr>
      <vt:lpstr>KH!Druckbereich</vt:lpstr>
      <vt:lpstr>KöM!Druckbereich</vt:lpstr>
      <vt:lpstr>Kostenrechnung!Druckbereich</vt:lpstr>
      <vt:lpstr>'Kultur A'!Druckbereich</vt:lpstr>
      <vt:lpstr>Linsen!Druckbereich</vt:lpstr>
      <vt:lpstr>Lu!Druckbereich</vt:lpstr>
      <vt:lpstr>'Öko-Ackerbohnen'!Druckbereich</vt:lpstr>
      <vt:lpstr>'Öko-Braugerste'!Druckbereich</vt:lpstr>
      <vt:lpstr>'Öko-Dinkel'!Druckbereich</vt:lpstr>
      <vt:lpstr>'Öko-Dinkel,gegerbt'!Druckbereich</vt:lpstr>
      <vt:lpstr>'Öko-Erbsen'!Druckbereich</vt:lpstr>
      <vt:lpstr>'Öko-Hafer'!Druckbereich</vt:lpstr>
      <vt:lpstr>'Öko-Kartoffel'!Druckbereich</vt:lpstr>
      <vt:lpstr>'Öko-KG1'!Druckbereich</vt:lpstr>
      <vt:lpstr>'Öko-KG2'!Druckbereich</vt:lpstr>
      <vt:lpstr>'Öko-Körnermais'!Druckbereich</vt:lpstr>
      <vt:lpstr>'Öko-LU1'!Druckbereich</vt:lpstr>
      <vt:lpstr>'Öko-LU2'!Druckbereich</vt:lpstr>
      <vt:lpstr>'Öko-Raps'!Druckbereich</vt:lpstr>
      <vt:lpstr>'Öko-Roggen'!Druckbereich</vt:lpstr>
      <vt:lpstr>'Öko-Soblu'!Druckbereich</vt:lpstr>
      <vt:lpstr>'Öko-Sojabohnen'!Druckbereich</vt:lpstr>
      <vt:lpstr>'Öko-Wintergerste'!Druckbereich</vt:lpstr>
      <vt:lpstr>'Öko-WW-Brot'!Druckbereich</vt:lpstr>
      <vt:lpstr>'Öko-WW-Futter'!Druckbereich</vt:lpstr>
      <vt:lpstr>Öl!Druckbereich</vt:lpstr>
      <vt:lpstr>Preiskalkulation_Biomasse!Druckbereich</vt:lpstr>
      <vt:lpstr>'SD2'!Druckbereich</vt:lpstr>
      <vt:lpstr>'SD6'!Druckbereich</vt:lpstr>
      <vt:lpstr>'SD8'!Druckbereich</vt:lpstr>
      <vt:lpstr>'SDK1'!Druckbereich</vt:lpstr>
      <vt:lpstr>'SDK3'!Druckbereich</vt:lpstr>
      <vt:lpstr>'SDK4'!Druckbereich</vt:lpstr>
      <vt:lpstr>'SDK5'!Druckbereich</vt:lpstr>
      <vt:lpstr>'SDK7'!Druckbereich</vt:lpstr>
      <vt:lpstr>SDÖ1!Druckbereich</vt:lpstr>
      <vt:lpstr>SDÖ3!Druckbereich</vt:lpstr>
      <vt:lpstr>SDÖ4!Druckbereich</vt:lpstr>
      <vt:lpstr>SDÖ5!Druckbereich</vt:lpstr>
      <vt:lpstr>SDÖ7!Druckbereich</vt:lpstr>
      <vt:lpstr>'SG-Fu'!Druckbereich</vt:lpstr>
      <vt:lpstr>SoBl!Druckbereich</vt:lpstr>
      <vt:lpstr>Soja!Druckbereich</vt:lpstr>
      <vt:lpstr>SpKa!Druckbereich</vt:lpstr>
      <vt:lpstr>SpKaBer!Druckbereich</vt:lpstr>
      <vt:lpstr>SR!Druckbereich</vt:lpstr>
      <vt:lpstr>SW!Druckbereich</vt:lpstr>
      <vt:lpstr>'TE1'!Druckbereich</vt:lpstr>
      <vt:lpstr>'TE5'!Druckbereich</vt:lpstr>
      <vt:lpstr>'TE6'!Druckbereich</vt:lpstr>
      <vt:lpstr>'TE7'!Druckbereich</vt:lpstr>
      <vt:lpstr>'TE8'!Druckbereich</vt:lpstr>
      <vt:lpstr>'TE9'!Druckbereich</vt:lpstr>
      <vt:lpstr>Tr!Druckbereich</vt:lpstr>
      <vt:lpstr>WG!Druckbereich</vt:lpstr>
      <vt:lpstr>WR!Druckbereich</vt:lpstr>
      <vt:lpstr>WRo!Druckbereich</vt:lpstr>
      <vt:lpstr>'WW1'!Druckbereich</vt:lpstr>
      <vt:lpstr>'WW2'!Druckbereich</vt:lpstr>
      <vt:lpstr>'WW3'!Druckbereich</vt:lpstr>
      <vt:lpstr>'WW4'!Druckbereich</vt:lpstr>
      <vt:lpstr>ZR!Druckbereich</vt:lpstr>
      <vt:lpstr>Daten!Drucktitel</vt:lpstr>
      <vt:lpstr>Preiskalkulation_Biomasse!Drucktitel</vt:lpstr>
      <vt:lpstr>'SD2'!Drucktitel</vt:lpstr>
      <vt:lpstr>'SD6'!Drucktitel</vt:lpstr>
      <vt:lpstr>'SDK3'!Drucktitel</vt:lpstr>
      <vt:lpstr>'SDK7'!Drucktitel</vt:lpstr>
      <vt:lpstr>SDÖ3!Drucktitel</vt:lpstr>
      <vt:lpstr>SDÖ7!Drucktitel</vt:lpstr>
      <vt:lpstr>Saatbettkombination_4_5_m</vt:lpstr>
      <vt:lpstr>SDÖ1!Wintergetreide</vt:lpstr>
      <vt:lpstr>Winterroggen___Brot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Hinderer, Axel (LEL)</dc:creator>
  <dc:description>Basiert auf 202105Ba</dc:description>
  <cp:lastModifiedBy>Kleiser Alina</cp:lastModifiedBy>
  <cp:lastPrinted>2020-01-30T10:16:15Z</cp:lastPrinted>
  <dcterms:created xsi:type="dcterms:W3CDTF">2019-09-04T10:23:21Z</dcterms:created>
  <dcterms:modified xsi:type="dcterms:W3CDTF">2024-07-15T09:47:26Z</dcterms:modified>
</cp:coreProperties>
</file>